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any\Desktop\"/>
    </mc:Choice>
  </mc:AlternateContent>
  <xr:revisionPtr revIDLastSave="0" documentId="8_{561BB17C-F181-4822-9D76-9BD228124BF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G" sheetId="14" r:id="rId1"/>
    <sheet name="CA" sheetId="30" r:id="rId2"/>
    <sheet name="FUNCIONAL" sheetId="17" r:id="rId3"/>
    <sheet name="CTG" sheetId="31" r:id="rId4"/>
    <sheet name="PRIORIDADES" sheetId="32" r:id="rId5"/>
    <sheet name="PROGS. Y PROY." sheetId="18" r:id="rId6"/>
    <sheet name="ANALÍTICO DE PLAZAS" sheetId="34" r:id="rId7"/>
    <sheet name="Resumen" sheetId="35" r:id="rId8"/>
    <sheet name="Analitico ingresos" sheetId="36" r:id="rId9"/>
    <sheet name="Analitico de Egresos" sheetId="37" r:id="rId10"/>
    <sheet name="Prográmatico" sheetId="38" r:id="rId11"/>
    <sheet name="FORTAMUN" sheetId="39" r:id="rId12"/>
    <sheet name="FAISM" sheetId="40" r:id="rId13"/>
    <sheet name="Analítico II" sheetId="8" state="hidden" r:id="rId14"/>
    <sheet name="Analítico de Ingresos I" sheetId="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14" hidden="1">'Analítico de Ingresos I'!$C$2:$S$256</definedName>
    <definedName name="_xlnm._FilterDatabase" localSheetId="6" hidden="1">'ANALÍTICO DE PLAZAS'!$C$4:$C$177</definedName>
    <definedName name="_xlnm._FilterDatabase" localSheetId="13" hidden="1">'Analítico II'!$A$4:$AH$419</definedName>
    <definedName name="_xlnm._FilterDatabase" localSheetId="0" hidden="1">COG!$A$5:$C$214</definedName>
    <definedName name="_xlnm._FilterDatabase" localSheetId="2" hidden="1">FUNCIONAL!$A$5:$C$67</definedName>
    <definedName name="_xlnm._FilterDatabase" localSheetId="5" hidden="1">'PROGS. Y PROY.'!$A$5:$C$151</definedName>
    <definedName name="aaaaaa" localSheetId="13">#REF!</definedName>
    <definedName name="ANAEGRE">#REF!</definedName>
    <definedName name="apr1raMod">#REF!</definedName>
    <definedName name="apr2daMod">#REF!</definedName>
    <definedName name="apro2020">#REF!</definedName>
    <definedName name="aprobado" localSheetId="13">#REF!</definedName>
    <definedName name="aprobado2018" localSheetId="13">#REF!</definedName>
    <definedName name="ARTEYCULTURA">#REF!</definedName>
    <definedName name="asassasaassasa">[1]Hoja1!$A:$B</definedName>
    <definedName name="BERE" localSheetId="13">#REF!</definedName>
    <definedName name="BOLAÑOS">#REF!</definedName>
    <definedName name="C.A" localSheetId="13">[2]Hoja1!$A:$B</definedName>
    <definedName name="c.a">[3]Hoja1!$A:$B</definedName>
    <definedName name="C.A_C.P_COG">#REF!</definedName>
    <definedName name="C.E">[4]Hoja1!$D:$E</definedName>
    <definedName name="C.F" localSheetId="13">#REF!</definedName>
    <definedName name="c.f.f">[5]Hoja3!$E$1:$F$300</definedName>
    <definedName name="C.F.G">'[6]C.F.G'!$A$5:$B$65</definedName>
    <definedName name="c.f.g2">'[5]C.F.G'!$A$4:$B$69</definedName>
    <definedName name="C.F.GG">[7]Hoja1!$K$2:$L$299</definedName>
    <definedName name="C.O.G">'[8]Resumen '!$N:$T</definedName>
    <definedName name="C.O.G.">#REF!</definedName>
    <definedName name="C.T.G">[4]Hoja1!$G:$H</definedName>
    <definedName name="CATASTRO">#REF!</definedName>
    <definedName name="CFGGG">'[7]C.F.G'!$A:$B</definedName>
    <definedName name="CHOLICO">#REF!</definedName>
    <definedName name="cieEje2019">#REF!</definedName>
    <definedName name="cierre" localSheetId="13">#REF!</definedName>
    <definedName name="cierree">[2]RESUMEN!$N:$S</definedName>
    <definedName name="CIERREEGRESOS" localSheetId="13">[9]Hoja2!$D$3:$E$23</definedName>
    <definedName name="CIERREEGRESOS">#REF!</definedName>
    <definedName name="CIERREING" localSheetId="13">[9]Hoja2!$A$3:$B$26</definedName>
    <definedName name="CIERREING">#REF!</definedName>
    <definedName name="CIERRERESUM" localSheetId="13">#REF!</definedName>
    <definedName name="cl.fun">[8]Hoja1!$D$1:$E$298</definedName>
    <definedName name="clas.funcional">'[8]C.F.G'!$G:$H</definedName>
    <definedName name="CLAS.T.G">[10]Hoja3!$K$1:$L$206</definedName>
    <definedName name="CLASIFICACIÓN_ECONOMICA">[10]Hoja3!$H$1:$I$214</definedName>
    <definedName name="CLASIFICACION_FUNCIONAL">[10]Hoja3!$E$1:$F$300</definedName>
    <definedName name="CLASIFICACIÓN_POR_TIPO_DE_GASTO">"CTG"</definedName>
    <definedName name="cog" localSheetId="13">[11]Hoja2!$A:$B</definedName>
    <definedName name="cog">#REF!</definedName>
    <definedName name="COGGG">[7]Hoja1!$A:$B</definedName>
    <definedName name="com" localSheetId="13">#REF!</definedName>
    <definedName name="COMEIMA">#REF!</definedName>
    <definedName name="CONTPAT">#REF!</definedName>
    <definedName name="CONTRAL">#REF!</definedName>
    <definedName name="COORDADMIN">#REF!</definedName>
    <definedName name="COORDSALUD">#REF!</definedName>
    <definedName name="CULTFISYDEP">#REF!</definedName>
    <definedName name="DESCRIPCION">#REF!</definedName>
    <definedName name="DESECO">#REF!</definedName>
    <definedName name="DESRURAL">#REF!</definedName>
    <definedName name="DESSOC">#REF!</definedName>
    <definedName name="DESURB">#REF!</definedName>
    <definedName name="devPagSept">#REF!</definedName>
    <definedName name="DIAZLOPEZ">#REF!</definedName>
    <definedName name="DIRCOMP">#REF!</definedName>
    <definedName name="DIRCONTYPPTO">#REF!</definedName>
    <definedName name="EDUCA">#REF!</definedName>
    <definedName name="egr">'[6]C.F.F'!$D$3:$E$64</definedName>
    <definedName name="EGRESOS">'[12]comparativo F.F.'!$A$25:$D$46</definedName>
    <definedName name="egrFF">#REF!</definedName>
    <definedName name="EVENTESP">#REF!</definedName>
    <definedName name="F.F.EGRESO">'[7]F.F.'!$H$3:$I$66</definedName>
    <definedName name="F.F.ING">'[7]F.F.'!$B$3:$C$29</definedName>
    <definedName name="f.fegre">[2]Hoja3!$D$2:$E$24</definedName>
    <definedName name="F.FF" localSheetId="13">#REF!</definedName>
    <definedName name="f.fing">[2]Hoja3!$A$2:$B$25</definedName>
    <definedName name="FERIA">#REF!</definedName>
    <definedName name="financiamiento" localSheetId="13">#REF!</definedName>
    <definedName name="FISCA">#REF!</definedName>
    <definedName name="FUENTE" localSheetId="13">#REF!</definedName>
    <definedName name="Función" localSheetId="13">#REF!</definedName>
    <definedName name="GASPAR">#REF!</definedName>
    <definedName name="GONZALEZAVALA">#REF!</definedName>
    <definedName name="HAYUN">#REF!</definedName>
    <definedName name="HERREJON">#REF!</definedName>
    <definedName name="IMIPE">#REF!</definedName>
    <definedName name="IMPINMB">#REF!</definedName>
    <definedName name="INCLUSION">#REF!</definedName>
    <definedName name="INFOPOL">#REF!</definedName>
    <definedName name="Ing.2da">'[6]C.F.F'!$A$3:$B$25</definedName>
    <definedName name="ingFF">#REF!</definedName>
    <definedName name="ingProy22">#REF!</definedName>
    <definedName name="INGRESOS">#REF!</definedName>
    <definedName name="INNOVGUB">#REF!</definedName>
    <definedName name="INSMUJER">#REF!</definedName>
    <definedName name="joya" localSheetId="13">#REF!</definedName>
    <definedName name="JUBILAD">#REF!</definedName>
    <definedName name="JUMAPA">#REF!</definedName>
    <definedName name="JURIDICO">#REF!</definedName>
    <definedName name="JUVENTUD">#REF!</definedName>
    <definedName name="JUZADMIN">#REF!</definedName>
    <definedName name="MEDAMB">#REF!</definedName>
    <definedName name="MOVYTRANS">#REF!</definedName>
    <definedName name="MTTOEDIFPUB">#REF!</definedName>
    <definedName name="NOMB" localSheetId="13">#REF!</definedName>
    <definedName name="NOMBRE" localSheetId="13">#REF!</definedName>
    <definedName name="NOMBRES" localSheetId="13">#REF!</definedName>
    <definedName name="OBRAPUBLICA">#REF!</definedName>
    <definedName name="OBRASPUB">#REF!</definedName>
    <definedName name="OFIMAY">#REF!</definedName>
    <definedName name="ok" localSheetId="13">#REF!</definedName>
    <definedName name="OKKKK">'[4]RESUMEN INGRESO-EGRESO'!$L$242:$O$417</definedName>
    <definedName name="ORLANZZINI">#REF!</definedName>
    <definedName name="PARTCIUD">#REF!</definedName>
    <definedName name="partidas">#REF!</definedName>
    <definedName name="POLICIA">#REF!</definedName>
    <definedName name="PP">[13]base!$A$1:$I$25</definedName>
    <definedName name="PPTO">[5]RESUMEN!$N$4:$U$416</definedName>
    <definedName name="PPTOEGR">'[14]FUENTES DE FINANCIAMIENTO'!$E:$F</definedName>
    <definedName name="PPTOFF">#REF!</definedName>
    <definedName name="PPTOING">'[14]FUENTES DE FINANCIAMIENTO'!$A:$B</definedName>
    <definedName name="pr2021al2802">#REF!</definedName>
    <definedName name="prCieEje2020">#REF!</definedName>
    <definedName name="PRESI">#REF!</definedName>
    <definedName name="propTeso">#REF!</definedName>
    <definedName name="PROTCIV">#REF!</definedName>
    <definedName name="PUGARES">#REF!</definedName>
    <definedName name="REMA">[15]Hoja1!$A:$B</definedName>
    <definedName name="resegr">[10]RESUMEN!$O:$W</definedName>
    <definedName name="RRHH">#REF!</definedName>
    <definedName name="rrrr" localSheetId="13">#REF!</definedName>
    <definedName name="RUIZLEON">#REF!</definedName>
    <definedName name="SAHIB">#REF!</definedName>
    <definedName name="SALAZAR">#REF!</definedName>
    <definedName name="SALUD">#REF!</definedName>
    <definedName name="SECRELEXT">#REF!</definedName>
    <definedName name="SECSEGCIUD">#REF!</definedName>
    <definedName name="SERVMUN">#REF!</definedName>
    <definedName name="SERVSOCIAL">#REF!</definedName>
    <definedName name="SISMUNDIF">#REF!</definedName>
    <definedName name="SISTEMAS">#REF!</definedName>
    <definedName name="TESOMUN">#REF!</definedName>
    <definedName name="_xlnm.Print_Titles" localSheetId="13">'Analítico II'!$1:$4</definedName>
    <definedName name="TRANSITO">#REF!</definedName>
    <definedName name="TREJOGRANADOS">#REF!</definedName>
    <definedName name="TURISMO">#REF!</definedName>
    <definedName name="tyt" localSheetId="13">#REF!</definedName>
    <definedName name="tytyt" localSheetId="13">#REF!</definedName>
    <definedName name="UMAI">#REF!</definedName>
    <definedName name="UR" localSheetId="13">[6]Hoja1!#REF!</definedName>
    <definedName name="VILLALOBOS">#REF!</definedName>
    <definedName name="VIVIENDA">#REF!</definedName>
    <definedName name="XOCHIPILLI">#REF!</definedName>
    <definedName name="ytyt" localSheetId="13">#REF!</definedName>
  </definedNames>
  <calcPr calcId="181029"/>
  <customWorkbookViews>
    <customWorkbookView name="Filtro 1" guid="{EDC18758-D184-4ADE-B7A7-0342A1129F77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40" l="1"/>
  <c r="C47" i="39"/>
  <c r="C42" i="39"/>
  <c r="D42" i="39" s="1"/>
  <c r="C39" i="39"/>
  <c r="C23" i="39"/>
  <c r="D23" i="39" s="1"/>
  <c r="C20" i="39"/>
  <c r="C17" i="39"/>
  <c r="D17" i="39" s="1"/>
  <c r="C15" i="39"/>
  <c r="C12" i="39"/>
  <c r="D12" i="39" s="1"/>
  <c r="C10" i="39"/>
  <c r="C8" i="39"/>
  <c r="D8" i="39" s="1"/>
  <c r="C6" i="39"/>
  <c r="C5" i="39"/>
  <c r="D47" i="39" s="1"/>
  <c r="J3806" i="37"/>
  <c r="M3806" i="37" s="1"/>
  <c r="P3806" i="37" s="1"/>
  <c r="P3805" i="37"/>
  <c r="U3804" i="37"/>
  <c r="J3804" i="37"/>
  <c r="U3803" i="37"/>
  <c r="S3803" i="37"/>
  <c r="R3803" i="37"/>
  <c r="Q3803" i="37"/>
  <c r="Q3802" i="37" s="1"/>
  <c r="O3803" i="37"/>
  <c r="N3803" i="37"/>
  <c r="L3803" i="37"/>
  <c r="K3803" i="37"/>
  <c r="I3803" i="37"/>
  <c r="I3802" i="37" s="1"/>
  <c r="H3803" i="37"/>
  <c r="G3803" i="37"/>
  <c r="F3803" i="37"/>
  <c r="E3803" i="37"/>
  <c r="E3802" i="37" s="1"/>
  <c r="D3803" i="37"/>
  <c r="C3803" i="37"/>
  <c r="U3802" i="37"/>
  <c r="S3802" i="37"/>
  <c r="O3802" i="37"/>
  <c r="N3802" i="37"/>
  <c r="L3802" i="37"/>
  <c r="K3802" i="37"/>
  <c r="H3802" i="37"/>
  <c r="G3802" i="37"/>
  <c r="F3802" i="37"/>
  <c r="D3802" i="37"/>
  <c r="C3802" i="37"/>
  <c r="P3801" i="37"/>
  <c r="M3801" i="37"/>
  <c r="J3798" i="37"/>
  <c r="M3798" i="37" s="1"/>
  <c r="P3798" i="37" s="1"/>
  <c r="M3796" i="37"/>
  <c r="P3796" i="37" s="1"/>
  <c r="J3796" i="37"/>
  <c r="J3795" i="37"/>
  <c r="M3795" i="37" s="1"/>
  <c r="M3794" i="37" s="1"/>
  <c r="M3793" i="37" s="1"/>
  <c r="U3794" i="37"/>
  <c r="S3794" i="37"/>
  <c r="S3793" i="37" s="1"/>
  <c r="R3794" i="37"/>
  <c r="Q3794" i="37"/>
  <c r="Q3793" i="37" s="1"/>
  <c r="O3794" i="37"/>
  <c r="O3793" i="37" s="1"/>
  <c r="N3794" i="37"/>
  <c r="L3794" i="37"/>
  <c r="K3794" i="37"/>
  <c r="K3793" i="37" s="1"/>
  <c r="I3794" i="37"/>
  <c r="I3793" i="37" s="1"/>
  <c r="H3794" i="37"/>
  <c r="G3794" i="37"/>
  <c r="G3793" i="37" s="1"/>
  <c r="F3794" i="37"/>
  <c r="E3794" i="37"/>
  <c r="E3793" i="37" s="1"/>
  <c r="D3794" i="37"/>
  <c r="C3794" i="37"/>
  <c r="C3793" i="37" s="1"/>
  <c r="U3793" i="37"/>
  <c r="N3793" i="37"/>
  <c r="L3793" i="37"/>
  <c r="H3793" i="37"/>
  <c r="F3793" i="37"/>
  <c r="D3793" i="37"/>
  <c r="J3791" i="37"/>
  <c r="M3791" i="37" s="1"/>
  <c r="P3791" i="37" s="1"/>
  <c r="M3790" i="37"/>
  <c r="P3790" i="37" s="1"/>
  <c r="J3790" i="37"/>
  <c r="J3789" i="37"/>
  <c r="M3789" i="37" s="1"/>
  <c r="P3789" i="37" s="1"/>
  <c r="M3788" i="37"/>
  <c r="J3788" i="37"/>
  <c r="U3787" i="37"/>
  <c r="S3787" i="37"/>
  <c r="R3787" i="37"/>
  <c r="Q3787" i="37"/>
  <c r="O3787" i="37"/>
  <c r="N3787" i="37"/>
  <c r="N3786" i="37" s="1"/>
  <c r="L3787" i="37"/>
  <c r="L3786" i="37" s="1"/>
  <c r="K3787" i="37"/>
  <c r="I3787" i="37"/>
  <c r="H3787" i="37"/>
  <c r="H3786" i="37" s="1"/>
  <c r="G3787" i="37"/>
  <c r="F3787" i="37"/>
  <c r="F3786" i="37" s="1"/>
  <c r="E3787" i="37"/>
  <c r="D3787" i="37"/>
  <c r="D3786" i="37" s="1"/>
  <c r="C3787" i="37"/>
  <c r="U3786" i="37"/>
  <c r="S3786" i="37"/>
  <c r="Q3786" i="37"/>
  <c r="O3786" i="37"/>
  <c r="K3786" i="37"/>
  <c r="I3786" i="37"/>
  <c r="G3786" i="37"/>
  <c r="E3786" i="37"/>
  <c r="C3786" i="37"/>
  <c r="M3785" i="37"/>
  <c r="P3785" i="37" s="1"/>
  <c r="J3785" i="37"/>
  <c r="U3784" i="37"/>
  <c r="U3775" i="37" s="1"/>
  <c r="S3784" i="37"/>
  <c r="R3784" i="37"/>
  <c r="Q3784" i="37"/>
  <c r="P3784" i="37"/>
  <c r="O3784" i="37"/>
  <c r="N3784" i="37"/>
  <c r="L3784" i="37"/>
  <c r="K3784" i="37"/>
  <c r="J3784" i="37"/>
  <c r="I3784" i="37"/>
  <c r="H3784" i="37"/>
  <c r="G3784" i="37"/>
  <c r="F3784" i="37"/>
  <c r="E3784" i="37"/>
  <c r="D3784" i="37"/>
  <c r="C3784" i="37"/>
  <c r="J3783" i="37"/>
  <c r="M3783" i="37" s="1"/>
  <c r="P3783" i="37" s="1"/>
  <c r="M3782" i="37"/>
  <c r="P3782" i="37" s="1"/>
  <c r="J3782" i="37"/>
  <c r="P3781" i="37"/>
  <c r="J3781" i="37"/>
  <c r="M3781" i="37" s="1"/>
  <c r="U3778" i="37"/>
  <c r="J3778" i="37"/>
  <c r="M3778" i="37" s="1"/>
  <c r="M3777" i="37"/>
  <c r="P3777" i="37" s="1"/>
  <c r="J3777" i="37"/>
  <c r="U3776" i="37"/>
  <c r="S3776" i="37"/>
  <c r="R3776" i="37"/>
  <c r="Q3776" i="37"/>
  <c r="O3776" i="37"/>
  <c r="N3776" i="37"/>
  <c r="N3775" i="37" s="1"/>
  <c r="L3776" i="37"/>
  <c r="L3775" i="37" s="1"/>
  <c r="K3776" i="37"/>
  <c r="J3776" i="37"/>
  <c r="J3775" i="37" s="1"/>
  <c r="I3776" i="37"/>
  <c r="H3776" i="37"/>
  <c r="H3775" i="37" s="1"/>
  <c r="G3776" i="37"/>
  <c r="F3776" i="37"/>
  <c r="F3775" i="37" s="1"/>
  <c r="E3776" i="37"/>
  <c r="D3776" i="37"/>
  <c r="D3775" i="37" s="1"/>
  <c r="C3776" i="37"/>
  <c r="S3775" i="37"/>
  <c r="Q3775" i="37"/>
  <c r="O3775" i="37"/>
  <c r="K3775" i="37"/>
  <c r="I3775" i="37"/>
  <c r="G3775" i="37"/>
  <c r="E3775" i="37"/>
  <c r="C3775" i="37"/>
  <c r="M3774" i="37"/>
  <c r="P3774" i="37" s="1"/>
  <c r="J3774" i="37"/>
  <c r="J3773" i="37"/>
  <c r="M3773" i="37" s="1"/>
  <c r="P3773" i="37" s="1"/>
  <c r="P3772" i="37"/>
  <c r="P3771" i="37"/>
  <c r="J3771" i="37"/>
  <c r="M3771" i="37" s="1"/>
  <c r="M3770" i="37"/>
  <c r="J3770" i="37"/>
  <c r="U3769" i="37"/>
  <c r="S3769" i="37"/>
  <c r="R3769" i="37"/>
  <c r="Q3769" i="37"/>
  <c r="O3769" i="37"/>
  <c r="N3769" i="37"/>
  <c r="N3768" i="37" s="1"/>
  <c r="L3769" i="37"/>
  <c r="L3768" i="37" s="1"/>
  <c r="K3769" i="37"/>
  <c r="J3769" i="37"/>
  <c r="J3768" i="37" s="1"/>
  <c r="I3769" i="37"/>
  <c r="H3769" i="37"/>
  <c r="H3768" i="37" s="1"/>
  <c r="G3769" i="37"/>
  <c r="F3769" i="37"/>
  <c r="F3768" i="37" s="1"/>
  <c r="E3769" i="37"/>
  <c r="D3769" i="37"/>
  <c r="D3768" i="37" s="1"/>
  <c r="C3769" i="37"/>
  <c r="U3768" i="37"/>
  <c r="S3768" i="37"/>
  <c r="Q3768" i="37"/>
  <c r="O3768" i="37"/>
  <c r="K3768" i="37"/>
  <c r="I3768" i="37"/>
  <c r="G3768" i="37"/>
  <c r="E3768" i="37"/>
  <c r="C3768" i="37"/>
  <c r="M3767" i="37"/>
  <c r="P3767" i="37" s="1"/>
  <c r="J3767" i="37"/>
  <c r="P3766" i="37"/>
  <c r="J3766" i="37"/>
  <c r="M3766" i="37" s="1"/>
  <c r="M3765" i="37"/>
  <c r="J3765" i="37"/>
  <c r="U3764" i="37"/>
  <c r="U3763" i="37" s="1"/>
  <c r="S3764" i="37"/>
  <c r="R3764" i="37"/>
  <c r="Q3764" i="37"/>
  <c r="O3764" i="37"/>
  <c r="N3764" i="37"/>
  <c r="N3763" i="37" s="1"/>
  <c r="L3764" i="37"/>
  <c r="L3763" i="37" s="1"/>
  <c r="K3764" i="37"/>
  <c r="J3764" i="37"/>
  <c r="J3763" i="37" s="1"/>
  <c r="I3764" i="37"/>
  <c r="H3764" i="37"/>
  <c r="H3763" i="37" s="1"/>
  <c r="G3764" i="37"/>
  <c r="F3764" i="37"/>
  <c r="F3763" i="37" s="1"/>
  <c r="E3764" i="37"/>
  <c r="D3764" i="37"/>
  <c r="D3763" i="37" s="1"/>
  <c r="C3764" i="37"/>
  <c r="S3763" i="37"/>
  <c r="Q3763" i="37"/>
  <c r="O3763" i="37"/>
  <c r="K3763" i="37"/>
  <c r="I3763" i="37"/>
  <c r="G3763" i="37"/>
  <c r="E3763" i="37"/>
  <c r="C3763" i="37"/>
  <c r="U3761" i="37"/>
  <c r="P3760" i="37"/>
  <c r="J3760" i="37"/>
  <c r="M3760" i="37" s="1"/>
  <c r="M3759" i="37"/>
  <c r="P3759" i="37" s="1"/>
  <c r="J3759" i="37"/>
  <c r="P3758" i="37"/>
  <c r="J3758" i="37"/>
  <c r="M3758" i="37" s="1"/>
  <c r="U3757" i="37"/>
  <c r="J3757" i="37"/>
  <c r="U3756" i="37"/>
  <c r="S3756" i="37"/>
  <c r="R3756" i="37"/>
  <c r="Q3756" i="37"/>
  <c r="Q3755" i="37" s="1"/>
  <c r="O3756" i="37"/>
  <c r="O3755" i="37" s="1"/>
  <c r="N3756" i="37"/>
  <c r="L3756" i="37"/>
  <c r="K3756" i="37"/>
  <c r="K3755" i="37" s="1"/>
  <c r="I3756" i="37"/>
  <c r="I3755" i="37" s="1"/>
  <c r="H3756" i="37"/>
  <c r="G3756" i="37"/>
  <c r="G3755" i="37" s="1"/>
  <c r="F3756" i="37"/>
  <c r="E3756" i="37"/>
  <c r="E3755" i="37" s="1"/>
  <c r="D3756" i="37"/>
  <c r="C3756" i="37"/>
  <c r="C3755" i="37" s="1"/>
  <c r="U3755" i="37"/>
  <c r="S3755" i="37"/>
  <c r="N3755" i="37"/>
  <c r="L3755" i="37"/>
  <c r="H3755" i="37"/>
  <c r="F3755" i="37"/>
  <c r="D3755" i="37"/>
  <c r="J3754" i="37"/>
  <c r="M3754" i="37" s="1"/>
  <c r="P3754" i="37" s="1"/>
  <c r="M3753" i="37"/>
  <c r="P3753" i="37" s="1"/>
  <c r="J3753" i="37"/>
  <c r="J3752" i="37"/>
  <c r="U3751" i="37"/>
  <c r="S3751" i="37"/>
  <c r="R3751" i="37"/>
  <c r="Q3751" i="37"/>
  <c r="Q3750" i="37" s="1"/>
  <c r="O3751" i="37"/>
  <c r="O3750" i="37" s="1"/>
  <c r="N3751" i="37"/>
  <c r="L3751" i="37"/>
  <c r="K3751" i="37"/>
  <c r="K3750" i="37" s="1"/>
  <c r="I3751" i="37"/>
  <c r="I3750" i="37" s="1"/>
  <c r="H3751" i="37"/>
  <c r="G3751" i="37"/>
  <c r="G3750" i="37" s="1"/>
  <c r="F3751" i="37"/>
  <c r="E3751" i="37"/>
  <c r="E3750" i="37" s="1"/>
  <c r="D3751" i="37"/>
  <c r="C3751" i="37"/>
  <c r="C3750" i="37" s="1"/>
  <c r="U3750" i="37"/>
  <c r="S3750" i="37"/>
  <c r="N3750" i="37"/>
  <c r="L3750" i="37"/>
  <c r="H3750" i="37"/>
  <c r="F3750" i="37"/>
  <c r="D3750" i="37"/>
  <c r="J3749" i="37"/>
  <c r="M3749" i="37" s="1"/>
  <c r="P3749" i="37" s="1"/>
  <c r="M3745" i="37"/>
  <c r="P3745" i="37" s="1"/>
  <c r="J3745" i="37"/>
  <c r="J3744" i="37"/>
  <c r="M3744" i="37" s="1"/>
  <c r="P3744" i="37" s="1"/>
  <c r="M3743" i="37"/>
  <c r="J3743" i="37"/>
  <c r="U3742" i="37"/>
  <c r="S3742" i="37"/>
  <c r="R3742" i="37"/>
  <c r="Q3742" i="37"/>
  <c r="O3742" i="37"/>
  <c r="N3742" i="37"/>
  <c r="N3741" i="37" s="1"/>
  <c r="L3742" i="37"/>
  <c r="L3741" i="37" s="1"/>
  <c r="K3742" i="37"/>
  <c r="J3742" i="37"/>
  <c r="J3741" i="37" s="1"/>
  <c r="I3742" i="37"/>
  <c r="H3742" i="37"/>
  <c r="H3741" i="37" s="1"/>
  <c r="G3742" i="37"/>
  <c r="F3742" i="37"/>
  <c r="F3741" i="37" s="1"/>
  <c r="E3742" i="37"/>
  <c r="D3742" i="37"/>
  <c r="D3741" i="37" s="1"/>
  <c r="C3742" i="37"/>
  <c r="U3741" i="37"/>
  <c r="S3741" i="37"/>
  <c r="Q3741" i="37"/>
  <c r="O3741" i="37"/>
  <c r="K3741" i="37"/>
  <c r="I3741" i="37"/>
  <c r="G3741" i="37"/>
  <c r="E3741" i="37"/>
  <c r="C3741" i="37"/>
  <c r="M3739" i="37"/>
  <c r="P3739" i="37" s="1"/>
  <c r="J3739" i="37"/>
  <c r="J3738" i="37"/>
  <c r="M3738" i="37" s="1"/>
  <c r="P3738" i="37" s="1"/>
  <c r="P3737" i="37"/>
  <c r="J3736" i="37"/>
  <c r="M3736" i="37" s="1"/>
  <c r="P3736" i="37" s="1"/>
  <c r="M3735" i="37"/>
  <c r="P3735" i="37" s="1"/>
  <c r="J3735" i="37"/>
  <c r="J3734" i="37"/>
  <c r="M3734" i="37" s="1"/>
  <c r="P3734" i="37" s="1"/>
  <c r="M3733" i="37"/>
  <c r="J3733" i="37"/>
  <c r="U3732" i="37"/>
  <c r="S3732" i="37"/>
  <c r="R3732" i="37"/>
  <c r="Q3732" i="37"/>
  <c r="O3732" i="37"/>
  <c r="N3732" i="37"/>
  <c r="N3731" i="37" s="1"/>
  <c r="L3732" i="37"/>
  <c r="L3731" i="37" s="1"/>
  <c r="K3732" i="37"/>
  <c r="J3732" i="37"/>
  <c r="J3731" i="37" s="1"/>
  <c r="I3732" i="37"/>
  <c r="H3732" i="37"/>
  <c r="H3731" i="37" s="1"/>
  <c r="G3732" i="37"/>
  <c r="F3732" i="37"/>
  <c r="F3731" i="37" s="1"/>
  <c r="E3732" i="37"/>
  <c r="D3732" i="37"/>
  <c r="D3731" i="37" s="1"/>
  <c r="C3732" i="37"/>
  <c r="U3731" i="37"/>
  <c r="S3731" i="37"/>
  <c r="Q3731" i="37"/>
  <c r="O3731" i="37"/>
  <c r="K3731" i="37"/>
  <c r="I3731" i="37"/>
  <c r="G3731" i="37"/>
  <c r="E3731" i="37"/>
  <c r="C3731" i="37"/>
  <c r="M3729" i="37"/>
  <c r="P3729" i="37" s="1"/>
  <c r="J3729" i="37"/>
  <c r="J3728" i="37"/>
  <c r="M3727" i="37"/>
  <c r="P3727" i="37" s="1"/>
  <c r="J3727" i="37"/>
  <c r="J3726" i="37"/>
  <c r="M3726" i="37" s="1"/>
  <c r="P3726" i="37" s="1"/>
  <c r="M3725" i="37"/>
  <c r="J3725" i="37"/>
  <c r="U3724" i="37"/>
  <c r="S3724" i="37"/>
  <c r="R3724" i="37"/>
  <c r="Q3724" i="37"/>
  <c r="O3724" i="37"/>
  <c r="N3724" i="37"/>
  <c r="N3723" i="37" s="1"/>
  <c r="L3724" i="37"/>
  <c r="L3723" i="37" s="1"/>
  <c r="K3724" i="37"/>
  <c r="I3724" i="37"/>
  <c r="H3724" i="37"/>
  <c r="H3723" i="37" s="1"/>
  <c r="G3724" i="37"/>
  <c r="F3724" i="37"/>
  <c r="F3723" i="37" s="1"/>
  <c r="E3724" i="37"/>
  <c r="D3724" i="37"/>
  <c r="D3723" i="37" s="1"/>
  <c r="C3724" i="37"/>
  <c r="U3723" i="37"/>
  <c r="S3723" i="37"/>
  <c r="Q3723" i="37"/>
  <c r="O3723" i="37"/>
  <c r="K3723" i="37"/>
  <c r="I3723" i="37"/>
  <c r="G3723" i="37"/>
  <c r="E3723" i="37"/>
  <c r="C3723" i="37"/>
  <c r="P3722" i="37"/>
  <c r="J3719" i="37"/>
  <c r="M3719" i="37" s="1"/>
  <c r="P3719" i="37" s="1"/>
  <c r="S3718" i="37"/>
  <c r="J3718" i="37"/>
  <c r="U3717" i="37"/>
  <c r="S3717" i="37"/>
  <c r="S3714" i="37" s="1"/>
  <c r="R3717" i="37"/>
  <c r="Q3717" i="37"/>
  <c r="O3717" i="37"/>
  <c r="O3714" i="37" s="1"/>
  <c r="N3717" i="37"/>
  <c r="L3717" i="37"/>
  <c r="K3717" i="37"/>
  <c r="K3714" i="37" s="1"/>
  <c r="I3717" i="37"/>
  <c r="H3717" i="37"/>
  <c r="G3717" i="37"/>
  <c r="F3717" i="37"/>
  <c r="E3717" i="37"/>
  <c r="E3714" i="37" s="1"/>
  <c r="D3717" i="37"/>
  <c r="C3717" i="37"/>
  <c r="M3716" i="37"/>
  <c r="J3716" i="37"/>
  <c r="U3715" i="37"/>
  <c r="S3715" i="37"/>
  <c r="R3715" i="37"/>
  <c r="Q3715" i="37"/>
  <c r="O3715" i="37"/>
  <c r="N3715" i="37"/>
  <c r="N3714" i="37" s="1"/>
  <c r="L3715" i="37"/>
  <c r="L3714" i="37" s="1"/>
  <c r="K3715" i="37"/>
  <c r="J3715" i="37"/>
  <c r="I3715" i="37"/>
  <c r="H3715" i="37"/>
  <c r="H3714" i="37" s="1"/>
  <c r="G3715" i="37"/>
  <c r="F3715" i="37"/>
  <c r="F3714" i="37" s="1"/>
  <c r="E3715" i="37"/>
  <c r="D3715" i="37"/>
  <c r="D3714" i="37" s="1"/>
  <c r="C3715" i="37"/>
  <c r="U3714" i="37"/>
  <c r="Q3714" i="37"/>
  <c r="I3714" i="37"/>
  <c r="G3714" i="37"/>
  <c r="C3714" i="37"/>
  <c r="M3713" i="37"/>
  <c r="P3713" i="37" s="1"/>
  <c r="J3713" i="37"/>
  <c r="J3708" i="37"/>
  <c r="M3708" i="37" s="1"/>
  <c r="P3708" i="37" s="1"/>
  <c r="M3706" i="37"/>
  <c r="P3706" i="37" s="1"/>
  <c r="J3706" i="37"/>
  <c r="J3705" i="37"/>
  <c r="M3705" i="37" s="1"/>
  <c r="P3705" i="37" s="1"/>
  <c r="P3704" i="37"/>
  <c r="M3704" i="37"/>
  <c r="J3704" i="37"/>
  <c r="M3703" i="37"/>
  <c r="P3703" i="37" s="1"/>
  <c r="J3703" i="37"/>
  <c r="J3702" i="37"/>
  <c r="M3702" i="37" s="1"/>
  <c r="P3702" i="37" s="1"/>
  <c r="J3701" i="37"/>
  <c r="U3699" i="37"/>
  <c r="S3699" i="37"/>
  <c r="R3699" i="37"/>
  <c r="Q3699" i="37"/>
  <c r="O3699" i="37"/>
  <c r="N3699" i="37"/>
  <c r="L3699" i="37"/>
  <c r="K3699" i="37"/>
  <c r="I3699" i="37"/>
  <c r="H3699" i="37"/>
  <c r="G3699" i="37"/>
  <c r="F3699" i="37"/>
  <c r="E3699" i="37"/>
  <c r="D3699" i="37"/>
  <c r="C3699" i="37"/>
  <c r="J3698" i="37"/>
  <c r="M3698" i="37" s="1"/>
  <c r="P3698" i="37" s="1"/>
  <c r="P3697" i="37"/>
  <c r="J3697" i="37"/>
  <c r="M3697" i="37" s="1"/>
  <c r="M3696" i="37"/>
  <c r="P3696" i="37" s="1"/>
  <c r="J3696" i="37"/>
  <c r="J3695" i="37"/>
  <c r="M3695" i="37" s="1"/>
  <c r="P3695" i="37" s="1"/>
  <c r="M3694" i="37"/>
  <c r="P3694" i="37" s="1"/>
  <c r="J3694" i="37"/>
  <c r="J3693" i="37"/>
  <c r="M3693" i="37" s="1"/>
  <c r="P3693" i="37" s="1"/>
  <c r="P3692" i="37"/>
  <c r="M3692" i="37"/>
  <c r="J3692" i="37"/>
  <c r="P3691" i="37"/>
  <c r="M3691" i="37"/>
  <c r="J3691" i="37"/>
  <c r="J3690" i="37"/>
  <c r="M3690" i="37" s="1"/>
  <c r="P3690" i="37" s="1"/>
  <c r="P3689" i="37"/>
  <c r="J3689" i="37"/>
  <c r="M3689" i="37" s="1"/>
  <c r="M3688" i="37"/>
  <c r="P3688" i="37" s="1"/>
  <c r="J3688" i="37"/>
  <c r="J3687" i="37"/>
  <c r="M3687" i="37" s="1"/>
  <c r="P3687" i="37" s="1"/>
  <c r="M3686" i="37"/>
  <c r="P3686" i="37" s="1"/>
  <c r="J3686" i="37"/>
  <c r="J3685" i="37"/>
  <c r="M3685" i="37" s="1"/>
  <c r="P3685" i="37" s="1"/>
  <c r="P3684" i="37"/>
  <c r="M3684" i="37"/>
  <c r="J3684" i="37"/>
  <c r="P3683" i="37"/>
  <c r="M3683" i="37"/>
  <c r="J3683" i="37"/>
  <c r="J3682" i="37"/>
  <c r="M3682" i="37" s="1"/>
  <c r="P3682" i="37" s="1"/>
  <c r="P3681" i="37"/>
  <c r="J3681" i="37"/>
  <c r="M3681" i="37" s="1"/>
  <c r="M3680" i="37"/>
  <c r="P3680" i="37" s="1"/>
  <c r="J3680" i="37"/>
  <c r="J3679" i="37"/>
  <c r="M3679" i="37" s="1"/>
  <c r="P3679" i="37" s="1"/>
  <c r="U3678" i="37"/>
  <c r="J3678" i="37"/>
  <c r="M3678" i="37" s="1"/>
  <c r="P3678" i="37" s="1"/>
  <c r="U3677" i="37"/>
  <c r="J3677" i="37"/>
  <c r="M3677" i="37" s="1"/>
  <c r="P3677" i="37" s="1"/>
  <c r="J3676" i="37"/>
  <c r="M3676" i="37" s="1"/>
  <c r="P3676" i="37" s="1"/>
  <c r="P3675" i="37"/>
  <c r="M3675" i="37"/>
  <c r="J3675" i="37"/>
  <c r="M3674" i="37"/>
  <c r="P3674" i="37" s="1"/>
  <c r="J3674" i="37"/>
  <c r="J3673" i="37"/>
  <c r="M3673" i="37" s="1"/>
  <c r="P3673" i="37" s="1"/>
  <c r="J3672" i="37"/>
  <c r="M3672" i="37" s="1"/>
  <c r="P3672" i="37" s="1"/>
  <c r="P3671" i="37"/>
  <c r="M3671" i="37"/>
  <c r="J3671" i="37"/>
  <c r="M3670" i="37"/>
  <c r="P3670" i="37" s="1"/>
  <c r="J3670" i="37"/>
  <c r="J3669" i="37"/>
  <c r="M3669" i="37" s="1"/>
  <c r="P3669" i="37" s="1"/>
  <c r="J3668" i="37"/>
  <c r="M3668" i="37" s="1"/>
  <c r="P3668" i="37" s="1"/>
  <c r="P3667" i="37"/>
  <c r="M3667" i="37"/>
  <c r="J3667" i="37"/>
  <c r="M3666" i="37"/>
  <c r="P3666" i="37" s="1"/>
  <c r="J3666" i="37"/>
  <c r="J3665" i="37"/>
  <c r="M3665" i="37" s="1"/>
  <c r="P3665" i="37" s="1"/>
  <c r="J3664" i="37"/>
  <c r="M3664" i="37" s="1"/>
  <c r="P3664" i="37" s="1"/>
  <c r="P3663" i="37"/>
  <c r="M3663" i="37"/>
  <c r="J3663" i="37"/>
  <c r="M3662" i="37"/>
  <c r="P3662" i="37" s="1"/>
  <c r="J3662" i="37"/>
  <c r="J3661" i="37"/>
  <c r="M3661" i="37" s="1"/>
  <c r="P3661" i="37" s="1"/>
  <c r="J3660" i="37"/>
  <c r="M3660" i="37" s="1"/>
  <c r="P3660" i="37" s="1"/>
  <c r="P3659" i="37"/>
  <c r="M3659" i="37"/>
  <c r="J3659" i="37"/>
  <c r="M3658" i="37"/>
  <c r="P3658" i="37" s="1"/>
  <c r="J3658" i="37"/>
  <c r="J3657" i="37"/>
  <c r="U3656" i="37"/>
  <c r="S3656" i="37"/>
  <c r="R3656" i="37"/>
  <c r="Q3656" i="37"/>
  <c r="O3656" i="37"/>
  <c r="N3656" i="37"/>
  <c r="L3656" i="37"/>
  <c r="K3656" i="37"/>
  <c r="I3656" i="37"/>
  <c r="H3656" i="37"/>
  <c r="G3656" i="37"/>
  <c r="F3656" i="37"/>
  <c r="E3656" i="37"/>
  <c r="D3656" i="37"/>
  <c r="C3656" i="37"/>
  <c r="M3655" i="37"/>
  <c r="P3655" i="37" s="1"/>
  <c r="J3655" i="37"/>
  <c r="J3654" i="37"/>
  <c r="M3654" i="37" s="1"/>
  <c r="P3654" i="37" s="1"/>
  <c r="J3653" i="37"/>
  <c r="M3653" i="37" s="1"/>
  <c r="P3653" i="37" s="1"/>
  <c r="P3652" i="37"/>
  <c r="M3652" i="37"/>
  <c r="J3652" i="37"/>
  <c r="S3651" i="37"/>
  <c r="P3651" i="37"/>
  <c r="M3651" i="37"/>
  <c r="J3651" i="37"/>
  <c r="M3650" i="37"/>
  <c r="P3650" i="37" s="1"/>
  <c r="J3650" i="37"/>
  <c r="J3649" i="37"/>
  <c r="M3649" i="37" s="1"/>
  <c r="P3649" i="37" s="1"/>
  <c r="J3648" i="37"/>
  <c r="M3648" i="37" s="1"/>
  <c r="P3648" i="37" s="1"/>
  <c r="P3647" i="37"/>
  <c r="M3647" i="37"/>
  <c r="J3647" i="37"/>
  <c r="M3646" i="37"/>
  <c r="P3646" i="37" s="1"/>
  <c r="J3646" i="37"/>
  <c r="J3645" i="37"/>
  <c r="M3645" i="37" s="1"/>
  <c r="P3645" i="37" s="1"/>
  <c r="J3644" i="37"/>
  <c r="M3644" i="37" s="1"/>
  <c r="P3644" i="37" s="1"/>
  <c r="S3643" i="37"/>
  <c r="S3626" i="37" s="1"/>
  <c r="S3496" i="37" s="1"/>
  <c r="J3643" i="37"/>
  <c r="M3643" i="37" s="1"/>
  <c r="P3643" i="37" s="1"/>
  <c r="P3642" i="37"/>
  <c r="M3642" i="37"/>
  <c r="J3642" i="37"/>
  <c r="M3641" i="37"/>
  <c r="P3641" i="37" s="1"/>
  <c r="J3641" i="37"/>
  <c r="J3640" i="37"/>
  <c r="M3640" i="37" s="1"/>
  <c r="P3640" i="37" s="1"/>
  <c r="J3639" i="37"/>
  <c r="M3639" i="37" s="1"/>
  <c r="P3639" i="37" s="1"/>
  <c r="P3638" i="37"/>
  <c r="M3638" i="37"/>
  <c r="J3638" i="37"/>
  <c r="M3637" i="37"/>
  <c r="P3637" i="37" s="1"/>
  <c r="J3637" i="37"/>
  <c r="J3636" i="37"/>
  <c r="M3636" i="37" s="1"/>
  <c r="P3636" i="37" s="1"/>
  <c r="J3635" i="37"/>
  <c r="M3635" i="37" s="1"/>
  <c r="P3635" i="37" s="1"/>
  <c r="P3634" i="37"/>
  <c r="M3634" i="37"/>
  <c r="J3634" i="37"/>
  <c r="M3633" i="37"/>
  <c r="P3633" i="37" s="1"/>
  <c r="J3633" i="37"/>
  <c r="J3632" i="37"/>
  <c r="M3632" i="37" s="1"/>
  <c r="P3632" i="37" s="1"/>
  <c r="J3631" i="37"/>
  <c r="M3631" i="37" s="1"/>
  <c r="P3631" i="37" s="1"/>
  <c r="P3630" i="37"/>
  <c r="M3630" i="37"/>
  <c r="J3630" i="37"/>
  <c r="M3629" i="37"/>
  <c r="P3629" i="37" s="1"/>
  <c r="J3629" i="37"/>
  <c r="J3628" i="37"/>
  <c r="J3627" i="37"/>
  <c r="M3627" i="37" s="1"/>
  <c r="U3626" i="37"/>
  <c r="R3626" i="37"/>
  <c r="Q3626" i="37"/>
  <c r="O3626" i="37"/>
  <c r="N3626" i="37"/>
  <c r="L3626" i="37"/>
  <c r="K3626" i="37"/>
  <c r="I3626" i="37"/>
  <c r="H3626" i="37"/>
  <c r="G3626" i="37"/>
  <c r="F3626" i="37"/>
  <c r="E3626" i="37"/>
  <c r="D3626" i="37"/>
  <c r="C3626" i="37"/>
  <c r="J3625" i="37"/>
  <c r="M3625" i="37" s="1"/>
  <c r="P3625" i="37" s="1"/>
  <c r="S3624" i="37"/>
  <c r="J3624" i="37"/>
  <c r="M3624" i="37" s="1"/>
  <c r="P3624" i="37" s="1"/>
  <c r="J3623" i="37"/>
  <c r="M3623" i="37" s="1"/>
  <c r="P3623" i="37" s="1"/>
  <c r="P3622" i="37"/>
  <c r="M3622" i="37"/>
  <c r="J3622" i="37"/>
  <c r="M3621" i="37"/>
  <c r="P3621" i="37" s="1"/>
  <c r="J3621" i="37"/>
  <c r="J3620" i="37"/>
  <c r="J3619" i="37"/>
  <c r="M3619" i="37" s="1"/>
  <c r="U3618" i="37"/>
  <c r="S3618" i="37"/>
  <c r="R3618" i="37"/>
  <c r="Q3618" i="37"/>
  <c r="O3618" i="37"/>
  <c r="N3618" i="37"/>
  <c r="L3618" i="37"/>
  <c r="K3618" i="37"/>
  <c r="I3618" i="37"/>
  <c r="H3618" i="37"/>
  <c r="G3618" i="37"/>
  <c r="F3618" i="37"/>
  <c r="E3618" i="37"/>
  <c r="D3618" i="37"/>
  <c r="C3618" i="37"/>
  <c r="J3616" i="37"/>
  <c r="M3616" i="37" s="1"/>
  <c r="P3616" i="37" s="1"/>
  <c r="J3615" i="37"/>
  <c r="M3615" i="37" s="1"/>
  <c r="P3615" i="37" s="1"/>
  <c r="P3614" i="37"/>
  <c r="M3614" i="37"/>
  <c r="J3614" i="37"/>
  <c r="M3613" i="37"/>
  <c r="P3613" i="37" s="1"/>
  <c r="J3613" i="37"/>
  <c r="S3612" i="37"/>
  <c r="M3612" i="37"/>
  <c r="P3612" i="37" s="1"/>
  <c r="J3612" i="37"/>
  <c r="J3611" i="37"/>
  <c r="M3611" i="37" s="1"/>
  <c r="P3611" i="37" s="1"/>
  <c r="J3610" i="37"/>
  <c r="M3610" i="37" s="1"/>
  <c r="P3610" i="37" s="1"/>
  <c r="P3606" i="37"/>
  <c r="M3606" i="37"/>
  <c r="J3606" i="37"/>
  <c r="M3605" i="37"/>
  <c r="P3605" i="37" s="1"/>
  <c r="J3605" i="37"/>
  <c r="J3604" i="37"/>
  <c r="M3604" i="37" s="1"/>
  <c r="P3604" i="37" s="1"/>
  <c r="J3603" i="37"/>
  <c r="M3603" i="37" s="1"/>
  <c r="P3603" i="37" s="1"/>
  <c r="S3602" i="37"/>
  <c r="S3585" i="37" s="1"/>
  <c r="J3602" i="37"/>
  <c r="M3602" i="37" s="1"/>
  <c r="P3602" i="37" s="1"/>
  <c r="P3601" i="37"/>
  <c r="M3601" i="37"/>
  <c r="J3601" i="37"/>
  <c r="M3600" i="37"/>
  <c r="P3600" i="37" s="1"/>
  <c r="J3600" i="37"/>
  <c r="J3597" i="37"/>
  <c r="M3597" i="37" s="1"/>
  <c r="P3597" i="37" s="1"/>
  <c r="J3596" i="37"/>
  <c r="M3596" i="37" s="1"/>
  <c r="P3596" i="37" s="1"/>
  <c r="P3595" i="37"/>
  <c r="M3595" i="37"/>
  <c r="J3595" i="37"/>
  <c r="M3594" i="37"/>
  <c r="P3594" i="37" s="1"/>
  <c r="J3594" i="37"/>
  <c r="J3593" i="37"/>
  <c r="M3593" i="37" s="1"/>
  <c r="P3593" i="37" s="1"/>
  <c r="J3592" i="37"/>
  <c r="M3592" i="37" s="1"/>
  <c r="P3592" i="37" s="1"/>
  <c r="P3591" i="37"/>
  <c r="M3591" i="37"/>
  <c r="J3591" i="37"/>
  <c r="J3590" i="37"/>
  <c r="M3590" i="37" s="1"/>
  <c r="P3590" i="37" s="1"/>
  <c r="J3589" i="37"/>
  <c r="M3589" i="37" s="1"/>
  <c r="P3589" i="37" s="1"/>
  <c r="J3588" i="37"/>
  <c r="M3588" i="37" s="1"/>
  <c r="P3588" i="37" s="1"/>
  <c r="P3587" i="37"/>
  <c r="M3587" i="37"/>
  <c r="J3587" i="37"/>
  <c r="J3586" i="37"/>
  <c r="U3585" i="37"/>
  <c r="R3585" i="37"/>
  <c r="Q3585" i="37"/>
  <c r="O3585" i="37"/>
  <c r="N3585" i="37"/>
  <c r="L3585" i="37"/>
  <c r="K3585" i="37"/>
  <c r="I3585" i="37"/>
  <c r="H3585" i="37"/>
  <c r="G3585" i="37"/>
  <c r="F3585" i="37"/>
  <c r="E3585" i="37"/>
  <c r="D3585" i="37"/>
  <c r="C3585" i="37"/>
  <c r="M3584" i="37"/>
  <c r="P3584" i="37" s="1"/>
  <c r="J3584" i="37"/>
  <c r="M3583" i="37"/>
  <c r="P3583" i="37" s="1"/>
  <c r="J3583" i="37"/>
  <c r="J3582" i="37"/>
  <c r="M3582" i="37" s="1"/>
  <c r="P3582" i="37" s="1"/>
  <c r="J3581" i="37"/>
  <c r="M3581" i="37" s="1"/>
  <c r="P3581" i="37" s="1"/>
  <c r="M3580" i="37"/>
  <c r="P3580" i="37" s="1"/>
  <c r="J3580" i="37"/>
  <c r="M3579" i="37"/>
  <c r="P3579" i="37" s="1"/>
  <c r="J3579" i="37"/>
  <c r="J3578" i="37"/>
  <c r="M3578" i="37" s="1"/>
  <c r="P3578" i="37" s="1"/>
  <c r="J3577" i="37"/>
  <c r="M3577" i="37" s="1"/>
  <c r="P3577" i="37" s="1"/>
  <c r="M3576" i="37"/>
  <c r="P3576" i="37" s="1"/>
  <c r="J3576" i="37"/>
  <c r="M3575" i="37"/>
  <c r="P3575" i="37" s="1"/>
  <c r="J3575" i="37"/>
  <c r="J3574" i="37"/>
  <c r="M3574" i="37" s="1"/>
  <c r="P3574" i="37" s="1"/>
  <c r="S3573" i="37"/>
  <c r="J3573" i="37"/>
  <c r="M3573" i="37" s="1"/>
  <c r="P3573" i="37" s="1"/>
  <c r="P3572" i="37"/>
  <c r="S3570" i="37"/>
  <c r="J3570" i="37"/>
  <c r="M3570" i="37" s="1"/>
  <c r="P3570" i="37" s="1"/>
  <c r="J3569" i="37"/>
  <c r="M3569" i="37" s="1"/>
  <c r="P3569" i="37" s="1"/>
  <c r="P3568" i="37"/>
  <c r="J3568" i="37"/>
  <c r="M3568" i="37" s="1"/>
  <c r="P3567" i="37"/>
  <c r="M3567" i="37"/>
  <c r="J3567" i="37"/>
  <c r="J3566" i="37"/>
  <c r="M3566" i="37" s="1"/>
  <c r="P3566" i="37" s="1"/>
  <c r="J3565" i="37"/>
  <c r="M3565" i="37" s="1"/>
  <c r="P3565" i="37" s="1"/>
  <c r="P3564" i="37"/>
  <c r="J3564" i="37"/>
  <c r="M3564" i="37" s="1"/>
  <c r="P3563" i="37"/>
  <c r="M3563" i="37"/>
  <c r="J3563" i="37"/>
  <c r="J3562" i="37"/>
  <c r="M3562" i="37" s="1"/>
  <c r="P3562" i="37" s="1"/>
  <c r="J3561" i="37"/>
  <c r="M3561" i="37" s="1"/>
  <c r="P3561" i="37" s="1"/>
  <c r="P3560" i="37"/>
  <c r="J3560" i="37"/>
  <c r="M3560" i="37" s="1"/>
  <c r="P3559" i="37"/>
  <c r="M3559" i="37"/>
  <c r="J3559" i="37"/>
  <c r="S3558" i="37"/>
  <c r="P3558" i="37"/>
  <c r="M3558" i="37"/>
  <c r="S3557" i="37"/>
  <c r="J3557" i="37"/>
  <c r="M3557" i="37" s="1"/>
  <c r="P3557" i="37" s="1"/>
  <c r="J3556" i="37"/>
  <c r="M3556" i="37" s="1"/>
  <c r="P3556" i="37" s="1"/>
  <c r="P3555" i="37"/>
  <c r="J3555" i="37"/>
  <c r="M3555" i="37" s="1"/>
  <c r="P3554" i="37"/>
  <c r="M3554" i="37"/>
  <c r="J3554" i="37"/>
  <c r="M3553" i="37"/>
  <c r="P3553" i="37" s="1"/>
  <c r="J3553" i="37"/>
  <c r="J3552" i="37"/>
  <c r="M3552" i="37" s="1"/>
  <c r="P3552" i="37" s="1"/>
  <c r="P3551" i="37"/>
  <c r="M3551" i="37"/>
  <c r="J3551" i="37"/>
  <c r="P3550" i="37"/>
  <c r="M3550" i="37"/>
  <c r="J3550" i="37"/>
  <c r="M3549" i="37"/>
  <c r="P3549" i="37" s="1"/>
  <c r="J3549" i="37"/>
  <c r="J3548" i="37"/>
  <c r="M3548" i="37" s="1"/>
  <c r="P3548" i="37" s="1"/>
  <c r="P3547" i="37"/>
  <c r="M3547" i="37"/>
  <c r="J3547" i="37"/>
  <c r="P3546" i="37"/>
  <c r="M3546" i="37"/>
  <c r="J3546" i="37"/>
  <c r="M3545" i="37"/>
  <c r="P3545" i="37" s="1"/>
  <c r="J3545" i="37"/>
  <c r="J3544" i="37"/>
  <c r="M3544" i="37" s="1"/>
  <c r="P3544" i="37" s="1"/>
  <c r="P3543" i="37"/>
  <c r="M3543" i="37"/>
  <c r="J3543" i="37"/>
  <c r="P3542" i="37"/>
  <c r="M3542" i="37"/>
  <c r="J3542" i="37"/>
  <c r="M3541" i="37"/>
  <c r="P3541" i="37" s="1"/>
  <c r="J3541" i="37"/>
  <c r="J3540" i="37"/>
  <c r="P3539" i="37"/>
  <c r="M3539" i="37"/>
  <c r="M3538" i="37"/>
  <c r="J3538" i="37"/>
  <c r="U3537" i="37"/>
  <c r="S3537" i="37"/>
  <c r="R3537" i="37"/>
  <c r="R3496" i="37" s="1"/>
  <c r="Q3537" i="37"/>
  <c r="O3537" i="37"/>
  <c r="N3537" i="37"/>
  <c r="N3496" i="37" s="1"/>
  <c r="L3537" i="37"/>
  <c r="K3537" i="37"/>
  <c r="I3537" i="37"/>
  <c r="H3537" i="37"/>
  <c r="G3537" i="37"/>
  <c r="F3537" i="37"/>
  <c r="F3496" i="37" s="1"/>
  <c r="E3537" i="37"/>
  <c r="D3537" i="37"/>
  <c r="C3537" i="37"/>
  <c r="P3536" i="37"/>
  <c r="M3536" i="37"/>
  <c r="J3536" i="37"/>
  <c r="P3535" i="37"/>
  <c r="P3534" i="37"/>
  <c r="M3534" i="37"/>
  <c r="J3534" i="37"/>
  <c r="M3533" i="37"/>
  <c r="P3533" i="37" s="1"/>
  <c r="J3533" i="37"/>
  <c r="J3532" i="37"/>
  <c r="M3532" i="37" s="1"/>
  <c r="P3532" i="37" s="1"/>
  <c r="P3530" i="37"/>
  <c r="M3530" i="37"/>
  <c r="J3530" i="37"/>
  <c r="P3529" i="37"/>
  <c r="M3529" i="37"/>
  <c r="J3529" i="37"/>
  <c r="M3528" i="37"/>
  <c r="P3528" i="37" s="1"/>
  <c r="J3528" i="37"/>
  <c r="S3527" i="37"/>
  <c r="M3527" i="37"/>
  <c r="P3527" i="37" s="1"/>
  <c r="J3527" i="37"/>
  <c r="J3526" i="37"/>
  <c r="M3526" i="37" s="1"/>
  <c r="P3526" i="37" s="1"/>
  <c r="P3525" i="37"/>
  <c r="M3525" i="37"/>
  <c r="J3525" i="37"/>
  <c r="P3524" i="37"/>
  <c r="M3524" i="37"/>
  <c r="J3524" i="37"/>
  <c r="M3523" i="37"/>
  <c r="P3523" i="37" s="1"/>
  <c r="J3523" i="37"/>
  <c r="J3522" i="37"/>
  <c r="M3522" i="37" s="1"/>
  <c r="P3522" i="37" s="1"/>
  <c r="P3521" i="37"/>
  <c r="M3521" i="37"/>
  <c r="J3521" i="37"/>
  <c r="S3520" i="37"/>
  <c r="P3520" i="37"/>
  <c r="M3520" i="37"/>
  <c r="J3520" i="37"/>
  <c r="S3519" i="37"/>
  <c r="S3497" i="37" s="1"/>
  <c r="P3519" i="37"/>
  <c r="M3519" i="37"/>
  <c r="J3519" i="37"/>
  <c r="P3518" i="37"/>
  <c r="M3518" i="37"/>
  <c r="J3518" i="37"/>
  <c r="M3517" i="37"/>
  <c r="P3517" i="37" s="1"/>
  <c r="J3517" i="37"/>
  <c r="J3516" i="37"/>
  <c r="M3516" i="37" s="1"/>
  <c r="P3516" i="37" s="1"/>
  <c r="J3515" i="37"/>
  <c r="M3515" i="37" s="1"/>
  <c r="P3515" i="37" s="1"/>
  <c r="P3514" i="37"/>
  <c r="M3514" i="37"/>
  <c r="J3514" i="37"/>
  <c r="M3513" i="37"/>
  <c r="P3513" i="37" s="1"/>
  <c r="J3513" i="37"/>
  <c r="J3512" i="37"/>
  <c r="M3512" i="37" s="1"/>
  <c r="P3512" i="37" s="1"/>
  <c r="J3511" i="37"/>
  <c r="M3511" i="37" s="1"/>
  <c r="P3511" i="37" s="1"/>
  <c r="P3510" i="37"/>
  <c r="M3510" i="37"/>
  <c r="J3510" i="37"/>
  <c r="M3509" i="37"/>
  <c r="P3509" i="37" s="1"/>
  <c r="J3509" i="37"/>
  <c r="J3508" i="37"/>
  <c r="M3508" i="37" s="1"/>
  <c r="P3508" i="37" s="1"/>
  <c r="J3507" i="37"/>
  <c r="M3507" i="37" s="1"/>
  <c r="P3507" i="37" s="1"/>
  <c r="P3506" i="37"/>
  <c r="M3506" i="37"/>
  <c r="J3506" i="37"/>
  <c r="M3505" i="37"/>
  <c r="P3505" i="37" s="1"/>
  <c r="J3505" i="37"/>
  <c r="M3504" i="37"/>
  <c r="P3504" i="37" s="1"/>
  <c r="P3503" i="37"/>
  <c r="M3503" i="37"/>
  <c r="J3503" i="37"/>
  <c r="M3502" i="37"/>
  <c r="P3502" i="37" s="1"/>
  <c r="J3501" i="37"/>
  <c r="M3501" i="37" s="1"/>
  <c r="P3501" i="37" s="1"/>
  <c r="P3500" i="37"/>
  <c r="M3500" i="37"/>
  <c r="J3500" i="37"/>
  <c r="M3499" i="37"/>
  <c r="P3499" i="37" s="1"/>
  <c r="J3499" i="37"/>
  <c r="J3498" i="37"/>
  <c r="U3497" i="37"/>
  <c r="U3496" i="37" s="1"/>
  <c r="R3497" i="37"/>
  <c r="Q3497" i="37"/>
  <c r="Q3496" i="37" s="1"/>
  <c r="O3497" i="37"/>
  <c r="N3497" i="37"/>
  <c r="L3497" i="37"/>
  <c r="L3496" i="37" s="1"/>
  <c r="K3497" i="37"/>
  <c r="I3497" i="37"/>
  <c r="H3497" i="37"/>
  <c r="H3496" i="37" s="1"/>
  <c r="G3497" i="37"/>
  <c r="F3497" i="37"/>
  <c r="E3497" i="37"/>
  <c r="D3497" i="37"/>
  <c r="D3496" i="37" s="1"/>
  <c r="C3497" i="37"/>
  <c r="O3496" i="37"/>
  <c r="K3496" i="37"/>
  <c r="G3496" i="37"/>
  <c r="C3496" i="37"/>
  <c r="P3495" i="37"/>
  <c r="P3494" i="37" s="1"/>
  <c r="Q3494" i="37"/>
  <c r="O3494" i="37"/>
  <c r="N3494" i="37"/>
  <c r="M3494" i="37"/>
  <c r="M3493" i="37"/>
  <c r="J3493" i="37"/>
  <c r="U3492" i="37"/>
  <c r="S3492" i="37"/>
  <c r="R3492" i="37"/>
  <c r="Q3492" i="37"/>
  <c r="O3492" i="37"/>
  <c r="N3492" i="37"/>
  <c r="L3492" i="37"/>
  <c r="K3492" i="37"/>
  <c r="J3492" i="37"/>
  <c r="I3492" i="37"/>
  <c r="H3492" i="37"/>
  <c r="G3492" i="37"/>
  <c r="F3492" i="37"/>
  <c r="E3492" i="37"/>
  <c r="D3492" i="37"/>
  <c r="C3492" i="37"/>
  <c r="P3491" i="37"/>
  <c r="M3491" i="37"/>
  <c r="J3491" i="37"/>
  <c r="M3490" i="37"/>
  <c r="J3490" i="37"/>
  <c r="U3489" i="37"/>
  <c r="S3489" i="37"/>
  <c r="R3489" i="37"/>
  <c r="Q3489" i="37"/>
  <c r="O3489" i="37"/>
  <c r="N3489" i="37"/>
  <c r="L3489" i="37"/>
  <c r="K3489" i="37"/>
  <c r="J3489" i="37"/>
  <c r="I3489" i="37"/>
  <c r="H3489" i="37"/>
  <c r="G3489" i="37"/>
  <c r="F3489" i="37"/>
  <c r="E3489" i="37"/>
  <c r="D3489" i="37"/>
  <c r="C3489" i="37"/>
  <c r="P3488" i="37"/>
  <c r="M3488" i="37"/>
  <c r="J3488" i="37"/>
  <c r="M3487" i="37"/>
  <c r="P3487" i="37" s="1"/>
  <c r="K3487" i="37"/>
  <c r="K3485" i="37" s="1"/>
  <c r="J3487" i="37"/>
  <c r="M3486" i="37"/>
  <c r="J3486" i="37"/>
  <c r="U3485" i="37"/>
  <c r="S3485" i="37"/>
  <c r="R3485" i="37"/>
  <c r="Q3485" i="37"/>
  <c r="O3485" i="37"/>
  <c r="N3485" i="37"/>
  <c r="L3485" i="37"/>
  <c r="J3485" i="37"/>
  <c r="I3485" i="37"/>
  <c r="H3485" i="37"/>
  <c r="G3485" i="37"/>
  <c r="F3485" i="37"/>
  <c r="E3485" i="37"/>
  <c r="D3485" i="37"/>
  <c r="C3485" i="37"/>
  <c r="P3484" i="37"/>
  <c r="M3484" i="37"/>
  <c r="J3484" i="37"/>
  <c r="M3483" i="37"/>
  <c r="J3483" i="37"/>
  <c r="U3482" i="37"/>
  <c r="S3482" i="37"/>
  <c r="R3482" i="37"/>
  <c r="Q3482" i="37"/>
  <c r="O3482" i="37"/>
  <c r="N3482" i="37"/>
  <c r="L3482" i="37"/>
  <c r="K3482" i="37"/>
  <c r="J3482" i="37"/>
  <c r="I3482" i="37"/>
  <c r="H3482" i="37"/>
  <c r="G3482" i="37"/>
  <c r="F3482" i="37"/>
  <c r="E3482" i="37"/>
  <c r="D3482" i="37"/>
  <c r="C3482" i="37"/>
  <c r="P3481" i="37"/>
  <c r="P3480" i="37" s="1"/>
  <c r="M3481" i="37"/>
  <c r="M3480" i="37" s="1"/>
  <c r="J3481" i="37"/>
  <c r="U3480" i="37"/>
  <c r="S3480" i="37"/>
  <c r="R3480" i="37"/>
  <c r="Q3480" i="37"/>
  <c r="O3480" i="37"/>
  <c r="N3480" i="37"/>
  <c r="L3480" i="37"/>
  <c r="K3480" i="37"/>
  <c r="J3480" i="37"/>
  <c r="I3480" i="37"/>
  <c r="H3480" i="37"/>
  <c r="G3480" i="37"/>
  <c r="F3480" i="37"/>
  <c r="E3480" i="37"/>
  <c r="D3480" i="37"/>
  <c r="C3480" i="37"/>
  <c r="K3479" i="37"/>
  <c r="J3479" i="37"/>
  <c r="U3478" i="37"/>
  <c r="S3478" i="37"/>
  <c r="R3478" i="37"/>
  <c r="Q3478" i="37"/>
  <c r="O3478" i="37"/>
  <c r="N3478" i="37"/>
  <c r="L3478" i="37"/>
  <c r="K3478" i="37"/>
  <c r="I3478" i="37"/>
  <c r="H3478" i="37"/>
  <c r="G3478" i="37"/>
  <c r="F3478" i="37"/>
  <c r="E3478" i="37"/>
  <c r="D3478" i="37"/>
  <c r="C3478" i="37"/>
  <c r="M3477" i="37"/>
  <c r="P3477" i="37" s="1"/>
  <c r="J3477" i="37"/>
  <c r="J3471" i="37" s="1"/>
  <c r="P3475" i="37"/>
  <c r="P3474" i="37"/>
  <c r="P3472" i="37"/>
  <c r="M3472" i="37"/>
  <c r="M3471" i="37" s="1"/>
  <c r="J3472" i="37"/>
  <c r="I3472" i="37"/>
  <c r="U3471" i="37"/>
  <c r="S3471" i="37"/>
  <c r="R3471" i="37"/>
  <c r="Q3471" i="37"/>
  <c r="P3471" i="37"/>
  <c r="O3471" i="37"/>
  <c r="N3471" i="37"/>
  <c r="L3471" i="37"/>
  <c r="K3471" i="37"/>
  <c r="I3471" i="37"/>
  <c r="H3471" i="37"/>
  <c r="G3471" i="37"/>
  <c r="F3471" i="37"/>
  <c r="E3471" i="37"/>
  <c r="D3471" i="37"/>
  <c r="C3471" i="37"/>
  <c r="J3470" i="37"/>
  <c r="M3470" i="37" s="1"/>
  <c r="P3470" i="37" s="1"/>
  <c r="P3469" i="37"/>
  <c r="M3469" i="37"/>
  <c r="M3468" i="37"/>
  <c r="J3468" i="37"/>
  <c r="U3467" i="37"/>
  <c r="S3467" i="37"/>
  <c r="R3467" i="37"/>
  <c r="Q3467" i="37"/>
  <c r="O3467" i="37"/>
  <c r="N3467" i="37"/>
  <c r="L3467" i="37"/>
  <c r="K3467" i="37"/>
  <c r="J3467" i="37"/>
  <c r="I3467" i="37"/>
  <c r="H3467" i="37"/>
  <c r="G3467" i="37"/>
  <c r="F3467" i="37"/>
  <c r="E3467" i="37"/>
  <c r="D3467" i="37"/>
  <c r="C3467" i="37"/>
  <c r="P3466" i="37"/>
  <c r="P3465" i="37" s="1"/>
  <c r="M3466" i="37"/>
  <c r="M3465" i="37" s="1"/>
  <c r="J3466" i="37"/>
  <c r="U3465" i="37"/>
  <c r="S3465" i="37"/>
  <c r="R3465" i="37"/>
  <c r="Q3465" i="37"/>
  <c r="O3465" i="37"/>
  <c r="N3465" i="37"/>
  <c r="L3465" i="37"/>
  <c r="K3465" i="37"/>
  <c r="J3465" i="37"/>
  <c r="I3465" i="37"/>
  <c r="H3465" i="37"/>
  <c r="G3465" i="37"/>
  <c r="F3465" i="37"/>
  <c r="E3465" i="37"/>
  <c r="D3465" i="37"/>
  <c r="C3465" i="37"/>
  <c r="P3464" i="37"/>
  <c r="M3464" i="37"/>
  <c r="J3464" i="37"/>
  <c r="P3463" i="37"/>
  <c r="P3462" i="37" s="1"/>
  <c r="M3463" i="37"/>
  <c r="M3462" i="37" s="1"/>
  <c r="J3463" i="37"/>
  <c r="U3462" i="37"/>
  <c r="S3462" i="37"/>
  <c r="R3462" i="37"/>
  <c r="Q3462" i="37"/>
  <c r="O3462" i="37"/>
  <c r="N3462" i="37"/>
  <c r="L3462" i="37"/>
  <c r="K3462" i="37"/>
  <c r="J3462" i="37"/>
  <c r="I3462" i="37"/>
  <c r="H3462" i="37"/>
  <c r="G3462" i="37"/>
  <c r="F3462" i="37"/>
  <c r="E3462" i="37"/>
  <c r="D3462" i="37"/>
  <c r="C3462" i="37"/>
  <c r="K3461" i="37"/>
  <c r="J3461" i="37"/>
  <c r="M3461" i="37" s="1"/>
  <c r="P3461" i="37" s="1"/>
  <c r="J3460" i="37"/>
  <c r="M3460" i="37" s="1"/>
  <c r="P3460" i="37" s="1"/>
  <c r="P3459" i="37"/>
  <c r="M3459" i="37"/>
  <c r="J3459" i="37"/>
  <c r="M3458" i="37"/>
  <c r="P3458" i="37" s="1"/>
  <c r="J3458" i="37"/>
  <c r="J3457" i="37"/>
  <c r="M3457" i="37" s="1"/>
  <c r="P3457" i="37" s="1"/>
  <c r="J3455" i="37"/>
  <c r="M3455" i="37" s="1"/>
  <c r="P3455" i="37" s="1"/>
  <c r="P3454" i="37"/>
  <c r="M3454" i="37"/>
  <c r="J3454" i="37"/>
  <c r="M3453" i="37"/>
  <c r="P3453" i="37" s="1"/>
  <c r="J3453" i="37"/>
  <c r="J3452" i="37"/>
  <c r="U3451" i="37"/>
  <c r="S3451" i="37"/>
  <c r="R3451" i="37"/>
  <c r="Q3451" i="37"/>
  <c r="O3451" i="37"/>
  <c r="N3451" i="37"/>
  <c r="L3451" i="37"/>
  <c r="K3451" i="37"/>
  <c r="I3451" i="37"/>
  <c r="H3451" i="37"/>
  <c r="G3451" i="37"/>
  <c r="F3451" i="37"/>
  <c r="E3451" i="37"/>
  <c r="D3451" i="37"/>
  <c r="C3451" i="37"/>
  <c r="M3450" i="37"/>
  <c r="P3450" i="37" s="1"/>
  <c r="J3450" i="37"/>
  <c r="J3449" i="37"/>
  <c r="J3448" i="37"/>
  <c r="M3448" i="37" s="1"/>
  <c r="P3447" i="37"/>
  <c r="M3447" i="37"/>
  <c r="J3447" i="37"/>
  <c r="U3446" i="37"/>
  <c r="S3446" i="37"/>
  <c r="R3446" i="37"/>
  <c r="Q3446" i="37"/>
  <c r="O3446" i="37"/>
  <c r="N3446" i="37"/>
  <c r="L3446" i="37"/>
  <c r="K3446" i="37"/>
  <c r="I3446" i="37"/>
  <c r="H3446" i="37"/>
  <c r="G3446" i="37"/>
  <c r="F3446" i="37"/>
  <c r="E3446" i="37"/>
  <c r="D3446" i="37"/>
  <c r="C3446" i="37"/>
  <c r="J3445" i="37"/>
  <c r="M3445" i="37" s="1"/>
  <c r="P3445" i="37" s="1"/>
  <c r="P3444" i="37"/>
  <c r="P3443" i="37" s="1"/>
  <c r="M3444" i="37"/>
  <c r="M3443" i="37" s="1"/>
  <c r="J3444" i="37"/>
  <c r="U3443" i="37"/>
  <c r="S3443" i="37"/>
  <c r="R3443" i="37"/>
  <c r="Q3443" i="37"/>
  <c r="O3443" i="37"/>
  <c r="N3443" i="37"/>
  <c r="L3443" i="37"/>
  <c r="K3443" i="37"/>
  <c r="J3443" i="37"/>
  <c r="I3443" i="37"/>
  <c r="H3443" i="37"/>
  <c r="G3443" i="37"/>
  <c r="F3443" i="37"/>
  <c r="E3443" i="37"/>
  <c r="D3443" i="37"/>
  <c r="C3443" i="37"/>
  <c r="J3442" i="37"/>
  <c r="M3442" i="37" s="1"/>
  <c r="P3442" i="37" s="1"/>
  <c r="P3441" i="37"/>
  <c r="M3441" i="37"/>
  <c r="J3441" i="37"/>
  <c r="C3440" i="37"/>
  <c r="P3439" i="37"/>
  <c r="M3439" i="37"/>
  <c r="J3439" i="37"/>
  <c r="M3438" i="37"/>
  <c r="P3438" i="37" s="1"/>
  <c r="J3438" i="37"/>
  <c r="C3437" i="37"/>
  <c r="M3436" i="37"/>
  <c r="P3436" i="37" s="1"/>
  <c r="J3436" i="37"/>
  <c r="K3433" i="37"/>
  <c r="K3431" i="37" s="1"/>
  <c r="J3433" i="37"/>
  <c r="M3433" i="37" s="1"/>
  <c r="P3433" i="37" s="1"/>
  <c r="J3432" i="37"/>
  <c r="U3431" i="37"/>
  <c r="S3431" i="37"/>
  <c r="R3431" i="37"/>
  <c r="Q3431" i="37"/>
  <c r="O3431" i="37"/>
  <c r="N3431" i="37"/>
  <c r="L3431" i="37"/>
  <c r="H3431" i="37"/>
  <c r="G3431" i="37"/>
  <c r="F3431" i="37"/>
  <c r="E3431" i="37"/>
  <c r="D3431" i="37"/>
  <c r="C3431" i="37"/>
  <c r="J3430" i="37"/>
  <c r="J3429" i="37"/>
  <c r="M3429" i="37" s="1"/>
  <c r="P3429" i="37" s="1"/>
  <c r="P3428" i="37"/>
  <c r="M3428" i="37"/>
  <c r="J3428" i="37"/>
  <c r="U3427" i="37"/>
  <c r="S3427" i="37"/>
  <c r="R3427" i="37"/>
  <c r="Q3427" i="37"/>
  <c r="O3427" i="37"/>
  <c r="N3427" i="37"/>
  <c r="L3427" i="37"/>
  <c r="K3427" i="37"/>
  <c r="I3427" i="37"/>
  <c r="H3427" i="37"/>
  <c r="G3427" i="37"/>
  <c r="F3427" i="37"/>
  <c r="E3427" i="37"/>
  <c r="D3427" i="37"/>
  <c r="C3427" i="37"/>
  <c r="J3426" i="37"/>
  <c r="M3426" i="37" s="1"/>
  <c r="P3426" i="37" s="1"/>
  <c r="P3425" i="37"/>
  <c r="M3425" i="37"/>
  <c r="J3425" i="37"/>
  <c r="C3424" i="37"/>
  <c r="P3423" i="37"/>
  <c r="M3423" i="37"/>
  <c r="J3423" i="37"/>
  <c r="M3422" i="37"/>
  <c r="P3422" i="37" s="1"/>
  <c r="J3422" i="37"/>
  <c r="C3421" i="37"/>
  <c r="M3420" i="37"/>
  <c r="P3420" i="37" s="1"/>
  <c r="J3420" i="37"/>
  <c r="J3419" i="37"/>
  <c r="J3418" i="37"/>
  <c r="M3418" i="37" s="1"/>
  <c r="U3417" i="37"/>
  <c r="S3417" i="37"/>
  <c r="R3417" i="37"/>
  <c r="Q3417" i="37"/>
  <c r="O3417" i="37"/>
  <c r="N3417" i="37"/>
  <c r="L3417" i="37"/>
  <c r="L3308" i="37" s="1"/>
  <c r="K3417" i="37"/>
  <c r="I3417" i="37"/>
  <c r="H3417" i="37"/>
  <c r="G3417" i="37"/>
  <c r="F3417" i="37"/>
  <c r="E3417" i="37"/>
  <c r="D3417" i="37"/>
  <c r="C3417" i="37"/>
  <c r="J3416" i="37"/>
  <c r="M3416" i="37" s="1"/>
  <c r="P3416" i="37" s="1"/>
  <c r="J3415" i="37"/>
  <c r="M3415" i="37" s="1"/>
  <c r="P3415" i="37" s="1"/>
  <c r="P3414" i="37"/>
  <c r="M3414" i="37"/>
  <c r="J3414" i="37"/>
  <c r="M3413" i="37"/>
  <c r="P3413" i="37" s="1"/>
  <c r="J3413" i="37"/>
  <c r="J3412" i="37"/>
  <c r="U3411" i="37"/>
  <c r="S3411" i="37"/>
  <c r="R3411" i="37"/>
  <c r="Q3411" i="37"/>
  <c r="O3411" i="37"/>
  <c r="N3411" i="37"/>
  <c r="L3411" i="37"/>
  <c r="K3411" i="37"/>
  <c r="I3411" i="37"/>
  <c r="I3308" i="37" s="1"/>
  <c r="H3411" i="37"/>
  <c r="G3411" i="37"/>
  <c r="F3411" i="37"/>
  <c r="E3411" i="37"/>
  <c r="E3308" i="37" s="1"/>
  <c r="D3411" i="37"/>
  <c r="C3411" i="37"/>
  <c r="M3410" i="37"/>
  <c r="P3410" i="37" s="1"/>
  <c r="J3410" i="37"/>
  <c r="J3409" i="37"/>
  <c r="M3409" i="37" s="1"/>
  <c r="P3409" i="37" s="1"/>
  <c r="J3408" i="37"/>
  <c r="M3408" i="37" s="1"/>
  <c r="P3408" i="37" s="1"/>
  <c r="P3407" i="37"/>
  <c r="M3407" i="37"/>
  <c r="J3407" i="37"/>
  <c r="M3406" i="37"/>
  <c r="P3406" i="37" s="1"/>
  <c r="J3406" i="37"/>
  <c r="J3405" i="37"/>
  <c r="J3404" i="37"/>
  <c r="M3404" i="37" s="1"/>
  <c r="P3404" i="37" s="1"/>
  <c r="P3403" i="37"/>
  <c r="M3403" i="37"/>
  <c r="J3403" i="37"/>
  <c r="U3402" i="37"/>
  <c r="S3402" i="37"/>
  <c r="R3402" i="37"/>
  <c r="Q3402" i="37"/>
  <c r="O3402" i="37"/>
  <c r="N3402" i="37"/>
  <c r="L3402" i="37"/>
  <c r="K3402" i="37"/>
  <c r="I3402" i="37"/>
  <c r="H3402" i="37"/>
  <c r="G3402" i="37"/>
  <c r="F3402" i="37"/>
  <c r="E3402" i="37"/>
  <c r="D3402" i="37"/>
  <c r="C3402" i="37"/>
  <c r="J3401" i="37"/>
  <c r="M3401" i="37" s="1"/>
  <c r="P3401" i="37" s="1"/>
  <c r="P3399" i="37"/>
  <c r="M3399" i="37"/>
  <c r="J3399" i="37"/>
  <c r="M3398" i="37"/>
  <c r="P3398" i="37" s="1"/>
  <c r="J3398" i="37"/>
  <c r="J3396" i="37"/>
  <c r="M3396" i="37" s="1"/>
  <c r="P3396" i="37" s="1"/>
  <c r="J3395" i="37"/>
  <c r="M3395" i="37" s="1"/>
  <c r="P3395" i="37" s="1"/>
  <c r="P3394" i="37"/>
  <c r="M3394" i="37"/>
  <c r="J3394" i="37"/>
  <c r="M3393" i="37"/>
  <c r="P3393" i="37" s="1"/>
  <c r="J3393" i="37"/>
  <c r="J3392" i="37"/>
  <c r="J3391" i="37"/>
  <c r="M3391" i="37" s="1"/>
  <c r="P3391" i="37" s="1"/>
  <c r="P3390" i="37"/>
  <c r="M3390" i="37"/>
  <c r="J3390" i="37"/>
  <c r="U3389" i="37"/>
  <c r="S3389" i="37"/>
  <c r="R3389" i="37"/>
  <c r="Q3389" i="37"/>
  <c r="O3389" i="37"/>
  <c r="N3389" i="37"/>
  <c r="L3389" i="37"/>
  <c r="K3389" i="37"/>
  <c r="I3389" i="37"/>
  <c r="H3389" i="37"/>
  <c r="G3389" i="37"/>
  <c r="F3389" i="37"/>
  <c r="E3389" i="37"/>
  <c r="D3389" i="37"/>
  <c r="C3389" i="37"/>
  <c r="J3388" i="37"/>
  <c r="M3388" i="37" s="1"/>
  <c r="P3388" i="37" s="1"/>
  <c r="P3386" i="37"/>
  <c r="M3386" i="37"/>
  <c r="J3386" i="37"/>
  <c r="O3385" i="37"/>
  <c r="O3381" i="37" s="1"/>
  <c r="N3385" i="37"/>
  <c r="N3381" i="37" s="1"/>
  <c r="H3385" i="37"/>
  <c r="P3384" i="37"/>
  <c r="J3383" i="37"/>
  <c r="U3381" i="37"/>
  <c r="S3381" i="37"/>
  <c r="R3381" i="37"/>
  <c r="Q3381" i="37"/>
  <c r="L3381" i="37"/>
  <c r="K3381" i="37"/>
  <c r="I3381" i="37"/>
  <c r="G3381" i="37"/>
  <c r="F3381" i="37"/>
  <c r="E3381" i="37"/>
  <c r="D3381" i="37"/>
  <c r="C3381" i="37"/>
  <c r="M3380" i="37"/>
  <c r="P3380" i="37" s="1"/>
  <c r="J3380" i="37"/>
  <c r="J3379" i="37"/>
  <c r="M3379" i="37" s="1"/>
  <c r="P3379" i="37" s="1"/>
  <c r="L3378" i="37"/>
  <c r="J3378" i="37"/>
  <c r="M3378" i="37" s="1"/>
  <c r="P3378" i="37" s="1"/>
  <c r="J3377" i="37"/>
  <c r="M3377" i="37" s="1"/>
  <c r="P3377" i="37" s="1"/>
  <c r="P3376" i="37"/>
  <c r="M3376" i="37"/>
  <c r="J3376" i="37"/>
  <c r="M3375" i="37"/>
  <c r="P3375" i="37" s="1"/>
  <c r="J3375" i="37"/>
  <c r="J3374" i="37"/>
  <c r="P3373" i="37"/>
  <c r="M3373" i="37"/>
  <c r="M3372" i="37"/>
  <c r="P3372" i="37" s="1"/>
  <c r="P3371" i="37"/>
  <c r="M3371" i="37"/>
  <c r="M3370" i="37"/>
  <c r="U3369" i="37"/>
  <c r="S3369" i="37"/>
  <c r="R3369" i="37"/>
  <c r="Q3369" i="37"/>
  <c r="Q3308" i="37" s="1"/>
  <c r="O3369" i="37"/>
  <c r="N3369" i="37"/>
  <c r="L3369" i="37"/>
  <c r="K3369" i="37"/>
  <c r="I3369" i="37"/>
  <c r="H3369" i="37"/>
  <c r="G3369" i="37"/>
  <c r="F3369" i="37"/>
  <c r="E3369" i="37"/>
  <c r="D3369" i="37"/>
  <c r="C3369" i="37"/>
  <c r="M3368" i="37"/>
  <c r="P3368" i="37" s="1"/>
  <c r="J3368" i="37"/>
  <c r="G3368" i="37"/>
  <c r="F3368" i="37"/>
  <c r="P3367" i="37"/>
  <c r="M3367" i="37"/>
  <c r="J3367" i="37"/>
  <c r="M3366" i="37"/>
  <c r="P3366" i="37" s="1"/>
  <c r="J3366" i="37"/>
  <c r="K3365" i="37"/>
  <c r="J3365" i="37"/>
  <c r="M3365" i="37" s="1"/>
  <c r="P3365" i="37" s="1"/>
  <c r="J3364" i="37"/>
  <c r="M3364" i="37" s="1"/>
  <c r="P3364" i="37" s="1"/>
  <c r="J3363" i="37"/>
  <c r="M3363" i="37" s="1"/>
  <c r="P3363" i="37" s="1"/>
  <c r="P3362" i="37"/>
  <c r="M3362" i="37"/>
  <c r="J3362" i="37"/>
  <c r="M3361" i="37"/>
  <c r="P3361" i="37" s="1"/>
  <c r="J3361" i="37"/>
  <c r="K3360" i="37"/>
  <c r="K3359" i="37" s="1"/>
  <c r="J3360" i="37"/>
  <c r="M3360" i="37" s="1"/>
  <c r="U3359" i="37"/>
  <c r="S3359" i="37"/>
  <c r="R3359" i="37"/>
  <c r="Q3359" i="37"/>
  <c r="O3359" i="37"/>
  <c r="N3359" i="37"/>
  <c r="L3359" i="37"/>
  <c r="J3359" i="37"/>
  <c r="I3359" i="37"/>
  <c r="H3359" i="37"/>
  <c r="G3359" i="37"/>
  <c r="F3359" i="37"/>
  <c r="E3359" i="37"/>
  <c r="D3359" i="37"/>
  <c r="C3359" i="37"/>
  <c r="P3358" i="37"/>
  <c r="M3358" i="37"/>
  <c r="J3358" i="37"/>
  <c r="M3357" i="37"/>
  <c r="P3357" i="37" s="1"/>
  <c r="J3357" i="37"/>
  <c r="J3356" i="37"/>
  <c r="M3356" i="37" s="1"/>
  <c r="P3356" i="37" s="1"/>
  <c r="J3355" i="37"/>
  <c r="M3355" i="37" s="1"/>
  <c r="P3355" i="37" s="1"/>
  <c r="P3354" i="37"/>
  <c r="M3354" i="37"/>
  <c r="J3354" i="37"/>
  <c r="M3353" i="37"/>
  <c r="P3353" i="37" s="1"/>
  <c r="J3353" i="37"/>
  <c r="J3352" i="37"/>
  <c r="M3352" i="37" s="1"/>
  <c r="P3352" i="37" s="1"/>
  <c r="J3351" i="37"/>
  <c r="M3351" i="37" s="1"/>
  <c r="P3351" i="37" s="1"/>
  <c r="P3350" i="37"/>
  <c r="M3350" i="37"/>
  <c r="J3350" i="37"/>
  <c r="M3349" i="37"/>
  <c r="P3349" i="37" s="1"/>
  <c r="J3349" i="37"/>
  <c r="J3348" i="37"/>
  <c r="M3348" i="37" s="1"/>
  <c r="P3348" i="37" s="1"/>
  <c r="J3347" i="37"/>
  <c r="M3347" i="37" s="1"/>
  <c r="P3347" i="37" s="1"/>
  <c r="P3346" i="37"/>
  <c r="M3346" i="37"/>
  <c r="J3346" i="37"/>
  <c r="M3345" i="37"/>
  <c r="P3345" i="37" s="1"/>
  <c r="J3345" i="37"/>
  <c r="J3344" i="37"/>
  <c r="M3344" i="37" s="1"/>
  <c r="P3344" i="37" s="1"/>
  <c r="J3343" i="37"/>
  <c r="M3343" i="37" s="1"/>
  <c r="P3343" i="37" s="1"/>
  <c r="P3342" i="37"/>
  <c r="M3342" i="37"/>
  <c r="J3342" i="37"/>
  <c r="M3341" i="37"/>
  <c r="P3341" i="37" s="1"/>
  <c r="J3341" i="37"/>
  <c r="J3340" i="37"/>
  <c r="M3340" i="37" s="1"/>
  <c r="P3340" i="37" s="1"/>
  <c r="J3339" i="37"/>
  <c r="M3339" i="37" s="1"/>
  <c r="P3339" i="37" s="1"/>
  <c r="P3338" i="37"/>
  <c r="M3338" i="37"/>
  <c r="J3338" i="37"/>
  <c r="M3337" i="37"/>
  <c r="P3337" i="37" s="1"/>
  <c r="J3337" i="37"/>
  <c r="J3336" i="37"/>
  <c r="M3336" i="37" s="1"/>
  <c r="P3336" i="37" s="1"/>
  <c r="J3335" i="37"/>
  <c r="M3335" i="37" s="1"/>
  <c r="P3335" i="37" s="1"/>
  <c r="P3334" i="37"/>
  <c r="M3334" i="37"/>
  <c r="J3334" i="37"/>
  <c r="M3333" i="37"/>
  <c r="P3333" i="37" s="1"/>
  <c r="J3333" i="37"/>
  <c r="J3332" i="37"/>
  <c r="M3332" i="37" s="1"/>
  <c r="P3332" i="37" s="1"/>
  <c r="J3331" i="37"/>
  <c r="M3331" i="37" s="1"/>
  <c r="P3331" i="37" s="1"/>
  <c r="U3330" i="37"/>
  <c r="U3313" i="37" s="1"/>
  <c r="J3330" i="37"/>
  <c r="M3330" i="37" s="1"/>
  <c r="P3330" i="37" s="1"/>
  <c r="P3329" i="37"/>
  <c r="M3329" i="37"/>
  <c r="J3329" i="37"/>
  <c r="M3328" i="37"/>
  <c r="P3328" i="37" s="1"/>
  <c r="J3328" i="37"/>
  <c r="J3327" i="37"/>
  <c r="M3327" i="37" s="1"/>
  <c r="P3327" i="37" s="1"/>
  <c r="J3326" i="37"/>
  <c r="M3326" i="37" s="1"/>
  <c r="P3326" i="37" s="1"/>
  <c r="P3325" i="37"/>
  <c r="M3325" i="37"/>
  <c r="J3325" i="37"/>
  <c r="M3324" i="37"/>
  <c r="P3324" i="37" s="1"/>
  <c r="J3324" i="37"/>
  <c r="J3323" i="37"/>
  <c r="M3323" i="37" s="1"/>
  <c r="P3323" i="37" s="1"/>
  <c r="F3323" i="37"/>
  <c r="J3322" i="37"/>
  <c r="M3322" i="37" s="1"/>
  <c r="P3322" i="37" s="1"/>
  <c r="F3322" i="37"/>
  <c r="J3321" i="37"/>
  <c r="M3321" i="37" s="1"/>
  <c r="P3321" i="37" s="1"/>
  <c r="J3320" i="37"/>
  <c r="M3320" i="37" s="1"/>
  <c r="P3320" i="37" s="1"/>
  <c r="P3319" i="37"/>
  <c r="M3319" i="37"/>
  <c r="J3319" i="37"/>
  <c r="M3318" i="37"/>
  <c r="P3318" i="37" s="1"/>
  <c r="J3318" i="37"/>
  <c r="J3317" i="37"/>
  <c r="M3317" i="37" s="1"/>
  <c r="P3317" i="37" s="1"/>
  <c r="J3316" i="37"/>
  <c r="M3316" i="37" s="1"/>
  <c r="P3316" i="37" s="1"/>
  <c r="P3315" i="37"/>
  <c r="M3315" i="37"/>
  <c r="J3315" i="37"/>
  <c r="M3314" i="37"/>
  <c r="J3314" i="37"/>
  <c r="S3313" i="37"/>
  <c r="R3313" i="37"/>
  <c r="Q3313" i="37"/>
  <c r="O3313" i="37"/>
  <c r="N3313" i="37"/>
  <c r="L3313" i="37"/>
  <c r="K3313" i="37"/>
  <c r="J3313" i="37"/>
  <c r="I3313" i="37"/>
  <c r="H3313" i="37"/>
  <c r="G3313" i="37"/>
  <c r="F3313" i="37"/>
  <c r="E3313" i="37"/>
  <c r="D3313" i="37"/>
  <c r="C3313" i="37"/>
  <c r="P3312" i="37"/>
  <c r="P3311" i="37" s="1"/>
  <c r="M3312" i="37"/>
  <c r="M3311" i="37" s="1"/>
  <c r="J3312" i="37"/>
  <c r="U3311" i="37"/>
  <c r="S3311" i="37"/>
  <c r="R3311" i="37"/>
  <c r="R3308" i="37" s="1"/>
  <c r="Q3311" i="37"/>
  <c r="O3311" i="37"/>
  <c r="N3311" i="37"/>
  <c r="L3311" i="37"/>
  <c r="K3311" i="37"/>
  <c r="J3311" i="37"/>
  <c r="I3311" i="37"/>
  <c r="H3311" i="37"/>
  <c r="G3311" i="37"/>
  <c r="F3311" i="37"/>
  <c r="E3311" i="37"/>
  <c r="D3311" i="37"/>
  <c r="C3311" i="37"/>
  <c r="J3310" i="37"/>
  <c r="M3310" i="37" s="1"/>
  <c r="U3309" i="37"/>
  <c r="U3308" i="37" s="1"/>
  <c r="S3309" i="37"/>
  <c r="Q3309" i="37"/>
  <c r="O3309" i="37"/>
  <c r="N3309" i="37"/>
  <c r="N3308" i="37" s="1"/>
  <c r="L3309" i="37"/>
  <c r="K3309" i="37"/>
  <c r="J3309" i="37"/>
  <c r="I3309" i="37"/>
  <c r="H3309" i="37"/>
  <c r="G3309" i="37"/>
  <c r="F3309" i="37"/>
  <c r="E3309" i="37"/>
  <c r="D3309" i="37"/>
  <c r="C3309" i="37"/>
  <c r="M3307" i="37"/>
  <c r="P3307" i="37" s="1"/>
  <c r="J3307" i="37"/>
  <c r="J3306" i="37"/>
  <c r="M3306" i="37" s="1"/>
  <c r="P3306" i="37" s="1"/>
  <c r="J3305" i="37"/>
  <c r="M3305" i="37" s="1"/>
  <c r="P3305" i="37" s="1"/>
  <c r="P3303" i="37"/>
  <c r="M3303" i="37"/>
  <c r="J3303" i="37"/>
  <c r="M3301" i="37"/>
  <c r="P3301" i="37" s="1"/>
  <c r="J3301" i="37"/>
  <c r="J3300" i="37"/>
  <c r="M3300" i="37" s="1"/>
  <c r="P3300" i="37" s="1"/>
  <c r="O3299" i="37"/>
  <c r="J3299" i="37"/>
  <c r="M3299" i="37" s="1"/>
  <c r="P3299" i="37" s="1"/>
  <c r="J3298" i="37"/>
  <c r="M3298" i="37" s="1"/>
  <c r="P3298" i="37" s="1"/>
  <c r="P3297" i="37"/>
  <c r="M3297" i="37"/>
  <c r="J3297" i="37"/>
  <c r="M3296" i="37"/>
  <c r="P3296" i="37" s="1"/>
  <c r="J3296" i="37"/>
  <c r="J3295" i="37"/>
  <c r="M3295" i="37" s="1"/>
  <c r="P3295" i="37" s="1"/>
  <c r="J3294" i="37"/>
  <c r="M3294" i="37" s="1"/>
  <c r="P3294" i="37" s="1"/>
  <c r="P3293" i="37"/>
  <c r="M3293" i="37"/>
  <c r="J3293" i="37"/>
  <c r="M3292" i="37"/>
  <c r="P3292" i="37" s="1"/>
  <c r="J3292" i="37"/>
  <c r="S3291" i="37"/>
  <c r="M3291" i="37"/>
  <c r="P3291" i="37" s="1"/>
  <c r="J3291" i="37"/>
  <c r="P3290" i="37"/>
  <c r="S3289" i="37"/>
  <c r="P3289" i="37"/>
  <c r="M3289" i="37"/>
  <c r="J3289" i="37"/>
  <c r="M3288" i="37"/>
  <c r="P3288" i="37" s="1"/>
  <c r="J3288" i="37"/>
  <c r="J3287" i="37"/>
  <c r="M3287" i="37" s="1"/>
  <c r="P3287" i="37" s="1"/>
  <c r="J3286" i="37"/>
  <c r="M3286" i="37" s="1"/>
  <c r="P3286" i="37" s="1"/>
  <c r="P3285" i="37"/>
  <c r="M3285" i="37"/>
  <c r="J3285" i="37"/>
  <c r="M3284" i="37"/>
  <c r="P3284" i="37" s="1"/>
  <c r="J3284" i="37"/>
  <c r="J3283" i="37"/>
  <c r="M3283" i="37" s="1"/>
  <c r="P3283" i="37" s="1"/>
  <c r="J3282" i="37"/>
  <c r="M3282" i="37" s="1"/>
  <c r="P3282" i="37" s="1"/>
  <c r="P3281" i="37"/>
  <c r="M3281" i="37"/>
  <c r="J3281" i="37"/>
  <c r="M3280" i="37"/>
  <c r="P3280" i="37" s="1"/>
  <c r="J3280" i="37"/>
  <c r="S3279" i="37"/>
  <c r="J3279" i="37"/>
  <c r="S3278" i="37"/>
  <c r="J3278" i="37"/>
  <c r="M3278" i="37" s="1"/>
  <c r="P3278" i="37" s="1"/>
  <c r="S3277" i="37"/>
  <c r="M3277" i="37"/>
  <c r="P3277" i="37" s="1"/>
  <c r="J3277" i="37"/>
  <c r="J3276" i="37"/>
  <c r="M3276" i="37" s="1"/>
  <c r="P3276" i="37" s="1"/>
  <c r="P3275" i="37"/>
  <c r="J3275" i="37"/>
  <c r="M3275" i="37" s="1"/>
  <c r="M3274" i="37"/>
  <c r="P3274" i="37" s="1"/>
  <c r="J3274" i="37"/>
  <c r="M3273" i="37"/>
  <c r="P3273" i="37" s="1"/>
  <c r="J3273" i="37"/>
  <c r="J3272" i="37"/>
  <c r="M3272" i="37" s="1"/>
  <c r="P3272" i="37" s="1"/>
  <c r="P3271" i="37"/>
  <c r="J3271" i="37"/>
  <c r="M3271" i="37" s="1"/>
  <c r="M3270" i="37"/>
  <c r="P3270" i="37" s="1"/>
  <c r="J3270" i="37"/>
  <c r="M3269" i="37"/>
  <c r="P3269" i="37" s="1"/>
  <c r="J3269" i="37"/>
  <c r="J3268" i="37"/>
  <c r="M3268" i="37" s="1"/>
  <c r="P3268" i="37" s="1"/>
  <c r="P3267" i="37"/>
  <c r="J3267" i="37"/>
  <c r="M3267" i="37" s="1"/>
  <c r="M3266" i="37"/>
  <c r="P3266" i="37" s="1"/>
  <c r="J3266" i="37"/>
  <c r="M3265" i="37"/>
  <c r="P3265" i="37" s="1"/>
  <c r="J3265" i="37"/>
  <c r="J3264" i="37"/>
  <c r="M3264" i="37" s="1"/>
  <c r="P3264" i="37" s="1"/>
  <c r="P3263" i="37"/>
  <c r="J3263" i="37"/>
  <c r="M3263" i="37" s="1"/>
  <c r="M3262" i="37"/>
  <c r="P3262" i="37" s="1"/>
  <c r="J3262" i="37"/>
  <c r="M3261" i="37"/>
  <c r="P3261" i="37" s="1"/>
  <c r="J3261" i="37"/>
  <c r="J3260" i="37"/>
  <c r="M3260" i="37" s="1"/>
  <c r="P3260" i="37" s="1"/>
  <c r="P3259" i="37"/>
  <c r="J3259" i="37"/>
  <c r="M3259" i="37" s="1"/>
  <c r="M3258" i="37"/>
  <c r="J3258" i="37"/>
  <c r="U3257" i="37"/>
  <c r="S3257" i="37"/>
  <c r="R3257" i="37"/>
  <c r="Q3257" i="37"/>
  <c r="O3257" i="37"/>
  <c r="N3257" i="37"/>
  <c r="L3257" i="37"/>
  <c r="K3257" i="37"/>
  <c r="I3257" i="37"/>
  <c r="H3257" i="37"/>
  <c r="G3257" i="37"/>
  <c r="F3257" i="37"/>
  <c r="E3257" i="37"/>
  <c r="D3257" i="37"/>
  <c r="C3257" i="37"/>
  <c r="P3256" i="37"/>
  <c r="J3256" i="37"/>
  <c r="M3256" i="37" s="1"/>
  <c r="M3255" i="37"/>
  <c r="P3255" i="37" s="1"/>
  <c r="J3255" i="37"/>
  <c r="J3254" i="37"/>
  <c r="M3254" i="37" s="1"/>
  <c r="P3254" i="37" s="1"/>
  <c r="J3253" i="37"/>
  <c r="M3253" i="37" s="1"/>
  <c r="P3253" i="37" s="1"/>
  <c r="P3252" i="37"/>
  <c r="J3252" i="37"/>
  <c r="M3252" i="37" s="1"/>
  <c r="M3251" i="37"/>
  <c r="P3251" i="37" s="1"/>
  <c r="J3251" i="37"/>
  <c r="J3250" i="37"/>
  <c r="M3250" i="37" s="1"/>
  <c r="P3250" i="37" s="1"/>
  <c r="J3249" i="37"/>
  <c r="M3249" i="37" s="1"/>
  <c r="P3249" i="37" s="1"/>
  <c r="P3248" i="37"/>
  <c r="J3248" i="37"/>
  <c r="M3248" i="37" s="1"/>
  <c r="M3247" i="37"/>
  <c r="P3247" i="37" s="1"/>
  <c r="J3247" i="37"/>
  <c r="J3246" i="37"/>
  <c r="M3246" i="37" s="1"/>
  <c r="P3246" i="37" s="1"/>
  <c r="M3245" i="37"/>
  <c r="P3245" i="37" s="1"/>
  <c r="J3245" i="37"/>
  <c r="J3244" i="37"/>
  <c r="U3243" i="37"/>
  <c r="S3243" i="37"/>
  <c r="R3243" i="37"/>
  <c r="Q3243" i="37"/>
  <c r="Q3210" i="37" s="1"/>
  <c r="O3243" i="37"/>
  <c r="N3243" i="37"/>
  <c r="L3243" i="37"/>
  <c r="K3243" i="37"/>
  <c r="I3243" i="37"/>
  <c r="H3243" i="37"/>
  <c r="G3243" i="37"/>
  <c r="F3243" i="37"/>
  <c r="E3243" i="37"/>
  <c r="D3243" i="37"/>
  <c r="C3243" i="37"/>
  <c r="M3242" i="37"/>
  <c r="P3242" i="37" s="1"/>
  <c r="J3242" i="37"/>
  <c r="J3241" i="37"/>
  <c r="M3241" i="37" s="1"/>
  <c r="P3241" i="37" s="1"/>
  <c r="J3240" i="37"/>
  <c r="M3240" i="37" s="1"/>
  <c r="P3240" i="37" s="1"/>
  <c r="P3239" i="37"/>
  <c r="M3239" i="37"/>
  <c r="J3239" i="37"/>
  <c r="M3238" i="37"/>
  <c r="P3238" i="37" s="1"/>
  <c r="J3238" i="37"/>
  <c r="J3237" i="37"/>
  <c r="M3237" i="37" s="1"/>
  <c r="P3237" i="37" s="1"/>
  <c r="J3236" i="37"/>
  <c r="M3236" i="37" s="1"/>
  <c r="P3236" i="37" s="1"/>
  <c r="P3235" i="37"/>
  <c r="M3235" i="37"/>
  <c r="J3235" i="37"/>
  <c r="M3234" i="37"/>
  <c r="P3234" i="37" s="1"/>
  <c r="J3234" i="37"/>
  <c r="J3233" i="37"/>
  <c r="M3233" i="37" s="1"/>
  <c r="P3233" i="37" s="1"/>
  <c r="J3232" i="37"/>
  <c r="M3232" i="37" s="1"/>
  <c r="P3232" i="37" s="1"/>
  <c r="P3231" i="37"/>
  <c r="M3231" i="37"/>
  <c r="J3231" i="37"/>
  <c r="M3230" i="37"/>
  <c r="J3230" i="37"/>
  <c r="U3229" i="37"/>
  <c r="S3229" i="37"/>
  <c r="R3229" i="37"/>
  <c r="Q3229" i="37"/>
  <c r="O3229" i="37"/>
  <c r="N3229" i="37"/>
  <c r="L3229" i="37"/>
  <c r="K3229" i="37"/>
  <c r="J3229" i="37"/>
  <c r="I3229" i="37"/>
  <c r="H3229" i="37"/>
  <c r="G3229" i="37"/>
  <c r="F3229" i="37"/>
  <c r="E3229" i="37"/>
  <c r="D3229" i="37"/>
  <c r="C3229" i="37"/>
  <c r="P3228" i="37"/>
  <c r="M3228" i="37"/>
  <c r="J3228" i="37"/>
  <c r="M3227" i="37"/>
  <c r="P3227" i="37" s="1"/>
  <c r="J3227" i="37"/>
  <c r="J3226" i="37"/>
  <c r="M3226" i="37" s="1"/>
  <c r="P3226" i="37" s="1"/>
  <c r="J3225" i="37"/>
  <c r="M3225" i="37" s="1"/>
  <c r="P3225" i="37" s="1"/>
  <c r="P3224" i="37"/>
  <c r="M3224" i="37"/>
  <c r="J3224" i="37"/>
  <c r="M3223" i="37"/>
  <c r="P3223" i="37" s="1"/>
  <c r="J3223" i="37"/>
  <c r="J3222" i="37"/>
  <c r="M3222" i="37" s="1"/>
  <c r="P3222" i="37" s="1"/>
  <c r="J3221" i="37"/>
  <c r="M3221" i="37" s="1"/>
  <c r="P3221" i="37" s="1"/>
  <c r="P3220" i="37"/>
  <c r="M3220" i="37"/>
  <c r="J3220" i="37"/>
  <c r="M3219" i="37"/>
  <c r="P3219" i="37" s="1"/>
  <c r="J3219" i="37"/>
  <c r="J3218" i="37"/>
  <c r="M3218" i="37" s="1"/>
  <c r="P3218" i="37" s="1"/>
  <c r="J3217" i="37"/>
  <c r="M3217" i="37" s="1"/>
  <c r="P3217" i="37" s="1"/>
  <c r="P3216" i="37"/>
  <c r="M3216" i="37"/>
  <c r="J3216" i="37"/>
  <c r="M3215" i="37"/>
  <c r="P3215" i="37" s="1"/>
  <c r="J3215" i="37"/>
  <c r="J3214" i="37"/>
  <c r="J3213" i="37"/>
  <c r="M3213" i="37" s="1"/>
  <c r="P3213" i="37" s="1"/>
  <c r="P3212" i="37"/>
  <c r="M3212" i="37"/>
  <c r="J3212" i="37"/>
  <c r="U3211" i="37"/>
  <c r="S3211" i="37"/>
  <c r="S3210" i="37" s="1"/>
  <c r="R3211" i="37"/>
  <c r="R3210" i="37" s="1"/>
  <c r="Q3211" i="37"/>
  <c r="O3211" i="37"/>
  <c r="O3210" i="37" s="1"/>
  <c r="N3211" i="37"/>
  <c r="N3210" i="37" s="1"/>
  <c r="L3211" i="37"/>
  <c r="K3211" i="37"/>
  <c r="I3211" i="37"/>
  <c r="H3211" i="37"/>
  <c r="G3211" i="37"/>
  <c r="F3211" i="37"/>
  <c r="E3211" i="37"/>
  <c r="D3211" i="37"/>
  <c r="C3211" i="37"/>
  <c r="U3210" i="37"/>
  <c r="L3210" i="37"/>
  <c r="I3210" i="37"/>
  <c r="H3210" i="37"/>
  <c r="E3210" i="37"/>
  <c r="D3210" i="37"/>
  <c r="M3209" i="37"/>
  <c r="P3209" i="37" s="1"/>
  <c r="J3209" i="37"/>
  <c r="J3208" i="37"/>
  <c r="M3208" i="37" s="1"/>
  <c r="P3208" i="37" s="1"/>
  <c r="J3207" i="37"/>
  <c r="M3207" i="37" s="1"/>
  <c r="P3207" i="37" s="1"/>
  <c r="P3206" i="37"/>
  <c r="M3206" i="37"/>
  <c r="J3206" i="37"/>
  <c r="M3205" i="37"/>
  <c r="P3205" i="37" s="1"/>
  <c r="J3205" i="37"/>
  <c r="J3203" i="37"/>
  <c r="M3203" i="37" s="1"/>
  <c r="P3203" i="37" s="1"/>
  <c r="J3202" i="37"/>
  <c r="M3202" i="37" s="1"/>
  <c r="P3202" i="37" s="1"/>
  <c r="P3201" i="37"/>
  <c r="M3201" i="37"/>
  <c r="J3201" i="37"/>
  <c r="M3198" i="37"/>
  <c r="P3198" i="37" s="1"/>
  <c r="J3198" i="37"/>
  <c r="G3198" i="37"/>
  <c r="M3197" i="37"/>
  <c r="P3197" i="37" s="1"/>
  <c r="J3197" i="37"/>
  <c r="J3196" i="37"/>
  <c r="M3196" i="37" s="1"/>
  <c r="P3196" i="37" s="1"/>
  <c r="J3194" i="37"/>
  <c r="M3194" i="37" s="1"/>
  <c r="P3194" i="37" s="1"/>
  <c r="P3193" i="37"/>
  <c r="M3193" i="37"/>
  <c r="J3193" i="37"/>
  <c r="M3192" i="37"/>
  <c r="P3192" i="37" s="1"/>
  <c r="J3192" i="37"/>
  <c r="J3191" i="37"/>
  <c r="M3191" i="37" s="1"/>
  <c r="P3191" i="37" s="1"/>
  <c r="J3190" i="37"/>
  <c r="M3190" i="37" s="1"/>
  <c r="P3190" i="37" s="1"/>
  <c r="P3189" i="37"/>
  <c r="M3189" i="37"/>
  <c r="J3189" i="37"/>
  <c r="S3188" i="37"/>
  <c r="P3188" i="37"/>
  <c r="M3188" i="37"/>
  <c r="J3188" i="37"/>
  <c r="M3187" i="37"/>
  <c r="P3187" i="37" s="1"/>
  <c r="J3187" i="37"/>
  <c r="J3186" i="37"/>
  <c r="M3186" i="37" s="1"/>
  <c r="P3186" i="37" s="1"/>
  <c r="J3185" i="37"/>
  <c r="M3185" i="37" s="1"/>
  <c r="P3185" i="37" s="1"/>
  <c r="P3184" i="37"/>
  <c r="M3184" i="37"/>
  <c r="J3184" i="37"/>
  <c r="M3183" i="37"/>
  <c r="P3183" i="37" s="1"/>
  <c r="J3183" i="37"/>
  <c r="J3182" i="37"/>
  <c r="M3182" i="37" s="1"/>
  <c r="P3182" i="37" s="1"/>
  <c r="J3181" i="37"/>
  <c r="M3181" i="37" s="1"/>
  <c r="P3181" i="37" s="1"/>
  <c r="P3180" i="37"/>
  <c r="M3180" i="37"/>
  <c r="J3180" i="37"/>
  <c r="M3179" i="37"/>
  <c r="P3179" i="37" s="1"/>
  <c r="J3179" i="37"/>
  <c r="J3178" i="37"/>
  <c r="M3178" i="37" s="1"/>
  <c r="P3178" i="37" s="1"/>
  <c r="J3177" i="37"/>
  <c r="M3177" i="37" s="1"/>
  <c r="P3177" i="37" s="1"/>
  <c r="P3176" i="37"/>
  <c r="M3176" i="37"/>
  <c r="M3175" i="37"/>
  <c r="P3175" i="37" s="1"/>
  <c r="P3174" i="37"/>
  <c r="M3174" i="37"/>
  <c r="J3174" i="37"/>
  <c r="M3173" i="37"/>
  <c r="P3173" i="37" s="1"/>
  <c r="J3173" i="37"/>
  <c r="J3172" i="37"/>
  <c r="M3172" i="37" s="1"/>
  <c r="P3172" i="37" s="1"/>
  <c r="J3171" i="37"/>
  <c r="M3171" i="37" s="1"/>
  <c r="P3171" i="37" s="1"/>
  <c r="P3170" i="37"/>
  <c r="M3170" i="37"/>
  <c r="J3170" i="37"/>
  <c r="M3169" i="37"/>
  <c r="P3169" i="37" s="1"/>
  <c r="J3169" i="37"/>
  <c r="S3168" i="37"/>
  <c r="M3168" i="37"/>
  <c r="P3168" i="37" s="1"/>
  <c r="J3168" i="37"/>
  <c r="J3167" i="37"/>
  <c r="M3167" i="37" s="1"/>
  <c r="P3167" i="37" s="1"/>
  <c r="J3166" i="37"/>
  <c r="M3166" i="37" s="1"/>
  <c r="P3166" i="37" s="1"/>
  <c r="P3165" i="37"/>
  <c r="M3165" i="37"/>
  <c r="J3165" i="37"/>
  <c r="M3164" i="37"/>
  <c r="P3164" i="37" s="1"/>
  <c r="J3164" i="37"/>
  <c r="J3163" i="37"/>
  <c r="M3163" i="37" s="1"/>
  <c r="P3163" i="37" s="1"/>
  <c r="J3162" i="37"/>
  <c r="M3162" i="37" s="1"/>
  <c r="P3162" i="37" s="1"/>
  <c r="P3161" i="37"/>
  <c r="M3161" i="37"/>
  <c r="J3161" i="37"/>
  <c r="M3160" i="37"/>
  <c r="P3160" i="37" s="1"/>
  <c r="J3160" i="37"/>
  <c r="J3159" i="37"/>
  <c r="M3159" i="37" s="1"/>
  <c r="P3159" i="37" s="1"/>
  <c r="J3158" i="37"/>
  <c r="M3158" i="37" s="1"/>
  <c r="P3158" i="37" s="1"/>
  <c r="P3157" i="37"/>
  <c r="M3157" i="37"/>
  <c r="J3157" i="37"/>
  <c r="M3156" i="37"/>
  <c r="P3156" i="37" s="1"/>
  <c r="J3156" i="37"/>
  <c r="J3155" i="37"/>
  <c r="M3155" i="37" s="1"/>
  <c r="P3155" i="37" s="1"/>
  <c r="J3154" i="37"/>
  <c r="M3154" i="37" s="1"/>
  <c r="P3154" i="37" s="1"/>
  <c r="P3153" i="37"/>
  <c r="M3153" i="37"/>
  <c r="J3153" i="37"/>
  <c r="M3152" i="37"/>
  <c r="P3152" i="37" s="1"/>
  <c r="J3152" i="37"/>
  <c r="J3151" i="37"/>
  <c r="M3151" i="37" s="1"/>
  <c r="P3151" i="37" s="1"/>
  <c r="J3150" i="37"/>
  <c r="M3150" i="37" s="1"/>
  <c r="P3150" i="37" s="1"/>
  <c r="P3149" i="37"/>
  <c r="M3149" i="37"/>
  <c r="J3149" i="37"/>
  <c r="M3148" i="37"/>
  <c r="P3148" i="37" s="1"/>
  <c r="J3148" i="37"/>
  <c r="J3147" i="37"/>
  <c r="M3147" i="37" s="1"/>
  <c r="P3147" i="37" s="1"/>
  <c r="J3146" i="37"/>
  <c r="M3146" i="37" s="1"/>
  <c r="U3145" i="37"/>
  <c r="U3144" i="37" s="1"/>
  <c r="S3145" i="37"/>
  <c r="S3144" i="37" s="1"/>
  <c r="R3145" i="37"/>
  <c r="Q3145" i="37"/>
  <c r="O3145" i="37"/>
  <c r="O3144" i="37" s="1"/>
  <c r="N3145" i="37"/>
  <c r="L3145" i="37"/>
  <c r="L3144" i="37" s="1"/>
  <c r="K3145" i="37"/>
  <c r="K3144" i="37" s="1"/>
  <c r="I3145" i="37"/>
  <c r="H3145" i="37"/>
  <c r="H3144" i="37" s="1"/>
  <c r="G3145" i="37"/>
  <c r="G3144" i="37" s="1"/>
  <c r="F3145" i="37"/>
  <c r="E3145" i="37"/>
  <c r="D3145" i="37"/>
  <c r="D3144" i="37" s="1"/>
  <c r="C3145" i="37"/>
  <c r="C3144" i="37" s="1"/>
  <c r="R3144" i="37"/>
  <c r="Q3144" i="37"/>
  <c r="N3144" i="37"/>
  <c r="I3144" i="37"/>
  <c r="F3144" i="37"/>
  <c r="E3144" i="37"/>
  <c r="P3143" i="37"/>
  <c r="M3143" i="37"/>
  <c r="N3141" i="37"/>
  <c r="M3141" i="37"/>
  <c r="P3141" i="37" s="1"/>
  <c r="J3140" i="37"/>
  <c r="M3140" i="37" s="1"/>
  <c r="P3140" i="37" s="1"/>
  <c r="P3139" i="37"/>
  <c r="M3139" i="37"/>
  <c r="J3139" i="37"/>
  <c r="M3138" i="37"/>
  <c r="P3138" i="37" s="1"/>
  <c r="J3138" i="37"/>
  <c r="J3136" i="37"/>
  <c r="M3136" i="37" s="1"/>
  <c r="P3136" i="37" s="1"/>
  <c r="J3135" i="37"/>
  <c r="M3135" i="37" s="1"/>
  <c r="P3135" i="37" s="1"/>
  <c r="P3134" i="37"/>
  <c r="O3134" i="37"/>
  <c r="J3134" i="37"/>
  <c r="M3134" i="37" s="1"/>
  <c r="P3133" i="37"/>
  <c r="M3133" i="37"/>
  <c r="J3133" i="37"/>
  <c r="M3132" i="37"/>
  <c r="P3132" i="37" s="1"/>
  <c r="J3132" i="37"/>
  <c r="J3131" i="37"/>
  <c r="M3131" i="37" s="1"/>
  <c r="P3131" i="37" s="1"/>
  <c r="S3130" i="37"/>
  <c r="J3130" i="37"/>
  <c r="M3130" i="37" s="1"/>
  <c r="P3130" i="37" s="1"/>
  <c r="P3129" i="37"/>
  <c r="J3128" i="37"/>
  <c r="M3128" i="37" s="1"/>
  <c r="P3128" i="37" s="1"/>
  <c r="J3127" i="37"/>
  <c r="M3127" i="37" s="1"/>
  <c r="P3127" i="37" s="1"/>
  <c r="P3126" i="37"/>
  <c r="M3126" i="37"/>
  <c r="J3126" i="37"/>
  <c r="M3125" i="37"/>
  <c r="P3125" i="37" s="1"/>
  <c r="J3125" i="37"/>
  <c r="J3124" i="37"/>
  <c r="M3124" i="37" s="1"/>
  <c r="P3124" i="37" s="1"/>
  <c r="J3123" i="37"/>
  <c r="M3123" i="37" s="1"/>
  <c r="P3123" i="37" s="1"/>
  <c r="P3121" i="37"/>
  <c r="M3121" i="37"/>
  <c r="J3121" i="37"/>
  <c r="M3120" i="37"/>
  <c r="P3120" i="37" s="1"/>
  <c r="J3120" i="37"/>
  <c r="P3119" i="37"/>
  <c r="P3118" i="37"/>
  <c r="P3117" i="37"/>
  <c r="M3117" i="37"/>
  <c r="J3117" i="37"/>
  <c r="M3116" i="37"/>
  <c r="P3116" i="37" s="1"/>
  <c r="J3116" i="37"/>
  <c r="J3115" i="37"/>
  <c r="M3115" i="37" s="1"/>
  <c r="P3115" i="37" s="1"/>
  <c r="S3114" i="37"/>
  <c r="J3114" i="37"/>
  <c r="M3114" i="37" s="1"/>
  <c r="P3114" i="37" s="1"/>
  <c r="J3113" i="37"/>
  <c r="M3113" i="37" s="1"/>
  <c r="P3113" i="37" s="1"/>
  <c r="P3112" i="37"/>
  <c r="M3112" i="37"/>
  <c r="J3112" i="37"/>
  <c r="M3111" i="37"/>
  <c r="P3110" i="37"/>
  <c r="M3110" i="37"/>
  <c r="J3110" i="37"/>
  <c r="M3109" i="37"/>
  <c r="P3109" i="37" s="1"/>
  <c r="J3109" i="37"/>
  <c r="O3108" i="37"/>
  <c r="M3108" i="37"/>
  <c r="P3108" i="37" s="1"/>
  <c r="J3108" i="37"/>
  <c r="J3107" i="37"/>
  <c r="M3107" i="37" s="1"/>
  <c r="P3107" i="37" s="1"/>
  <c r="J3106" i="37"/>
  <c r="M3106" i="37" s="1"/>
  <c r="P3106" i="37" s="1"/>
  <c r="P3105" i="37"/>
  <c r="M3105" i="37"/>
  <c r="J3105" i="37"/>
  <c r="P3104" i="37"/>
  <c r="P3103" i="37"/>
  <c r="J3102" i="37"/>
  <c r="M3102" i="37" s="1"/>
  <c r="P3102" i="37" s="1"/>
  <c r="P3101" i="37"/>
  <c r="M3101" i="37"/>
  <c r="J3101" i="37"/>
  <c r="M3100" i="37"/>
  <c r="P3100" i="37" s="1"/>
  <c r="J3100" i="37"/>
  <c r="J3099" i="37"/>
  <c r="M3099" i="37" s="1"/>
  <c r="P3099" i="37" s="1"/>
  <c r="J3098" i="37"/>
  <c r="M3098" i="37" s="1"/>
  <c r="P3098" i="37" s="1"/>
  <c r="P3097" i="37"/>
  <c r="M3097" i="37"/>
  <c r="J3097" i="37"/>
  <c r="M3096" i="37"/>
  <c r="P3096" i="37" s="1"/>
  <c r="U3095" i="37"/>
  <c r="J3095" i="37"/>
  <c r="M3095" i="37" s="1"/>
  <c r="P3095" i="37" s="1"/>
  <c r="P3094" i="37"/>
  <c r="M3094" i="37"/>
  <c r="U3093" i="37"/>
  <c r="P3093" i="37"/>
  <c r="M3093" i="37"/>
  <c r="J3093" i="37"/>
  <c r="M3092" i="37"/>
  <c r="P3092" i="37" s="1"/>
  <c r="U3091" i="37"/>
  <c r="J3091" i="37"/>
  <c r="M3091" i="37" s="1"/>
  <c r="P3091" i="37" s="1"/>
  <c r="P3090" i="37"/>
  <c r="M3090" i="37"/>
  <c r="J3090" i="37"/>
  <c r="P3089" i="37"/>
  <c r="M3089" i="37"/>
  <c r="J3089" i="37"/>
  <c r="M3088" i="37"/>
  <c r="P3088" i="37" s="1"/>
  <c r="J3088" i="37"/>
  <c r="J3087" i="37"/>
  <c r="P3086" i="37"/>
  <c r="M3086" i="37"/>
  <c r="J3086" i="37"/>
  <c r="U3085" i="37"/>
  <c r="U3084" i="37" s="1"/>
  <c r="S3085" i="37"/>
  <c r="S3084" i="37" s="1"/>
  <c r="R3085" i="37"/>
  <c r="Q3085" i="37"/>
  <c r="O3085" i="37"/>
  <c r="O3084" i="37" s="1"/>
  <c r="N3085" i="37"/>
  <c r="L3085" i="37"/>
  <c r="L3084" i="37" s="1"/>
  <c r="K3085" i="37"/>
  <c r="K3084" i="37" s="1"/>
  <c r="I3085" i="37"/>
  <c r="H3085" i="37"/>
  <c r="H3084" i="37" s="1"/>
  <c r="G3085" i="37"/>
  <c r="G3084" i="37" s="1"/>
  <c r="F3085" i="37"/>
  <c r="E3085" i="37"/>
  <c r="D3085" i="37"/>
  <c r="D3084" i="37" s="1"/>
  <c r="C3085" i="37"/>
  <c r="C3084" i="37" s="1"/>
  <c r="R3084" i="37"/>
  <c r="Q3084" i="37"/>
  <c r="N3084" i="37"/>
  <c r="I3084" i="37"/>
  <c r="F3084" i="37"/>
  <c r="E3084" i="37"/>
  <c r="P3083" i="37"/>
  <c r="M3083" i="37"/>
  <c r="J3083" i="37"/>
  <c r="M3082" i="37"/>
  <c r="P3082" i="37" s="1"/>
  <c r="J3082" i="37"/>
  <c r="J3081" i="37"/>
  <c r="M3081" i="37" s="1"/>
  <c r="P3081" i="37" s="1"/>
  <c r="J3080" i="37"/>
  <c r="M3080" i="37" s="1"/>
  <c r="P3080" i="37" s="1"/>
  <c r="P3079" i="37"/>
  <c r="M3079" i="37"/>
  <c r="J3079" i="37"/>
  <c r="M3078" i="37"/>
  <c r="P3078" i="37" s="1"/>
  <c r="J3078" i="37"/>
  <c r="J3077" i="37"/>
  <c r="M3077" i="37" s="1"/>
  <c r="P3077" i="37" s="1"/>
  <c r="J3076" i="37"/>
  <c r="M3076" i="37" s="1"/>
  <c r="P3076" i="37" s="1"/>
  <c r="P3075" i="37"/>
  <c r="M3075" i="37"/>
  <c r="J3075" i="37"/>
  <c r="M3073" i="37"/>
  <c r="P3073" i="37" s="1"/>
  <c r="J3073" i="37"/>
  <c r="J3072" i="37"/>
  <c r="M3072" i="37" s="1"/>
  <c r="P3072" i="37" s="1"/>
  <c r="J3071" i="37"/>
  <c r="M3071" i="37" s="1"/>
  <c r="P3071" i="37" s="1"/>
  <c r="P3070" i="37"/>
  <c r="M3070" i="37"/>
  <c r="J3070" i="37"/>
  <c r="M3069" i="37"/>
  <c r="P3069" i="37" s="1"/>
  <c r="J3069" i="37"/>
  <c r="J3068" i="37"/>
  <c r="M3068" i="37" s="1"/>
  <c r="P3068" i="37" s="1"/>
  <c r="J3067" i="37"/>
  <c r="M3067" i="37" s="1"/>
  <c r="P3067" i="37" s="1"/>
  <c r="P3066" i="37"/>
  <c r="M3066" i="37"/>
  <c r="J3066" i="37"/>
  <c r="M3065" i="37"/>
  <c r="P3065" i="37" s="1"/>
  <c r="J3065" i="37"/>
  <c r="J3064" i="37"/>
  <c r="J3063" i="37"/>
  <c r="M3063" i="37" s="1"/>
  <c r="P3063" i="37" s="1"/>
  <c r="P3062" i="37"/>
  <c r="M3062" i="37"/>
  <c r="J3062" i="37"/>
  <c r="U3061" i="37"/>
  <c r="S3061" i="37"/>
  <c r="R3061" i="37"/>
  <c r="Q3061" i="37"/>
  <c r="O3061" i="37"/>
  <c r="O2961" i="37" s="1"/>
  <c r="N3061" i="37"/>
  <c r="L3061" i="37"/>
  <c r="K3061" i="37"/>
  <c r="I3061" i="37"/>
  <c r="H3061" i="37"/>
  <c r="G3061" i="37"/>
  <c r="F3061" i="37"/>
  <c r="E3061" i="37"/>
  <c r="D3061" i="37"/>
  <c r="C3061" i="37"/>
  <c r="J3060" i="37"/>
  <c r="M3060" i="37" s="1"/>
  <c r="P3060" i="37" s="1"/>
  <c r="P3059" i="37"/>
  <c r="M3059" i="37"/>
  <c r="J3059" i="37"/>
  <c r="M3058" i="37"/>
  <c r="P3058" i="37" s="1"/>
  <c r="J3058" i="37"/>
  <c r="J3057" i="37"/>
  <c r="M3057" i="37" s="1"/>
  <c r="P3057" i="37" s="1"/>
  <c r="J3056" i="37"/>
  <c r="M3056" i="37" s="1"/>
  <c r="P3056" i="37" s="1"/>
  <c r="M3055" i="37"/>
  <c r="J3055" i="37"/>
  <c r="J3054" i="37"/>
  <c r="M3054" i="37" s="1"/>
  <c r="P3053" i="37"/>
  <c r="M3053" i="37"/>
  <c r="J3053" i="37"/>
  <c r="M3052" i="37"/>
  <c r="P3052" i="37" s="1"/>
  <c r="J3052" i="37"/>
  <c r="J3051" i="37"/>
  <c r="M3051" i="37" s="1"/>
  <c r="P3051" i="37" s="1"/>
  <c r="J3050" i="37"/>
  <c r="M3050" i="37" s="1"/>
  <c r="P3050" i="37" s="1"/>
  <c r="P3049" i="37"/>
  <c r="M3049" i="37"/>
  <c r="J3049" i="37"/>
  <c r="M3048" i="37"/>
  <c r="P3048" i="37" s="1"/>
  <c r="J3048" i="37"/>
  <c r="J3047" i="37"/>
  <c r="M3047" i="37" s="1"/>
  <c r="P3047" i="37" s="1"/>
  <c r="J3046" i="37"/>
  <c r="M3046" i="37" s="1"/>
  <c r="P3046" i="37" s="1"/>
  <c r="P3045" i="37"/>
  <c r="M3045" i="37"/>
  <c r="J3045" i="37"/>
  <c r="M3044" i="37"/>
  <c r="P3044" i="37" s="1"/>
  <c r="J3044" i="37"/>
  <c r="J3043" i="37"/>
  <c r="M3043" i="37" s="1"/>
  <c r="P3043" i="37" s="1"/>
  <c r="S3042" i="37"/>
  <c r="J3042" i="37"/>
  <c r="M3042" i="37" s="1"/>
  <c r="P3042" i="37" s="1"/>
  <c r="S3041" i="37"/>
  <c r="S2989" i="37" s="1"/>
  <c r="J3041" i="37"/>
  <c r="M3041" i="37" s="1"/>
  <c r="P3041" i="37" s="1"/>
  <c r="P3040" i="37"/>
  <c r="N3040" i="37"/>
  <c r="S3039" i="37"/>
  <c r="P3039" i="37"/>
  <c r="M3039" i="37"/>
  <c r="J3039" i="37"/>
  <c r="M3038" i="37"/>
  <c r="P3038" i="37" s="1"/>
  <c r="J3038" i="37"/>
  <c r="J3037" i="37"/>
  <c r="M3037" i="37" s="1"/>
  <c r="P3037" i="37" s="1"/>
  <c r="J3036" i="37"/>
  <c r="M3036" i="37" s="1"/>
  <c r="P3036" i="37" s="1"/>
  <c r="P3035" i="37"/>
  <c r="M3035" i="37"/>
  <c r="J3035" i="37"/>
  <c r="M3034" i="37"/>
  <c r="P3034" i="37" s="1"/>
  <c r="J3034" i="37"/>
  <c r="J3033" i="37"/>
  <c r="M3033" i="37" s="1"/>
  <c r="P3033" i="37" s="1"/>
  <c r="J3032" i="37"/>
  <c r="M3032" i="37" s="1"/>
  <c r="P3032" i="37" s="1"/>
  <c r="P3031" i="37"/>
  <c r="M3031" i="37"/>
  <c r="J3031" i="37"/>
  <c r="M3030" i="37"/>
  <c r="P3030" i="37" s="1"/>
  <c r="J3030" i="37"/>
  <c r="J3029" i="37"/>
  <c r="M3029" i="37" s="1"/>
  <c r="P3029" i="37" s="1"/>
  <c r="J3028" i="37"/>
  <c r="M3028" i="37" s="1"/>
  <c r="P3028" i="37" s="1"/>
  <c r="P3027" i="37"/>
  <c r="M3027" i="37"/>
  <c r="J3027" i="37"/>
  <c r="S3026" i="37"/>
  <c r="P3026" i="37"/>
  <c r="M3026" i="37"/>
  <c r="J3026" i="37"/>
  <c r="S3025" i="37"/>
  <c r="P3025" i="37"/>
  <c r="M3025" i="37"/>
  <c r="J3025" i="37"/>
  <c r="M3024" i="37"/>
  <c r="P3024" i="37" s="1"/>
  <c r="J3024" i="37"/>
  <c r="U3023" i="37"/>
  <c r="M3023" i="37"/>
  <c r="P3023" i="37" s="1"/>
  <c r="J3023" i="37"/>
  <c r="J3022" i="37"/>
  <c r="M3022" i="37" s="1"/>
  <c r="P3022" i="37" s="1"/>
  <c r="J3021" i="37"/>
  <c r="M3021" i="37" s="1"/>
  <c r="P3021" i="37" s="1"/>
  <c r="P3020" i="37"/>
  <c r="M3020" i="37"/>
  <c r="J3020" i="37"/>
  <c r="M3019" i="37"/>
  <c r="P3019" i="37" s="1"/>
  <c r="J3019" i="37"/>
  <c r="J3018" i="37"/>
  <c r="M3018" i="37" s="1"/>
  <c r="P3018" i="37" s="1"/>
  <c r="J3017" i="37"/>
  <c r="M3017" i="37" s="1"/>
  <c r="P3017" i="37" s="1"/>
  <c r="P3016" i="37"/>
  <c r="M3016" i="37"/>
  <c r="J3016" i="37"/>
  <c r="M3015" i="37"/>
  <c r="P3015" i="37" s="1"/>
  <c r="J3015" i="37"/>
  <c r="J3014" i="37"/>
  <c r="M3014" i="37" s="1"/>
  <c r="P3014" i="37" s="1"/>
  <c r="J3013" i="37"/>
  <c r="M3013" i="37" s="1"/>
  <c r="P3013" i="37" s="1"/>
  <c r="P3012" i="37"/>
  <c r="M3012" i="37"/>
  <c r="J3012" i="37"/>
  <c r="M3011" i="37"/>
  <c r="P3011" i="37" s="1"/>
  <c r="J3011" i="37"/>
  <c r="J3010" i="37"/>
  <c r="M3010" i="37" s="1"/>
  <c r="P3010" i="37" s="1"/>
  <c r="J3009" i="37"/>
  <c r="M3009" i="37" s="1"/>
  <c r="P3009" i="37" s="1"/>
  <c r="P3008" i="37"/>
  <c r="M3008" i="37"/>
  <c r="J3008" i="37"/>
  <c r="M3007" i="37"/>
  <c r="P3007" i="37" s="1"/>
  <c r="J3007" i="37"/>
  <c r="J3006" i="37"/>
  <c r="M3006" i="37" s="1"/>
  <c r="P3006" i="37" s="1"/>
  <c r="J3005" i="37"/>
  <c r="M3005" i="37" s="1"/>
  <c r="P3005" i="37" s="1"/>
  <c r="P3004" i="37"/>
  <c r="M3004" i="37"/>
  <c r="J3004" i="37"/>
  <c r="M3003" i="37"/>
  <c r="P3003" i="37" s="1"/>
  <c r="J3003" i="37"/>
  <c r="J3002" i="37"/>
  <c r="M3002" i="37" s="1"/>
  <c r="P3002" i="37" s="1"/>
  <c r="J3001" i="37"/>
  <c r="M3001" i="37" s="1"/>
  <c r="P3001" i="37" s="1"/>
  <c r="P3000" i="37"/>
  <c r="M3000" i="37"/>
  <c r="J3000" i="37"/>
  <c r="M2999" i="37"/>
  <c r="P2999" i="37" s="1"/>
  <c r="J2999" i="37"/>
  <c r="J2998" i="37"/>
  <c r="M2998" i="37" s="1"/>
  <c r="P2998" i="37" s="1"/>
  <c r="J2997" i="37"/>
  <c r="M2997" i="37" s="1"/>
  <c r="P2997" i="37" s="1"/>
  <c r="P2996" i="37"/>
  <c r="M2996" i="37"/>
  <c r="J2996" i="37"/>
  <c r="M2995" i="37"/>
  <c r="P2995" i="37" s="1"/>
  <c r="J2995" i="37"/>
  <c r="J2994" i="37"/>
  <c r="M2994" i="37" s="1"/>
  <c r="P2994" i="37" s="1"/>
  <c r="J2993" i="37"/>
  <c r="M2993" i="37" s="1"/>
  <c r="P2993" i="37" s="1"/>
  <c r="P2992" i="37"/>
  <c r="M2992" i="37"/>
  <c r="J2992" i="37"/>
  <c r="M2991" i="37"/>
  <c r="P2991" i="37" s="1"/>
  <c r="J2991" i="37"/>
  <c r="J2990" i="37"/>
  <c r="U2989" i="37"/>
  <c r="R2989" i="37"/>
  <c r="Q2989" i="37"/>
  <c r="O2989" i="37"/>
  <c r="N2989" i="37"/>
  <c r="L2989" i="37"/>
  <c r="L2961" i="37" s="1"/>
  <c r="K2989" i="37"/>
  <c r="I2989" i="37"/>
  <c r="H2989" i="37"/>
  <c r="G2989" i="37"/>
  <c r="F2989" i="37"/>
  <c r="E2989" i="37"/>
  <c r="D2989" i="37"/>
  <c r="D2961" i="37" s="1"/>
  <c r="C2989" i="37"/>
  <c r="J2987" i="37"/>
  <c r="M2987" i="37" s="1"/>
  <c r="P2987" i="37" s="1"/>
  <c r="J2986" i="37"/>
  <c r="M2986" i="37" s="1"/>
  <c r="P2986" i="37" s="1"/>
  <c r="P2984" i="37"/>
  <c r="M2984" i="37"/>
  <c r="J2984" i="37"/>
  <c r="P2982" i="37"/>
  <c r="M2982" i="37"/>
  <c r="J2982" i="37"/>
  <c r="M2981" i="37"/>
  <c r="P2981" i="37" s="1"/>
  <c r="J2981" i="37"/>
  <c r="J2980" i="37"/>
  <c r="M2980" i="37" s="1"/>
  <c r="P2980" i="37" s="1"/>
  <c r="P2979" i="37"/>
  <c r="M2979" i="37"/>
  <c r="J2979" i="37"/>
  <c r="P2978" i="37"/>
  <c r="M2978" i="37"/>
  <c r="J2978" i="37"/>
  <c r="M2977" i="37"/>
  <c r="P2977" i="37" s="1"/>
  <c r="J2977" i="37"/>
  <c r="J2976" i="37"/>
  <c r="M2976" i="37" s="1"/>
  <c r="P2976" i="37" s="1"/>
  <c r="P2975" i="37"/>
  <c r="M2975" i="37"/>
  <c r="J2975" i="37"/>
  <c r="M2974" i="37"/>
  <c r="P2974" i="37" s="1"/>
  <c r="J2974" i="37"/>
  <c r="P2973" i="37"/>
  <c r="M2972" i="37"/>
  <c r="P2972" i="37" s="1"/>
  <c r="J2972" i="37"/>
  <c r="M2971" i="37"/>
  <c r="P2971" i="37" s="1"/>
  <c r="J2971" i="37"/>
  <c r="J2970" i="37"/>
  <c r="M2970" i="37" s="1"/>
  <c r="P2970" i="37" s="1"/>
  <c r="P2969" i="37"/>
  <c r="M2969" i="37"/>
  <c r="J2969" i="37"/>
  <c r="P2968" i="37"/>
  <c r="M2968" i="37"/>
  <c r="J2968" i="37"/>
  <c r="J2967" i="37"/>
  <c r="M2967" i="37" s="1"/>
  <c r="P2967" i="37" s="1"/>
  <c r="J2966" i="37"/>
  <c r="M2966" i="37" s="1"/>
  <c r="P2966" i="37" s="1"/>
  <c r="P2965" i="37"/>
  <c r="M2965" i="37"/>
  <c r="J2965" i="37"/>
  <c r="P2964" i="37"/>
  <c r="M2964" i="37"/>
  <c r="J2964" i="37"/>
  <c r="M2963" i="37"/>
  <c r="P2963" i="37" s="1"/>
  <c r="J2963" i="37"/>
  <c r="J2962" i="37" s="1"/>
  <c r="U2962" i="37"/>
  <c r="S2962" i="37"/>
  <c r="R2962" i="37"/>
  <c r="R2961" i="37" s="1"/>
  <c r="Q2962" i="37"/>
  <c r="Q2961" i="37" s="1"/>
  <c r="O2962" i="37"/>
  <c r="N2962" i="37"/>
  <c r="N2961" i="37" s="1"/>
  <c r="L2962" i="37"/>
  <c r="K2962" i="37"/>
  <c r="I2962" i="37"/>
  <c r="H2962" i="37"/>
  <c r="G2962" i="37"/>
  <c r="F2962" i="37"/>
  <c r="F2961" i="37" s="1"/>
  <c r="E2962" i="37"/>
  <c r="D2962" i="37"/>
  <c r="C2962" i="37"/>
  <c r="U2961" i="37"/>
  <c r="S2961" i="37"/>
  <c r="K2961" i="37"/>
  <c r="H2961" i="37"/>
  <c r="G2961" i="37"/>
  <c r="C2961" i="37"/>
  <c r="J2960" i="37"/>
  <c r="M2960" i="37" s="1"/>
  <c r="P2960" i="37" s="1"/>
  <c r="P2959" i="37"/>
  <c r="J2959" i="37"/>
  <c r="M2959" i="37" s="1"/>
  <c r="P2958" i="37"/>
  <c r="M2958" i="37"/>
  <c r="J2958" i="37"/>
  <c r="J2957" i="37"/>
  <c r="M2957" i="37" s="1"/>
  <c r="P2957" i="37" s="1"/>
  <c r="J2956" i="37"/>
  <c r="M2956" i="37" s="1"/>
  <c r="P2956" i="37" s="1"/>
  <c r="P2955" i="37"/>
  <c r="J2955" i="37"/>
  <c r="M2955" i="37" s="1"/>
  <c r="P2954" i="37"/>
  <c r="M2954" i="37"/>
  <c r="J2954" i="37"/>
  <c r="J2953" i="37"/>
  <c r="M2953" i="37" s="1"/>
  <c r="P2953" i="37" s="1"/>
  <c r="J2952" i="37"/>
  <c r="M2952" i="37" s="1"/>
  <c r="P2952" i="37" s="1"/>
  <c r="P2951" i="37"/>
  <c r="J2951" i="37"/>
  <c r="M2951" i="37" s="1"/>
  <c r="P2950" i="37"/>
  <c r="M2950" i="37"/>
  <c r="J2950" i="37"/>
  <c r="J2949" i="37"/>
  <c r="M2949" i="37" s="1"/>
  <c r="P2949" i="37" s="1"/>
  <c r="J2948" i="37"/>
  <c r="M2948" i="37" s="1"/>
  <c r="P2948" i="37" s="1"/>
  <c r="P2947" i="37"/>
  <c r="J2947" i="37"/>
  <c r="M2947" i="37" s="1"/>
  <c r="P2946" i="37"/>
  <c r="M2946" i="37"/>
  <c r="J2946" i="37"/>
  <c r="J2945" i="37"/>
  <c r="M2945" i="37" s="1"/>
  <c r="P2945" i="37" s="1"/>
  <c r="S2944" i="37"/>
  <c r="M2944" i="37"/>
  <c r="P2944" i="37" s="1"/>
  <c r="J2944" i="37"/>
  <c r="J2943" i="37"/>
  <c r="M2943" i="37" s="1"/>
  <c r="P2943" i="37" s="1"/>
  <c r="P2942" i="37"/>
  <c r="M2942" i="37"/>
  <c r="J2942" i="37"/>
  <c r="P2941" i="37"/>
  <c r="M2941" i="37"/>
  <c r="J2941" i="37"/>
  <c r="M2940" i="37"/>
  <c r="P2940" i="37" s="1"/>
  <c r="J2940" i="37"/>
  <c r="J2939" i="37"/>
  <c r="P2938" i="37"/>
  <c r="M2938" i="37"/>
  <c r="J2938" i="37"/>
  <c r="U2937" i="37"/>
  <c r="S2937" i="37"/>
  <c r="R2937" i="37"/>
  <c r="Q2937" i="37"/>
  <c r="O2937" i="37"/>
  <c r="N2937" i="37"/>
  <c r="L2937" i="37"/>
  <c r="K2937" i="37"/>
  <c r="I2937" i="37"/>
  <c r="H2937" i="37"/>
  <c r="G2937" i="37"/>
  <c r="F2937" i="37"/>
  <c r="E2937" i="37"/>
  <c r="D2937" i="37"/>
  <c r="D2793" i="37" s="1"/>
  <c r="C2937" i="37"/>
  <c r="J2935" i="37"/>
  <c r="M2935" i="37" s="1"/>
  <c r="P2935" i="37" s="1"/>
  <c r="P2934" i="37"/>
  <c r="M2934" i="37"/>
  <c r="J2934" i="37"/>
  <c r="P2933" i="37"/>
  <c r="M2933" i="37"/>
  <c r="J2933" i="37"/>
  <c r="M2932" i="37"/>
  <c r="P2932" i="37" s="1"/>
  <c r="J2932" i="37"/>
  <c r="J2931" i="37"/>
  <c r="M2931" i="37" s="1"/>
  <c r="P2931" i="37" s="1"/>
  <c r="P2930" i="37"/>
  <c r="M2930" i="37"/>
  <c r="J2930" i="37"/>
  <c r="P2929" i="37"/>
  <c r="M2929" i="37"/>
  <c r="J2929" i="37"/>
  <c r="M2928" i="37"/>
  <c r="P2928" i="37" s="1"/>
  <c r="J2928" i="37"/>
  <c r="J2927" i="37"/>
  <c r="M2927" i="37" s="1"/>
  <c r="P2927" i="37" s="1"/>
  <c r="P2926" i="37"/>
  <c r="M2926" i="37"/>
  <c r="J2926" i="37"/>
  <c r="P2925" i="37"/>
  <c r="M2925" i="37"/>
  <c r="J2925" i="37"/>
  <c r="M2924" i="37"/>
  <c r="P2924" i="37" s="1"/>
  <c r="J2924" i="37"/>
  <c r="J2923" i="37"/>
  <c r="M2923" i="37" s="1"/>
  <c r="P2923" i="37" s="1"/>
  <c r="P2922" i="37"/>
  <c r="M2922" i="37"/>
  <c r="J2922" i="37"/>
  <c r="P2921" i="37"/>
  <c r="M2921" i="37"/>
  <c r="J2921" i="37"/>
  <c r="M2920" i="37"/>
  <c r="P2920" i="37" s="1"/>
  <c r="J2920" i="37"/>
  <c r="J2919" i="37"/>
  <c r="M2919" i="37" s="1"/>
  <c r="P2919" i="37" s="1"/>
  <c r="P2918" i="37"/>
  <c r="M2918" i="37"/>
  <c r="J2918" i="37"/>
  <c r="P2917" i="37"/>
  <c r="M2917" i="37"/>
  <c r="J2917" i="37"/>
  <c r="M2916" i="37"/>
  <c r="P2916" i="37" s="1"/>
  <c r="J2916" i="37"/>
  <c r="J2915" i="37"/>
  <c r="M2915" i="37" s="1"/>
  <c r="P2915" i="37" s="1"/>
  <c r="P2914" i="37"/>
  <c r="M2914" i="37"/>
  <c r="J2914" i="37"/>
  <c r="P2913" i="37"/>
  <c r="M2913" i="37"/>
  <c r="J2913" i="37"/>
  <c r="M2912" i="37"/>
  <c r="P2912" i="37" s="1"/>
  <c r="J2912" i="37"/>
  <c r="J2911" i="37"/>
  <c r="M2911" i="37" s="1"/>
  <c r="P2911" i="37" s="1"/>
  <c r="P2910" i="37"/>
  <c r="P2909" i="37"/>
  <c r="M2909" i="37"/>
  <c r="P2908" i="37"/>
  <c r="M2908" i="37"/>
  <c r="K2908" i="37"/>
  <c r="J2908" i="37"/>
  <c r="P2907" i="37"/>
  <c r="M2907" i="37"/>
  <c r="L2907" i="37"/>
  <c r="J2907" i="37"/>
  <c r="P2906" i="37"/>
  <c r="M2906" i="37"/>
  <c r="J2906" i="37"/>
  <c r="M2905" i="37"/>
  <c r="P2905" i="37" s="1"/>
  <c r="J2905" i="37"/>
  <c r="J2904" i="37"/>
  <c r="U2903" i="37"/>
  <c r="S2903" i="37"/>
  <c r="R2903" i="37"/>
  <c r="Q2903" i="37"/>
  <c r="O2903" i="37"/>
  <c r="N2903" i="37"/>
  <c r="L2903" i="37"/>
  <c r="K2903" i="37"/>
  <c r="I2903" i="37"/>
  <c r="H2903" i="37"/>
  <c r="G2903" i="37"/>
  <c r="F2903" i="37"/>
  <c r="E2903" i="37"/>
  <c r="D2903" i="37"/>
  <c r="C2903" i="37"/>
  <c r="M2902" i="37"/>
  <c r="P2902" i="37" s="1"/>
  <c r="J2902" i="37"/>
  <c r="J2901" i="37"/>
  <c r="M2901" i="37" s="1"/>
  <c r="P2901" i="37" s="1"/>
  <c r="P2900" i="37"/>
  <c r="M2900" i="37"/>
  <c r="J2900" i="37"/>
  <c r="P2899" i="37"/>
  <c r="M2899" i="37"/>
  <c r="J2899" i="37"/>
  <c r="M2898" i="37"/>
  <c r="P2898" i="37" s="1"/>
  <c r="J2898" i="37"/>
  <c r="S2897" i="37"/>
  <c r="S2891" i="37" s="1"/>
  <c r="S2793" i="37" s="1"/>
  <c r="M2897" i="37"/>
  <c r="P2897" i="37" s="1"/>
  <c r="J2897" i="37"/>
  <c r="J2896" i="37"/>
  <c r="M2896" i="37" s="1"/>
  <c r="P2896" i="37" s="1"/>
  <c r="P2895" i="37"/>
  <c r="M2895" i="37"/>
  <c r="J2895" i="37"/>
  <c r="P2894" i="37"/>
  <c r="M2894" i="37"/>
  <c r="J2894" i="37"/>
  <c r="S2893" i="37"/>
  <c r="P2893" i="37"/>
  <c r="M2893" i="37"/>
  <c r="J2893" i="37"/>
  <c r="M2892" i="37"/>
  <c r="J2892" i="37"/>
  <c r="U2891" i="37"/>
  <c r="R2891" i="37"/>
  <c r="Q2891" i="37"/>
  <c r="O2891" i="37"/>
  <c r="N2891" i="37"/>
  <c r="L2891" i="37"/>
  <c r="K2891" i="37"/>
  <c r="J2891" i="37"/>
  <c r="I2891" i="37"/>
  <c r="H2891" i="37"/>
  <c r="G2891" i="37"/>
  <c r="F2891" i="37"/>
  <c r="E2891" i="37"/>
  <c r="D2891" i="37"/>
  <c r="C2891" i="37"/>
  <c r="P2890" i="37"/>
  <c r="M2890" i="37"/>
  <c r="J2890" i="37"/>
  <c r="M2889" i="37"/>
  <c r="P2889" i="37" s="1"/>
  <c r="J2889" i="37"/>
  <c r="J2888" i="37"/>
  <c r="M2888" i="37" s="1"/>
  <c r="P2888" i="37" s="1"/>
  <c r="P2887" i="37"/>
  <c r="M2887" i="37"/>
  <c r="J2887" i="37"/>
  <c r="P2886" i="37"/>
  <c r="M2886" i="37"/>
  <c r="J2886" i="37"/>
  <c r="M2885" i="37"/>
  <c r="P2885" i="37" s="1"/>
  <c r="J2885" i="37"/>
  <c r="J2884" i="37"/>
  <c r="M2884" i="37" s="1"/>
  <c r="P2884" i="37" s="1"/>
  <c r="P2883" i="37"/>
  <c r="M2883" i="37"/>
  <c r="J2883" i="37"/>
  <c r="P2882" i="37"/>
  <c r="M2882" i="37"/>
  <c r="J2882" i="37"/>
  <c r="M2881" i="37"/>
  <c r="P2881" i="37" s="1"/>
  <c r="J2881" i="37"/>
  <c r="J2880" i="37"/>
  <c r="M2880" i="37" s="1"/>
  <c r="P2880" i="37" s="1"/>
  <c r="P2879" i="37"/>
  <c r="M2879" i="37"/>
  <c r="J2879" i="37"/>
  <c r="P2878" i="37"/>
  <c r="M2878" i="37"/>
  <c r="J2878" i="37"/>
  <c r="M2877" i="37"/>
  <c r="P2877" i="37" s="1"/>
  <c r="J2877" i="37"/>
  <c r="J2876" i="37"/>
  <c r="M2876" i="37" s="1"/>
  <c r="P2876" i="37" s="1"/>
  <c r="P2875" i="37"/>
  <c r="M2875" i="37"/>
  <c r="J2875" i="37"/>
  <c r="P2874" i="37"/>
  <c r="M2874" i="37"/>
  <c r="J2874" i="37"/>
  <c r="M2873" i="37"/>
  <c r="P2873" i="37" s="1"/>
  <c r="J2873" i="37"/>
  <c r="J2872" i="37"/>
  <c r="M2872" i="37" s="1"/>
  <c r="P2872" i="37" s="1"/>
  <c r="P2871" i="37"/>
  <c r="M2871" i="37"/>
  <c r="J2871" i="37"/>
  <c r="P2870" i="37"/>
  <c r="M2870" i="37"/>
  <c r="J2870" i="37"/>
  <c r="M2869" i="37"/>
  <c r="P2869" i="37" s="1"/>
  <c r="J2869" i="37"/>
  <c r="J2868" i="37"/>
  <c r="M2868" i="37" s="1"/>
  <c r="P2868" i="37" s="1"/>
  <c r="P2867" i="37"/>
  <c r="M2867" i="37"/>
  <c r="J2867" i="37"/>
  <c r="P2866" i="37"/>
  <c r="M2866" i="37"/>
  <c r="J2866" i="37"/>
  <c r="M2865" i="37"/>
  <c r="P2865" i="37" s="1"/>
  <c r="J2865" i="37"/>
  <c r="J2864" i="37"/>
  <c r="M2864" i="37" s="1"/>
  <c r="P2864" i="37" s="1"/>
  <c r="P2863" i="37"/>
  <c r="M2863" i="37"/>
  <c r="J2863" i="37"/>
  <c r="P2862" i="37"/>
  <c r="M2862" i="37"/>
  <c r="J2862" i="37"/>
  <c r="M2861" i="37"/>
  <c r="P2861" i="37" s="1"/>
  <c r="J2861" i="37"/>
  <c r="J2860" i="37"/>
  <c r="M2860" i="37" s="1"/>
  <c r="P2860" i="37" s="1"/>
  <c r="P2859" i="37"/>
  <c r="M2859" i="37"/>
  <c r="J2859" i="37"/>
  <c r="P2858" i="37"/>
  <c r="M2858" i="37"/>
  <c r="J2858" i="37"/>
  <c r="M2857" i="37"/>
  <c r="P2857" i="37" s="1"/>
  <c r="P2856" i="37"/>
  <c r="M2856" i="37"/>
  <c r="J2856" i="37"/>
  <c r="P2855" i="37"/>
  <c r="M2855" i="37"/>
  <c r="J2855" i="37"/>
  <c r="M2854" i="37"/>
  <c r="P2854" i="37" s="1"/>
  <c r="J2854" i="37"/>
  <c r="J2853" i="37"/>
  <c r="M2853" i="37" s="1"/>
  <c r="P2853" i="37" s="1"/>
  <c r="K2852" i="37"/>
  <c r="J2852" i="37"/>
  <c r="M2852" i="37" s="1"/>
  <c r="P2852" i="37" s="1"/>
  <c r="P2851" i="37"/>
  <c r="M2851" i="37"/>
  <c r="J2851" i="37"/>
  <c r="P2850" i="37"/>
  <c r="M2850" i="37"/>
  <c r="J2850" i="37"/>
  <c r="M2849" i="37"/>
  <c r="P2849" i="37" s="1"/>
  <c r="J2849" i="37"/>
  <c r="P2848" i="37"/>
  <c r="M2848" i="37"/>
  <c r="P2847" i="37"/>
  <c r="M2847" i="37"/>
  <c r="J2847" i="37"/>
  <c r="S2846" i="37"/>
  <c r="P2846" i="37"/>
  <c r="M2846" i="37"/>
  <c r="J2846" i="37"/>
  <c r="M2845" i="37"/>
  <c r="P2845" i="37" s="1"/>
  <c r="J2845" i="37"/>
  <c r="J2844" i="37"/>
  <c r="M2844" i="37" s="1"/>
  <c r="P2844" i="37" s="1"/>
  <c r="P2843" i="37"/>
  <c r="M2843" i="37"/>
  <c r="J2843" i="37"/>
  <c r="P2842" i="37"/>
  <c r="M2842" i="37"/>
  <c r="J2842" i="37"/>
  <c r="M2841" i="37"/>
  <c r="P2841" i="37" s="1"/>
  <c r="J2841" i="37"/>
  <c r="J2840" i="37"/>
  <c r="M2840" i="37" s="1"/>
  <c r="P2840" i="37" s="1"/>
  <c r="P2839" i="37"/>
  <c r="M2839" i="37"/>
  <c r="J2839" i="37"/>
  <c r="P2838" i="37"/>
  <c r="M2838" i="37"/>
  <c r="J2838" i="37"/>
  <c r="M2837" i="37"/>
  <c r="P2837" i="37" s="1"/>
  <c r="J2837" i="37"/>
  <c r="J2836" i="37"/>
  <c r="M2836" i="37" s="1"/>
  <c r="P2836" i="37" s="1"/>
  <c r="P2835" i="37"/>
  <c r="M2835" i="37"/>
  <c r="J2835" i="37"/>
  <c r="P2834" i="37"/>
  <c r="M2834" i="37"/>
  <c r="J2834" i="37"/>
  <c r="P2833" i="37"/>
  <c r="P2832" i="37"/>
  <c r="M2832" i="37"/>
  <c r="J2832" i="37"/>
  <c r="M2831" i="37"/>
  <c r="P2831" i="37" s="1"/>
  <c r="J2831" i="37"/>
  <c r="S2830" i="37"/>
  <c r="M2830" i="37"/>
  <c r="P2830" i="37" s="1"/>
  <c r="J2830" i="37"/>
  <c r="S2829" i="37"/>
  <c r="O2829" i="37"/>
  <c r="O2794" i="37" s="1"/>
  <c r="O2793" i="37" s="1"/>
  <c r="M2829" i="37"/>
  <c r="P2829" i="37" s="1"/>
  <c r="J2829" i="37"/>
  <c r="S2828" i="37"/>
  <c r="P2828" i="37"/>
  <c r="M2828" i="37"/>
  <c r="J2828" i="37"/>
  <c r="M2827" i="37"/>
  <c r="P2827" i="37" s="1"/>
  <c r="J2827" i="37"/>
  <c r="J2826" i="37"/>
  <c r="M2826" i="37" s="1"/>
  <c r="P2826" i="37" s="1"/>
  <c r="P2825" i="37"/>
  <c r="M2825" i="37"/>
  <c r="J2825" i="37"/>
  <c r="P2824" i="37"/>
  <c r="M2824" i="37"/>
  <c r="J2824" i="37"/>
  <c r="M2823" i="37"/>
  <c r="P2823" i="37" s="1"/>
  <c r="J2823" i="37"/>
  <c r="J2822" i="37"/>
  <c r="M2822" i="37" s="1"/>
  <c r="P2822" i="37" s="1"/>
  <c r="F2822" i="37"/>
  <c r="J2821" i="37"/>
  <c r="M2821" i="37" s="1"/>
  <c r="P2821" i="37" s="1"/>
  <c r="P2820" i="37"/>
  <c r="M2820" i="37"/>
  <c r="J2820" i="37"/>
  <c r="P2819" i="37"/>
  <c r="M2819" i="37"/>
  <c r="J2819" i="37"/>
  <c r="F2819" i="37"/>
  <c r="P2818" i="37"/>
  <c r="M2818" i="37"/>
  <c r="J2818" i="37"/>
  <c r="M2817" i="37"/>
  <c r="P2817" i="37" s="1"/>
  <c r="J2817" i="37"/>
  <c r="J2816" i="37"/>
  <c r="M2816" i="37" s="1"/>
  <c r="P2816" i="37" s="1"/>
  <c r="P2815" i="37"/>
  <c r="M2815" i="37"/>
  <c r="J2815" i="37"/>
  <c r="P2814" i="37"/>
  <c r="M2814" i="37"/>
  <c r="J2814" i="37"/>
  <c r="M2813" i="37"/>
  <c r="P2813" i="37" s="1"/>
  <c r="J2813" i="37"/>
  <c r="J2812" i="37"/>
  <c r="M2812" i="37" s="1"/>
  <c r="P2812" i="37" s="1"/>
  <c r="P2811" i="37"/>
  <c r="M2811" i="37"/>
  <c r="J2811" i="37"/>
  <c r="P2810" i="37"/>
  <c r="M2810" i="37"/>
  <c r="J2810" i="37"/>
  <c r="M2809" i="37"/>
  <c r="P2809" i="37" s="1"/>
  <c r="J2809" i="37"/>
  <c r="J2808" i="37"/>
  <c r="M2808" i="37" s="1"/>
  <c r="P2808" i="37" s="1"/>
  <c r="K2807" i="37"/>
  <c r="J2807" i="37"/>
  <c r="M2807" i="37" s="1"/>
  <c r="P2807" i="37" s="1"/>
  <c r="P2806" i="37"/>
  <c r="M2806" i="37"/>
  <c r="P2805" i="37"/>
  <c r="J2805" i="37"/>
  <c r="P2804" i="37"/>
  <c r="J2804" i="37"/>
  <c r="M2803" i="37"/>
  <c r="P2803" i="37" s="1"/>
  <c r="J2803" i="37"/>
  <c r="J2802" i="37"/>
  <c r="M2802" i="37" s="1"/>
  <c r="P2802" i="37" s="1"/>
  <c r="P2801" i="37"/>
  <c r="M2801" i="37"/>
  <c r="J2801" i="37"/>
  <c r="P2800" i="37"/>
  <c r="M2800" i="37"/>
  <c r="J2800" i="37"/>
  <c r="M2799" i="37"/>
  <c r="P2799" i="37" s="1"/>
  <c r="J2799" i="37"/>
  <c r="J2798" i="37"/>
  <c r="M2798" i="37" s="1"/>
  <c r="P2798" i="37" s="1"/>
  <c r="P2797" i="37"/>
  <c r="M2797" i="37"/>
  <c r="J2797" i="37"/>
  <c r="P2796" i="37"/>
  <c r="M2796" i="37"/>
  <c r="J2796" i="37"/>
  <c r="M2795" i="37"/>
  <c r="J2795" i="37"/>
  <c r="U2794" i="37"/>
  <c r="S2794" i="37"/>
  <c r="R2794" i="37"/>
  <c r="R2793" i="37" s="1"/>
  <c r="Q2794" i="37"/>
  <c r="Q2793" i="37" s="1"/>
  <c r="N2794" i="37"/>
  <c r="N2793" i="37" s="1"/>
  <c r="L2794" i="37"/>
  <c r="K2794" i="37"/>
  <c r="J2794" i="37"/>
  <c r="I2794" i="37"/>
  <c r="H2794" i="37"/>
  <c r="G2794" i="37"/>
  <c r="F2794" i="37"/>
  <c r="F2793" i="37" s="1"/>
  <c r="E2794" i="37"/>
  <c r="D2794" i="37"/>
  <c r="C2794" i="37"/>
  <c r="U2793" i="37"/>
  <c r="L2793" i="37"/>
  <c r="K2793" i="37"/>
  <c r="H2793" i="37"/>
  <c r="G2793" i="37"/>
  <c r="C2793" i="37"/>
  <c r="J2792" i="37"/>
  <c r="M2792" i="37" s="1"/>
  <c r="P2792" i="37" s="1"/>
  <c r="P2790" i="37"/>
  <c r="M2790" i="37"/>
  <c r="J2790" i="37"/>
  <c r="P2789" i="37"/>
  <c r="M2789" i="37"/>
  <c r="J2789" i="37"/>
  <c r="M2788" i="37"/>
  <c r="P2788" i="37" s="1"/>
  <c r="J2788" i="37"/>
  <c r="J2786" i="37"/>
  <c r="M2786" i="37" s="1"/>
  <c r="P2786" i="37" s="1"/>
  <c r="P2785" i="37"/>
  <c r="M2785" i="37"/>
  <c r="J2785" i="37"/>
  <c r="P2781" i="37"/>
  <c r="M2781" i="37"/>
  <c r="J2781" i="37"/>
  <c r="M2780" i="37"/>
  <c r="P2780" i="37" s="1"/>
  <c r="J2780" i="37"/>
  <c r="J2779" i="37"/>
  <c r="M2779" i="37" s="1"/>
  <c r="P2779" i="37" s="1"/>
  <c r="P2778" i="37"/>
  <c r="M2778" i="37"/>
  <c r="J2778" i="37"/>
  <c r="S2777" i="37"/>
  <c r="P2777" i="37"/>
  <c r="M2777" i="37"/>
  <c r="J2777" i="37"/>
  <c r="P2776" i="37"/>
  <c r="M2776" i="37"/>
  <c r="J2776" i="37"/>
  <c r="M2775" i="37"/>
  <c r="P2775" i="37" s="1"/>
  <c r="J2775" i="37"/>
  <c r="J2773" i="37"/>
  <c r="M2773" i="37" s="1"/>
  <c r="P2773" i="37" s="1"/>
  <c r="P2772" i="37"/>
  <c r="M2772" i="37"/>
  <c r="J2772" i="37"/>
  <c r="P2771" i="37"/>
  <c r="M2771" i="37"/>
  <c r="J2771" i="37"/>
  <c r="M2770" i="37"/>
  <c r="P2770" i="37" s="1"/>
  <c r="J2770" i="37"/>
  <c r="J2769" i="37"/>
  <c r="M2769" i="37" s="1"/>
  <c r="P2769" i="37" s="1"/>
  <c r="P2768" i="37"/>
  <c r="M2768" i="37"/>
  <c r="J2768" i="37"/>
  <c r="P2767" i="37"/>
  <c r="M2767" i="37"/>
  <c r="J2767" i="37"/>
  <c r="M2766" i="37"/>
  <c r="P2766" i="37" s="1"/>
  <c r="J2766" i="37"/>
  <c r="J2765" i="37"/>
  <c r="M2765" i="37" s="1"/>
  <c r="P2765" i="37" s="1"/>
  <c r="P2764" i="37"/>
  <c r="M2764" i="37"/>
  <c r="J2764" i="37"/>
  <c r="P2763" i="37"/>
  <c r="M2763" i="37"/>
  <c r="J2762" i="37"/>
  <c r="M2762" i="37" s="1"/>
  <c r="P2762" i="37" s="1"/>
  <c r="P2760" i="37"/>
  <c r="M2760" i="37"/>
  <c r="J2760" i="37"/>
  <c r="U2759" i="37"/>
  <c r="U2738" i="37" s="1"/>
  <c r="U2679" i="37" s="1"/>
  <c r="P2759" i="37"/>
  <c r="M2759" i="37"/>
  <c r="J2759" i="37"/>
  <c r="S2758" i="37"/>
  <c r="S2738" i="37" s="1"/>
  <c r="P2758" i="37"/>
  <c r="M2758" i="37"/>
  <c r="J2758" i="37"/>
  <c r="P2756" i="37"/>
  <c r="M2756" i="37"/>
  <c r="J2756" i="37"/>
  <c r="M2755" i="37"/>
  <c r="P2755" i="37" s="1"/>
  <c r="J2755" i="37"/>
  <c r="J2754" i="37"/>
  <c r="M2754" i="37" s="1"/>
  <c r="P2754" i="37" s="1"/>
  <c r="P2752" i="37"/>
  <c r="M2752" i="37"/>
  <c r="J2752" i="37"/>
  <c r="P2751" i="37"/>
  <c r="M2751" i="37"/>
  <c r="J2751" i="37"/>
  <c r="M2750" i="37"/>
  <c r="P2750" i="37" s="1"/>
  <c r="J2750" i="37"/>
  <c r="J2749" i="37"/>
  <c r="M2749" i="37" s="1"/>
  <c r="P2749" i="37" s="1"/>
  <c r="P2748" i="37"/>
  <c r="M2748" i="37"/>
  <c r="J2748" i="37"/>
  <c r="P2747" i="37"/>
  <c r="M2747" i="37"/>
  <c r="J2747" i="37"/>
  <c r="M2746" i="37"/>
  <c r="P2746" i="37" s="1"/>
  <c r="J2746" i="37"/>
  <c r="J2745" i="37"/>
  <c r="M2745" i="37" s="1"/>
  <c r="P2745" i="37" s="1"/>
  <c r="P2744" i="37"/>
  <c r="M2744" i="37"/>
  <c r="J2744" i="37"/>
  <c r="P2743" i="37"/>
  <c r="M2743" i="37"/>
  <c r="J2743" i="37"/>
  <c r="M2742" i="37"/>
  <c r="P2742" i="37" s="1"/>
  <c r="J2742" i="37"/>
  <c r="J2741" i="37"/>
  <c r="P2740" i="37"/>
  <c r="M2740" i="37"/>
  <c r="J2740" i="37"/>
  <c r="P2739" i="37"/>
  <c r="M2739" i="37"/>
  <c r="J2739" i="37"/>
  <c r="R2738" i="37"/>
  <c r="Q2738" i="37"/>
  <c r="O2738" i="37"/>
  <c r="N2738" i="37"/>
  <c r="L2738" i="37"/>
  <c r="K2738" i="37"/>
  <c r="I2738" i="37"/>
  <c r="H2738" i="37"/>
  <c r="G2738" i="37"/>
  <c r="F2738" i="37"/>
  <c r="E2738" i="37"/>
  <c r="D2738" i="37"/>
  <c r="C2738" i="37"/>
  <c r="J2737" i="37"/>
  <c r="M2737" i="37" s="1"/>
  <c r="P2737" i="37" s="1"/>
  <c r="P2736" i="37"/>
  <c r="M2736" i="37"/>
  <c r="J2736" i="37"/>
  <c r="M2735" i="37"/>
  <c r="P2735" i="37" s="1"/>
  <c r="J2735" i="37"/>
  <c r="J2734" i="37"/>
  <c r="M2734" i="37" s="1"/>
  <c r="P2734" i="37" s="1"/>
  <c r="J2733" i="37"/>
  <c r="M2733" i="37" s="1"/>
  <c r="P2733" i="37" s="1"/>
  <c r="P2732" i="37"/>
  <c r="M2732" i="37"/>
  <c r="J2732" i="37"/>
  <c r="M2731" i="37"/>
  <c r="P2731" i="37" s="1"/>
  <c r="J2731" i="37"/>
  <c r="J2730" i="37"/>
  <c r="M2730" i="37" s="1"/>
  <c r="P2730" i="37" s="1"/>
  <c r="J2729" i="37"/>
  <c r="M2729" i="37" s="1"/>
  <c r="P2729" i="37" s="1"/>
  <c r="P2728" i="37"/>
  <c r="M2728" i="37"/>
  <c r="J2727" i="37"/>
  <c r="M2727" i="37" s="1"/>
  <c r="P2727" i="37" s="1"/>
  <c r="J2726" i="37"/>
  <c r="M2726" i="37" s="1"/>
  <c r="P2726" i="37" s="1"/>
  <c r="P2725" i="37"/>
  <c r="M2725" i="37"/>
  <c r="J2725" i="37"/>
  <c r="M2724" i="37"/>
  <c r="P2724" i="37" s="1"/>
  <c r="J2724" i="37"/>
  <c r="J2723" i="37"/>
  <c r="J2722" i="37"/>
  <c r="M2722" i="37" s="1"/>
  <c r="P2722" i="37" s="1"/>
  <c r="P2721" i="37"/>
  <c r="M2721" i="37"/>
  <c r="J2721" i="37"/>
  <c r="M2720" i="37"/>
  <c r="J2720" i="37"/>
  <c r="U2719" i="37"/>
  <c r="S2719" i="37"/>
  <c r="R2719" i="37"/>
  <c r="Q2719" i="37"/>
  <c r="O2719" i="37"/>
  <c r="N2719" i="37"/>
  <c r="L2719" i="37"/>
  <c r="K2719" i="37"/>
  <c r="I2719" i="37"/>
  <c r="H2719" i="37"/>
  <c r="G2719" i="37"/>
  <c r="F2719" i="37"/>
  <c r="E2719" i="37"/>
  <c r="D2719" i="37"/>
  <c r="C2719" i="37"/>
  <c r="P2718" i="37"/>
  <c r="P2717" i="37" s="1"/>
  <c r="M2718" i="37"/>
  <c r="M2717" i="37" s="1"/>
  <c r="J2718" i="37"/>
  <c r="U2717" i="37"/>
  <c r="S2717" i="37"/>
  <c r="R2717" i="37"/>
  <c r="Q2717" i="37"/>
  <c r="O2717" i="37"/>
  <c r="N2717" i="37"/>
  <c r="L2717" i="37"/>
  <c r="K2717" i="37"/>
  <c r="J2717" i="37"/>
  <c r="I2717" i="37"/>
  <c r="H2717" i="37"/>
  <c r="G2717" i="37"/>
  <c r="F2717" i="37"/>
  <c r="E2717" i="37"/>
  <c r="D2717" i="37"/>
  <c r="C2717" i="37"/>
  <c r="P2716" i="37"/>
  <c r="M2716" i="37"/>
  <c r="M2715" i="37"/>
  <c r="P2715" i="37" s="1"/>
  <c r="P2714" i="37"/>
  <c r="M2714" i="37"/>
  <c r="M2713" i="37"/>
  <c r="P2713" i="37" s="1"/>
  <c r="P2712" i="37"/>
  <c r="M2712" i="37"/>
  <c r="K2712" i="37"/>
  <c r="P2711" i="37"/>
  <c r="M2711" i="37"/>
  <c r="S2710" i="37"/>
  <c r="M2710" i="37"/>
  <c r="P2710" i="37" s="1"/>
  <c r="P2709" i="37"/>
  <c r="M2709" i="37"/>
  <c r="M2708" i="37"/>
  <c r="P2708" i="37" s="1"/>
  <c r="P2707" i="37"/>
  <c r="M2707" i="37"/>
  <c r="M2706" i="37"/>
  <c r="P2706" i="37" s="1"/>
  <c r="J2706" i="37"/>
  <c r="J2705" i="37"/>
  <c r="M2705" i="37" s="1"/>
  <c r="P2705" i="37" s="1"/>
  <c r="J2703" i="37"/>
  <c r="M2703" i="37" s="1"/>
  <c r="P2703" i="37" s="1"/>
  <c r="P2702" i="37"/>
  <c r="M2702" i="37"/>
  <c r="J2702" i="37"/>
  <c r="M2701" i="37"/>
  <c r="P2701" i="37" s="1"/>
  <c r="J2701" i="37"/>
  <c r="J2700" i="37"/>
  <c r="M2700" i="37" s="1"/>
  <c r="P2700" i="37" s="1"/>
  <c r="J2699" i="37"/>
  <c r="M2699" i="37" s="1"/>
  <c r="P2699" i="37" s="1"/>
  <c r="P2698" i="37"/>
  <c r="M2698" i="37"/>
  <c r="J2698" i="37"/>
  <c r="M2697" i="37"/>
  <c r="P2697" i="37" s="1"/>
  <c r="J2697" i="37"/>
  <c r="J2696" i="37"/>
  <c r="M2696" i="37" s="1"/>
  <c r="P2696" i="37" s="1"/>
  <c r="J2694" i="37"/>
  <c r="M2694" i="37" s="1"/>
  <c r="P2694" i="37" s="1"/>
  <c r="P2693" i="37"/>
  <c r="M2693" i="37"/>
  <c r="J2693" i="37"/>
  <c r="M2692" i="37"/>
  <c r="P2692" i="37" s="1"/>
  <c r="J2692" i="37"/>
  <c r="J2691" i="37"/>
  <c r="M2691" i="37" s="1"/>
  <c r="P2691" i="37" s="1"/>
  <c r="J2690" i="37"/>
  <c r="M2690" i="37" s="1"/>
  <c r="P2690" i="37" s="1"/>
  <c r="P2689" i="37"/>
  <c r="M2689" i="37"/>
  <c r="J2689" i="37"/>
  <c r="M2688" i="37"/>
  <c r="P2688" i="37" s="1"/>
  <c r="J2688" i="37"/>
  <c r="J2687" i="37"/>
  <c r="M2687" i="37" s="1"/>
  <c r="P2687" i="37" s="1"/>
  <c r="J2686" i="37"/>
  <c r="M2686" i="37" s="1"/>
  <c r="P2686" i="37" s="1"/>
  <c r="P2685" i="37"/>
  <c r="M2685" i="37"/>
  <c r="J2685" i="37"/>
  <c r="M2684" i="37"/>
  <c r="P2684" i="37" s="1"/>
  <c r="J2684" i="37"/>
  <c r="J2683" i="37"/>
  <c r="J2682" i="37"/>
  <c r="M2682" i="37" s="1"/>
  <c r="P2682" i="37" s="1"/>
  <c r="P2681" i="37"/>
  <c r="M2681" i="37"/>
  <c r="J2681" i="37"/>
  <c r="U2680" i="37"/>
  <c r="S2680" i="37"/>
  <c r="R2680" i="37"/>
  <c r="R2679" i="37" s="1"/>
  <c r="Q2680" i="37"/>
  <c r="O2680" i="37"/>
  <c r="O2679" i="37" s="1"/>
  <c r="N2680" i="37"/>
  <c r="L2680" i="37"/>
  <c r="K2680" i="37"/>
  <c r="I2680" i="37"/>
  <c r="H2680" i="37"/>
  <c r="G2680" i="37"/>
  <c r="G2679" i="37" s="1"/>
  <c r="F2680" i="37"/>
  <c r="E2680" i="37"/>
  <c r="D2680" i="37"/>
  <c r="C2680" i="37"/>
  <c r="C2679" i="37" s="1"/>
  <c r="Q2679" i="37"/>
  <c r="L2679" i="37"/>
  <c r="I2679" i="37"/>
  <c r="H2679" i="37"/>
  <c r="E2679" i="37"/>
  <c r="D2679" i="37"/>
  <c r="M2678" i="37"/>
  <c r="P2678" i="37" s="1"/>
  <c r="J2678" i="37"/>
  <c r="J2677" i="37"/>
  <c r="M2677" i="37" s="1"/>
  <c r="P2677" i="37" s="1"/>
  <c r="J2674" i="37"/>
  <c r="M2674" i="37" s="1"/>
  <c r="P2674" i="37" s="1"/>
  <c r="P2673" i="37"/>
  <c r="M2673" i="37"/>
  <c r="J2673" i="37"/>
  <c r="M2672" i="37"/>
  <c r="P2672" i="37" s="1"/>
  <c r="J2672" i="37"/>
  <c r="S2671" i="37"/>
  <c r="M2671" i="37"/>
  <c r="P2671" i="37" s="1"/>
  <c r="J2671" i="37"/>
  <c r="J2670" i="37"/>
  <c r="M2670" i="37" s="1"/>
  <c r="P2670" i="37" s="1"/>
  <c r="J2669" i="37"/>
  <c r="M2669" i="37" s="1"/>
  <c r="P2669" i="37" s="1"/>
  <c r="P2668" i="37"/>
  <c r="M2668" i="37"/>
  <c r="J2668" i="37"/>
  <c r="M2667" i="37"/>
  <c r="P2667" i="37" s="1"/>
  <c r="J2667" i="37"/>
  <c r="J2666" i="37"/>
  <c r="M2666" i="37" s="1"/>
  <c r="P2666" i="37" s="1"/>
  <c r="S2665" i="37"/>
  <c r="J2665" i="37"/>
  <c r="M2665" i="37" s="1"/>
  <c r="P2665" i="37" s="1"/>
  <c r="J2664" i="37"/>
  <c r="M2664" i="37" s="1"/>
  <c r="P2664" i="37" s="1"/>
  <c r="P2663" i="37"/>
  <c r="M2663" i="37"/>
  <c r="J2663" i="37"/>
  <c r="M2662" i="37"/>
  <c r="P2662" i="37" s="1"/>
  <c r="J2662" i="37"/>
  <c r="J2661" i="37"/>
  <c r="M2661" i="37" s="1"/>
  <c r="P2661" i="37" s="1"/>
  <c r="J2660" i="37"/>
  <c r="M2660" i="37" s="1"/>
  <c r="P2660" i="37" s="1"/>
  <c r="P2659" i="37"/>
  <c r="M2659" i="37"/>
  <c r="J2659" i="37"/>
  <c r="M2658" i="37"/>
  <c r="P2658" i="37" s="1"/>
  <c r="J2658" i="37"/>
  <c r="J2657" i="37"/>
  <c r="M2657" i="37" s="1"/>
  <c r="P2657" i="37" s="1"/>
  <c r="J2656" i="37"/>
  <c r="M2656" i="37" s="1"/>
  <c r="P2656" i="37" s="1"/>
  <c r="P2655" i="37"/>
  <c r="M2655" i="37"/>
  <c r="J2655" i="37"/>
  <c r="M2654" i="37"/>
  <c r="P2654" i="37" s="1"/>
  <c r="J2654" i="37"/>
  <c r="J2653" i="37"/>
  <c r="M2653" i="37" s="1"/>
  <c r="P2653" i="37" s="1"/>
  <c r="J2652" i="37"/>
  <c r="M2652" i="37" s="1"/>
  <c r="P2652" i="37" s="1"/>
  <c r="P2651" i="37"/>
  <c r="M2651" i="37"/>
  <c r="J2651" i="37"/>
  <c r="M2650" i="37"/>
  <c r="P2650" i="37" s="1"/>
  <c r="J2650" i="37"/>
  <c r="J2649" i="37"/>
  <c r="J2648" i="37"/>
  <c r="M2648" i="37" s="1"/>
  <c r="U2647" i="37"/>
  <c r="S2647" i="37"/>
  <c r="R2647" i="37"/>
  <c r="Q2647" i="37"/>
  <c r="O2647" i="37"/>
  <c r="N2647" i="37"/>
  <c r="L2647" i="37"/>
  <c r="K2647" i="37"/>
  <c r="I2647" i="37"/>
  <c r="H2647" i="37"/>
  <c r="G2647" i="37"/>
  <c r="F2647" i="37"/>
  <c r="E2647" i="37"/>
  <c r="D2647" i="37"/>
  <c r="C2647" i="37"/>
  <c r="J2646" i="37"/>
  <c r="M2646" i="37" s="1"/>
  <c r="P2646" i="37" s="1"/>
  <c r="J2645" i="37"/>
  <c r="M2645" i="37" s="1"/>
  <c r="P2645" i="37" s="1"/>
  <c r="P2644" i="37"/>
  <c r="M2644" i="37"/>
  <c r="J2644" i="37"/>
  <c r="M2643" i="37"/>
  <c r="P2643" i="37" s="1"/>
  <c r="J2643" i="37"/>
  <c r="J2642" i="37"/>
  <c r="M2642" i="37" s="1"/>
  <c r="P2642" i="37" s="1"/>
  <c r="J2641" i="37"/>
  <c r="M2641" i="37" s="1"/>
  <c r="P2641" i="37" s="1"/>
  <c r="P2640" i="37"/>
  <c r="M2640" i="37"/>
  <c r="J2640" i="37"/>
  <c r="S2639" i="37"/>
  <c r="P2639" i="37"/>
  <c r="M2639" i="37"/>
  <c r="J2639" i="37"/>
  <c r="M2638" i="37"/>
  <c r="P2638" i="37" s="1"/>
  <c r="J2638" i="37"/>
  <c r="J2637" i="37"/>
  <c r="M2637" i="37" s="1"/>
  <c r="P2637" i="37" s="1"/>
  <c r="J2636" i="37"/>
  <c r="M2636" i="37" s="1"/>
  <c r="P2636" i="37" s="1"/>
  <c r="P2635" i="37"/>
  <c r="M2635" i="37"/>
  <c r="J2635" i="37"/>
  <c r="M2634" i="37"/>
  <c r="P2634" i="37" s="1"/>
  <c r="J2634" i="37"/>
  <c r="J2633" i="37"/>
  <c r="M2633" i="37" s="1"/>
  <c r="P2633" i="37" s="1"/>
  <c r="J2632" i="37"/>
  <c r="M2632" i="37" s="1"/>
  <c r="P2632" i="37" s="1"/>
  <c r="P2631" i="37"/>
  <c r="M2631" i="37"/>
  <c r="J2631" i="37"/>
  <c r="S2630" i="37"/>
  <c r="P2630" i="37"/>
  <c r="M2630" i="37"/>
  <c r="J2630" i="37"/>
  <c r="M2629" i="37"/>
  <c r="P2629" i="37" s="1"/>
  <c r="J2629" i="37"/>
  <c r="J2628" i="37"/>
  <c r="M2628" i="37" s="1"/>
  <c r="P2628" i="37" s="1"/>
  <c r="J2627" i="37"/>
  <c r="M2627" i="37" s="1"/>
  <c r="P2627" i="37" s="1"/>
  <c r="P2626" i="37"/>
  <c r="M2626" i="37"/>
  <c r="J2626" i="37"/>
  <c r="M2625" i="37"/>
  <c r="P2625" i="37" s="1"/>
  <c r="J2625" i="37"/>
  <c r="J2624" i="37"/>
  <c r="M2624" i="37" s="1"/>
  <c r="P2624" i="37" s="1"/>
  <c r="J2623" i="37"/>
  <c r="M2623" i="37" s="1"/>
  <c r="P2623" i="37" s="1"/>
  <c r="P2622" i="37"/>
  <c r="M2622" i="37"/>
  <c r="J2622" i="37"/>
  <c r="M2621" i="37"/>
  <c r="P2621" i="37" s="1"/>
  <c r="J2621" i="37"/>
  <c r="J2620" i="37"/>
  <c r="M2620" i="37" s="1"/>
  <c r="P2620" i="37" s="1"/>
  <c r="J2619" i="37"/>
  <c r="M2619" i="37" s="1"/>
  <c r="P2619" i="37" s="1"/>
  <c r="P2618" i="37"/>
  <c r="M2618" i="37"/>
  <c r="J2618" i="37"/>
  <c r="M2617" i="37"/>
  <c r="P2617" i="37" s="1"/>
  <c r="J2617" i="37"/>
  <c r="J2616" i="37"/>
  <c r="J2615" i="37"/>
  <c r="M2615" i="37" s="1"/>
  <c r="U2614" i="37"/>
  <c r="S2614" i="37"/>
  <c r="R2614" i="37"/>
  <c r="Q2614" i="37"/>
  <c r="O2614" i="37"/>
  <c r="N2614" i="37"/>
  <c r="L2614" i="37"/>
  <c r="K2614" i="37"/>
  <c r="I2614" i="37"/>
  <c r="H2614" i="37"/>
  <c r="H2344" i="37" s="1"/>
  <c r="G2614" i="37"/>
  <c r="F2614" i="37"/>
  <c r="E2614" i="37"/>
  <c r="D2614" i="37"/>
  <c r="C2614" i="37"/>
  <c r="J2613" i="37"/>
  <c r="M2613" i="37" s="1"/>
  <c r="P2613" i="37" s="1"/>
  <c r="J2612" i="37"/>
  <c r="M2612" i="37" s="1"/>
  <c r="P2612" i="37" s="1"/>
  <c r="P2610" i="37"/>
  <c r="M2610" i="37"/>
  <c r="J2610" i="37"/>
  <c r="M2609" i="37"/>
  <c r="P2609" i="37" s="1"/>
  <c r="J2609" i="37"/>
  <c r="J2608" i="37"/>
  <c r="M2608" i="37" s="1"/>
  <c r="P2608" i="37" s="1"/>
  <c r="J2607" i="37"/>
  <c r="M2607" i="37" s="1"/>
  <c r="P2607" i="37" s="1"/>
  <c r="P2605" i="37"/>
  <c r="M2605" i="37"/>
  <c r="J2605" i="37"/>
  <c r="M2604" i="37"/>
  <c r="P2604" i="37" s="1"/>
  <c r="J2604" i="37"/>
  <c r="J2603" i="37"/>
  <c r="M2603" i="37" s="1"/>
  <c r="P2603" i="37" s="1"/>
  <c r="J2602" i="37"/>
  <c r="M2602" i="37" s="1"/>
  <c r="P2602" i="37" s="1"/>
  <c r="N2601" i="37"/>
  <c r="N2548" i="37" s="1"/>
  <c r="J2601" i="37"/>
  <c r="M2601" i="37" s="1"/>
  <c r="P2600" i="37"/>
  <c r="M2600" i="37"/>
  <c r="J2600" i="37"/>
  <c r="M2599" i="37"/>
  <c r="P2599" i="37" s="1"/>
  <c r="J2599" i="37"/>
  <c r="J2597" i="37"/>
  <c r="M2597" i="37" s="1"/>
  <c r="P2597" i="37" s="1"/>
  <c r="J2596" i="37"/>
  <c r="M2596" i="37" s="1"/>
  <c r="P2596" i="37" s="1"/>
  <c r="P2595" i="37"/>
  <c r="M2595" i="37"/>
  <c r="J2595" i="37"/>
  <c r="M2594" i="37"/>
  <c r="P2594" i="37" s="1"/>
  <c r="J2594" i="37"/>
  <c r="J2593" i="37"/>
  <c r="M2593" i="37" s="1"/>
  <c r="P2593" i="37" s="1"/>
  <c r="S2592" i="37"/>
  <c r="J2592" i="37"/>
  <c r="M2592" i="37" s="1"/>
  <c r="P2592" i="37" s="1"/>
  <c r="P2591" i="37"/>
  <c r="P2590" i="37"/>
  <c r="S2589" i="37"/>
  <c r="P2589" i="37"/>
  <c r="M2589" i="37"/>
  <c r="J2589" i="37"/>
  <c r="M2588" i="37"/>
  <c r="P2588" i="37" s="1"/>
  <c r="J2588" i="37"/>
  <c r="J2587" i="37"/>
  <c r="M2587" i="37" s="1"/>
  <c r="P2587" i="37" s="1"/>
  <c r="P2586" i="37"/>
  <c r="M2586" i="37"/>
  <c r="J2586" i="37"/>
  <c r="P2585" i="37"/>
  <c r="M2585" i="37"/>
  <c r="J2585" i="37"/>
  <c r="M2584" i="37"/>
  <c r="P2584" i="37" s="1"/>
  <c r="J2584" i="37"/>
  <c r="J2583" i="37"/>
  <c r="M2583" i="37" s="1"/>
  <c r="P2583" i="37" s="1"/>
  <c r="P2582" i="37"/>
  <c r="M2582" i="37"/>
  <c r="M2581" i="37"/>
  <c r="P2581" i="37" s="1"/>
  <c r="J2581" i="37"/>
  <c r="J2580" i="37"/>
  <c r="M2580" i="37" s="1"/>
  <c r="P2580" i="37" s="1"/>
  <c r="S2579" i="37"/>
  <c r="P2579" i="37"/>
  <c r="M2579" i="37"/>
  <c r="S2578" i="37"/>
  <c r="S2548" i="37" s="1"/>
  <c r="P2578" i="37"/>
  <c r="M2578" i="37"/>
  <c r="J2578" i="37"/>
  <c r="P2577" i="37"/>
  <c r="M2577" i="37"/>
  <c r="J2577" i="37"/>
  <c r="M2576" i="37"/>
  <c r="P2576" i="37" s="1"/>
  <c r="J2576" i="37"/>
  <c r="J2575" i="37"/>
  <c r="M2575" i="37" s="1"/>
  <c r="P2575" i="37" s="1"/>
  <c r="P2574" i="37"/>
  <c r="M2574" i="37"/>
  <c r="J2574" i="37"/>
  <c r="P2573" i="37"/>
  <c r="M2573" i="37"/>
  <c r="J2573" i="37"/>
  <c r="M2572" i="37"/>
  <c r="P2572" i="37" s="1"/>
  <c r="J2572" i="37"/>
  <c r="J2571" i="37"/>
  <c r="M2571" i="37" s="1"/>
  <c r="P2571" i="37" s="1"/>
  <c r="O2570" i="37"/>
  <c r="J2570" i="37"/>
  <c r="M2570" i="37" s="1"/>
  <c r="P2570" i="37" s="1"/>
  <c r="P2568" i="37"/>
  <c r="J2567" i="37"/>
  <c r="M2567" i="37" s="1"/>
  <c r="P2567" i="37" s="1"/>
  <c r="P2566" i="37"/>
  <c r="M2566" i="37"/>
  <c r="J2566" i="37"/>
  <c r="P2565" i="37"/>
  <c r="O2565" i="37"/>
  <c r="O2548" i="37" s="1"/>
  <c r="M2565" i="37"/>
  <c r="J2565" i="37"/>
  <c r="P2564" i="37"/>
  <c r="M2564" i="37"/>
  <c r="J2564" i="37"/>
  <c r="M2563" i="37"/>
  <c r="P2563" i="37" s="1"/>
  <c r="J2563" i="37"/>
  <c r="J2562" i="37"/>
  <c r="M2562" i="37" s="1"/>
  <c r="P2562" i="37" s="1"/>
  <c r="P2561" i="37"/>
  <c r="M2561" i="37"/>
  <c r="J2561" i="37"/>
  <c r="P2559" i="37"/>
  <c r="M2559" i="37"/>
  <c r="J2559" i="37"/>
  <c r="M2558" i="37"/>
  <c r="P2558" i="37" s="1"/>
  <c r="J2558" i="37"/>
  <c r="J2557" i="37"/>
  <c r="M2557" i="37" s="1"/>
  <c r="P2557" i="37" s="1"/>
  <c r="J2556" i="37"/>
  <c r="M2556" i="37" s="1"/>
  <c r="P2556" i="37" s="1"/>
  <c r="P2555" i="37"/>
  <c r="M2555" i="37"/>
  <c r="J2555" i="37"/>
  <c r="M2554" i="37"/>
  <c r="P2554" i="37" s="1"/>
  <c r="J2554" i="37"/>
  <c r="J2553" i="37"/>
  <c r="M2553" i="37" s="1"/>
  <c r="P2553" i="37" s="1"/>
  <c r="J2552" i="37"/>
  <c r="M2552" i="37" s="1"/>
  <c r="P2552" i="37" s="1"/>
  <c r="P2551" i="37"/>
  <c r="M2551" i="37"/>
  <c r="J2551" i="37"/>
  <c r="M2550" i="37"/>
  <c r="P2550" i="37" s="1"/>
  <c r="J2550" i="37"/>
  <c r="J2549" i="37"/>
  <c r="U2548" i="37"/>
  <c r="R2548" i="37"/>
  <c r="Q2548" i="37"/>
  <c r="L2548" i="37"/>
  <c r="K2548" i="37"/>
  <c r="I2548" i="37"/>
  <c r="H2548" i="37"/>
  <c r="G2548" i="37"/>
  <c r="F2548" i="37"/>
  <c r="E2548" i="37"/>
  <c r="D2548" i="37"/>
  <c r="C2548" i="37"/>
  <c r="M2547" i="37"/>
  <c r="P2547" i="37" s="1"/>
  <c r="J2547" i="37"/>
  <c r="J2544" i="37"/>
  <c r="M2544" i="37" s="1"/>
  <c r="P2544" i="37" s="1"/>
  <c r="J2543" i="37"/>
  <c r="M2543" i="37" s="1"/>
  <c r="P2543" i="37" s="1"/>
  <c r="P2541" i="37"/>
  <c r="M2541" i="37"/>
  <c r="J2541" i="37"/>
  <c r="M2540" i="37"/>
  <c r="P2540" i="37" s="1"/>
  <c r="J2540" i="37"/>
  <c r="J2539" i="37"/>
  <c r="M2539" i="37" s="1"/>
  <c r="P2539" i="37" s="1"/>
  <c r="J2537" i="37"/>
  <c r="M2537" i="37" s="1"/>
  <c r="P2537" i="37" s="1"/>
  <c r="S2536" i="37"/>
  <c r="J2536" i="37"/>
  <c r="M2536" i="37" s="1"/>
  <c r="P2536" i="37" s="1"/>
  <c r="P2535" i="37"/>
  <c r="M2535" i="37"/>
  <c r="J2535" i="37"/>
  <c r="M2533" i="37"/>
  <c r="P2533" i="37" s="1"/>
  <c r="J2533" i="37"/>
  <c r="J2532" i="37"/>
  <c r="M2532" i="37" s="1"/>
  <c r="P2532" i="37" s="1"/>
  <c r="J2531" i="37"/>
  <c r="M2531" i="37" s="1"/>
  <c r="P2531" i="37" s="1"/>
  <c r="P2530" i="37"/>
  <c r="M2530" i="37"/>
  <c r="J2530" i="37"/>
  <c r="M2529" i="37"/>
  <c r="P2529" i="37" s="1"/>
  <c r="J2529" i="37"/>
  <c r="J2528" i="37"/>
  <c r="M2528" i="37" s="1"/>
  <c r="P2528" i="37" s="1"/>
  <c r="J2527" i="37"/>
  <c r="M2527" i="37" s="1"/>
  <c r="P2527" i="37" s="1"/>
  <c r="S2525" i="37"/>
  <c r="J2525" i="37"/>
  <c r="M2525" i="37" s="1"/>
  <c r="P2525" i="37" s="1"/>
  <c r="S2524" i="37"/>
  <c r="J2524" i="37"/>
  <c r="M2524" i="37" s="1"/>
  <c r="P2524" i="37" s="1"/>
  <c r="P2523" i="37"/>
  <c r="M2523" i="37"/>
  <c r="J2523" i="37"/>
  <c r="M2522" i="37"/>
  <c r="P2522" i="37" s="1"/>
  <c r="J2522" i="37"/>
  <c r="L2521" i="37"/>
  <c r="L2501" i="37" s="1"/>
  <c r="J2521" i="37"/>
  <c r="M2521" i="37" s="1"/>
  <c r="P2521" i="37" s="1"/>
  <c r="J2519" i="37"/>
  <c r="M2519" i="37" s="1"/>
  <c r="P2519" i="37" s="1"/>
  <c r="P2518" i="37"/>
  <c r="M2518" i="37"/>
  <c r="M2517" i="37"/>
  <c r="P2517" i="37" s="1"/>
  <c r="J2517" i="37"/>
  <c r="J2516" i="37"/>
  <c r="M2516" i="37" s="1"/>
  <c r="P2516" i="37" s="1"/>
  <c r="J2515" i="37"/>
  <c r="M2515" i="37" s="1"/>
  <c r="P2515" i="37" s="1"/>
  <c r="P2514" i="37"/>
  <c r="M2514" i="37"/>
  <c r="J2514" i="37"/>
  <c r="M2513" i="37"/>
  <c r="P2513" i="37" s="1"/>
  <c r="J2513" i="37"/>
  <c r="J2512" i="37"/>
  <c r="M2512" i="37" s="1"/>
  <c r="P2512" i="37" s="1"/>
  <c r="J2511" i="37"/>
  <c r="M2511" i="37" s="1"/>
  <c r="P2511" i="37" s="1"/>
  <c r="P2510" i="37"/>
  <c r="M2510" i="37"/>
  <c r="J2510" i="37"/>
  <c r="M2509" i="37"/>
  <c r="P2509" i="37" s="1"/>
  <c r="J2509" i="37"/>
  <c r="J2508" i="37"/>
  <c r="M2508" i="37" s="1"/>
  <c r="P2508" i="37" s="1"/>
  <c r="J2507" i="37"/>
  <c r="M2507" i="37" s="1"/>
  <c r="P2507" i="37" s="1"/>
  <c r="P2506" i="37"/>
  <c r="M2506" i="37"/>
  <c r="J2506" i="37"/>
  <c r="M2505" i="37"/>
  <c r="P2505" i="37" s="1"/>
  <c r="J2505" i="37"/>
  <c r="J2504" i="37"/>
  <c r="M2504" i="37" s="1"/>
  <c r="P2504" i="37" s="1"/>
  <c r="J2503" i="37"/>
  <c r="M2503" i="37" s="1"/>
  <c r="P2503" i="37" s="1"/>
  <c r="P2502" i="37"/>
  <c r="P2501" i="37" s="1"/>
  <c r="M2502" i="37"/>
  <c r="J2502" i="37"/>
  <c r="U2501" i="37"/>
  <c r="S2501" i="37"/>
  <c r="R2501" i="37"/>
  <c r="Q2501" i="37"/>
  <c r="O2501" i="37"/>
  <c r="N2501" i="37"/>
  <c r="K2501" i="37"/>
  <c r="I2501" i="37"/>
  <c r="H2501" i="37"/>
  <c r="G2501" i="37"/>
  <c r="F2501" i="37"/>
  <c r="E2501" i="37"/>
  <c r="D2501" i="37"/>
  <c r="C2501" i="37"/>
  <c r="J2500" i="37"/>
  <c r="M2500" i="37" s="1"/>
  <c r="P2500" i="37" s="1"/>
  <c r="P2499" i="37"/>
  <c r="M2499" i="37"/>
  <c r="J2499" i="37"/>
  <c r="J2498" i="37"/>
  <c r="M2498" i="37" s="1"/>
  <c r="P2498" i="37" s="1"/>
  <c r="J2497" i="37"/>
  <c r="M2497" i="37" s="1"/>
  <c r="P2497" i="37" s="1"/>
  <c r="J2496" i="37"/>
  <c r="M2496" i="37" s="1"/>
  <c r="P2496" i="37" s="1"/>
  <c r="P2495" i="37"/>
  <c r="M2495" i="37"/>
  <c r="J2495" i="37"/>
  <c r="J2494" i="37"/>
  <c r="M2494" i="37" s="1"/>
  <c r="P2494" i="37" s="1"/>
  <c r="J2493" i="37"/>
  <c r="M2493" i="37" s="1"/>
  <c r="P2493" i="37" s="1"/>
  <c r="J2492" i="37"/>
  <c r="M2492" i="37" s="1"/>
  <c r="P2492" i="37" s="1"/>
  <c r="P2491" i="37"/>
  <c r="M2491" i="37"/>
  <c r="J2491" i="37"/>
  <c r="S2490" i="37"/>
  <c r="P2490" i="37"/>
  <c r="M2490" i="37"/>
  <c r="J2490" i="37"/>
  <c r="J2489" i="37"/>
  <c r="M2489" i="37" s="1"/>
  <c r="P2489" i="37" s="1"/>
  <c r="J2488" i="37"/>
  <c r="M2488" i="37" s="1"/>
  <c r="P2488" i="37" s="1"/>
  <c r="U2487" i="37"/>
  <c r="J2487" i="37"/>
  <c r="M2487" i="37" s="1"/>
  <c r="P2487" i="37" s="1"/>
  <c r="P2486" i="37"/>
  <c r="J2486" i="37"/>
  <c r="M2486" i="37" s="1"/>
  <c r="M2485" i="37"/>
  <c r="P2485" i="37" s="1"/>
  <c r="J2485" i="37"/>
  <c r="U2484" i="37"/>
  <c r="M2484" i="37"/>
  <c r="P2484" i="37" s="1"/>
  <c r="J2484" i="37"/>
  <c r="J2483" i="37"/>
  <c r="M2483" i="37" s="1"/>
  <c r="P2483" i="37" s="1"/>
  <c r="J2482" i="37"/>
  <c r="M2482" i="37" s="1"/>
  <c r="P2482" i="37" s="1"/>
  <c r="P2481" i="37"/>
  <c r="J2481" i="37"/>
  <c r="M2481" i="37" s="1"/>
  <c r="M2480" i="37"/>
  <c r="P2480" i="37" s="1"/>
  <c r="J2480" i="37"/>
  <c r="J2479" i="37"/>
  <c r="M2479" i="37" s="1"/>
  <c r="P2479" i="37" s="1"/>
  <c r="S2476" i="37"/>
  <c r="N2476" i="37"/>
  <c r="N2456" i="37" s="1"/>
  <c r="M2476" i="37"/>
  <c r="J2476" i="37"/>
  <c r="J2475" i="37"/>
  <c r="M2475" i="37" s="1"/>
  <c r="P2475" i="37" s="1"/>
  <c r="J2474" i="37"/>
  <c r="M2474" i="37" s="1"/>
  <c r="P2474" i="37" s="1"/>
  <c r="J2473" i="37"/>
  <c r="M2473" i="37" s="1"/>
  <c r="P2473" i="37" s="1"/>
  <c r="P2472" i="37"/>
  <c r="M2472" i="37"/>
  <c r="J2472" i="37"/>
  <c r="J2471" i="37"/>
  <c r="M2471" i="37" s="1"/>
  <c r="P2471" i="37" s="1"/>
  <c r="J2470" i="37"/>
  <c r="M2470" i="37" s="1"/>
  <c r="P2470" i="37" s="1"/>
  <c r="J2469" i="37"/>
  <c r="M2469" i="37" s="1"/>
  <c r="P2469" i="37" s="1"/>
  <c r="P2468" i="37"/>
  <c r="M2468" i="37"/>
  <c r="J2468" i="37"/>
  <c r="J2467" i="37"/>
  <c r="M2467" i="37" s="1"/>
  <c r="P2467" i="37" s="1"/>
  <c r="J2466" i="37"/>
  <c r="M2466" i="37" s="1"/>
  <c r="P2466" i="37" s="1"/>
  <c r="J2465" i="37"/>
  <c r="M2465" i="37" s="1"/>
  <c r="P2465" i="37" s="1"/>
  <c r="P2464" i="37"/>
  <c r="M2464" i="37"/>
  <c r="J2464" i="37"/>
  <c r="J2463" i="37"/>
  <c r="M2463" i="37" s="1"/>
  <c r="P2463" i="37" s="1"/>
  <c r="J2462" i="37"/>
  <c r="M2462" i="37" s="1"/>
  <c r="P2462" i="37" s="1"/>
  <c r="J2461" i="37"/>
  <c r="M2461" i="37" s="1"/>
  <c r="P2461" i="37" s="1"/>
  <c r="P2460" i="37"/>
  <c r="M2460" i="37"/>
  <c r="J2460" i="37"/>
  <c r="J2459" i="37"/>
  <c r="M2459" i="37" s="1"/>
  <c r="P2459" i="37" s="1"/>
  <c r="J2458" i="37"/>
  <c r="J2457" i="37"/>
  <c r="M2457" i="37" s="1"/>
  <c r="U2456" i="37"/>
  <c r="S2456" i="37"/>
  <c r="R2456" i="37"/>
  <c r="Q2456" i="37"/>
  <c r="O2456" i="37"/>
  <c r="L2456" i="37"/>
  <c r="K2456" i="37"/>
  <c r="I2456" i="37"/>
  <c r="H2456" i="37"/>
  <c r="G2456" i="37"/>
  <c r="F2456" i="37"/>
  <c r="E2456" i="37"/>
  <c r="D2456" i="37"/>
  <c r="C2456" i="37"/>
  <c r="J2455" i="37"/>
  <c r="M2455" i="37" s="1"/>
  <c r="P2455" i="37" s="1"/>
  <c r="P2454" i="37"/>
  <c r="J2454" i="37"/>
  <c r="M2454" i="37" s="1"/>
  <c r="M2453" i="37"/>
  <c r="P2453" i="37" s="1"/>
  <c r="J2453" i="37"/>
  <c r="J2452" i="37"/>
  <c r="M2452" i="37" s="1"/>
  <c r="P2452" i="37" s="1"/>
  <c r="J2451" i="37"/>
  <c r="M2451" i="37" s="1"/>
  <c r="P2451" i="37" s="1"/>
  <c r="P2450" i="37"/>
  <c r="J2450" i="37"/>
  <c r="M2450" i="37" s="1"/>
  <c r="M2449" i="37"/>
  <c r="P2449" i="37" s="1"/>
  <c r="J2449" i="37"/>
  <c r="J2448" i="37"/>
  <c r="M2448" i="37" s="1"/>
  <c r="P2448" i="37" s="1"/>
  <c r="J2447" i="37"/>
  <c r="M2447" i="37" s="1"/>
  <c r="P2447" i="37" s="1"/>
  <c r="P2446" i="37"/>
  <c r="J2446" i="37"/>
  <c r="M2446" i="37" s="1"/>
  <c r="M2445" i="37"/>
  <c r="P2445" i="37" s="1"/>
  <c r="J2445" i="37"/>
  <c r="J2444" i="37"/>
  <c r="M2444" i="37" s="1"/>
  <c r="P2444" i="37" s="1"/>
  <c r="J2443" i="37"/>
  <c r="M2443" i="37" s="1"/>
  <c r="P2443" i="37" s="1"/>
  <c r="P2442" i="37"/>
  <c r="J2442" i="37"/>
  <c r="M2442" i="37" s="1"/>
  <c r="M2441" i="37"/>
  <c r="P2441" i="37" s="1"/>
  <c r="J2441" i="37"/>
  <c r="J2440" i="37"/>
  <c r="M2440" i="37" s="1"/>
  <c r="P2440" i="37" s="1"/>
  <c r="J2439" i="37"/>
  <c r="M2439" i="37" s="1"/>
  <c r="P2439" i="37" s="1"/>
  <c r="P2438" i="37"/>
  <c r="J2438" i="37"/>
  <c r="M2438" i="37" s="1"/>
  <c r="M2437" i="37"/>
  <c r="P2437" i="37" s="1"/>
  <c r="J2437" i="37"/>
  <c r="J2436" i="37"/>
  <c r="M2436" i="37" s="1"/>
  <c r="P2436" i="37" s="1"/>
  <c r="J2435" i="37"/>
  <c r="M2435" i="37" s="1"/>
  <c r="P2435" i="37" s="1"/>
  <c r="P2434" i="37"/>
  <c r="J2434" i="37"/>
  <c r="M2434" i="37" s="1"/>
  <c r="M2433" i="37"/>
  <c r="P2433" i="37" s="1"/>
  <c r="J2433" i="37"/>
  <c r="J2432" i="37"/>
  <c r="M2432" i="37" s="1"/>
  <c r="P2432" i="37" s="1"/>
  <c r="J2431" i="37"/>
  <c r="M2431" i="37" s="1"/>
  <c r="P2431" i="37" s="1"/>
  <c r="P2430" i="37"/>
  <c r="J2430" i="37"/>
  <c r="M2430" i="37" s="1"/>
  <c r="M2429" i="37"/>
  <c r="P2429" i="37" s="1"/>
  <c r="J2429" i="37"/>
  <c r="J2428" i="37"/>
  <c r="M2428" i="37" s="1"/>
  <c r="P2428" i="37" s="1"/>
  <c r="J2427" i="37"/>
  <c r="M2427" i="37" s="1"/>
  <c r="P2427" i="37" s="1"/>
  <c r="P2426" i="37"/>
  <c r="J2426" i="37"/>
  <c r="M2426" i="37" s="1"/>
  <c r="M2425" i="37"/>
  <c r="P2425" i="37" s="1"/>
  <c r="J2425" i="37"/>
  <c r="J2424" i="37"/>
  <c r="M2424" i="37" s="1"/>
  <c r="P2424" i="37" s="1"/>
  <c r="J2423" i="37"/>
  <c r="M2423" i="37" s="1"/>
  <c r="P2423" i="37" s="1"/>
  <c r="P2422" i="37"/>
  <c r="J2422" i="37"/>
  <c r="M2422" i="37" s="1"/>
  <c r="M2421" i="37"/>
  <c r="P2421" i="37" s="1"/>
  <c r="J2421" i="37"/>
  <c r="J2420" i="37"/>
  <c r="M2420" i="37" s="1"/>
  <c r="U2419" i="37"/>
  <c r="S2419" i="37"/>
  <c r="R2419" i="37"/>
  <c r="Q2419" i="37"/>
  <c r="O2419" i="37"/>
  <c r="N2419" i="37"/>
  <c r="L2419" i="37"/>
  <c r="K2419" i="37"/>
  <c r="J2419" i="37"/>
  <c r="I2419" i="37"/>
  <c r="H2419" i="37"/>
  <c r="G2419" i="37"/>
  <c r="F2419" i="37"/>
  <c r="E2419" i="37"/>
  <c r="D2419" i="37"/>
  <c r="C2419" i="37"/>
  <c r="P2418" i="37"/>
  <c r="M2418" i="37"/>
  <c r="J2418" i="37"/>
  <c r="J2417" i="37"/>
  <c r="M2417" i="37" s="1"/>
  <c r="P2417" i="37" s="1"/>
  <c r="J2416" i="37"/>
  <c r="M2416" i="37" s="1"/>
  <c r="P2416" i="37" s="1"/>
  <c r="J2415" i="37"/>
  <c r="M2415" i="37" s="1"/>
  <c r="P2415" i="37" s="1"/>
  <c r="P2414" i="37"/>
  <c r="M2414" i="37"/>
  <c r="J2414" i="37"/>
  <c r="J2413" i="37"/>
  <c r="M2413" i="37" s="1"/>
  <c r="P2601" i="37" s="1"/>
  <c r="P2412" i="37"/>
  <c r="J2412" i="37"/>
  <c r="M2412" i="37" s="1"/>
  <c r="M2411" i="37"/>
  <c r="P2411" i="37" s="1"/>
  <c r="J2411" i="37"/>
  <c r="P2410" i="37"/>
  <c r="M2409" i="37"/>
  <c r="P2409" i="37" s="1"/>
  <c r="K2409" i="37"/>
  <c r="J2409" i="37"/>
  <c r="M2408" i="37"/>
  <c r="P2408" i="37" s="1"/>
  <c r="J2408" i="37"/>
  <c r="J2407" i="37"/>
  <c r="M2407" i="37" s="1"/>
  <c r="P2407" i="37" s="1"/>
  <c r="J2406" i="37"/>
  <c r="M2406" i="37" s="1"/>
  <c r="P2406" i="37" s="1"/>
  <c r="P2405" i="37"/>
  <c r="L2405" i="37"/>
  <c r="J2405" i="37"/>
  <c r="M2405" i="37" s="1"/>
  <c r="J2404" i="37"/>
  <c r="M2404" i="37" s="1"/>
  <c r="P2404" i="37" s="1"/>
  <c r="S2403" i="37"/>
  <c r="J2403" i="37"/>
  <c r="M2403" i="37" s="1"/>
  <c r="P2403" i="37" s="1"/>
  <c r="S2402" i="37"/>
  <c r="J2402" i="37"/>
  <c r="M2402" i="37" s="1"/>
  <c r="P2402" i="37" s="1"/>
  <c r="M2401" i="37"/>
  <c r="P2401" i="37" s="1"/>
  <c r="J2401" i="37"/>
  <c r="J2400" i="37"/>
  <c r="M2400" i="37" s="1"/>
  <c r="P2400" i="37" s="1"/>
  <c r="J2399" i="37"/>
  <c r="M2399" i="37" s="1"/>
  <c r="P2399" i="37" s="1"/>
  <c r="J2398" i="37"/>
  <c r="M2398" i="37" s="1"/>
  <c r="P2398" i="37" s="1"/>
  <c r="S2397" i="37"/>
  <c r="P2397" i="37"/>
  <c r="J2397" i="37"/>
  <c r="M2397" i="37" s="1"/>
  <c r="S2396" i="37"/>
  <c r="J2396" i="37"/>
  <c r="M2396" i="37" s="1"/>
  <c r="P2396" i="37" s="1"/>
  <c r="M2395" i="37"/>
  <c r="P2395" i="37" s="1"/>
  <c r="J2395" i="37"/>
  <c r="M2394" i="37"/>
  <c r="P2394" i="37" s="1"/>
  <c r="J2394" i="37"/>
  <c r="J2393" i="37"/>
  <c r="M2393" i="37" s="1"/>
  <c r="P2393" i="37" s="1"/>
  <c r="J2392" i="37"/>
  <c r="M2392" i="37" s="1"/>
  <c r="P2392" i="37" s="1"/>
  <c r="M2391" i="37"/>
  <c r="P2391" i="37" s="1"/>
  <c r="J2391" i="37"/>
  <c r="M2390" i="37"/>
  <c r="P2390" i="37" s="1"/>
  <c r="J2390" i="37"/>
  <c r="J2389" i="37"/>
  <c r="M2389" i="37" s="1"/>
  <c r="P2389" i="37" s="1"/>
  <c r="J2388" i="37"/>
  <c r="M2388" i="37" s="1"/>
  <c r="P2388" i="37" s="1"/>
  <c r="M2387" i="37"/>
  <c r="P2387" i="37" s="1"/>
  <c r="J2387" i="37"/>
  <c r="M2386" i="37"/>
  <c r="P2386" i="37" s="1"/>
  <c r="J2386" i="37"/>
  <c r="J2385" i="37"/>
  <c r="M2385" i="37" s="1"/>
  <c r="P2385" i="37" s="1"/>
  <c r="J2384" i="37"/>
  <c r="M2384" i="37" s="1"/>
  <c r="P2384" i="37" s="1"/>
  <c r="M2383" i="37"/>
  <c r="P2383" i="37" s="1"/>
  <c r="J2383" i="37"/>
  <c r="M2382" i="37"/>
  <c r="P2382" i="37" s="1"/>
  <c r="J2382" i="37"/>
  <c r="J2381" i="37"/>
  <c r="M2381" i="37" s="1"/>
  <c r="P2381" i="37" s="1"/>
  <c r="J2380" i="37"/>
  <c r="M2380" i="37" s="1"/>
  <c r="P2380" i="37" s="1"/>
  <c r="M2379" i="37"/>
  <c r="J2379" i="37"/>
  <c r="U2378" i="37"/>
  <c r="R2378" i="37"/>
  <c r="Q2378" i="37"/>
  <c r="O2378" i="37"/>
  <c r="N2378" i="37"/>
  <c r="L2378" i="37"/>
  <c r="K2378" i="37"/>
  <c r="J2378" i="37"/>
  <c r="I2378" i="37"/>
  <c r="H2378" i="37"/>
  <c r="G2378" i="37"/>
  <c r="F2378" i="37"/>
  <c r="E2378" i="37"/>
  <c r="D2378" i="37"/>
  <c r="C2378" i="37"/>
  <c r="P2377" i="37"/>
  <c r="J2377" i="37"/>
  <c r="M2377" i="37" s="1"/>
  <c r="M2375" i="37"/>
  <c r="P2375" i="37" s="1"/>
  <c r="J2375" i="37"/>
  <c r="J2373" i="37"/>
  <c r="M2373" i="37" s="1"/>
  <c r="P2373" i="37" s="1"/>
  <c r="J2372" i="37"/>
  <c r="M2372" i="37" s="1"/>
  <c r="P2372" i="37" s="1"/>
  <c r="P2371" i="37"/>
  <c r="J2371" i="37"/>
  <c r="M2371" i="37" s="1"/>
  <c r="M2370" i="37"/>
  <c r="P2370" i="37" s="1"/>
  <c r="J2370" i="37"/>
  <c r="J2368" i="37"/>
  <c r="M2368" i="37" s="1"/>
  <c r="P2368" i="37" s="1"/>
  <c r="J2367" i="37"/>
  <c r="M2367" i="37" s="1"/>
  <c r="P2367" i="37" s="1"/>
  <c r="P2366" i="37"/>
  <c r="J2366" i="37"/>
  <c r="M2366" i="37" s="1"/>
  <c r="M2364" i="37"/>
  <c r="P2364" i="37" s="1"/>
  <c r="J2364" i="37"/>
  <c r="J2363" i="37"/>
  <c r="M2363" i="37" s="1"/>
  <c r="P2363" i="37" s="1"/>
  <c r="J2362" i="37"/>
  <c r="M2362" i="37" s="1"/>
  <c r="P2362" i="37" s="1"/>
  <c r="P2361" i="37"/>
  <c r="M2361" i="37"/>
  <c r="J2360" i="37"/>
  <c r="M2360" i="37" s="1"/>
  <c r="P2360" i="37" s="1"/>
  <c r="J2359" i="37"/>
  <c r="M2359" i="37" s="1"/>
  <c r="P2359" i="37" s="1"/>
  <c r="J2358" i="37"/>
  <c r="M2358" i="37" s="1"/>
  <c r="P2358" i="37" s="1"/>
  <c r="M2357" i="37"/>
  <c r="P2357" i="37" s="1"/>
  <c r="J2357" i="37"/>
  <c r="J2356" i="37"/>
  <c r="M2356" i="37" s="1"/>
  <c r="P2356" i="37" s="1"/>
  <c r="J2355" i="37"/>
  <c r="M2355" i="37" s="1"/>
  <c r="P2355" i="37" s="1"/>
  <c r="J2354" i="37"/>
  <c r="M2354" i="37" s="1"/>
  <c r="P2354" i="37" s="1"/>
  <c r="M2353" i="37"/>
  <c r="P2353" i="37" s="1"/>
  <c r="J2353" i="37"/>
  <c r="M2352" i="37"/>
  <c r="P2352" i="37" s="1"/>
  <c r="J2351" i="37"/>
  <c r="M2351" i="37" s="1"/>
  <c r="P2351" i="37" s="1"/>
  <c r="M2350" i="37"/>
  <c r="P2350" i="37" s="1"/>
  <c r="J2350" i="37"/>
  <c r="M2349" i="37"/>
  <c r="P2349" i="37" s="1"/>
  <c r="J2349" i="37"/>
  <c r="J2348" i="37"/>
  <c r="M2348" i="37" s="1"/>
  <c r="P2348" i="37" s="1"/>
  <c r="J2347" i="37"/>
  <c r="M2347" i="37" s="1"/>
  <c r="P2347" i="37" s="1"/>
  <c r="M2346" i="37"/>
  <c r="J2346" i="37"/>
  <c r="U2345" i="37"/>
  <c r="S2345" i="37"/>
  <c r="R2345" i="37"/>
  <c r="R2344" i="37" s="1"/>
  <c r="Q2345" i="37"/>
  <c r="O2345" i="37"/>
  <c r="O2344" i="37" s="1"/>
  <c r="N2345" i="37"/>
  <c r="L2345" i="37"/>
  <c r="K2345" i="37"/>
  <c r="K2344" i="37" s="1"/>
  <c r="J2345" i="37"/>
  <c r="I2345" i="37"/>
  <c r="H2345" i="37"/>
  <c r="G2345" i="37"/>
  <c r="G2344" i="37" s="1"/>
  <c r="F2345" i="37"/>
  <c r="E2345" i="37"/>
  <c r="D2345" i="37"/>
  <c r="C2345" i="37"/>
  <c r="C2344" i="37" s="1"/>
  <c r="U2344" i="37"/>
  <c r="Q2344" i="37"/>
  <c r="L2344" i="37"/>
  <c r="I2344" i="37"/>
  <c r="E2344" i="37"/>
  <c r="D2344" i="37"/>
  <c r="J2343" i="37"/>
  <c r="M2343" i="37" s="1"/>
  <c r="P2343" i="37" s="1"/>
  <c r="J2342" i="37"/>
  <c r="M2342" i="37" s="1"/>
  <c r="P2342" i="37" s="1"/>
  <c r="P2340" i="37"/>
  <c r="J2340" i="37"/>
  <c r="M2340" i="37" s="1"/>
  <c r="M2339" i="37"/>
  <c r="P2339" i="37" s="1"/>
  <c r="J2339" i="37"/>
  <c r="J2338" i="37"/>
  <c r="M2338" i="37" s="1"/>
  <c r="P2338" i="37" s="1"/>
  <c r="J2337" i="37"/>
  <c r="M2337" i="37" s="1"/>
  <c r="P2337" i="37" s="1"/>
  <c r="P2336" i="37"/>
  <c r="J2336" i="37"/>
  <c r="M2336" i="37" s="1"/>
  <c r="M2335" i="37"/>
  <c r="P2335" i="37" s="1"/>
  <c r="J2335" i="37"/>
  <c r="J2334" i="37"/>
  <c r="M2334" i="37" s="1"/>
  <c r="P2334" i="37" s="1"/>
  <c r="J2333" i="37"/>
  <c r="M2333" i="37" s="1"/>
  <c r="P2333" i="37" s="1"/>
  <c r="P2332" i="37"/>
  <c r="J2332" i="37"/>
  <c r="M2332" i="37" s="1"/>
  <c r="M2331" i="37"/>
  <c r="P2331" i="37" s="1"/>
  <c r="J2331" i="37"/>
  <c r="J2330" i="37"/>
  <c r="M2330" i="37" s="1"/>
  <c r="P2330" i="37" s="1"/>
  <c r="J2329" i="37"/>
  <c r="M2329" i="37" s="1"/>
  <c r="P2329" i="37" s="1"/>
  <c r="P2328" i="37"/>
  <c r="J2328" i="37"/>
  <c r="M2328" i="37" s="1"/>
  <c r="M2327" i="37"/>
  <c r="P2327" i="37" s="1"/>
  <c r="J2327" i="37"/>
  <c r="J2326" i="37"/>
  <c r="M2326" i="37" s="1"/>
  <c r="P2326" i="37" s="1"/>
  <c r="J2325" i="37"/>
  <c r="M2325" i="37" s="1"/>
  <c r="P2325" i="37" s="1"/>
  <c r="P2324" i="37"/>
  <c r="J2324" i="37"/>
  <c r="M2324" i="37" s="1"/>
  <c r="M2323" i="37"/>
  <c r="P2323" i="37" s="1"/>
  <c r="J2323" i="37"/>
  <c r="J2322" i="37"/>
  <c r="M2322" i="37" s="1"/>
  <c r="P2322" i="37" s="1"/>
  <c r="J2321" i="37"/>
  <c r="M2321" i="37" s="1"/>
  <c r="P2321" i="37" s="1"/>
  <c r="P2320" i="37"/>
  <c r="J2320" i="37"/>
  <c r="M2320" i="37" s="1"/>
  <c r="M2319" i="37"/>
  <c r="J2319" i="37"/>
  <c r="U2318" i="37"/>
  <c r="S2318" i="37"/>
  <c r="R2318" i="37"/>
  <c r="Q2318" i="37"/>
  <c r="O2318" i="37"/>
  <c r="N2318" i="37"/>
  <c r="L2318" i="37"/>
  <c r="K2318" i="37"/>
  <c r="I2318" i="37"/>
  <c r="H2318" i="37"/>
  <c r="G2318" i="37"/>
  <c r="F2318" i="37"/>
  <c r="E2318" i="37"/>
  <c r="D2318" i="37"/>
  <c r="C2318" i="37"/>
  <c r="J2316" i="37"/>
  <c r="M2316" i="37" s="1"/>
  <c r="P2316" i="37" s="1"/>
  <c r="M2315" i="37"/>
  <c r="P2315" i="37" s="1"/>
  <c r="J2315" i="37"/>
  <c r="J2314" i="37"/>
  <c r="M2314" i="37" s="1"/>
  <c r="P2314" i="37" s="1"/>
  <c r="J2313" i="37"/>
  <c r="M2313" i="37" s="1"/>
  <c r="P2313" i="37" s="1"/>
  <c r="J2312" i="37"/>
  <c r="M2312" i="37" s="1"/>
  <c r="P2312" i="37" s="1"/>
  <c r="P2311" i="37"/>
  <c r="M2311" i="37"/>
  <c r="J2311" i="37"/>
  <c r="J2310" i="37"/>
  <c r="M2310" i="37" s="1"/>
  <c r="P2310" i="37" s="1"/>
  <c r="J2309" i="37"/>
  <c r="M2309" i="37" s="1"/>
  <c r="P2309" i="37" s="1"/>
  <c r="L2308" i="37"/>
  <c r="J2308" i="37"/>
  <c r="M2308" i="37" s="1"/>
  <c r="P2308" i="37" s="1"/>
  <c r="P2307" i="37"/>
  <c r="L2307" i="37"/>
  <c r="J2307" i="37"/>
  <c r="M2307" i="37" s="1"/>
  <c r="J2306" i="37"/>
  <c r="M2306" i="37" s="1"/>
  <c r="P2306" i="37" s="1"/>
  <c r="M2305" i="37"/>
  <c r="P2305" i="37" s="1"/>
  <c r="J2305" i="37"/>
  <c r="M2304" i="37"/>
  <c r="P2304" i="37" s="1"/>
  <c r="J2304" i="37"/>
  <c r="J2303" i="37"/>
  <c r="M2303" i="37" s="1"/>
  <c r="P2303" i="37" s="1"/>
  <c r="J2302" i="37"/>
  <c r="M2302" i="37" s="1"/>
  <c r="P2302" i="37" s="1"/>
  <c r="M2301" i="37"/>
  <c r="P2301" i="37" s="1"/>
  <c r="J2301" i="37"/>
  <c r="M2300" i="37"/>
  <c r="P2300" i="37" s="1"/>
  <c r="J2300" i="37"/>
  <c r="J2299" i="37"/>
  <c r="M2299" i="37" s="1"/>
  <c r="P2299" i="37" s="1"/>
  <c r="P2298" i="37"/>
  <c r="J2298" i="37"/>
  <c r="M2298" i="37" s="1"/>
  <c r="U2297" i="37"/>
  <c r="S2297" i="37"/>
  <c r="R2297" i="37"/>
  <c r="Q2297" i="37"/>
  <c r="O2297" i="37"/>
  <c r="N2297" i="37"/>
  <c r="L2297" i="37"/>
  <c r="K2297" i="37"/>
  <c r="I2297" i="37"/>
  <c r="H2297" i="37"/>
  <c r="G2297" i="37"/>
  <c r="F2297" i="37"/>
  <c r="E2297" i="37"/>
  <c r="D2297" i="37"/>
  <c r="C2297" i="37"/>
  <c r="J2296" i="37"/>
  <c r="M2296" i="37" s="1"/>
  <c r="P2296" i="37" s="1"/>
  <c r="J2295" i="37"/>
  <c r="M2295" i="37" s="1"/>
  <c r="P2295" i="37" s="1"/>
  <c r="P2293" i="37"/>
  <c r="M2293" i="37"/>
  <c r="J2293" i="37"/>
  <c r="J2292" i="37"/>
  <c r="M2292" i="37" s="1"/>
  <c r="P2292" i="37" s="1"/>
  <c r="J2291" i="37"/>
  <c r="M2291" i="37" s="1"/>
  <c r="P2291" i="37" s="1"/>
  <c r="J2290" i="37"/>
  <c r="M2290" i="37" s="1"/>
  <c r="P2290" i="37" s="1"/>
  <c r="P2289" i="37"/>
  <c r="M2289" i="37"/>
  <c r="J2289" i="37"/>
  <c r="J2288" i="37"/>
  <c r="M2288" i="37" s="1"/>
  <c r="P2288" i="37" s="1"/>
  <c r="J2287" i="37"/>
  <c r="M2287" i="37" s="1"/>
  <c r="P2287" i="37" s="1"/>
  <c r="S2286" i="37"/>
  <c r="J2286" i="37"/>
  <c r="M2286" i="37" s="1"/>
  <c r="P2286" i="37" s="1"/>
  <c r="P2285" i="37"/>
  <c r="J2285" i="37"/>
  <c r="M2285" i="37" s="1"/>
  <c r="M2283" i="37"/>
  <c r="P2283" i="37" s="1"/>
  <c r="J2283" i="37"/>
  <c r="J2282" i="37"/>
  <c r="M2282" i="37" s="1"/>
  <c r="P2282" i="37" s="1"/>
  <c r="J2281" i="37"/>
  <c r="M2281" i="37" s="1"/>
  <c r="P2281" i="37" s="1"/>
  <c r="P2280" i="37"/>
  <c r="J2280" i="37"/>
  <c r="M2280" i="37" s="1"/>
  <c r="M2279" i="37"/>
  <c r="P2279" i="37" s="1"/>
  <c r="J2279" i="37"/>
  <c r="J2278" i="37"/>
  <c r="M2278" i="37" s="1"/>
  <c r="P2278" i="37" s="1"/>
  <c r="J2277" i="37"/>
  <c r="M2277" i="37" s="1"/>
  <c r="P2277" i="37" s="1"/>
  <c r="P2276" i="37"/>
  <c r="J2276" i="37"/>
  <c r="M2276" i="37" s="1"/>
  <c r="S2275" i="37"/>
  <c r="J2275" i="37"/>
  <c r="M2275" i="37" s="1"/>
  <c r="P2275" i="37" s="1"/>
  <c r="M2273" i="37"/>
  <c r="P2273" i="37" s="1"/>
  <c r="J2273" i="37"/>
  <c r="M2272" i="37"/>
  <c r="P2272" i="37" s="1"/>
  <c r="J2272" i="37"/>
  <c r="J2271" i="37"/>
  <c r="M2271" i="37" s="1"/>
  <c r="P2271" i="37" s="1"/>
  <c r="P2270" i="37"/>
  <c r="J2270" i="37"/>
  <c r="M2270" i="37" s="1"/>
  <c r="M2269" i="37"/>
  <c r="P2269" i="37" s="1"/>
  <c r="J2269" i="37"/>
  <c r="J2268" i="37"/>
  <c r="M2268" i="37" s="1"/>
  <c r="P2268" i="37" s="1"/>
  <c r="M2267" i="37"/>
  <c r="P2267" i="37" s="1"/>
  <c r="J2267" i="37"/>
  <c r="M2266" i="37"/>
  <c r="P2266" i="37" s="1"/>
  <c r="J2266" i="37"/>
  <c r="J2265" i="37"/>
  <c r="M2265" i="37" s="1"/>
  <c r="P2265" i="37" s="1"/>
  <c r="J2264" i="37"/>
  <c r="M2264" i="37" s="1"/>
  <c r="P2264" i="37" s="1"/>
  <c r="P2263" i="37"/>
  <c r="M2263" i="37"/>
  <c r="J2263" i="37"/>
  <c r="M2262" i="37"/>
  <c r="P2262" i="37" s="1"/>
  <c r="J2262" i="37"/>
  <c r="J2261" i="37"/>
  <c r="M2261" i="37" s="1"/>
  <c r="P2261" i="37" s="1"/>
  <c r="J2260" i="37"/>
  <c r="M2260" i="37" s="1"/>
  <c r="P2260" i="37" s="1"/>
  <c r="P2259" i="37"/>
  <c r="M2259" i="37"/>
  <c r="J2259" i="37"/>
  <c r="M2258" i="37"/>
  <c r="P2258" i="37" s="1"/>
  <c r="J2258" i="37"/>
  <c r="J2257" i="37"/>
  <c r="M2257" i="37" s="1"/>
  <c r="P2257" i="37" s="1"/>
  <c r="J2256" i="37"/>
  <c r="M2256" i="37" s="1"/>
  <c r="U2255" i="37"/>
  <c r="U2254" i="37" s="1"/>
  <c r="S2255" i="37"/>
  <c r="S2254" i="37" s="1"/>
  <c r="R2255" i="37"/>
  <c r="Q2255" i="37"/>
  <c r="O2255" i="37"/>
  <c r="O2254" i="37" s="1"/>
  <c r="N2255" i="37"/>
  <c r="L2255" i="37"/>
  <c r="L2254" i="37" s="1"/>
  <c r="K2255" i="37"/>
  <c r="K2254" i="37" s="1"/>
  <c r="I2255" i="37"/>
  <c r="H2255" i="37"/>
  <c r="G2255" i="37"/>
  <c r="G2254" i="37" s="1"/>
  <c r="F2255" i="37"/>
  <c r="E2255" i="37"/>
  <c r="D2255" i="37"/>
  <c r="C2255" i="37"/>
  <c r="C2254" i="37" s="1"/>
  <c r="R2254" i="37"/>
  <c r="Q2254" i="37"/>
  <c r="N2254" i="37"/>
  <c r="I2254" i="37"/>
  <c r="F2254" i="37"/>
  <c r="E2254" i="37"/>
  <c r="P2253" i="37"/>
  <c r="M2253" i="37"/>
  <c r="J2253" i="37"/>
  <c r="M2251" i="37"/>
  <c r="P2251" i="37" s="1"/>
  <c r="J2251" i="37"/>
  <c r="J2250" i="37"/>
  <c r="M2250" i="37" s="1"/>
  <c r="P2250" i="37" s="1"/>
  <c r="J2249" i="37"/>
  <c r="M2249" i="37" s="1"/>
  <c r="P2249" i="37" s="1"/>
  <c r="P2248" i="37"/>
  <c r="M2248" i="37"/>
  <c r="J2248" i="37"/>
  <c r="M2247" i="37"/>
  <c r="J2247" i="37"/>
  <c r="S2246" i="37"/>
  <c r="J2246" i="37"/>
  <c r="M2246" i="37" s="1"/>
  <c r="P2246" i="37" s="1"/>
  <c r="J2245" i="37"/>
  <c r="M2245" i="37" s="1"/>
  <c r="P2245" i="37" s="1"/>
  <c r="S2244" i="37"/>
  <c r="S2228" i="37" s="1"/>
  <c r="J2244" i="37"/>
  <c r="M2244" i="37" s="1"/>
  <c r="P2244" i="37" s="1"/>
  <c r="P2243" i="37"/>
  <c r="J2243" i="37"/>
  <c r="M2243" i="37" s="1"/>
  <c r="M2242" i="37"/>
  <c r="P2242" i="37" s="1"/>
  <c r="J2242" i="37"/>
  <c r="M2241" i="37"/>
  <c r="P2241" i="37" s="1"/>
  <c r="J2241" i="37"/>
  <c r="J2240" i="37"/>
  <c r="M2240" i="37" s="1"/>
  <c r="P2240" i="37" s="1"/>
  <c r="P2239" i="37"/>
  <c r="J2239" i="37"/>
  <c r="M2239" i="37" s="1"/>
  <c r="M2238" i="37"/>
  <c r="P2238" i="37" s="1"/>
  <c r="J2238" i="37"/>
  <c r="M2237" i="37"/>
  <c r="P2237" i="37" s="1"/>
  <c r="J2237" i="37"/>
  <c r="J2236" i="37"/>
  <c r="M2236" i="37" s="1"/>
  <c r="P2236" i="37" s="1"/>
  <c r="P2235" i="37"/>
  <c r="J2235" i="37"/>
  <c r="M2235" i="37" s="1"/>
  <c r="M2234" i="37"/>
  <c r="P2234" i="37" s="1"/>
  <c r="J2234" i="37"/>
  <c r="M2233" i="37"/>
  <c r="P2233" i="37" s="1"/>
  <c r="J2233" i="37"/>
  <c r="J2232" i="37"/>
  <c r="M2232" i="37" s="1"/>
  <c r="P2232" i="37" s="1"/>
  <c r="P2231" i="37"/>
  <c r="J2231" i="37"/>
  <c r="M2231" i="37" s="1"/>
  <c r="M2230" i="37"/>
  <c r="P2230" i="37" s="1"/>
  <c r="J2230" i="37"/>
  <c r="M2229" i="37"/>
  <c r="P2229" i="37" s="1"/>
  <c r="J2229" i="37"/>
  <c r="U2228" i="37"/>
  <c r="R2228" i="37"/>
  <c r="Q2228" i="37"/>
  <c r="O2228" i="37"/>
  <c r="N2228" i="37"/>
  <c r="L2228" i="37"/>
  <c r="K2228" i="37"/>
  <c r="I2228" i="37"/>
  <c r="H2228" i="37"/>
  <c r="G2228" i="37"/>
  <c r="F2228" i="37"/>
  <c r="E2228" i="37"/>
  <c r="D2228" i="37"/>
  <c r="C2228" i="37"/>
  <c r="M2227" i="37"/>
  <c r="P2227" i="37" s="1"/>
  <c r="J2227" i="37"/>
  <c r="J2222" i="37"/>
  <c r="M2222" i="37" s="1"/>
  <c r="P2222" i="37" s="1"/>
  <c r="M2221" i="37"/>
  <c r="P2221" i="37" s="1"/>
  <c r="J2221" i="37"/>
  <c r="J2220" i="37"/>
  <c r="M2220" i="37" s="1"/>
  <c r="P2220" i="37" s="1"/>
  <c r="P2219" i="37"/>
  <c r="M2219" i="37"/>
  <c r="J2219" i="37"/>
  <c r="P2218" i="37"/>
  <c r="M2218" i="37"/>
  <c r="J2218" i="37"/>
  <c r="J2217" i="37"/>
  <c r="M2217" i="37" s="1"/>
  <c r="P2217" i="37" s="1"/>
  <c r="J2216" i="37"/>
  <c r="M2216" i="37" s="1"/>
  <c r="P2216" i="37" s="1"/>
  <c r="P2215" i="37"/>
  <c r="M2215" i="37"/>
  <c r="J2215" i="37"/>
  <c r="M2214" i="37"/>
  <c r="P2214" i="37" s="1"/>
  <c r="J2214" i="37"/>
  <c r="S2213" i="37"/>
  <c r="M2213" i="37"/>
  <c r="P2213" i="37" s="1"/>
  <c r="J2213" i="37"/>
  <c r="J2212" i="37"/>
  <c r="M2212" i="37" s="1"/>
  <c r="P2212" i="37" s="1"/>
  <c r="J2211" i="37"/>
  <c r="M2211" i="37" s="1"/>
  <c r="P2211" i="37" s="1"/>
  <c r="P2210" i="37"/>
  <c r="M2210" i="37"/>
  <c r="J2210" i="37"/>
  <c r="M2209" i="37"/>
  <c r="P2209" i="37" s="1"/>
  <c r="J2208" i="37"/>
  <c r="M2208" i="37" s="1"/>
  <c r="P2208" i="37" s="1"/>
  <c r="P2207" i="37"/>
  <c r="M2207" i="37"/>
  <c r="J2207" i="37"/>
  <c r="M2206" i="37"/>
  <c r="P2206" i="37" s="1"/>
  <c r="J2206" i="37"/>
  <c r="J2205" i="37"/>
  <c r="M2205" i="37" s="1"/>
  <c r="P2205" i="37" s="1"/>
  <c r="J2204" i="37"/>
  <c r="M2204" i="37" s="1"/>
  <c r="P2204" i="37" s="1"/>
  <c r="P2203" i="37"/>
  <c r="M2203" i="37"/>
  <c r="J2203" i="37"/>
  <c r="S2202" i="37"/>
  <c r="P2202" i="37"/>
  <c r="M2202" i="37"/>
  <c r="J2202" i="37"/>
  <c r="M2201" i="37"/>
  <c r="P2201" i="37" s="1"/>
  <c r="J2201" i="37"/>
  <c r="J2200" i="37"/>
  <c r="M2200" i="37" s="1"/>
  <c r="P2200" i="37" s="1"/>
  <c r="J2199" i="37"/>
  <c r="M2199" i="37" s="1"/>
  <c r="P2199" i="37" s="1"/>
  <c r="P2198" i="37"/>
  <c r="M2198" i="37"/>
  <c r="J2198" i="37"/>
  <c r="M2197" i="37"/>
  <c r="P2197" i="37" s="1"/>
  <c r="J2197" i="37"/>
  <c r="J2196" i="37"/>
  <c r="M2196" i="37" s="1"/>
  <c r="P2196" i="37" s="1"/>
  <c r="J2195" i="37"/>
  <c r="M2195" i="37" s="1"/>
  <c r="P2195" i="37" s="1"/>
  <c r="P2194" i="37"/>
  <c r="M2194" i="37"/>
  <c r="J2194" i="37"/>
  <c r="M2193" i="37"/>
  <c r="P2193" i="37" s="1"/>
  <c r="J2193" i="37"/>
  <c r="J2192" i="37"/>
  <c r="M2192" i="37" s="1"/>
  <c r="P2192" i="37" s="1"/>
  <c r="J2191" i="37"/>
  <c r="M2191" i="37" s="1"/>
  <c r="P2191" i="37" s="1"/>
  <c r="P2190" i="37"/>
  <c r="M2190" i="37"/>
  <c r="J2190" i="37"/>
  <c r="M2189" i="37"/>
  <c r="P2189" i="37" s="1"/>
  <c r="J2189" i="37"/>
  <c r="J2188" i="37"/>
  <c r="M2188" i="37" s="1"/>
  <c r="P2188" i="37" s="1"/>
  <c r="J2187" i="37"/>
  <c r="M2187" i="37" s="1"/>
  <c r="P2187" i="37" s="1"/>
  <c r="P2186" i="37"/>
  <c r="M2186" i="37"/>
  <c r="J2186" i="37"/>
  <c r="M2185" i="37"/>
  <c r="P2185" i="37" s="1"/>
  <c r="J2185" i="37"/>
  <c r="J2184" i="37"/>
  <c r="J2183" i="37"/>
  <c r="M2183" i="37" s="1"/>
  <c r="P2183" i="37" s="1"/>
  <c r="P2182" i="37"/>
  <c r="M2182" i="37"/>
  <c r="J2182" i="37"/>
  <c r="U2181" i="37"/>
  <c r="S2181" i="37"/>
  <c r="R2181" i="37"/>
  <c r="Q2181" i="37"/>
  <c r="O2181" i="37"/>
  <c r="N2181" i="37"/>
  <c r="L2181" i="37"/>
  <c r="K2181" i="37"/>
  <c r="I2181" i="37"/>
  <c r="H2181" i="37"/>
  <c r="G2181" i="37"/>
  <c r="F2181" i="37"/>
  <c r="E2181" i="37"/>
  <c r="D2181" i="37"/>
  <c r="C2181" i="37"/>
  <c r="J2180" i="37"/>
  <c r="M2180" i="37" s="1"/>
  <c r="P2180" i="37" s="1"/>
  <c r="P2179" i="37"/>
  <c r="M2179" i="37"/>
  <c r="J2179" i="37"/>
  <c r="M2178" i="37"/>
  <c r="P2178" i="37" s="1"/>
  <c r="J2178" i="37"/>
  <c r="J2177" i="37"/>
  <c r="M2177" i="37" s="1"/>
  <c r="P2177" i="37" s="1"/>
  <c r="H2176" i="37"/>
  <c r="J2176" i="37" s="1"/>
  <c r="M2176" i="37" s="1"/>
  <c r="P2176" i="37" s="1"/>
  <c r="J2175" i="37"/>
  <c r="M2175" i="37" s="1"/>
  <c r="P2175" i="37" s="1"/>
  <c r="P2174" i="37"/>
  <c r="M2174" i="37"/>
  <c r="J2174" i="37"/>
  <c r="M2173" i="37"/>
  <c r="P2173" i="37" s="1"/>
  <c r="J2173" i="37"/>
  <c r="J2172" i="37"/>
  <c r="M2172" i="37" s="1"/>
  <c r="P2172" i="37" s="1"/>
  <c r="J2171" i="37"/>
  <c r="M2171" i="37" s="1"/>
  <c r="P2171" i="37" s="1"/>
  <c r="P2170" i="37"/>
  <c r="M2170" i="37"/>
  <c r="J2170" i="37"/>
  <c r="M2169" i="37"/>
  <c r="P2169" i="37" s="1"/>
  <c r="J2169" i="37"/>
  <c r="J2168" i="37"/>
  <c r="M2168" i="37" s="1"/>
  <c r="P2168" i="37" s="1"/>
  <c r="J2167" i="37"/>
  <c r="M2167" i="37" s="1"/>
  <c r="P2167" i="37" s="1"/>
  <c r="P2166" i="37"/>
  <c r="M2166" i="37"/>
  <c r="J2166" i="37"/>
  <c r="M2164" i="37"/>
  <c r="P2164" i="37" s="1"/>
  <c r="J2164" i="37"/>
  <c r="J2163" i="37"/>
  <c r="M2163" i="37" s="1"/>
  <c r="P2163" i="37" s="1"/>
  <c r="J2162" i="37"/>
  <c r="M2162" i="37" s="1"/>
  <c r="P2162" i="37" s="1"/>
  <c r="S2161" i="37"/>
  <c r="S2122" i="37" s="1"/>
  <c r="S2121" i="37" s="1"/>
  <c r="J2161" i="37"/>
  <c r="M2161" i="37" s="1"/>
  <c r="P2161" i="37" s="1"/>
  <c r="P2160" i="37"/>
  <c r="S2159" i="37"/>
  <c r="J2159" i="37"/>
  <c r="M2159" i="37" s="1"/>
  <c r="P2159" i="37" s="1"/>
  <c r="J2158" i="37"/>
  <c r="M2158" i="37" s="1"/>
  <c r="P2158" i="37" s="1"/>
  <c r="P2157" i="37"/>
  <c r="M2157" i="37"/>
  <c r="J2157" i="37"/>
  <c r="M2156" i="37"/>
  <c r="P2156" i="37" s="1"/>
  <c r="J2156" i="37"/>
  <c r="S2155" i="37"/>
  <c r="M2155" i="37"/>
  <c r="P2155" i="37" s="1"/>
  <c r="J2155" i="37"/>
  <c r="S2154" i="37"/>
  <c r="M2154" i="37"/>
  <c r="P2154" i="37" s="1"/>
  <c r="J2154" i="37"/>
  <c r="S2153" i="37"/>
  <c r="M2153" i="37"/>
  <c r="P2153" i="37" s="1"/>
  <c r="J2153" i="37"/>
  <c r="J2152" i="37"/>
  <c r="M2152" i="37" s="1"/>
  <c r="P2152" i="37" s="1"/>
  <c r="P2151" i="37"/>
  <c r="M2151" i="37"/>
  <c r="M2150" i="37"/>
  <c r="P2150" i="37" s="1"/>
  <c r="J2150" i="37"/>
  <c r="J2149" i="37"/>
  <c r="M2149" i="37" s="1"/>
  <c r="P2149" i="37" s="1"/>
  <c r="J2148" i="37"/>
  <c r="M2148" i="37" s="1"/>
  <c r="P2148" i="37" s="1"/>
  <c r="U2147" i="37"/>
  <c r="J2147" i="37"/>
  <c r="M2147" i="37" s="1"/>
  <c r="P2147" i="37" s="1"/>
  <c r="F2147" i="37"/>
  <c r="F2122" i="37" s="1"/>
  <c r="F2121" i="37" s="1"/>
  <c r="U2146" i="37"/>
  <c r="U2122" i="37" s="1"/>
  <c r="U2121" i="37" s="1"/>
  <c r="J2146" i="37"/>
  <c r="M2146" i="37" s="1"/>
  <c r="P2146" i="37" s="1"/>
  <c r="H2145" i="37"/>
  <c r="J2144" i="37"/>
  <c r="M2144" i="37" s="1"/>
  <c r="P2144" i="37" s="1"/>
  <c r="P2143" i="37"/>
  <c r="M2143" i="37"/>
  <c r="J2143" i="37"/>
  <c r="M2142" i="37"/>
  <c r="P2142" i="37" s="1"/>
  <c r="J2142" i="37"/>
  <c r="J2141" i="37"/>
  <c r="M2141" i="37" s="1"/>
  <c r="P2141" i="37" s="1"/>
  <c r="J2140" i="37"/>
  <c r="M2140" i="37" s="1"/>
  <c r="P2140" i="37" s="1"/>
  <c r="P2139" i="37"/>
  <c r="M2139" i="37"/>
  <c r="J2139" i="37"/>
  <c r="M2138" i="37"/>
  <c r="P2138" i="37" s="1"/>
  <c r="J2138" i="37"/>
  <c r="J2137" i="37"/>
  <c r="M2137" i="37" s="1"/>
  <c r="P2137" i="37" s="1"/>
  <c r="J2135" i="37"/>
  <c r="M2135" i="37" s="1"/>
  <c r="P2135" i="37" s="1"/>
  <c r="P2134" i="37"/>
  <c r="M2134" i="37"/>
  <c r="J2133" i="37"/>
  <c r="M2133" i="37" s="1"/>
  <c r="P2133" i="37" s="1"/>
  <c r="J2132" i="37"/>
  <c r="M2132" i="37" s="1"/>
  <c r="P2132" i="37" s="1"/>
  <c r="P2131" i="37"/>
  <c r="M2131" i="37"/>
  <c r="J2131" i="37"/>
  <c r="M2130" i="37"/>
  <c r="P2130" i="37" s="1"/>
  <c r="J2130" i="37"/>
  <c r="J2129" i="37"/>
  <c r="M2129" i="37" s="1"/>
  <c r="P2129" i="37" s="1"/>
  <c r="J2128" i="37"/>
  <c r="M2128" i="37" s="1"/>
  <c r="P2128" i="37" s="1"/>
  <c r="P2127" i="37"/>
  <c r="M2127" i="37"/>
  <c r="J2127" i="37"/>
  <c r="M2126" i="37"/>
  <c r="P2126" i="37" s="1"/>
  <c r="J2126" i="37"/>
  <c r="J2125" i="37"/>
  <c r="J2124" i="37"/>
  <c r="M2124" i="37" s="1"/>
  <c r="P2124" i="37" s="1"/>
  <c r="P2123" i="37"/>
  <c r="M2123" i="37"/>
  <c r="J2123" i="37"/>
  <c r="R2122" i="37"/>
  <c r="R2121" i="37" s="1"/>
  <c r="Q2122" i="37"/>
  <c r="O2122" i="37"/>
  <c r="O2121" i="37" s="1"/>
  <c r="N2122" i="37"/>
  <c r="N2121" i="37" s="1"/>
  <c r="L2122" i="37"/>
  <c r="K2122" i="37"/>
  <c r="K2121" i="37" s="1"/>
  <c r="I2122" i="37"/>
  <c r="G2122" i="37"/>
  <c r="G2121" i="37" s="1"/>
  <c r="E2122" i="37"/>
  <c r="D2122" i="37"/>
  <c r="C2122" i="37"/>
  <c r="C2121" i="37" s="1"/>
  <c r="Q2121" i="37"/>
  <c r="L2121" i="37"/>
  <c r="I2121" i="37"/>
  <c r="E2121" i="37"/>
  <c r="D2121" i="37"/>
  <c r="M2118" i="37"/>
  <c r="P2118" i="37" s="1"/>
  <c r="J2118" i="37"/>
  <c r="J2117" i="37"/>
  <c r="M2117" i="37" s="1"/>
  <c r="P2117" i="37" s="1"/>
  <c r="J2115" i="37"/>
  <c r="M2115" i="37" s="1"/>
  <c r="P2115" i="37" s="1"/>
  <c r="P2114" i="37"/>
  <c r="M2114" i="37"/>
  <c r="J2114" i="37"/>
  <c r="M2113" i="37"/>
  <c r="P2113" i="37" s="1"/>
  <c r="J2113" i="37"/>
  <c r="J2112" i="37"/>
  <c r="M2112" i="37" s="1"/>
  <c r="P2112" i="37" s="1"/>
  <c r="J2111" i="37"/>
  <c r="M2111" i="37" s="1"/>
  <c r="P2111" i="37" s="1"/>
  <c r="P2110" i="37"/>
  <c r="M2110" i="37"/>
  <c r="J2110" i="37"/>
  <c r="M2109" i="37"/>
  <c r="P2109" i="37" s="1"/>
  <c r="J2109" i="37"/>
  <c r="J2108" i="37"/>
  <c r="M2108" i="37" s="1"/>
  <c r="P2108" i="37" s="1"/>
  <c r="J2107" i="37"/>
  <c r="M2107" i="37" s="1"/>
  <c r="P2107" i="37" s="1"/>
  <c r="P2106" i="37"/>
  <c r="M2106" i="37"/>
  <c r="J2106" i="37"/>
  <c r="M2105" i="37"/>
  <c r="P2105" i="37" s="1"/>
  <c r="J2105" i="37"/>
  <c r="J2104" i="37"/>
  <c r="M2104" i="37" s="1"/>
  <c r="P2104" i="37" s="1"/>
  <c r="J2103" i="37"/>
  <c r="M2103" i="37" s="1"/>
  <c r="U2102" i="37"/>
  <c r="S2102" i="37"/>
  <c r="R2102" i="37"/>
  <c r="Q2102" i="37"/>
  <c r="O2102" i="37"/>
  <c r="N2102" i="37"/>
  <c r="L2102" i="37"/>
  <c r="K2102" i="37"/>
  <c r="I2102" i="37"/>
  <c r="H2102" i="37"/>
  <c r="G2102" i="37"/>
  <c r="F2102" i="37"/>
  <c r="E2102" i="37"/>
  <c r="D2102" i="37"/>
  <c r="C2102" i="37"/>
  <c r="J2101" i="37"/>
  <c r="M2101" i="37" s="1"/>
  <c r="P2101" i="37" s="1"/>
  <c r="J2099" i="37"/>
  <c r="M2099" i="37" s="1"/>
  <c r="P2099" i="37" s="1"/>
  <c r="P2096" i="37"/>
  <c r="M2096" i="37"/>
  <c r="J2096" i="37"/>
  <c r="M2095" i="37"/>
  <c r="P2095" i="37" s="1"/>
  <c r="J2095" i="37"/>
  <c r="J2094" i="37"/>
  <c r="M2094" i="37" s="1"/>
  <c r="P2094" i="37" s="1"/>
  <c r="J2093" i="37"/>
  <c r="M2093" i="37" s="1"/>
  <c r="P2093" i="37" s="1"/>
  <c r="P2092" i="37"/>
  <c r="M2092" i="37"/>
  <c r="J2092" i="37"/>
  <c r="M2091" i="37"/>
  <c r="P2091" i="37" s="1"/>
  <c r="J2091" i="37"/>
  <c r="J2090" i="37"/>
  <c r="M2090" i="37" s="1"/>
  <c r="P2090" i="37" s="1"/>
  <c r="J2089" i="37"/>
  <c r="M2089" i="37" s="1"/>
  <c r="P2089" i="37" s="1"/>
  <c r="P2088" i="37"/>
  <c r="M2088" i="37"/>
  <c r="J2088" i="37"/>
  <c r="M2087" i="37"/>
  <c r="P2087" i="37" s="1"/>
  <c r="J2087" i="37"/>
  <c r="J2086" i="37"/>
  <c r="J2085" i="37"/>
  <c r="M2085" i="37" s="1"/>
  <c r="P2085" i="37" s="1"/>
  <c r="P2084" i="37"/>
  <c r="M2084" i="37"/>
  <c r="J2084" i="37"/>
  <c r="U2083" i="37"/>
  <c r="S2083" i="37"/>
  <c r="R2083" i="37"/>
  <c r="Q2083" i="37"/>
  <c r="O2083" i="37"/>
  <c r="N2083" i="37"/>
  <c r="L2083" i="37"/>
  <c r="K2083" i="37"/>
  <c r="I2083" i="37"/>
  <c r="H2083" i="37"/>
  <c r="G2083" i="37"/>
  <c r="F2083" i="37"/>
  <c r="E2083" i="37"/>
  <c r="D2083" i="37"/>
  <c r="C2083" i="37"/>
  <c r="J2082" i="37"/>
  <c r="M2082" i="37" s="1"/>
  <c r="P2082" i="37" s="1"/>
  <c r="P2080" i="37"/>
  <c r="M2080" i="37"/>
  <c r="J2080" i="37"/>
  <c r="M2079" i="37"/>
  <c r="P2079" i="37" s="1"/>
  <c r="J2079" i="37"/>
  <c r="J2078" i="37"/>
  <c r="M2078" i="37" s="1"/>
  <c r="P2078" i="37" s="1"/>
  <c r="J2077" i="37"/>
  <c r="M2077" i="37" s="1"/>
  <c r="P2077" i="37" s="1"/>
  <c r="P2076" i="37"/>
  <c r="M2076" i="37"/>
  <c r="J2076" i="37"/>
  <c r="M2075" i="37"/>
  <c r="P2075" i="37" s="1"/>
  <c r="J2075" i="37"/>
  <c r="J2073" i="37"/>
  <c r="M2073" i="37" s="1"/>
  <c r="P2073" i="37" s="1"/>
  <c r="S2072" i="37"/>
  <c r="J2072" i="37"/>
  <c r="M2072" i="37" s="1"/>
  <c r="P2072" i="37" s="1"/>
  <c r="J2071" i="37"/>
  <c r="M2071" i="37" s="1"/>
  <c r="P2071" i="37" s="1"/>
  <c r="P2070" i="37"/>
  <c r="M2070" i="37"/>
  <c r="J2070" i="37"/>
  <c r="M2069" i="37"/>
  <c r="P2069" i="37" s="1"/>
  <c r="J2069" i="37"/>
  <c r="J2068" i="37"/>
  <c r="M2068" i="37" s="1"/>
  <c r="P2068" i="37" s="1"/>
  <c r="J2067" i="37"/>
  <c r="M2067" i="37" s="1"/>
  <c r="P2067" i="37" s="1"/>
  <c r="P2066" i="37"/>
  <c r="M2066" i="37"/>
  <c r="J2066" i="37"/>
  <c r="M2065" i="37"/>
  <c r="P2065" i="37" s="1"/>
  <c r="J2065" i="37"/>
  <c r="J2064" i="37"/>
  <c r="M2064" i="37" s="1"/>
  <c r="P2064" i="37" s="1"/>
  <c r="J2063" i="37"/>
  <c r="M2063" i="37" s="1"/>
  <c r="P2063" i="37" s="1"/>
  <c r="S2062" i="37"/>
  <c r="S2043" i="37" s="1"/>
  <c r="S2042" i="37" s="1"/>
  <c r="J2062" i="37"/>
  <c r="M2062" i="37" s="1"/>
  <c r="P2062" i="37" s="1"/>
  <c r="P2061" i="37"/>
  <c r="M2061" i="37"/>
  <c r="J2061" i="37"/>
  <c r="M2060" i="37"/>
  <c r="P2060" i="37" s="1"/>
  <c r="J2060" i="37"/>
  <c r="J2058" i="37"/>
  <c r="M2058" i="37" s="1"/>
  <c r="P2058" i="37" s="1"/>
  <c r="J2057" i="37"/>
  <c r="M2057" i="37" s="1"/>
  <c r="P2057" i="37" s="1"/>
  <c r="P2055" i="37"/>
  <c r="M2055" i="37"/>
  <c r="J2055" i="37"/>
  <c r="M2054" i="37"/>
  <c r="P2054" i="37" s="1"/>
  <c r="J2054" i="37"/>
  <c r="J2053" i="37"/>
  <c r="M2053" i="37" s="1"/>
  <c r="P2053" i="37" s="1"/>
  <c r="J2052" i="37"/>
  <c r="M2052" i="37" s="1"/>
  <c r="P2052" i="37" s="1"/>
  <c r="P2051" i="37"/>
  <c r="M2051" i="37"/>
  <c r="J2051" i="37"/>
  <c r="M2050" i="37"/>
  <c r="P2050" i="37" s="1"/>
  <c r="J2050" i="37"/>
  <c r="J2049" i="37"/>
  <c r="M2049" i="37" s="1"/>
  <c r="P2049" i="37" s="1"/>
  <c r="J2048" i="37"/>
  <c r="M2048" i="37" s="1"/>
  <c r="P2048" i="37" s="1"/>
  <c r="P2047" i="37"/>
  <c r="M2047" i="37"/>
  <c r="J2047" i="37"/>
  <c r="M2046" i="37"/>
  <c r="P2046" i="37" s="1"/>
  <c r="J2046" i="37"/>
  <c r="J2045" i="37"/>
  <c r="M2045" i="37" s="1"/>
  <c r="P2045" i="37" s="1"/>
  <c r="J2044" i="37"/>
  <c r="M2044" i="37" s="1"/>
  <c r="U2043" i="37"/>
  <c r="R2043" i="37"/>
  <c r="Q2043" i="37"/>
  <c r="O2043" i="37"/>
  <c r="O2042" i="37" s="1"/>
  <c r="N2043" i="37"/>
  <c r="L2043" i="37"/>
  <c r="L2042" i="37" s="1"/>
  <c r="K2043" i="37"/>
  <c r="K2042" i="37" s="1"/>
  <c r="I2043" i="37"/>
  <c r="H2043" i="37"/>
  <c r="G2043" i="37"/>
  <c r="F2043" i="37"/>
  <c r="E2043" i="37"/>
  <c r="D2043" i="37"/>
  <c r="C2043" i="37"/>
  <c r="R2042" i="37"/>
  <c r="Q2042" i="37"/>
  <c r="N2042" i="37"/>
  <c r="I2042" i="37"/>
  <c r="F2042" i="37"/>
  <c r="E2042" i="37"/>
  <c r="P2041" i="37"/>
  <c r="M2041" i="37"/>
  <c r="J2041" i="37"/>
  <c r="M2040" i="37"/>
  <c r="P2040" i="37" s="1"/>
  <c r="J2040" i="37"/>
  <c r="J2039" i="37"/>
  <c r="M2039" i="37" s="1"/>
  <c r="P2039" i="37" s="1"/>
  <c r="J2038" i="37"/>
  <c r="M2038" i="37" s="1"/>
  <c r="P2038" i="37" s="1"/>
  <c r="S2037" i="37"/>
  <c r="J2037" i="37"/>
  <c r="M2037" i="37" s="1"/>
  <c r="P2037" i="37" s="1"/>
  <c r="P2036" i="37"/>
  <c r="M2036" i="37"/>
  <c r="J2036" i="37"/>
  <c r="M2035" i="37"/>
  <c r="P2035" i="37" s="1"/>
  <c r="J2035" i="37"/>
  <c r="J2034" i="37"/>
  <c r="M2034" i="37" s="1"/>
  <c r="P2034" i="37" s="1"/>
  <c r="J2032" i="37"/>
  <c r="M2032" i="37" s="1"/>
  <c r="P2032" i="37" s="1"/>
  <c r="S2031" i="37"/>
  <c r="S2015" i="37" s="1"/>
  <c r="S1981" i="37" s="1"/>
  <c r="J2031" i="37"/>
  <c r="M2031" i="37" s="1"/>
  <c r="P2031" i="37" s="1"/>
  <c r="P2030" i="37"/>
  <c r="M2030" i="37"/>
  <c r="J2030" i="37"/>
  <c r="M2029" i="37"/>
  <c r="P2029" i="37" s="1"/>
  <c r="J2029" i="37"/>
  <c r="J2028" i="37"/>
  <c r="M2028" i="37" s="1"/>
  <c r="P2028" i="37" s="1"/>
  <c r="J2027" i="37"/>
  <c r="M2027" i="37" s="1"/>
  <c r="P2027" i="37" s="1"/>
  <c r="P2026" i="37"/>
  <c r="M2026" i="37"/>
  <c r="J2026" i="37"/>
  <c r="M2025" i="37"/>
  <c r="P2025" i="37" s="1"/>
  <c r="J2025" i="37"/>
  <c r="J2024" i="37"/>
  <c r="M2024" i="37" s="1"/>
  <c r="P2024" i="37" s="1"/>
  <c r="J2023" i="37"/>
  <c r="M2023" i="37" s="1"/>
  <c r="P2023" i="37" s="1"/>
  <c r="P2022" i="37"/>
  <c r="M2022" i="37"/>
  <c r="J2022" i="37"/>
  <c r="M2021" i="37"/>
  <c r="P2021" i="37" s="1"/>
  <c r="J2021" i="37"/>
  <c r="J2020" i="37"/>
  <c r="M2020" i="37" s="1"/>
  <c r="P2020" i="37" s="1"/>
  <c r="J2019" i="37"/>
  <c r="M2019" i="37" s="1"/>
  <c r="P2019" i="37" s="1"/>
  <c r="P2018" i="37"/>
  <c r="M2018" i="37"/>
  <c r="J2018" i="37"/>
  <c r="M2017" i="37"/>
  <c r="P2017" i="37" s="1"/>
  <c r="J2017" i="37"/>
  <c r="J2016" i="37"/>
  <c r="U2015" i="37"/>
  <c r="R2015" i="37"/>
  <c r="Q2015" i="37"/>
  <c r="O2015" i="37"/>
  <c r="N2015" i="37"/>
  <c r="L2015" i="37"/>
  <c r="K2015" i="37"/>
  <c r="I2015" i="37"/>
  <c r="H2015" i="37"/>
  <c r="G2015" i="37"/>
  <c r="F2015" i="37"/>
  <c r="E2015" i="37"/>
  <c r="D2015" i="37"/>
  <c r="C2015" i="37"/>
  <c r="M2013" i="37"/>
  <c r="P2013" i="37" s="1"/>
  <c r="J2013" i="37"/>
  <c r="J2012" i="37"/>
  <c r="M2012" i="37" s="1"/>
  <c r="P2012" i="37" s="1"/>
  <c r="J2010" i="37"/>
  <c r="M2010" i="37" s="1"/>
  <c r="P2010" i="37" s="1"/>
  <c r="P2009" i="37"/>
  <c r="M2009" i="37"/>
  <c r="J2009" i="37"/>
  <c r="M2008" i="37"/>
  <c r="P2008" i="37" s="1"/>
  <c r="J2008" i="37"/>
  <c r="J2007" i="37"/>
  <c r="M2007" i="37" s="1"/>
  <c r="P2007" i="37" s="1"/>
  <c r="J2006" i="37"/>
  <c r="M2006" i="37" s="1"/>
  <c r="P2006" i="37" s="1"/>
  <c r="P2005" i="37"/>
  <c r="M2005" i="37"/>
  <c r="J2005" i="37"/>
  <c r="O2004" i="37"/>
  <c r="O1982" i="37" s="1"/>
  <c r="O1981" i="37" s="1"/>
  <c r="M2004" i="37"/>
  <c r="J2004" i="37"/>
  <c r="M2003" i="37"/>
  <c r="P2003" i="37" s="1"/>
  <c r="J2003" i="37"/>
  <c r="J2002" i="37"/>
  <c r="M2002" i="37" s="1"/>
  <c r="P2002" i="37" s="1"/>
  <c r="J2001" i="37"/>
  <c r="M2001" i="37" s="1"/>
  <c r="P2001" i="37" s="1"/>
  <c r="P2000" i="37"/>
  <c r="M2000" i="37"/>
  <c r="J2000" i="37"/>
  <c r="M1999" i="37"/>
  <c r="P1999" i="37" s="1"/>
  <c r="J1999" i="37"/>
  <c r="J1998" i="37"/>
  <c r="M1998" i="37" s="1"/>
  <c r="P1998" i="37" s="1"/>
  <c r="J1997" i="37"/>
  <c r="M1997" i="37" s="1"/>
  <c r="P1997" i="37" s="1"/>
  <c r="P1996" i="37"/>
  <c r="M1996" i="37"/>
  <c r="J1996" i="37"/>
  <c r="M1995" i="37"/>
  <c r="P1995" i="37" s="1"/>
  <c r="J1995" i="37"/>
  <c r="J1994" i="37"/>
  <c r="M1994" i="37" s="1"/>
  <c r="P1994" i="37" s="1"/>
  <c r="J1993" i="37"/>
  <c r="M1993" i="37" s="1"/>
  <c r="P1993" i="37" s="1"/>
  <c r="P1992" i="37"/>
  <c r="M1992" i="37"/>
  <c r="J1992" i="37"/>
  <c r="M1991" i="37"/>
  <c r="P1991" i="37" s="1"/>
  <c r="J1991" i="37"/>
  <c r="J1990" i="37"/>
  <c r="J1989" i="37"/>
  <c r="M1989" i="37" s="1"/>
  <c r="P1989" i="37" s="1"/>
  <c r="P1988" i="37"/>
  <c r="M1988" i="37"/>
  <c r="J1988" i="37"/>
  <c r="M1987" i="37"/>
  <c r="P1987" i="37" s="1"/>
  <c r="J1987" i="37"/>
  <c r="J1986" i="37"/>
  <c r="M1986" i="37" s="1"/>
  <c r="P1986" i="37" s="1"/>
  <c r="J1985" i="37"/>
  <c r="M1985" i="37" s="1"/>
  <c r="P1985" i="37" s="1"/>
  <c r="P1984" i="37"/>
  <c r="M1984" i="37"/>
  <c r="J1984" i="37"/>
  <c r="M1983" i="37"/>
  <c r="J1983" i="37"/>
  <c r="U1982" i="37"/>
  <c r="S1982" i="37"/>
  <c r="R1982" i="37"/>
  <c r="R1981" i="37" s="1"/>
  <c r="Q1982" i="37"/>
  <c r="Q1981" i="37" s="1"/>
  <c r="N1982" i="37"/>
  <c r="N1981" i="37" s="1"/>
  <c r="L1982" i="37"/>
  <c r="K1982" i="37"/>
  <c r="I1982" i="37"/>
  <c r="I1981" i="37" s="1"/>
  <c r="H1982" i="37"/>
  <c r="G1982" i="37"/>
  <c r="F1982" i="37"/>
  <c r="F1981" i="37" s="1"/>
  <c r="E1982" i="37"/>
  <c r="E1981" i="37" s="1"/>
  <c r="D1982" i="37"/>
  <c r="C1982" i="37"/>
  <c r="U1981" i="37"/>
  <c r="L1981" i="37"/>
  <c r="K1981" i="37"/>
  <c r="H1981" i="37"/>
  <c r="G1981" i="37"/>
  <c r="D1981" i="37"/>
  <c r="C1981" i="37"/>
  <c r="J1980" i="37"/>
  <c r="M1980" i="37" s="1"/>
  <c r="P1980" i="37" s="1"/>
  <c r="J1979" i="37"/>
  <c r="M1979" i="37" s="1"/>
  <c r="P1979" i="37" s="1"/>
  <c r="P1978" i="37"/>
  <c r="M1978" i="37"/>
  <c r="J1978" i="37"/>
  <c r="M1976" i="37"/>
  <c r="P1976" i="37" s="1"/>
  <c r="J1976" i="37"/>
  <c r="J1975" i="37"/>
  <c r="M1975" i="37" s="1"/>
  <c r="P1975" i="37" s="1"/>
  <c r="J1974" i="37"/>
  <c r="M1974" i="37" s="1"/>
  <c r="P1974" i="37" s="1"/>
  <c r="P1973" i="37"/>
  <c r="M1973" i="37"/>
  <c r="J1973" i="37"/>
  <c r="M1972" i="37"/>
  <c r="P1972" i="37" s="1"/>
  <c r="J1972" i="37"/>
  <c r="J1971" i="37"/>
  <c r="M1971" i="37" s="1"/>
  <c r="P1971" i="37" s="1"/>
  <c r="N1970" i="37"/>
  <c r="J1970" i="37"/>
  <c r="M1970" i="37" s="1"/>
  <c r="P1970" i="37" s="1"/>
  <c r="J1969" i="37"/>
  <c r="M1969" i="37" s="1"/>
  <c r="P1969" i="37" s="1"/>
  <c r="P1968" i="37"/>
  <c r="M1968" i="37"/>
  <c r="J1968" i="37"/>
  <c r="M1967" i="37"/>
  <c r="P1967" i="37" s="1"/>
  <c r="J1967" i="37"/>
  <c r="J1966" i="37"/>
  <c r="M1966" i="37" s="1"/>
  <c r="P1966" i="37" s="1"/>
  <c r="J1964" i="37"/>
  <c r="M1964" i="37" s="1"/>
  <c r="P1964" i="37" s="1"/>
  <c r="S1963" i="37"/>
  <c r="S1927" i="37" s="1"/>
  <c r="J1962" i="37"/>
  <c r="M1962" i="37" s="1"/>
  <c r="P1962" i="37" s="1"/>
  <c r="P1961" i="37"/>
  <c r="M1961" i="37"/>
  <c r="J1961" i="37"/>
  <c r="M1960" i="37"/>
  <c r="P1960" i="37" s="1"/>
  <c r="J1960" i="37"/>
  <c r="J1959" i="37"/>
  <c r="M1959" i="37" s="1"/>
  <c r="P1959" i="37" s="1"/>
  <c r="N1958" i="37"/>
  <c r="J1958" i="37"/>
  <c r="M1958" i="37" s="1"/>
  <c r="P1958" i="37" s="1"/>
  <c r="P1957" i="37"/>
  <c r="J1956" i="37"/>
  <c r="M1956" i="37" s="1"/>
  <c r="P1956" i="37" s="1"/>
  <c r="J1955" i="37"/>
  <c r="M1955" i="37" s="1"/>
  <c r="P1955" i="37" s="1"/>
  <c r="P1954" i="37"/>
  <c r="M1954" i="37"/>
  <c r="J1954" i="37"/>
  <c r="M1953" i="37"/>
  <c r="P1953" i="37" s="1"/>
  <c r="J1953" i="37"/>
  <c r="J1952" i="37"/>
  <c r="M1952" i="37" s="1"/>
  <c r="P1952" i="37" s="1"/>
  <c r="J1951" i="37"/>
  <c r="M1951" i="37" s="1"/>
  <c r="P1951" i="37" s="1"/>
  <c r="O1950" i="37"/>
  <c r="O1927" i="37" s="1"/>
  <c r="J1950" i="37"/>
  <c r="M1950" i="37" s="1"/>
  <c r="P1950" i="37" s="1"/>
  <c r="P1949" i="37"/>
  <c r="M1949" i="37"/>
  <c r="J1949" i="37"/>
  <c r="M1948" i="37"/>
  <c r="P1948" i="37" s="1"/>
  <c r="J1948" i="37"/>
  <c r="J1947" i="37"/>
  <c r="M1947" i="37" s="1"/>
  <c r="P1947" i="37" s="1"/>
  <c r="J1946" i="37"/>
  <c r="M1946" i="37" s="1"/>
  <c r="P1946" i="37" s="1"/>
  <c r="P1945" i="37"/>
  <c r="M1945" i="37"/>
  <c r="J1945" i="37"/>
  <c r="M1944" i="37"/>
  <c r="P1944" i="37" s="1"/>
  <c r="J1944" i="37"/>
  <c r="J1943" i="37"/>
  <c r="M1943" i="37" s="1"/>
  <c r="P1943" i="37" s="1"/>
  <c r="J1942" i="37"/>
  <c r="M1942" i="37" s="1"/>
  <c r="P1942" i="37" s="1"/>
  <c r="P1941" i="37"/>
  <c r="M1941" i="37"/>
  <c r="J1941" i="37"/>
  <c r="M1940" i="37"/>
  <c r="P1940" i="37" s="1"/>
  <c r="J1940" i="37"/>
  <c r="J1939" i="37"/>
  <c r="M1939" i="37" s="1"/>
  <c r="P1939" i="37" s="1"/>
  <c r="J1938" i="37"/>
  <c r="M1938" i="37" s="1"/>
  <c r="P1938" i="37" s="1"/>
  <c r="P1937" i="37"/>
  <c r="M1937" i="37"/>
  <c r="J1937" i="37"/>
  <c r="M1936" i="37"/>
  <c r="P1936" i="37" s="1"/>
  <c r="J1936" i="37"/>
  <c r="J1935" i="37"/>
  <c r="M1935" i="37" s="1"/>
  <c r="P1935" i="37" s="1"/>
  <c r="J1934" i="37"/>
  <c r="M1934" i="37" s="1"/>
  <c r="P1934" i="37" s="1"/>
  <c r="P1933" i="37"/>
  <c r="M1933" i="37"/>
  <c r="J1933" i="37"/>
  <c r="M1932" i="37"/>
  <c r="P1932" i="37" s="1"/>
  <c r="J1932" i="37"/>
  <c r="J1931" i="37"/>
  <c r="M1931" i="37" s="1"/>
  <c r="P1931" i="37" s="1"/>
  <c r="J1930" i="37"/>
  <c r="M1930" i="37" s="1"/>
  <c r="P1930" i="37" s="1"/>
  <c r="P1929" i="37"/>
  <c r="M1929" i="37"/>
  <c r="J1929" i="37"/>
  <c r="M1928" i="37"/>
  <c r="J1928" i="37"/>
  <c r="U1927" i="37"/>
  <c r="R1927" i="37"/>
  <c r="Q1927" i="37"/>
  <c r="N1927" i="37"/>
  <c r="L1927" i="37"/>
  <c r="K1927" i="37"/>
  <c r="I1927" i="37"/>
  <c r="H1927" i="37"/>
  <c r="G1927" i="37"/>
  <c r="F1927" i="37"/>
  <c r="E1927" i="37"/>
  <c r="D1927" i="37"/>
  <c r="C1927" i="37"/>
  <c r="P1926" i="37"/>
  <c r="M1926" i="37"/>
  <c r="J1926" i="37"/>
  <c r="M1925" i="37"/>
  <c r="P1925" i="37" s="1"/>
  <c r="J1925" i="37"/>
  <c r="J1924" i="37"/>
  <c r="M1924" i="37" s="1"/>
  <c r="P1924" i="37" s="1"/>
  <c r="J1923" i="37"/>
  <c r="M1923" i="37" s="1"/>
  <c r="P1923" i="37" s="1"/>
  <c r="P1922" i="37"/>
  <c r="M1922" i="37"/>
  <c r="J1922" i="37"/>
  <c r="M1921" i="37"/>
  <c r="P1921" i="37" s="1"/>
  <c r="J1921" i="37"/>
  <c r="J1920" i="37"/>
  <c r="M1920" i="37" s="1"/>
  <c r="P1920" i="37" s="1"/>
  <c r="J1919" i="37"/>
  <c r="M1919" i="37" s="1"/>
  <c r="P1919" i="37" s="1"/>
  <c r="P1918" i="37"/>
  <c r="M1918" i="37"/>
  <c r="J1918" i="37"/>
  <c r="S1917" i="37"/>
  <c r="P1917" i="37"/>
  <c r="M1917" i="37"/>
  <c r="J1917" i="37"/>
  <c r="M1916" i="37"/>
  <c r="P1916" i="37" s="1"/>
  <c r="J1916" i="37"/>
  <c r="J1915" i="37"/>
  <c r="M1915" i="37" s="1"/>
  <c r="P1915" i="37" s="1"/>
  <c r="J1914" i="37"/>
  <c r="M1914" i="37" s="1"/>
  <c r="P1914" i="37" s="1"/>
  <c r="P1913" i="37"/>
  <c r="M1913" i="37"/>
  <c r="J1913" i="37"/>
  <c r="M1912" i="37"/>
  <c r="P1912" i="37" s="1"/>
  <c r="J1912" i="37"/>
  <c r="J1911" i="37"/>
  <c r="M1911" i="37" s="1"/>
  <c r="P1911" i="37" s="1"/>
  <c r="J1910" i="37"/>
  <c r="M1910" i="37" s="1"/>
  <c r="P1910" i="37" s="1"/>
  <c r="P1909" i="37"/>
  <c r="M1909" i="37"/>
  <c r="J1909" i="37"/>
  <c r="M1908" i="37"/>
  <c r="P1908" i="37" s="1"/>
  <c r="J1908" i="37"/>
  <c r="J1907" i="37"/>
  <c r="M1907" i="37" s="1"/>
  <c r="P1907" i="37" s="1"/>
  <c r="G1907" i="37"/>
  <c r="J1904" i="37"/>
  <c r="M1904" i="37" s="1"/>
  <c r="P1904" i="37" s="1"/>
  <c r="S1903" i="37"/>
  <c r="J1903" i="37"/>
  <c r="M1903" i="37" s="1"/>
  <c r="P1903" i="37" s="1"/>
  <c r="J1902" i="37"/>
  <c r="M1902" i="37" s="1"/>
  <c r="P1902" i="37" s="1"/>
  <c r="P1901" i="37"/>
  <c r="M1901" i="37"/>
  <c r="J1901" i="37"/>
  <c r="M1900" i="37"/>
  <c r="P1900" i="37" s="1"/>
  <c r="J1900" i="37"/>
  <c r="J1899" i="37"/>
  <c r="M1899" i="37" s="1"/>
  <c r="P1899" i="37" s="1"/>
  <c r="J1898" i="37"/>
  <c r="M1898" i="37" s="1"/>
  <c r="P1898" i="37" s="1"/>
  <c r="P1897" i="37"/>
  <c r="M1897" i="37"/>
  <c r="J1897" i="37"/>
  <c r="M1896" i="37"/>
  <c r="P1896" i="37" s="1"/>
  <c r="J1896" i="37"/>
  <c r="J1895" i="37"/>
  <c r="M1895" i="37" s="1"/>
  <c r="P1895" i="37" s="1"/>
  <c r="J1894" i="37"/>
  <c r="M1894" i="37" s="1"/>
  <c r="P1894" i="37" s="1"/>
  <c r="P1893" i="37"/>
  <c r="M1893" i="37"/>
  <c r="J1893" i="37"/>
  <c r="M1892" i="37"/>
  <c r="P1892" i="37" s="1"/>
  <c r="J1892" i="37"/>
  <c r="J1891" i="37"/>
  <c r="J1890" i="37"/>
  <c r="M1890" i="37" s="1"/>
  <c r="P1890" i="37" s="1"/>
  <c r="P1889" i="37"/>
  <c r="M1889" i="37"/>
  <c r="J1889" i="37"/>
  <c r="U1888" i="37"/>
  <c r="S1888" i="37"/>
  <c r="S1887" i="37" s="1"/>
  <c r="R1888" i="37"/>
  <c r="R1887" i="37" s="1"/>
  <c r="Q1888" i="37"/>
  <c r="O1888" i="37"/>
  <c r="O1887" i="37" s="1"/>
  <c r="N1888" i="37"/>
  <c r="L1888" i="37"/>
  <c r="K1888" i="37"/>
  <c r="K1887" i="37" s="1"/>
  <c r="I1888" i="37"/>
  <c r="H1888" i="37"/>
  <c r="G1888" i="37"/>
  <c r="G1887" i="37" s="1"/>
  <c r="F1888" i="37"/>
  <c r="F1887" i="37" s="1"/>
  <c r="E1888" i="37"/>
  <c r="D1888" i="37"/>
  <c r="C1888" i="37"/>
  <c r="C1887" i="37" s="1"/>
  <c r="U1887" i="37"/>
  <c r="Q1887" i="37"/>
  <c r="L1887" i="37"/>
  <c r="I1887" i="37"/>
  <c r="H1887" i="37"/>
  <c r="E1887" i="37"/>
  <c r="D1887" i="37"/>
  <c r="M1885" i="37"/>
  <c r="P1885" i="37" s="1"/>
  <c r="J1884" i="37"/>
  <c r="M1884" i="37" s="1"/>
  <c r="P1884" i="37" s="1"/>
  <c r="P1883" i="37"/>
  <c r="M1883" i="37"/>
  <c r="J1883" i="37"/>
  <c r="M1882" i="37"/>
  <c r="P1882" i="37" s="1"/>
  <c r="J1882" i="37"/>
  <c r="J1881" i="37"/>
  <c r="M1881" i="37" s="1"/>
  <c r="P1881" i="37" s="1"/>
  <c r="J1880" i="37"/>
  <c r="M1880" i="37" s="1"/>
  <c r="P1880" i="37" s="1"/>
  <c r="P1879" i="37"/>
  <c r="M1879" i="37"/>
  <c r="J1879" i="37"/>
  <c r="M1878" i="37"/>
  <c r="P1878" i="37" s="1"/>
  <c r="J1878" i="37"/>
  <c r="J1877" i="37"/>
  <c r="M1877" i="37" s="1"/>
  <c r="P1877" i="37" s="1"/>
  <c r="S1876" i="37"/>
  <c r="S1848" i="37" s="1"/>
  <c r="S1847" i="37" s="1"/>
  <c r="J1876" i="37"/>
  <c r="M1876" i="37" s="1"/>
  <c r="P1876" i="37" s="1"/>
  <c r="J1875" i="37"/>
  <c r="M1875" i="37" s="1"/>
  <c r="P1875" i="37" s="1"/>
  <c r="P1874" i="37"/>
  <c r="M1874" i="37"/>
  <c r="J1874" i="37"/>
  <c r="M1873" i="37"/>
  <c r="P1873" i="37" s="1"/>
  <c r="J1873" i="37"/>
  <c r="J1872" i="37"/>
  <c r="M1872" i="37" s="1"/>
  <c r="P1872" i="37" s="1"/>
  <c r="J1871" i="37"/>
  <c r="M1871" i="37" s="1"/>
  <c r="P1871" i="37" s="1"/>
  <c r="P1870" i="37"/>
  <c r="M1870" i="37"/>
  <c r="J1870" i="37"/>
  <c r="S1869" i="37"/>
  <c r="P1869" i="37"/>
  <c r="M1869" i="37"/>
  <c r="J1869" i="37"/>
  <c r="M1868" i="37"/>
  <c r="P1868" i="37" s="1"/>
  <c r="J1868" i="37"/>
  <c r="J1867" i="37"/>
  <c r="M1867" i="37" s="1"/>
  <c r="P1867" i="37" s="1"/>
  <c r="J1866" i="37"/>
  <c r="M1866" i="37" s="1"/>
  <c r="P1866" i="37" s="1"/>
  <c r="P1865" i="37"/>
  <c r="M1865" i="37"/>
  <c r="J1865" i="37"/>
  <c r="M1864" i="37"/>
  <c r="P1864" i="37" s="1"/>
  <c r="J1864" i="37"/>
  <c r="J1863" i="37"/>
  <c r="M1863" i="37" s="1"/>
  <c r="P1863" i="37" s="1"/>
  <c r="J1862" i="37"/>
  <c r="M1862" i="37" s="1"/>
  <c r="P1862" i="37" s="1"/>
  <c r="P1861" i="37"/>
  <c r="M1861" i="37"/>
  <c r="J1861" i="37"/>
  <c r="O1860" i="37"/>
  <c r="O1848" i="37" s="1"/>
  <c r="M1860" i="37"/>
  <c r="P1860" i="37" s="1"/>
  <c r="L1860" i="37"/>
  <c r="J1860" i="37"/>
  <c r="P1859" i="37"/>
  <c r="M1859" i="37"/>
  <c r="J1859" i="37"/>
  <c r="M1858" i="37"/>
  <c r="P1858" i="37" s="1"/>
  <c r="J1858" i="37"/>
  <c r="J1857" i="37"/>
  <c r="M1857" i="37" s="1"/>
  <c r="P1857" i="37" s="1"/>
  <c r="J1856" i="37"/>
  <c r="M1856" i="37" s="1"/>
  <c r="P1856" i="37" s="1"/>
  <c r="P1855" i="37"/>
  <c r="M1855" i="37"/>
  <c r="J1855" i="37"/>
  <c r="M1854" i="37"/>
  <c r="P1854" i="37" s="1"/>
  <c r="J1854" i="37"/>
  <c r="J1853" i="37"/>
  <c r="M1853" i="37" s="1"/>
  <c r="P1853" i="37" s="1"/>
  <c r="J1852" i="37"/>
  <c r="M1852" i="37" s="1"/>
  <c r="P1852" i="37" s="1"/>
  <c r="P1851" i="37"/>
  <c r="M1851" i="37"/>
  <c r="J1851" i="37"/>
  <c r="M1850" i="37"/>
  <c r="P1850" i="37" s="1"/>
  <c r="J1850" i="37"/>
  <c r="J1849" i="37"/>
  <c r="U1848" i="37"/>
  <c r="U1847" i="37" s="1"/>
  <c r="R1848" i="37"/>
  <c r="Q1848" i="37"/>
  <c r="Q1847" i="37" s="1"/>
  <c r="N1848" i="37"/>
  <c r="L1848" i="37"/>
  <c r="L1847" i="37" s="1"/>
  <c r="K1848" i="37"/>
  <c r="I1848" i="37"/>
  <c r="I1847" i="37" s="1"/>
  <c r="H1848" i="37"/>
  <c r="H1847" i="37" s="1"/>
  <c r="G1848" i="37"/>
  <c r="F1848" i="37"/>
  <c r="E1848" i="37"/>
  <c r="E1847" i="37" s="1"/>
  <c r="D1848" i="37"/>
  <c r="D1847" i="37" s="1"/>
  <c r="C1848" i="37"/>
  <c r="R1847" i="37"/>
  <c r="O1847" i="37"/>
  <c r="N1847" i="37"/>
  <c r="K1847" i="37"/>
  <c r="G1847" i="37"/>
  <c r="F1847" i="37"/>
  <c r="C1847" i="37"/>
  <c r="J1846" i="37"/>
  <c r="M1846" i="37" s="1"/>
  <c r="P1846" i="37" s="1"/>
  <c r="P1845" i="37"/>
  <c r="M1845" i="37"/>
  <c r="M1844" i="37"/>
  <c r="P1844" i="37" s="1"/>
  <c r="P1843" i="37"/>
  <c r="M1843" i="37"/>
  <c r="J1843" i="37"/>
  <c r="M1842" i="37"/>
  <c r="P1842" i="37" s="1"/>
  <c r="P1841" i="37"/>
  <c r="M1841" i="37"/>
  <c r="U1840" i="37"/>
  <c r="P1840" i="37"/>
  <c r="M1840" i="37"/>
  <c r="L1840" i="37"/>
  <c r="J1840" i="37"/>
  <c r="P1839" i="37"/>
  <c r="M1839" i="37"/>
  <c r="J1839" i="37"/>
  <c r="M1838" i="37"/>
  <c r="P1838" i="37" s="1"/>
  <c r="J1838" i="37"/>
  <c r="H1838" i="37"/>
  <c r="M1837" i="37"/>
  <c r="P1837" i="37" s="1"/>
  <c r="J1837" i="37"/>
  <c r="J1836" i="37"/>
  <c r="M1836" i="37" s="1"/>
  <c r="P1836" i="37" s="1"/>
  <c r="J1835" i="37"/>
  <c r="M1835" i="37" s="1"/>
  <c r="P1835" i="37" s="1"/>
  <c r="P1834" i="37"/>
  <c r="M1834" i="37"/>
  <c r="J1834" i="37"/>
  <c r="S1833" i="37"/>
  <c r="P1833" i="37"/>
  <c r="M1833" i="37"/>
  <c r="J1833" i="37"/>
  <c r="M1832" i="37"/>
  <c r="P1832" i="37" s="1"/>
  <c r="J1832" i="37"/>
  <c r="H1831" i="37"/>
  <c r="J1831" i="37" s="1"/>
  <c r="M1831" i="37" s="1"/>
  <c r="P1831" i="37" s="1"/>
  <c r="J1830" i="37"/>
  <c r="M1830" i="37" s="1"/>
  <c r="P1830" i="37" s="1"/>
  <c r="P1829" i="37"/>
  <c r="J1829" i="37"/>
  <c r="M1829" i="37" s="1"/>
  <c r="P1828" i="37"/>
  <c r="M1828" i="37"/>
  <c r="J1828" i="37"/>
  <c r="J1827" i="37"/>
  <c r="M1827" i="37" s="1"/>
  <c r="P1827" i="37" s="1"/>
  <c r="J1826" i="37"/>
  <c r="M1826" i="37" s="1"/>
  <c r="P1826" i="37" s="1"/>
  <c r="P1825" i="37"/>
  <c r="M1825" i="37"/>
  <c r="M1824" i="37"/>
  <c r="P1824" i="37" s="1"/>
  <c r="S1823" i="37"/>
  <c r="J1823" i="37"/>
  <c r="M1823" i="37" s="1"/>
  <c r="P1823" i="37" s="1"/>
  <c r="J1822" i="37"/>
  <c r="M1822" i="37" s="1"/>
  <c r="P1822" i="37" s="1"/>
  <c r="P1821" i="37"/>
  <c r="M1821" i="37"/>
  <c r="J1821" i="37"/>
  <c r="M1820" i="37"/>
  <c r="P1820" i="37" s="1"/>
  <c r="J1820" i="37"/>
  <c r="M1819" i="37"/>
  <c r="P1819" i="37" s="1"/>
  <c r="M1818" i="37"/>
  <c r="P1818" i="37" s="1"/>
  <c r="J1818" i="37"/>
  <c r="M1817" i="37"/>
  <c r="P1817" i="37" s="1"/>
  <c r="J1817" i="37"/>
  <c r="J1816" i="37"/>
  <c r="M1816" i="37" s="1"/>
  <c r="P1816" i="37" s="1"/>
  <c r="H1816" i="37"/>
  <c r="J1815" i="37"/>
  <c r="M1815" i="37" s="1"/>
  <c r="P1815" i="37" s="1"/>
  <c r="J1814" i="37"/>
  <c r="M1814" i="37" s="1"/>
  <c r="P1814" i="37" s="1"/>
  <c r="P1813" i="37"/>
  <c r="M1813" i="37"/>
  <c r="J1813" i="37"/>
  <c r="M1812" i="37"/>
  <c r="P1812" i="37" s="1"/>
  <c r="J1812" i="37"/>
  <c r="J1811" i="37"/>
  <c r="M1811" i="37" s="1"/>
  <c r="P1811" i="37" s="1"/>
  <c r="J1810" i="37"/>
  <c r="M1810" i="37" s="1"/>
  <c r="P1810" i="37" s="1"/>
  <c r="M1809" i="37"/>
  <c r="P1809" i="37" s="1"/>
  <c r="J1809" i="37"/>
  <c r="M1808" i="37"/>
  <c r="P1808" i="37" s="1"/>
  <c r="J1808" i="37"/>
  <c r="J1807" i="37"/>
  <c r="M1807" i="37" s="1"/>
  <c r="P1807" i="37" s="1"/>
  <c r="J1806" i="37"/>
  <c r="M1806" i="37" s="1"/>
  <c r="P1806" i="37" s="1"/>
  <c r="M1805" i="37"/>
  <c r="P1805" i="37" s="1"/>
  <c r="J1805" i="37"/>
  <c r="M1804" i="37"/>
  <c r="P1804" i="37" s="1"/>
  <c r="J1804" i="37"/>
  <c r="J1803" i="37"/>
  <c r="M1803" i="37" s="1"/>
  <c r="P1803" i="37" s="1"/>
  <c r="J1802" i="37"/>
  <c r="M1802" i="37" s="1"/>
  <c r="P1802" i="37" s="1"/>
  <c r="M1801" i="37"/>
  <c r="J1801" i="37"/>
  <c r="U1800" i="37"/>
  <c r="S1800" i="37"/>
  <c r="S1799" i="37" s="1"/>
  <c r="R1800" i="37"/>
  <c r="R1799" i="37" s="1"/>
  <c r="Q1800" i="37"/>
  <c r="O1800" i="37"/>
  <c r="O1799" i="37" s="1"/>
  <c r="N1800" i="37"/>
  <c r="N1799" i="37" s="1"/>
  <c r="L1800" i="37"/>
  <c r="K1800" i="37"/>
  <c r="K1799" i="37" s="1"/>
  <c r="J1800" i="37"/>
  <c r="J1799" i="37" s="1"/>
  <c r="I1800" i="37"/>
  <c r="G1800" i="37"/>
  <c r="G1799" i="37" s="1"/>
  <c r="F1800" i="37"/>
  <c r="F1799" i="37" s="1"/>
  <c r="E1800" i="37"/>
  <c r="D1800" i="37"/>
  <c r="C1800" i="37"/>
  <c r="C1799" i="37" s="1"/>
  <c r="U1799" i="37"/>
  <c r="Q1799" i="37"/>
  <c r="L1799" i="37"/>
  <c r="I1799" i="37"/>
  <c r="E1799" i="37"/>
  <c r="D1799" i="37"/>
  <c r="M1798" i="37"/>
  <c r="P1798" i="37" s="1"/>
  <c r="J1798" i="37"/>
  <c r="J1797" i="37"/>
  <c r="M1797" i="37" s="1"/>
  <c r="P1797" i="37" s="1"/>
  <c r="J1796" i="37"/>
  <c r="M1796" i="37" s="1"/>
  <c r="P1796" i="37" s="1"/>
  <c r="M1795" i="37"/>
  <c r="P1795" i="37" s="1"/>
  <c r="J1795" i="37"/>
  <c r="M1794" i="37"/>
  <c r="P1794" i="37" s="1"/>
  <c r="J1794" i="37"/>
  <c r="J1793" i="37"/>
  <c r="M1793" i="37" s="1"/>
  <c r="P1793" i="37" s="1"/>
  <c r="J1792" i="37"/>
  <c r="M1792" i="37" s="1"/>
  <c r="P1792" i="37" s="1"/>
  <c r="S1791" i="37"/>
  <c r="P1791" i="37"/>
  <c r="J1791" i="37"/>
  <c r="M1791" i="37" s="1"/>
  <c r="P1790" i="37"/>
  <c r="M1790" i="37"/>
  <c r="J1790" i="37"/>
  <c r="J1789" i="37"/>
  <c r="M1789" i="37" s="1"/>
  <c r="P1789" i="37" s="1"/>
  <c r="J1788" i="37"/>
  <c r="M1788" i="37" s="1"/>
  <c r="P1788" i="37" s="1"/>
  <c r="P1787" i="37"/>
  <c r="J1787" i="37"/>
  <c r="M1787" i="37" s="1"/>
  <c r="P1786" i="37"/>
  <c r="M1786" i="37"/>
  <c r="J1786" i="37"/>
  <c r="J1785" i="37"/>
  <c r="M1785" i="37" s="1"/>
  <c r="P1785" i="37" s="1"/>
  <c r="S1783" i="37"/>
  <c r="M1783" i="37"/>
  <c r="P1783" i="37" s="1"/>
  <c r="J1783" i="37"/>
  <c r="J1782" i="37"/>
  <c r="M1782" i="37" s="1"/>
  <c r="P1782" i="37" s="1"/>
  <c r="J1781" i="37"/>
  <c r="M1781" i="37" s="1"/>
  <c r="P1781" i="37" s="1"/>
  <c r="M1780" i="37"/>
  <c r="P1780" i="37" s="1"/>
  <c r="J1780" i="37"/>
  <c r="M1779" i="37"/>
  <c r="P1779" i="37" s="1"/>
  <c r="J1778" i="37"/>
  <c r="M1778" i="37" s="1"/>
  <c r="P1778" i="37" s="1"/>
  <c r="M1777" i="37"/>
  <c r="P1777" i="37" s="1"/>
  <c r="J1777" i="37"/>
  <c r="M1776" i="37"/>
  <c r="P1776" i="37" s="1"/>
  <c r="J1776" i="37"/>
  <c r="J1775" i="37"/>
  <c r="M1775" i="37" s="1"/>
  <c r="P1775" i="37" s="1"/>
  <c r="J1774" i="37"/>
  <c r="M1774" i="37" s="1"/>
  <c r="P1774" i="37" s="1"/>
  <c r="M1773" i="37"/>
  <c r="P1773" i="37" s="1"/>
  <c r="J1773" i="37"/>
  <c r="M1772" i="37"/>
  <c r="P1772" i="37" s="1"/>
  <c r="J1772" i="37"/>
  <c r="J1771" i="37"/>
  <c r="M1771" i="37" s="1"/>
  <c r="P1771" i="37" s="1"/>
  <c r="J1770" i="37"/>
  <c r="M1770" i="37" s="1"/>
  <c r="P1770" i="37" s="1"/>
  <c r="M1769" i="37"/>
  <c r="P1769" i="37" s="1"/>
  <c r="J1769" i="37"/>
  <c r="M1768" i="37"/>
  <c r="P1768" i="37" s="1"/>
  <c r="J1768" i="37"/>
  <c r="J1767" i="37"/>
  <c r="M1767" i="37" s="1"/>
  <c r="P1767" i="37" s="1"/>
  <c r="J1766" i="37"/>
  <c r="M1766" i="37" s="1"/>
  <c r="P1766" i="37" s="1"/>
  <c r="M1765" i="37"/>
  <c r="J1765" i="37"/>
  <c r="U1764" i="37"/>
  <c r="S1764" i="37"/>
  <c r="S1763" i="37" s="1"/>
  <c r="R1764" i="37"/>
  <c r="R1763" i="37" s="1"/>
  <c r="Q1764" i="37"/>
  <c r="O1764" i="37"/>
  <c r="O1763" i="37" s="1"/>
  <c r="N1764" i="37"/>
  <c r="N1763" i="37" s="1"/>
  <c r="L1764" i="37"/>
  <c r="K1764" i="37"/>
  <c r="K1763" i="37" s="1"/>
  <c r="I1764" i="37"/>
  <c r="H1764" i="37"/>
  <c r="G1764" i="37"/>
  <c r="G1763" i="37" s="1"/>
  <c r="F1764" i="37"/>
  <c r="F1763" i="37" s="1"/>
  <c r="E1764" i="37"/>
  <c r="D1764" i="37"/>
  <c r="C1764" i="37"/>
  <c r="C1763" i="37" s="1"/>
  <c r="U1763" i="37"/>
  <c r="Q1763" i="37"/>
  <c r="L1763" i="37"/>
  <c r="I1763" i="37"/>
  <c r="H1763" i="37"/>
  <c r="E1763" i="37"/>
  <c r="D1763" i="37"/>
  <c r="J1761" i="37"/>
  <c r="M1761" i="37" s="1"/>
  <c r="P1761" i="37" s="1"/>
  <c r="J1760" i="37"/>
  <c r="M1760" i="37" s="1"/>
  <c r="P1760" i="37" s="1"/>
  <c r="P1759" i="37"/>
  <c r="J1759" i="37"/>
  <c r="M1759" i="37" s="1"/>
  <c r="P1758" i="37"/>
  <c r="M1758" i="37"/>
  <c r="J1757" i="37"/>
  <c r="M1757" i="37" s="1"/>
  <c r="P1757" i="37" s="1"/>
  <c r="J1756" i="37"/>
  <c r="M1756" i="37" s="1"/>
  <c r="P1756" i="37" s="1"/>
  <c r="M1755" i="37"/>
  <c r="P1755" i="37" s="1"/>
  <c r="J1755" i="37"/>
  <c r="M1754" i="37"/>
  <c r="P1754" i="37" s="1"/>
  <c r="J1754" i="37"/>
  <c r="J1753" i="37"/>
  <c r="J1752" i="37"/>
  <c r="M1752" i="37" s="1"/>
  <c r="U1751" i="37"/>
  <c r="S1751" i="37"/>
  <c r="S1673" i="37" s="1"/>
  <c r="R1751" i="37"/>
  <c r="Q1751" i="37"/>
  <c r="O1751" i="37"/>
  <c r="N1751" i="37"/>
  <c r="L1751" i="37"/>
  <c r="K1751" i="37"/>
  <c r="I1751" i="37"/>
  <c r="H1751" i="37"/>
  <c r="G1751" i="37"/>
  <c r="G1673" i="37" s="1"/>
  <c r="F1751" i="37"/>
  <c r="E1751" i="37"/>
  <c r="D1751" i="37"/>
  <c r="C1751" i="37"/>
  <c r="J1750" i="37"/>
  <c r="M1750" i="37" s="1"/>
  <c r="P1750" i="37" s="1"/>
  <c r="P1749" i="37"/>
  <c r="J1749" i="37"/>
  <c r="M1749" i="37" s="1"/>
  <c r="P1748" i="37"/>
  <c r="M1748" i="37"/>
  <c r="J1748" i="37"/>
  <c r="J1747" i="37"/>
  <c r="M1747" i="37" s="1"/>
  <c r="P1747" i="37" s="1"/>
  <c r="J1746" i="37"/>
  <c r="M1746" i="37" s="1"/>
  <c r="P1746" i="37" s="1"/>
  <c r="P1745" i="37"/>
  <c r="J1745" i="37"/>
  <c r="M1745" i="37" s="1"/>
  <c r="U1744" i="37"/>
  <c r="J1744" i="37"/>
  <c r="M1744" i="37" s="1"/>
  <c r="P1744" i="37" s="1"/>
  <c r="M1743" i="37"/>
  <c r="P1743" i="37" s="1"/>
  <c r="J1743" i="37"/>
  <c r="M1742" i="37"/>
  <c r="P1742" i="37" s="1"/>
  <c r="J1742" i="37"/>
  <c r="J1741" i="37"/>
  <c r="M1741" i="37" s="1"/>
  <c r="P1741" i="37" s="1"/>
  <c r="J1740" i="37"/>
  <c r="M1740" i="37" s="1"/>
  <c r="P1740" i="37" s="1"/>
  <c r="S1739" i="37"/>
  <c r="P1739" i="37"/>
  <c r="J1739" i="37"/>
  <c r="M1739" i="37" s="1"/>
  <c r="P1738" i="37"/>
  <c r="M1738" i="37"/>
  <c r="J1738" i="37"/>
  <c r="M1737" i="37"/>
  <c r="P1737" i="37" s="1"/>
  <c r="P1736" i="37"/>
  <c r="J1736" i="37"/>
  <c r="M1736" i="37" s="1"/>
  <c r="P1735" i="37"/>
  <c r="M1735" i="37"/>
  <c r="J1735" i="37"/>
  <c r="M1734" i="37"/>
  <c r="P1734" i="37" s="1"/>
  <c r="P1733" i="37"/>
  <c r="J1733" i="37"/>
  <c r="M1733" i="37" s="1"/>
  <c r="P1732" i="37"/>
  <c r="M1732" i="37"/>
  <c r="J1732" i="37"/>
  <c r="J1731" i="37"/>
  <c r="M1731" i="37" s="1"/>
  <c r="P1731" i="37" s="1"/>
  <c r="J1730" i="37"/>
  <c r="M1730" i="37" s="1"/>
  <c r="P1730" i="37" s="1"/>
  <c r="P1729" i="37"/>
  <c r="J1729" i="37"/>
  <c r="M1729" i="37" s="1"/>
  <c r="P1728" i="37"/>
  <c r="M1728" i="37"/>
  <c r="J1728" i="37"/>
  <c r="J1727" i="37"/>
  <c r="M1727" i="37" s="1"/>
  <c r="P1727" i="37" s="1"/>
  <c r="J1726" i="37"/>
  <c r="P1725" i="37"/>
  <c r="M1725" i="37"/>
  <c r="M1724" i="37"/>
  <c r="P1723" i="37"/>
  <c r="M1723" i="37"/>
  <c r="J1723" i="37"/>
  <c r="U1722" i="37"/>
  <c r="S1722" i="37"/>
  <c r="R1722" i="37"/>
  <c r="Q1722" i="37"/>
  <c r="O1722" i="37"/>
  <c r="O1673" i="37" s="1"/>
  <c r="N1722" i="37"/>
  <c r="L1722" i="37"/>
  <c r="K1722" i="37"/>
  <c r="K1673" i="37" s="1"/>
  <c r="I1722" i="37"/>
  <c r="H1722" i="37"/>
  <c r="G1722" i="37"/>
  <c r="F1722" i="37"/>
  <c r="E1722" i="37"/>
  <c r="D1722" i="37"/>
  <c r="C1722" i="37"/>
  <c r="J1721" i="37"/>
  <c r="M1721" i="37" s="1"/>
  <c r="P1721" i="37" s="1"/>
  <c r="P1720" i="37"/>
  <c r="M1720" i="37"/>
  <c r="P1719" i="37"/>
  <c r="J1719" i="37"/>
  <c r="J1718" i="37"/>
  <c r="M1718" i="37" s="1"/>
  <c r="P1718" i="37" s="1"/>
  <c r="M1717" i="37"/>
  <c r="P1717" i="37" s="1"/>
  <c r="J1717" i="37"/>
  <c r="M1716" i="37"/>
  <c r="P1716" i="37" s="1"/>
  <c r="J1716" i="37"/>
  <c r="J1715" i="37"/>
  <c r="M1715" i="37" s="1"/>
  <c r="P1715" i="37" s="1"/>
  <c r="J1714" i="37"/>
  <c r="M1714" i="37" s="1"/>
  <c r="P1714" i="37" s="1"/>
  <c r="M1712" i="37"/>
  <c r="P1712" i="37" s="1"/>
  <c r="J1712" i="37"/>
  <c r="M1711" i="37"/>
  <c r="P1711" i="37" s="1"/>
  <c r="J1711" i="37"/>
  <c r="J1710" i="37"/>
  <c r="M1710" i="37" s="1"/>
  <c r="P1710" i="37" s="1"/>
  <c r="P1709" i="37"/>
  <c r="J1709" i="37"/>
  <c r="S1708" i="37"/>
  <c r="P1708" i="37"/>
  <c r="M1708" i="37"/>
  <c r="J1708" i="37"/>
  <c r="J1707" i="37"/>
  <c r="M1707" i="37" s="1"/>
  <c r="P1707" i="37" s="1"/>
  <c r="J1706" i="37"/>
  <c r="M1706" i="37" s="1"/>
  <c r="P1706" i="37" s="1"/>
  <c r="P1705" i="37"/>
  <c r="J1705" i="37"/>
  <c r="M1705" i="37" s="1"/>
  <c r="P1704" i="37"/>
  <c r="M1704" i="37"/>
  <c r="J1704" i="37"/>
  <c r="J1703" i="37"/>
  <c r="M1703" i="37" s="1"/>
  <c r="P1703" i="37" s="1"/>
  <c r="J1702" i="37"/>
  <c r="M1702" i="37" s="1"/>
  <c r="P1702" i="37" s="1"/>
  <c r="P1701" i="37"/>
  <c r="J1701" i="37"/>
  <c r="M1701" i="37" s="1"/>
  <c r="P1700" i="37"/>
  <c r="J1699" i="37"/>
  <c r="M1699" i="37" s="1"/>
  <c r="P1699" i="37" s="1"/>
  <c r="S1698" i="37"/>
  <c r="S1674" i="37" s="1"/>
  <c r="P1698" i="37"/>
  <c r="J1698" i="37"/>
  <c r="M1698" i="37" s="1"/>
  <c r="P1697" i="37"/>
  <c r="N1697" i="37"/>
  <c r="N1696" i="37"/>
  <c r="J1696" i="37"/>
  <c r="M1696" i="37" s="1"/>
  <c r="P1696" i="37" s="1"/>
  <c r="J1695" i="37"/>
  <c r="M1695" i="37" s="1"/>
  <c r="P1695" i="37" s="1"/>
  <c r="P1694" i="37"/>
  <c r="J1694" i="37"/>
  <c r="M1694" i="37" s="1"/>
  <c r="P1693" i="37"/>
  <c r="M1693" i="37"/>
  <c r="J1693" i="37"/>
  <c r="P1692" i="37"/>
  <c r="P1691" i="37"/>
  <c r="N1691" i="37"/>
  <c r="J1690" i="37"/>
  <c r="M1690" i="37" s="1"/>
  <c r="P1690" i="37" s="1"/>
  <c r="J1689" i="37"/>
  <c r="M1689" i="37" s="1"/>
  <c r="P1689" i="37" s="1"/>
  <c r="M1688" i="37"/>
  <c r="P1688" i="37" s="1"/>
  <c r="J1688" i="37"/>
  <c r="M1687" i="37"/>
  <c r="P1687" i="37" s="1"/>
  <c r="J1687" i="37"/>
  <c r="J1686" i="37"/>
  <c r="M1686" i="37" s="1"/>
  <c r="P1686" i="37" s="1"/>
  <c r="J1685" i="37"/>
  <c r="M1685" i="37" s="1"/>
  <c r="P1685" i="37" s="1"/>
  <c r="M1684" i="37"/>
  <c r="P1684" i="37" s="1"/>
  <c r="J1684" i="37"/>
  <c r="M1683" i="37"/>
  <c r="P1683" i="37" s="1"/>
  <c r="J1683" i="37"/>
  <c r="J1682" i="37"/>
  <c r="M1682" i="37" s="1"/>
  <c r="P1682" i="37" s="1"/>
  <c r="J1681" i="37"/>
  <c r="M1681" i="37" s="1"/>
  <c r="P1681" i="37" s="1"/>
  <c r="M1680" i="37"/>
  <c r="P1680" i="37" s="1"/>
  <c r="J1680" i="37"/>
  <c r="M1679" i="37"/>
  <c r="P1679" i="37" s="1"/>
  <c r="J1679" i="37"/>
  <c r="J1678" i="37"/>
  <c r="M1678" i="37" s="1"/>
  <c r="P1678" i="37" s="1"/>
  <c r="J1677" i="37"/>
  <c r="M1677" i="37" s="1"/>
  <c r="P1677" i="37" s="1"/>
  <c r="M1676" i="37"/>
  <c r="P1676" i="37" s="1"/>
  <c r="J1676" i="37"/>
  <c r="M1675" i="37"/>
  <c r="P1675" i="37" s="1"/>
  <c r="J1675" i="37"/>
  <c r="U1674" i="37"/>
  <c r="R1674" i="37"/>
  <c r="R1673" i="37" s="1"/>
  <c r="Q1674" i="37"/>
  <c r="Q1673" i="37" s="1"/>
  <c r="O1674" i="37"/>
  <c r="N1674" i="37"/>
  <c r="N1673" i="37" s="1"/>
  <c r="L1674" i="37"/>
  <c r="K1674" i="37"/>
  <c r="J1674" i="37"/>
  <c r="I1674" i="37"/>
  <c r="I1673" i="37" s="1"/>
  <c r="H1674" i="37"/>
  <c r="G1674" i="37"/>
  <c r="F1674" i="37"/>
  <c r="F1673" i="37" s="1"/>
  <c r="E1674" i="37"/>
  <c r="E1673" i="37" s="1"/>
  <c r="D1674" i="37"/>
  <c r="C1674" i="37"/>
  <c r="U1673" i="37"/>
  <c r="L1673" i="37"/>
  <c r="H1673" i="37"/>
  <c r="D1673" i="37"/>
  <c r="C1673" i="37"/>
  <c r="S1672" i="37"/>
  <c r="J1672" i="37"/>
  <c r="M1672" i="37" s="1"/>
  <c r="P1672" i="37" s="1"/>
  <c r="S1671" i="37"/>
  <c r="P1671" i="37"/>
  <c r="S1669" i="37"/>
  <c r="P1669" i="37"/>
  <c r="J1669" i="37"/>
  <c r="M1669" i="37" s="1"/>
  <c r="S1668" i="37"/>
  <c r="J1668" i="37"/>
  <c r="M1668" i="37" s="1"/>
  <c r="P1668" i="37" s="1"/>
  <c r="S1667" i="37"/>
  <c r="P1667" i="37"/>
  <c r="J1667" i="37"/>
  <c r="M1667" i="37" s="1"/>
  <c r="S1666" i="37"/>
  <c r="J1666" i="37"/>
  <c r="M1666" i="37" s="1"/>
  <c r="P1666" i="37" s="1"/>
  <c r="S1665" i="37"/>
  <c r="P1665" i="37"/>
  <c r="J1665" i="37"/>
  <c r="M1665" i="37" s="1"/>
  <c r="S1664" i="37"/>
  <c r="P1664" i="37"/>
  <c r="S1663" i="37"/>
  <c r="J1663" i="37"/>
  <c r="M1663" i="37" s="1"/>
  <c r="P1663" i="37" s="1"/>
  <c r="S1662" i="37"/>
  <c r="M1662" i="37"/>
  <c r="P1662" i="37" s="1"/>
  <c r="J1662" i="37"/>
  <c r="S1661" i="37"/>
  <c r="J1661" i="37"/>
  <c r="M1661" i="37" s="1"/>
  <c r="P1661" i="37" s="1"/>
  <c r="S1660" i="37"/>
  <c r="M1660" i="37"/>
  <c r="P1660" i="37" s="1"/>
  <c r="J1660" i="37"/>
  <c r="F1660" i="37"/>
  <c r="S1659" i="37"/>
  <c r="U1659" i="37" s="1"/>
  <c r="P1659" i="37"/>
  <c r="J1659" i="37"/>
  <c r="M1659" i="37" s="1"/>
  <c r="P1658" i="37"/>
  <c r="M1658" i="37"/>
  <c r="J1658" i="37"/>
  <c r="S1657" i="37"/>
  <c r="U1657" i="37" s="1"/>
  <c r="P1657" i="37"/>
  <c r="J1657" i="37"/>
  <c r="M1657" i="37" s="1"/>
  <c r="S1656" i="37"/>
  <c r="J1656" i="37"/>
  <c r="M1656" i="37" s="1"/>
  <c r="P1656" i="37" s="1"/>
  <c r="S1655" i="37"/>
  <c r="P1655" i="37"/>
  <c r="M1655" i="37"/>
  <c r="S1654" i="37"/>
  <c r="M1654" i="37"/>
  <c r="P1654" i="37" s="1"/>
  <c r="K1654" i="37"/>
  <c r="J1654" i="37"/>
  <c r="S1653" i="37"/>
  <c r="P1653" i="37"/>
  <c r="J1653" i="37"/>
  <c r="M1653" i="37" s="1"/>
  <c r="S1652" i="37"/>
  <c r="S1636" i="37" s="1"/>
  <c r="S1635" i="37" s="1"/>
  <c r="J1652" i="37"/>
  <c r="M1652" i="37" s="1"/>
  <c r="P1652" i="37" s="1"/>
  <c r="S1651" i="37"/>
  <c r="P1651" i="37"/>
  <c r="J1651" i="37"/>
  <c r="M1651" i="37" s="1"/>
  <c r="S1650" i="37"/>
  <c r="J1650" i="37"/>
  <c r="M1650" i="37" s="1"/>
  <c r="P1650" i="37" s="1"/>
  <c r="P1649" i="37"/>
  <c r="U1648" i="37"/>
  <c r="U1636" i="37" s="1"/>
  <c r="U1635" i="37" s="1"/>
  <c r="S1648" i="37"/>
  <c r="M1648" i="37"/>
  <c r="P1648" i="37" s="1"/>
  <c r="J1648" i="37"/>
  <c r="J1647" i="37"/>
  <c r="M1647" i="37" s="1"/>
  <c r="P1647" i="37" s="1"/>
  <c r="J1646" i="37"/>
  <c r="M1646" i="37" s="1"/>
  <c r="P1646" i="37" s="1"/>
  <c r="M1645" i="37"/>
  <c r="P1645" i="37" s="1"/>
  <c r="J1645" i="37"/>
  <c r="M1644" i="37"/>
  <c r="P1644" i="37" s="1"/>
  <c r="J1644" i="37"/>
  <c r="J1643" i="37"/>
  <c r="M1643" i="37" s="1"/>
  <c r="P1643" i="37" s="1"/>
  <c r="J1642" i="37"/>
  <c r="M1642" i="37" s="1"/>
  <c r="P1642" i="37" s="1"/>
  <c r="M1641" i="37"/>
  <c r="P1641" i="37" s="1"/>
  <c r="J1641" i="37"/>
  <c r="M1640" i="37"/>
  <c r="P1640" i="37" s="1"/>
  <c r="J1640" i="37"/>
  <c r="J1639" i="37"/>
  <c r="J1638" i="37"/>
  <c r="M1638" i="37" s="1"/>
  <c r="P1638" i="37" s="1"/>
  <c r="M1637" i="37"/>
  <c r="K1637" i="37"/>
  <c r="J1637" i="37"/>
  <c r="R1636" i="37"/>
  <c r="Q1636" i="37"/>
  <c r="O1636" i="37"/>
  <c r="O1635" i="37" s="1"/>
  <c r="N1636" i="37"/>
  <c r="L1636" i="37"/>
  <c r="L1635" i="37" s="1"/>
  <c r="K1636" i="37"/>
  <c r="K1635" i="37" s="1"/>
  <c r="I1636" i="37"/>
  <c r="H1636" i="37"/>
  <c r="H1635" i="37" s="1"/>
  <c r="G1636" i="37"/>
  <c r="G1635" i="37" s="1"/>
  <c r="F1636" i="37"/>
  <c r="E1636" i="37"/>
  <c r="D1636" i="37"/>
  <c r="D1635" i="37" s="1"/>
  <c r="C1636" i="37"/>
  <c r="C1635" i="37" s="1"/>
  <c r="R1635" i="37"/>
  <c r="Q1635" i="37"/>
  <c r="N1635" i="37"/>
  <c r="I1635" i="37"/>
  <c r="F1635" i="37"/>
  <c r="E1635" i="37"/>
  <c r="M1634" i="37"/>
  <c r="P1634" i="37" s="1"/>
  <c r="J1634" i="37"/>
  <c r="M1633" i="37"/>
  <c r="P1633" i="37" s="1"/>
  <c r="J1633" i="37"/>
  <c r="J1632" i="37" s="1"/>
  <c r="U1632" i="37"/>
  <c r="S1632" i="37"/>
  <c r="R1632" i="37"/>
  <c r="Q1632" i="37"/>
  <c r="O1632" i="37"/>
  <c r="N1632" i="37"/>
  <c r="M1632" i="37"/>
  <c r="L1632" i="37"/>
  <c r="K1632" i="37"/>
  <c r="I1632" i="37"/>
  <c r="H1632" i="37"/>
  <c r="G1632" i="37"/>
  <c r="F1632" i="37"/>
  <c r="E1632" i="37"/>
  <c r="D1632" i="37"/>
  <c r="C1632" i="37"/>
  <c r="S1631" i="37"/>
  <c r="P1631" i="37"/>
  <c r="J1631" i="37"/>
  <c r="M1631" i="37" s="1"/>
  <c r="S1629" i="37"/>
  <c r="J1629" i="37"/>
  <c r="M1629" i="37" s="1"/>
  <c r="P1629" i="37" s="1"/>
  <c r="S1628" i="37"/>
  <c r="P1628" i="37"/>
  <c r="J1628" i="37"/>
  <c r="M1628" i="37" s="1"/>
  <c r="U1627" i="37"/>
  <c r="S1627" i="37"/>
  <c r="J1627" i="37"/>
  <c r="M1627" i="37" s="1"/>
  <c r="P1627" i="37" s="1"/>
  <c r="U1626" i="37"/>
  <c r="S1626" i="37"/>
  <c r="J1626" i="37"/>
  <c r="M1626" i="37" s="1"/>
  <c r="P1626" i="37" s="1"/>
  <c r="S1625" i="37"/>
  <c r="U1625" i="37" s="1"/>
  <c r="P1625" i="37"/>
  <c r="M1625" i="37"/>
  <c r="J1625" i="37"/>
  <c r="S1624" i="37"/>
  <c r="U1624" i="37" s="1"/>
  <c r="P1624" i="37"/>
  <c r="J1624" i="37"/>
  <c r="M1624" i="37" s="1"/>
  <c r="S1623" i="37"/>
  <c r="J1623" i="37"/>
  <c r="M1623" i="37" s="1"/>
  <c r="P1623" i="37" s="1"/>
  <c r="S1622" i="37"/>
  <c r="J1622" i="37"/>
  <c r="M1622" i="37" s="1"/>
  <c r="P1622" i="37" s="1"/>
  <c r="S1621" i="37"/>
  <c r="J1621" i="37"/>
  <c r="M1621" i="37" s="1"/>
  <c r="P1621" i="37" s="1"/>
  <c r="S1620" i="37"/>
  <c r="J1620" i="37"/>
  <c r="M1620" i="37" s="1"/>
  <c r="P1620" i="37" s="1"/>
  <c r="S1619" i="37"/>
  <c r="U1619" i="37" s="1"/>
  <c r="M1619" i="37"/>
  <c r="P1619" i="37" s="1"/>
  <c r="J1619" i="37"/>
  <c r="U1618" i="37"/>
  <c r="S1618" i="37"/>
  <c r="P1618" i="37"/>
  <c r="N1618" i="37"/>
  <c r="M1618" i="37"/>
  <c r="J1618" i="37"/>
  <c r="S1617" i="37"/>
  <c r="M1617" i="37"/>
  <c r="P1617" i="37" s="1"/>
  <c r="J1617" i="37"/>
  <c r="S1616" i="37"/>
  <c r="M1616" i="37"/>
  <c r="P1616" i="37" s="1"/>
  <c r="J1616" i="37"/>
  <c r="S1615" i="37"/>
  <c r="M1615" i="37"/>
  <c r="P1615" i="37" s="1"/>
  <c r="J1615" i="37"/>
  <c r="S1614" i="37"/>
  <c r="M1614" i="37"/>
  <c r="P1614" i="37" s="1"/>
  <c r="J1614" i="37"/>
  <c r="S1613" i="37"/>
  <c r="M1613" i="37"/>
  <c r="P1613" i="37" s="1"/>
  <c r="J1613" i="37"/>
  <c r="U1612" i="37"/>
  <c r="S1612" i="37"/>
  <c r="J1612" i="37"/>
  <c r="M1612" i="37" s="1"/>
  <c r="P1612" i="37" s="1"/>
  <c r="S1611" i="37"/>
  <c r="J1611" i="37"/>
  <c r="M1611" i="37" s="1"/>
  <c r="P1611" i="37" s="1"/>
  <c r="S1610" i="37"/>
  <c r="U1610" i="37" s="1"/>
  <c r="M1610" i="37"/>
  <c r="P1610" i="37" s="1"/>
  <c r="J1610" i="37"/>
  <c r="U1609" i="37"/>
  <c r="S1609" i="37"/>
  <c r="P1609" i="37"/>
  <c r="J1609" i="37"/>
  <c r="M1609" i="37" s="1"/>
  <c r="S1608" i="37"/>
  <c r="M1608" i="37"/>
  <c r="P1608" i="37" s="1"/>
  <c r="J1608" i="37"/>
  <c r="J1607" i="37"/>
  <c r="M1607" i="37" s="1"/>
  <c r="P1607" i="37" s="1"/>
  <c r="M1606" i="37"/>
  <c r="P1606" i="37" s="1"/>
  <c r="J1606" i="37"/>
  <c r="J1605" i="37"/>
  <c r="M1605" i="37" s="1"/>
  <c r="P1605" i="37" s="1"/>
  <c r="M1604" i="37"/>
  <c r="P1604" i="37" s="1"/>
  <c r="J1604" i="37"/>
  <c r="P1603" i="37"/>
  <c r="J1603" i="37"/>
  <c r="M1603" i="37" s="1"/>
  <c r="M1602" i="37"/>
  <c r="P1602" i="37" s="1"/>
  <c r="J1602" i="37"/>
  <c r="J1601" i="37"/>
  <c r="M1601" i="37" s="1"/>
  <c r="P1601" i="37" s="1"/>
  <c r="M1600" i="37"/>
  <c r="P1600" i="37" s="1"/>
  <c r="J1600" i="37"/>
  <c r="J1599" i="37"/>
  <c r="M1599" i="37" s="1"/>
  <c r="P1599" i="37" s="1"/>
  <c r="M1598" i="37"/>
  <c r="P1598" i="37" s="1"/>
  <c r="J1598" i="37"/>
  <c r="J1597" i="37"/>
  <c r="M1596" i="37"/>
  <c r="P1596" i="37" s="1"/>
  <c r="J1596" i="37"/>
  <c r="R1595" i="37"/>
  <c r="R1588" i="37" s="1"/>
  <c r="Q1595" i="37"/>
  <c r="O1595" i="37"/>
  <c r="N1595" i="37"/>
  <c r="L1595" i="37"/>
  <c r="K1595" i="37"/>
  <c r="I1595" i="37"/>
  <c r="H1595" i="37"/>
  <c r="G1595" i="37"/>
  <c r="F1595" i="37"/>
  <c r="F1588" i="37" s="1"/>
  <c r="E1595" i="37"/>
  <c r="D1595" i="37"/>
  <c r="C1595" i="37"/>
  <c r="J1594" i="37"/>
  <c r="M1594" i="37" s="1"/>
  <c r="P1594" i="37" s="1"/>
  <c r="M1593" i="37"/>
  <c r="P1593" i="37" s="1"/>
  <c r="J1593" i="37"/>
  <c r="P1592" i="37"/>
  <c r="P1591" i="37" s="1"/>
  <c r="J1592" i="37"/>
  <c r="M1592" i="37" s="1"/>
  <c r="M1591" i="37" s="1"/>
  <c r="U1591" i="37"/>
  <c r="S1591" i="37"/>
  <c r="R1591" i="37"/>
  <c r="Q1591" i="37"/>
  <c r="O1591" i="37"/>
  <c r="O1588" i="37" s="1"/>
  <c r="N1591" i="37"/>
  <c r="L1591" i="37"/>
  <c r="K1591" i="37"/>
  <c r="I1591" i="37"/>
  <c r="H1591" i="37"/>
  <c r="G1591" i="37"/>
  <c r="G1588" i="37" s="1"/>
  <c r="F1591" i="37"/>
  <c r="E1591" i="37"/>
  <c r="D1591" i="37"/>
  <c r="C1591" i="37"/>
  <c r="C1588" i="37" s="1"/>
  <c r="N1590" i="37"/>
  <c r="N1589" i="37" s="1"/>
  <c r="N1588" i="37" s="1"/>
  <c r="J1590" i="37"/>
  <c r="U1589" i="37"/>
  <c r="S1589" i="37"/>
  <c r="R1589" i="37"/>
  <c r="Q1589" i="37"/>
  <c r="Q1588" i="37" s="1"/>
  <c r="O1589" i="37"/>
  <c r="L1589" i="37"/>
  <c r="K1589" i="37"/>
  <c r="I1589" i="37"/>
  <c r="H1589" i="37"/>
  <c r="H1588" i="37" s="1"/>
  <c r="G1589" i="37"/>
  <c r="F1589" i="37"/>
  <c r="E1589" i="37"/>
  <c r="D1589" i="37"/>
  <c r="D1588" i="37" s="1"/>
  <c r="C1589" i="37"/>
  <c r="K1588" i="37"/>
  <c r="M1586" i="37"/>
  <c r="P1586" i="37" s="1"/>
  <c r="J1586" i="37"/>
  <c r="J1585" i="37"/>
  <c r="M1585" i="37" s="1"/>
  <c r="P1585" i="37" s="1"/>
  <c r="M1584" i="37"/>
  <c r="P1584" i="37" s="1"/>
  <c r="J1584" i="37"/>
  <c r="J1583" i="37"/>
  <c r="M1583" i="37" s="1"/>
  <c r="P1583" i="37" s="1"/>
  <c r="M1582" i="37"/>
  <c r="P1582" i="37" s="1"/>
  <c r="J1582" i="37"/>
  <c r="P1581" i="37"/>
  <c r="J1581" i="37"/>
  <c r="M1581" i="37" s="1"/>
  <c r="M1580" i="37"/>
  <c r="P1580" i="37" s="1"/>
  <c r="J1580" i="37"/>
  <c r="J1579" i="37"/>
  <c r="M1579" i="37" s="1"/>
  <c r="P1579" i="37" s="1"/>
  <c r="M1578" i="37"/>
  <c r="P1578" i="37" s="1"/>
  <c r="J1578" i="37"/>
  <c r="J1577" i="37"/>
  <c r="M1577" i="37" s="1"/>
  <c r="P1577" i="37" s="1"/>
  <c r="M1576" i="37"/>
  <c r="P1576" i="37" s="1"/>
  <c r="J1576" i="37"/>
  <c r="J1575" i="37"/>
  <c r="M1575" i="37" s="1"/>
  <c r="P1575" i="37" s="1"/>
  <c r="M1574" i="37"/>
  <c r="P1574" i="37" s="1"/>
  <c r="J1574" i="37"/>
  <c r="P1573" i="37"/>
  <c r="J1573" i="37"/>
  <c r="M1573" i="37" s="1"/>
  <c r="U1572" i="37"/>
  <c r="S1572" i="37"/>
  <c r="R1572" i="37"/>
  <c r="Q1572" i="37"/>
  <c r="Q1557" i="37" s="1"/>
  <c r="O1572" i="37"/>
  <c r="N1572" i="37"/>
  <c r="L1572" i="37"/>
  <c r="K1572" i="37"/>
  <c r="I1572" i="37"/>
  <c r="I1557" i="37" s="1"/>
  <c r="H1572" i="37"/>
  <c r="G1572" i="37"/>
  <c r="F1572" i="37"/>
  <c r="E1572" i="37"/>
  <c r="E1557" i="37" s="1"/>
  <c r="D1572" i="37"/>
  <c r="C1572" i="37"/>
  <c r="M1571" i="37"/>
  <c r="P1571" i="37" s="1"/>
  <c r="J1571" i="37"/>
  <c r="J1570" i="37"/>
  <c r="M1570" i="37" s="1"/>
  <c r="P1570" i="37" s="1"/>
  <c r="M1569" i="37"/>
  <c r="P1569" i="37" s="1"/>
  <c r="J1569" i="37"/>
  <c r="J1568" i="37"/>
  <c r="M1568" i="37" s="1"/>
  <c r="P1568" i="37" s="1"/>
  <c r="M1567" i="37"/>
  <c r="P1567" i="37" s="1"/>
  <c r="J1567" i="37"/>
  <c r="P1566" i="37"/>
  <c r="J1566" i="37"/>
  <c r="M1566" i="37" s="1"/>
  <c r="M1565" i="37"/>
  <c r="P1565" i="37" s="1"/>
  <c r="J1565" i="37"/>
  <c r="J1564" i="37"/>
  <c r="M1564" i="37" s="1"/>
  <c r="P1564" i="37" s="1"/>
  <c r="M1563" i="37"/>
  <c r="P1563" i="37" s="1"/>
  <c r="J1563" i="37"/>
  <c r="J1562" i="37"/>
  <c r="M1562" i="37" s="1"/>
  <c r="P1562" i="37" s="1"/>
  <c r="M1561" i="37"/>
  <c r="P1561" i="37" s="1"/>
  <c r="J1561" i="37"/>
  <c r="J1560" i="37"/>
  <c r="M1559" i="37"/>
  <c r="P1559" i="37" s="1"/>
  <c r="J1559" i="37"/>
  <c r="U1558" i="37"/>
  <c r="U1557" i="37" s="1"/>
  <c r="S1558" i="37"/>
  <c r="R1558" i="37"/>
  <c r="Q1558" i="37"/>
  <c r="O1558" i="37"/>
  <c r="N1558" i="37"/>
  <c r="L1558" i="37"/>
  <c r="L1557" i="37" s="1"/>
  <c r="K1558" i="37"/>
  <c r="K1557" i="37" s="1"/>
  <c r="I1558" i="37"/>
  <c r="H1558" i="37"/>
  <c r="H1557" i="37" s="1"/>
  <c r="G1558" i="37"/>
  <c r="F1558" i="37"/>
  <c r="E1558" i="37"/>
  <c r="D1558" i="37"/>
  <c r="D1557" i="37" s="1"/>
  <c r="C1558" i="37"/>
  <c r="R1557" i="37"/>
  <c r="N1557" i="37"/>
  <c r="F1557" i="37"/>
  <c r="P1556" i="37"/>
  <c r="J1556" i="37"/>
  <c r="M1556" i="37" s="1"/>
  <c r="M1555" i="37"/>
  <c r="P1555" i="37" s="1"/>
  <c r="J1555" i="37"/>
  <c r="J1554" i="37"/>
  <c r="M1554" i="37" s="1"/>
  <c r="P1554" i="37" s="1"/>
  <c r="M1553" i="37"/>
  <c r="P1553" i="37" s="1"/>
  <c r="J1553" i="37"/>
  <c r="J1552" i="37"/>
  <c r="M1552" i="37" s="1"/>
  <c r="P1552" i="37" s="1"/>
  <c r="M1551" i="37"/>
  <c r="P1551" i="37" s="1"/>
  <c r="J1551" i="37"/>
  <c r="J1550" i="37"/>
  <c r="M1550" i="37" s="1"/>
  <c r="P1550" i="37" s="1"/>
  <c r="M1549" i="37"/>
  <c r="P1549" i="37" s="1"/>
  <c r="J1549" i="37"/>
  <c r="P1548" i="37"/>
  <c r="J1548" i="37"/>
  <c r="M1548" i="37" s="1"/>
  <c r="M1547" i="37"/>
  <c r="P1547" i="37" s="1"/>
  <c r="J1547" i="37"/>
  <c r="J1546" i="37"/>
  <c r="M1546" i="37" s="1"/>
  <c r="P1546" i="37" s="1"/>
  <c r="M1545" i="37"/>
  <c r="P1545" i="37" s="1"/>
  <c r="J1545" i="37"/>
  <c r="J1544" i="37"/>
  <c r="M1544" i="37" s="1"/>
  <c r="P1544" i="37" s="1"/>
  <c r="M1543" i="37"/>
  <c r="P1543" i="37" s="1"/>
  <c r="J1543" i="37"/>
  <c r="J1542" i="37"/>
  <c r="U1541" i="37"/>
  <c r="U1540" i="37" s="1"/>
  <c r="S1541" i="37"/>
  <c r="R1541" i="37"/>
  <c r="Q1541" i="37"/>
  <c r="Q1540" i="37" s="1"/>
  <c r="O1541" i="37"/>
  <c r="N1541" i="37"/>
  <c r="L1541" i="37"/>
  <c r="L1540" i="37" s="1"/>
  <c r="K1541" i="37"/>
  <c r="I1541" i="37"/>
  <c r="I1540" i="37" s="1"/>
  <c r="H1541" i="37"/>
  <c r="H1540" i="37" s="1"/>
  <c r="G1541" i="37"/>
  <c r="F1541" i="37"/>
  <c r="E1541" i="37"/>
  <c r="E1540" i="37" s="1"/>
  <c r="D1541" i="37"/>
  <c r="D1540" i="37" s="1"/>
  <c r="C1541" i="37"/>
  <c r="S1540" i="37"/>
  <c r="R1540" i="37"/>
  <c r="O1540" i="37"/>
  <c r="N1540" i="37"/>
  <c r="K1540" i="37"/>
  <c r="G1540" i="37"/>
  <c r="F1540" i="37"/>
  <c r="C1540" i="37"/>
  <c r="Q1539" i="37"/>
  <c r="J1539" i="37"/>
  <c r="M1539" i="37" s="1"/>
  <c r="P1539" i="37" s="1"/>
  <c r="G1539" i="37"/>
  <c r="Q1538" i="37"/>
  <c r="Q1536" i="37" s="1"/>
  <c r="Q1535" i="37" s="1"/>
  <c r="M1538" i="37"/>
  <c r="P1538" i="37" s="1"/>
  <c r="G1538" i="37"/>
  <c r="J1538" i="37" s="1"/>
  <c r="J1536" i="37" s="1"/>
  <c r="J1535" i="37" s="1"/>
  <c r="M1537" i="37"/>
  <c r="J1537" i="37"/>
  <c r="U1536" i="37"/>
  <c r="S1536" i="37"/>
  <c r="R1536" i="37"/>
  <c r="R1535" i="37" s="1"/>
  <c r="O1536" i="37"/>
  <c r="N1536" i="37"/>
  <c r="N1535" i="37" s="1"/>
  <c r="L1536" i="37"/>
  <c r="K1536" i="37"/>
  <c r="I1536" i="37"/>
  <c r="I1535" i="37" s="1"/>
  <c r="H1536" i="37"/>
  <c r="F1536" i="37"/>
  <c r="F1535" i="37" s="1"/>
  <c r="E1536" i="37"/>
  <c r="E1535" i="37" s="1"/>
  <c r="D1536" i="37"/>
  <c r="C1536" i="37"/>
  <c r="U1535" i="37"/>
  <c r="S1535" i="37"/>
  <c r="O1535" i="37"/>
  <c r="L1535" i="37"/>
  <c r="K1535" i="37"/>
  <c r="H1535" i="37"/>
  <c r="D1535" i="37"/>
  <c r="C1535" i="37"/>
  <c r="J1534" i="37"/>
  <c r="M1534" i="37" s="1"/>
  <c r="P1534" i="37" s="1"/>
  <c r="M1533" i="37"/>
  <c r="P1533" i="37" s="1"/>
  <c r="J1533" i="37"/>
  <c r="P1532" i="37"/>
  <c r="J1532" i="37"/>
  <c r="M1532" i="37" s="1"/>
  <c r="M1531" i="37"/>
  <c r="P1531" i="37" s="1"/>
  <c r="M1530" i="37"/>
  <c r="P1530" i="37" s="1"/>
  <c r="J1530" i="37"/>
  <c r="J1529" i="37"/>
  <c r="M1529" i="37" s="1"/>
  <c r="P1529" i="37" s="1"/>
  <c r="M1528" i="37"/>
  <c r="P1528" i="37" s="1"/>
  <c r="J1528" i="37"/>
  <c r="J1527" i="37"/>
  <c r="M1527" i="37" s="1"/>
  <c r="P1527" i="37" s="1"/>
  <c r="U1526" i="37"/>
  <c r="J1526" i="37"/>
  <c r="M1526" i="37" s="1"/>
  <c r="P1526" i="37" s="1"/>
  <c r="M1525" i="37"/>
  <c r="P1525" i="37" s="1"/>
  <c r="J1525" i="37"/>
  <c r="P1524" i="37"/>
  <c r="J1524" i="37"/>
  <c r="M1524" i="37" s="1"/>
  <c r="M1523" i="37"/>
  <c r="P1523" i="37" s="1"/>
  <c r="J1523" i="37"/>
  <c r="J1522" i="37"/>
  <c r="M1522" i="37" s="1"/>
  <c r="P1522" i="37" s="1"/>
  <c r="M1521" i="37"/>
  <c r="P1521" i="37" s="1"/>
  <c r="J1521" i="37"/>
  <c r="J1520" i="37"/>
  <c r="M1520" i="37" s="1"/>
  <c r="P1520" i="37" s="1"/>
  <c r="M1519" i="37"/>
  <c r="P1519" i="37" s="1"/>
  <c r="J1519" i="37"/>
  <c r="J1518" i="37"/>
  <c r="M1518" i="37" s="1"/>
  <c r="P1518" i="37" s="1"/>
  <c r="M1517" i="37"/>
  <c r="P1517" i="37" s="1"/>
  <c r="J1517" i="37"/>
  <c r="P1516" i="37"/>
  <c r="J1516" i="37"/>
  <c r="M1516" i="37" s="1"/>
  <c r="M1515" i="37"/>
  <c r="P1515" i="37" s="1"/>
  <c r="J1515" i="37"/>
  <c r="J1514" i="37"/>
  <c r="M1514" i="37" s="1"/>
  <c r="P1514" i="37" s="1"/>
  <c r="M1513" i="37"/>
  <c r="P1513" i="37" s="1"/>
  <c r="J1513" i="37"/>
  <c r="J1512" i="37"/>
  <c r="M1512" i="37" s="1"/>
  <c r="P1512" i="37" s="1"/>
  <c r="M1511" i="37"/>
  <c r="P1511" i="37" s="1"/>
  <c r="J1511" i="37"/>
  <c r="J1510" i="37"/>
  <c r="M1510" i="37" s="1"/>
  <c r="P1510" i="37" s="1"/>
  <c r="M1509" i="37"/>
  <c r="P1509" i="37" s="1"/>
  <c r="J1509" i="37"/>
  <c r="P1508" i="37"/>
  <c r="J1508" i="37"/>
  <c r="M1508" i="37" s="1"/>
  <c r="M1507" i="37"/>
  <c r="P1507" i="37" s="1"/>
  <c r="J1507" i="37"/>
  <c r="J1506" i="37"/>
  <c r="M1506" i="37" s="1"/>
  <c r="P1506" i="37" s="1"/>
  <c r="M1505" i="37"/>
  <c r="P1505" i="37" s="1"/>
  <c r="J1505" i="37"/>
  <c r="J1504" i="37"/>
  <c r="M1504" i="37" s="1"/>
  <c r="P1504" i="37" s="1"/>
  <c r="M1503" i="37"/>
  <c r="P1503" i="37" s="1"/>
  <c r="J1503" i="37"/>
  <c r="J1502" i="37"/>
  <c r="M1502" i="37" s="1"/>
  <c r="P1502" i="37" s="1"/>
  <c r="M1501" i="37"/>
  <c r="P1501" i="37" s="1"/>
  <c r="J1501" i="37"/>
  <c r="P1500" i="37"/>
  <c r="J1500" i="37"/>
  <c r="M1500" i="37" s="1"/>
  <c r="M1499" i="37"/>
  <c r="J1499" i="37"/>
  <c r="U1498" i="37"/>
  <c r="S1498" i="37"/>
  <c r="R1498" i="37"/>
  <c r="R1497" i="37" s="1"/>
  <c r="Q1498" i="37"/>
  <c r="Q1497" i="37" s="1"/>
  <c r="O1498" i="37"/>
  <c r="N1498" i="37"/>
  <c r="N1497" i="37" s="1"/>
  <c r="L1498" i="37"/>
  <c r="K1498" i="37"/>
  <c r="I1498" i="37"/>
  <c r="I1497" i="37" s="1"/>
  <c r="H1498" i="37"/>
  <c r="G1498" i="37"/>
  <c r="F1498" i="37"/>
  <c r="F1497" i="37" s="1"/>
  <c r="E1498" i="37"/>
  <c r="E1497" i="37" s="1"/>
  <c r="D1498" i="37"/>
  <c r="C1498" i="37"/>
  <c r="U1497" i="37"/>
  <c r="S1497" i="37"/>
  <c r="O1497" i="37"/>
  <c r="L1497" i="37"/>
  <c r="K1497" i="37"/>
  <c r="H1497" i="37"/>
  <c r="G1497" i="37"/>
  <c r="D1497" i="37"/>
  <c r="C1497" i="37"/>
  <c r="J1496" i="37"/>
  <c r="M1496" i="37" s="1"/>
  <c r="P1496" i="37" s="1"/>
  <c r="M1495" i="37"/>
  <c r="P1495" i="37" s="1"/>
  <c r="J1495" i="37"/>
  <c r="P1494" i="37"/>
  <c r="M1494" i="37"/>
  <c r="J1493" i="37"/>
  <c r="M1493" i="37" s="1"/>
  <c r="P1493" i="37" s="1"/>
  <c r="M1491" i="37"/>
  <c r="P1491" i="37" s="1"/>
  <c r="J1491" i="37"/>
  <c r="P1490" i="37"/>
  <c r="J1490" i="37"/>
  <c r="M1490" i="37" s="1"/>
  <c r="M1489" i="37"/>
  <c r="P1489" i="37" s="1"/>
  <c r="H1489" i="37"/>
  <c r="J1489" i="37" s="1"/>
  <c r="M1488" i="37"/>
  <c r="P1488" i="37" s="1"/>
  <c r="J1488" i="37"/>
  <c r="J1487" i="37"/>
  <c r="M1487" i="37" s="1"/>
  <c r="P1487" i="37" s="1"/>
  <c r="M1486" i="37"/>
  <c r="P1486" i="37" s="1"/>
  <c r="J1486" i="37"/>
  <c r="J1485" i="37"/>
  <c r="M1485" i="37" s="1"/>
  <c r="P1485" i="37" s="1"/>
  <c r="S1484" i="37"/>
  <c r="P1484" i="37"/>
  <c r="J1484" i="37"/>
  <c r="M1484" i="37" s="1"/>
  <c r="M1483" i="37"/>
  <c r="P1483" i="37" s="1"/>
  <c r="J1483" i="37"/>
  <c r="J1482" i="37"/>
  <c r="M1482" i="37" s="1"/>
  <c r="P1482" i="37" s="1"/>
  <c r="M1481" i="37"/>
  <c r="P1481" i="37" s="1"/>
  <c r="J1481" i="37"/>
  <c r="J1480" i="37"/>
  <c r="M1480" i="37" s="1"/>
  <c r="P1480" i="37" s="1"/>
  <c r="M1479" i="37"/>
  <c r="P1479" i="37" s="1"/>
  <c r="J1479" i="37"/>
  <c r="J1478" i="37"/>
  <c r="M1478" i="37" s="1"/>
  <c r="P1478" i="37" s="1"/>
  <c r="M1477" i="37"/>
  <c r="P1477" i="37" s="1"/>
  <c r="J1477" i="37"/>
  <c r="P1476" i="37"/>
  <c r="J1476" i="37"/>
  <c r="M1476" i="37" s="1"/>
  <c r="M1475" i="37"/>
  <c r="P1475" i="37" s="1"/>
  <c r="J1475" i="37"/>
  <c r="J1474" i="37"/>
  <c r="M1474" i="37" s="1"/>
  <c r="P1474" i="37" s="1"/>
  <c r="M1473" i="37"/>
  <c r="P1473" i="37" s="1"/>
  <c r="J1473" i="37"/>
  <c r="J1472" i="37"/>
  <c r="M1472" i="37" s="1"/>
  <c r="P1472" i="37" s="1"/>
  <c r="M1471" i="37"/>
  <c r="P1471" i="37" s="1"/>
  <c r="J1471" i="37"/>
  <c r="J1470" i="37"/>
  <c r="M1470" i="37" s="1"/>
  <c r="P1470" i="37" s="1"/>
  <c r="M1469" i="37"/>
  <c r="P1469" i="37" s="1"/>
  <c r="J1469" i="37"/>
  <c r="P1468" i="37"/>
  <c r="J1468" i="37"/>
  <c r="M1468" i="37" s="1"/>
  <c r="M1467" i="37"/>
  <c r="P1467" i="37" s="1"/>
  <c r="J1467" i="37"/>
  <c r="J1466" i="37"/>
  <c r="U1465" i="37"/>
  <c r="U1464" i="37" s="1"/>
  <c r="S1465" i="37"/>
  <c r="R1465" i="37"/>
  <c r="Q1465" i="37"/>
  <c r="Q1464" i="37" s="1"/>
  <c r="O1465" i="37"/>
  <c r="N1465" i="37"/>
  <c r="L1465" i="37"/>
  <c r="L1464" i="37" s="1"/>
  <c r="K1465" i="37"/>
  <c r="I1465" i="37"/>
  <c r="I1464" i="37" s="1"/>
  <c r="G1465" i="37"/>
  <c r="F1465" i="37"/>
  <c r="E1465" i="37"/>
  <c r="E1464" i="37" s="1"/>
  <c r="D1465" i="37"/>
  <c r="D1464" i="37" s="1"/>
  <c r="C1465" i="37"/>
  <c r="S1464" i="37"/>
  <c r="R1464" i="37"/>
  <c r="O1464" i="37"/>
  <c r="N1464" i="37"/>
  <c r="K1464" i="37"/>
  <c r="G1464" i="37"/>
  <c r="F1464" i="37"/>
  <c r="C1464" i="37"/>
  <c r="M1463" i="37"/>
  <c r="P1463" i="37" s="1"/>
  <c r="J1463" i="37"/>
  <c r="P1462" i="37"/>
  <c r="J1462" i="37"/>
  <c r="M1462" i="37" s="1"/>
  <c r="M1461" i="37"/>
  <c r="P1461" i="37" s="1"/>
  <c r="J1461" i="37"/>
  <c r="J1460" i="37"/>
  <c r="U1459" i="37"/>
  <c r="S1459" i="37"/>
  <c r="R1459" i="37"/>
  <c r="Q1459" i="37"/>
  <c r="O1459" i="37"/>
  <c r="N1459" i="37"/>
  <c r="L1459" i="37"/>
  <c r="K1459" i="37"/>
  <c r="I1459" i="37"/>
  <c r="I1343" i="37" s="1"/>
  <c r="H1459" i="37"/>
  <c r="G1459" i="37"/>
  <c r="F1459" i="37"/>
  <c r="E1459" i="37"/>
  <c r="E1343" i="37" s="1"/>
  <c r="D1459" i="37"/>
  <c r="C1459" i="37"/>
  <c r="M1458" i="37"/>
  <c r="P1458" i="37" s="1"/>
  <c r="J1458" i="37"/>
  <c r="J1457" i="37"/>
  <c r="M1457" i="37" s="1"/>
  <c r="P1457" i="37" s="1"/>
  <c r="P1454" i="37"/>
  <c r="U1453" i="37"/>
  <c r="P1452" i="37"/>
  <c r="J1451" i="37"/>
  <c r="M1451" i="37" s="1"/>
  <c r="P1451" i="37" s="1"/>
  <c r="M1450" i="37"/>
  <c r="P1450" i="37" s="1"/>
  <c r="J1450" i="37"/>
  <c r="J1449" i="37"/>
  <c r="M1449" i="37" s="1"/>
  <c r="P1449" i="37" s="1"/>
  <c r="M1448" i="37"/>
  <c r="P1448" i="37" s="1"/>
  <c r="J1448" i="37"/>
  <c r="P1446" i="37"/>
  <c r="U1445" i="37"/>
  <c r="J1444" i="37"/>
  <c r="M1444" i="37" s="1"/>
  <c r="P1444" i="37" s="1"/>
  <c r="M1442" i="37"/>
  <c r="P1442" i="37" s="1"/>
  <c r="J1442" i="37"/>
  <c r="J1441" i="37"/>
  <c r="M1441" i="37" s="1"/>
  <c r="P1441" i="37" s="1"/>
  <c r="M1440" i="37"/>
  <c r="P1440" i="37" s="1"/>
  <c r="J1440" i="37"/>
  <c r="J1439" i="37"/>
  <c r="M1439" i="37" s="1"/>
  <c r="P1439" i="37" s="1"/>
  <c r="M1438" i="37"/>
  <c r="P1438" i="37" s="1"/>
  <c r="J1438" i="37"/>
  <c r="P1437" i="37"/>
  <c r="J1437" i="37"/>
  <c r="M1437" i="37" s="1"/>
  <c r="M1436" i="37"/>
  <c r="P1436" i="37" s="1"/>
  <c r="J1436" i="37"/>
  <c r="U1435" i="37"/>
  <c r="M1434" i="37"/>
  <c r="P1434" i="37" s="1"/>
  <c r="J1434" i="37"/>
  <c r="J1433" i="37"/>
  <c r="M1433" i="37" s="1"/>
  <c r="P1433" i="37" s="1"/>
  <c r="M1432" i="37"/>
  <c r="P1432" i="37" s="1"/>
  <c r="J1432" i="37"/>
  <c r="U1431" i="37"/>
  <c r="U1415" i="37" s="1"/>
  <c r="P1430" i="37"/>
  <c r="J1428" i="37"/>
  <c r="M1428" i="37" s="1"/>
  <c r="P1428" i="37" s="1"/>
  <c r="M1427" i="37"/>
  <c r="P1427" i="37" s="1"/>
  <c r="J1427" i="37"/>
  <c r="J1426" i="37"/>
  <c r="M1426" i="37" s="1"/>
  <c r="P1426" i="37" s="1"/>
  <c r="M1425" i="37"/>
  <c r="P1425" i="37" s="1"/>
  <c r="J1425" i="37"/>
  <c r="J1424" i="37"/>
  <c r="M1424" i="37" s="1"/>
  <c r="P1424" i="37" s="1"/>
  <c r="M1423" i="37"/>
  <c r="P1423" i="37" s="1"/>
  <c r="J1423" i="37"/>
  <c r="P1422" i="37"/>
  <c r="J1422" i="37"/>
  <c r="M1422" i="37" s="1"/>
  <c r="M1421" i="37"/>
  <c r="P1421" i="37" s="1"/>
  <c r="J1421" i="37"/>
  <c r="J1420" i="37"/>
  <c r="M1420" i="37" s="1"/>
  <c r="P1420" i="37" s="1"/>
  <c r="M1419" i="37"/>
  <c r="P1419" i="37" s="1"/>
  <c r="J1419" i="37"/>
  <c r="J1418" i="37"/>
  <c r="M1418" i="37" s="1"/>
  <c r="P1418" i="37" s="1"/>
  <c r="M1417" i="37"/>
  <c r="P1417" i="37" s="1"/>
  <c r="J1417" i="37"/>
  <c r="J1416" i="37"/>
  <c r="S1415" i="37"/>
  <c r="R1415" i="37"/>
  <c r="Q1415" i="37"/>
  <c r="O1415" i="37"/>
  <c r="N1415" i="37"/>
  <c r="L1415" i="37"/>
  <c r="K1415" i="37"/>
  <c r="I1415" i="37"/>
  <c r="H1415" i="37"/>
  <c r="G1415" i="37"/>
  <c r="M1414" i="37"/>
  <c r="P1414" i="37" s="1"/>
  <c r="J1414" i="37"/>
  <c r="P1413" i="37"/>
  <c r="J1413" i="37"/>
  <c r="M1413" i="37" s="1"/>
  <c r="M1412" i="37"/>
  <c r="P1412" i="37" s="1"/>
  <c r="J1412" i="37"/>
  <c r="P1411" i="37"/>
  <c r="J1411" i="37"/>
  <c r="M1411" i="37" s="1"/>
  <c r="M1410" i="37"/>
  <c r="P1410" i="37" s="1"/>
  <c r="J1410" i="37"/>
  <c r="P1409" i="37"/>
  <c r="J1409" i="37"/>
  <c r="M1409" i="37" s="1"/>
  <c r="M1408" i="37"/>
  <c r="P1408" i="37" s="1"/>
  <c r="J1408" i="37"/>
  <c r="P1407" i="37"/>
  <c r="J1407" i="37"/>
  <c r="M1407" i="37" s="1"/>
  <c r="M1406" i="37"/>
  <c r="P1406" i="37" s="1"/>
  <c r="J1406" i="37"/>
  <c r="J1405" i="37"/>
  <c r="U1404" i="37"/>
  <c r="S1404" i="37"/>
  <c r="R1404" i="37"/>
  <c r="Q1404" i="37"/>
  <c r="O1404" i="37"/>
  <c r="N1404" i="37"/>
  <c r="L1404" i="37"/>
  <c r="K1404" i="37"/>
  <c r="I1404" i="37"/>
  <c r="H1404" i="37"/>
  <c r="G1404" i="37"/>
  <c r="F1404" i="37"/>
  <c r="E1404" i="37"/>
  <c r="D1404" i="37"/>
  <c r="C1404" i="37"/>
  <c r="M1402" i="37"/>
  <c r="P1402" i="37" s="1"/>
  <c r="J1402" i="37"/>
  <c r="P1401" i="37"/>
  <c r="J1401" i="37"/>
  <c r="M1401" i="37" s="1"/>
  <c r="M1400" i="37"/>
  <c r="P1400" i="37" s="1"/>
  <c r="J1400" i="37"/>
  <c r="P1399" i="37"/>
  <c r="J1399" i="37"/>
  <c r="M1399" i="37" s="1"/>
  <c r="M1398" i="37"/>
  <c r="P1398" i="37" s="1"/>
  <c r="J1398" i="37"/>
  <c r="P1397" i="37"/>
  <c r="J1397" i="37"/>
  <c r="M1397" i="37" s="1"/>
  <c r="M1396" i="37"/>
  <c r="P1396" i="37" s="1"/>
  <c r="J1396" i="37"/>
  <c r="P1394" i="37"/>
  <c r="J1394" i="37"/>
  <c r="M1394" i="37" s="1"/>
  <c r="M1393" i="37"/>
  <c r="P1393" i="37" s="1"/>
  <c r="J1393" i="37"/>
  <c r="P1392" i="37"/>
  <c r="J1392" i="37"/>
  <c r="M1392" i="37" s="1"/>
  <c r="L1391" i="37"/>
  <c r="J1391" i="37"/>
  <c r="M1390" i="37"/>
  <c r="P1390" i="37" s="1"/>
  <c r="J1390" i="37"/>
  <c r="M1389" i="37"/>
  <c r="P1389" i="37" s="1"/>
  <c r="J1389" i="37"/>
  <c r="S1388" i="37"/>
  <c r="M1388" i="37"/>
  <c r="P1388" i="37" s="1"/>
  <c r="J1388" i="37"/>
  <c r="M1387" i="37"/>
  <c r="P1387" i="37" s="1"/>
  <c r="J1387" i="37"/>
  <c r="P1386" i="37"/>
  <c r="J1386" i="37"/>
  <c r="M1386" i="37" s="1"/>
  <c r="P1385" i="37"/>
  <c r="M1385" i="37"/>
  <c r="J1385" i="37"/>
  <c r="M1384" i="37"/>
  <c r="P1384" i="37" s="1"/>
  <c r="J1384" i="37"/>
  <c r="M1383" i="37"/>
  <c r="P1383" i="37" s="1"/>
  <c r="J1383" i="37"/>
  <c r="P1382" i="37"/>
  <c r="J1382" i="37"/>
  <c r="M1382" i="37" s="1"/>
  <c r="P1381" i="37"/>
  <c r="M1381" i="37"/>
  <c r="J1381" i="37"/>
  <c r="M1380" i="37"/>
  <c r="P1380" i="37" s="1"/>
  <c r="J1380" i="37"/>
  <c r="M1379" i="37"/>
  <c r="P1379" i="37" s="1"/>
  <c r="J1379" i="37"/>
  <c r="P1378" i="37"/>
  <c r="J1378" i="37"/>
  <c r="M1378" i="37" s="1"/>
  <c r="P1377" i="37"/>
  <c r="M1377" i="37"/>
  <c r="J1377" i="37"/>
  <c r="M1376" i="37"/>
  <c r="P1376" i="37" s="1"/>
  <c r="J1376" i="37"/>
  <c r="M1375" i="37"/>
  <c r="P1375" i="37" s="1"/>
  <c r="J1375" i="37"/>
  <c r="P1374" i="37"/>
  <c r="J1374" i="37"/>
  <c r="M1374" i="37" s="1"/>
  <c r="P1373" i="37"/>
  <c r="M1373" i="37"/>
  <c r="J1373" i="37"/>
  <c r="S1372" i="37"/>
  <c r="P1372" i="37"/>
  <c r="M1372" i="37"/>
  <c r="J1372" i="37"/>
  <c r="M1371" i="37"/>
  <c r="P1371" i="37" s="1"/>
  <c r="J1371" i="37"/>
  <c r="M1370" i="37"/>
  <c r="P1370" i="37" s="1"/>
  <c r="J1370" i="37"/>
  <c r="P1369" i="37"/>
  <c r="J1369" i="37"/>
  <c r="M1369" i="37" s="1"/>
  <c r="P1368" i="37"/>
  <c r="M1368" i="37"/>
  <c r="J1368" i="37"/>
  <c r="M1367" i="37"/>
  <c r="P1367" i="37" s="1"/>
  <c r="J1367" i="37"/>
  <c r="M1366" i="37"/>
  <c r="P1366" i="37" s="1"/>
  <c r="J1366" i="37"/>
  <c r="P1365" i="37"/>
  <c r="J1365" i="37"/>
  <c r="M1365" i="37" s="1"/>
  <c r="P1364" i="37"/>
  <c r="M1364" i="37"/>
  <c r="J1364" i="37"/>
  <c r="M1363" i="37"/>
  <c r="P1363" i="37" s="1"/>
  <c r="J1363" i="37"/>
  <c r="M1362" i="37"/>
  <c r="P1362" i="37" s="1"/>
  <c r="J1362" i="37"/>
  <c r="U1361" i="37"/>
  <c r="U1344" i="37" s="1"/>
  <c r="U1343" i="37" s="1"/>
  <c r="J1361" i="37"/>
  <c r="M1361" i="37" s="1"/>
  <c r="P1361" i="37" s="1"/>
  <c r="U1360" i="37"/>
  <c r="M1359" i="37"/>
  <c r="P1359" i="37" s="1"/>
  <c r="J1359" i="37"/>
  <c r="P1358" i="37"/>
  <c r="J1358" i="37"/>
  <c r="M1358" i="37" s="1"/>
  <c r="P1357" i="37"/>
  <c r="M1357" i="37"/>
  <c r="J1357" i="37"/>
  <c r="M1356" i="37"/>
  <c r="P1356" i="37" s="1"/>
  <c r="J1356" i="37"/>
  <c r="M1355" i="37"/>
  <c r="P1355" i="37" s="1"/>
  <c r="J1355" i="37"/>
  <c r="P1354" i="37"/>
  <c r="J1354" i="37"/>
  <c r="M1354" i="37" s="1"/>
  <c r="P1353" i="37"/>
  <c r="M1353" i="37"/>
  <c r="J1353" i="37"/>
  <c r="M1352" i="37"/>
  <c r="P1352" i="37" s="1"/>
  <c r="J1352" i="37"/>
  <c r="M1351" i="37"/>
  <c r="P1351" i="37" s="1"/>
  <c r="J1351" i="37"/>
  <c r="P1350" i="37"/>
  <c r="J1350" i="37"/>
  <c r="M1350" i="37" s="1"/>
  <c r="P1349" i="37"/>
  <c r="M1349" i="37"/>
  <c r="J1349" i="37"/>
  <c r="M1348" i="37"/>
  <c r="P1348" i="37" s="1"/>
  <c r="J1348" i="37"/>
  <c r="M1347" i="37"/>
  <c r="P1347" i="37" s="1"/>
  <c r="J1347" i="37"/>
  <c r="P1346" i="37"/>
  <c r="J1346" i="37"/>
  <c r="M1346" i="37" s="1"/>
  <c r="P1345" i="37"/>
  <c r="M1345" i="37"/>
  <c r="J1345" i="37"/>
  <c r="S1344" i="37"/>
  <c r="S1343" i="37" s="1"/>
  <c r="R1344" i="37"/>
  <c r="Q1344" i="37"/>
  <c r="O1344" i="37"/>
  <c r="O1343" i="37" s="1"/>
  <c r="N1344" i="37"/>
  <c r="L1344" i="37"/>
  <c r="L1343" i="37" s="1"/>
  <c r="K1344" i="37"/>
  <c r="K1343" i="37" s="1"/>
  <c r="I1344" i="37"/>
  <c r="H1344" i="37"/>
  <c r="H1343" i="37" s="1"/>
  <c r="G1344" i="37"/>
  <c r="G1343" i="37" s="1"/>
  <c r="F1344" i="37"/>
  <c r="E1344" i="37"/>
  <c r="D1344" i="37"/>
  <c r="D1343" i="37" s="1"/>
  <c r="C1344" i="37"/>
  <c r="C1343" i="37" s="1"/>
  <c r="R1343" i="37"/>
  <c r="Q1343" i="37"/>
  <c r="N1343" i="37"/>
  <c r="F1343" i="37"/>
  <c r="J1342" i="37"/>
  <c r="M1342" i="37" s="1"/>
  <c r="P1342" i="37" s="1"/>
  <c r="M1340" i="37"/>
  <c r="P1340" i="37" s="1"/>
  <c r="J1340" i="37"/>
  <c r="J1339" i="37"/>
  <c r="M1339" i="37" s="1"/>
  <c r="P1339" i="37" s="1"/>
  <c r="M1335" i="37"/>
  <c r="P1335" i="37" s="1"/>
  <c r="J1335" i="37"/>
  <c r="P1333" i="37"/>
  <c r="J1333" i="37"/>
  <c r="M1333" i="37" s="1"/>
  <c r="M1332" i="37"/>
  <c r="P1332" i="37" s="1"/>
  <c r="J1332" i="37"/>
  <c r="J1331" i="37"/>
  <c r="M1331" i="37" s="1"/>
  <c r="P1331" i="37" s="1"/>
  <c r="M1330" i="37"/>
  <c r="P1330" i="37" s="1"/>
  <c r="J1330" i="37"/>
  <c r="J1329" i="37"/>
  <c r="M1329" i="37" s="1"/>
  <c r="P1329" i="37" s="1"/>
  <c r="M1328" i="37"/>
  <c r="P1328" i="37" s="1"/>
  <c r="J1328" i="37"/>
  <c r="S1327" i="37"/>
  <c r="M1327" i="37"/>
  <c r="P1327" i="37" s="1"/>
  <c r="J1327" i="37"/>
  <c r="P1326" i="37"/>
  <c r="S1325" i="37"/>
  <c r="P1325" i="37"/>
  <c r="J1325" i="37"/>
  <c r="M1325" i="37" s="1"/>
  <c r="M1324" i="37"/>
  <c r="P1324" i="37" s="1"/>
  <c r="J1324" i="37"/>
  <c r="J1323" i="37"/>
  <c r="M1323" i="37" s="1"/>
  <c r="P1323" i="37" s="1"/>
  <c r="M1321" i="37"/>
  <c r="P1321" i="37" s="1"/>
  <c r="J1321" i="37"/>
  <c r="J1320" i="37"/>
  <c r="M1320" i="37" s="1"/>
  <c r="P1320" i="37" s="1"/>
  <c r="M1319" i="37"/>
  <c r="P1319" i="37" s="1"/>
  <c r="J1319" i="37"/>
  <c r="J1318" i="37"/>
  <c r="M1318" i="37" s="1"/>
  <c r="P1318" i="37" s="1"/>
  <c r="M1317" i="37"/>
  <c r="P1317" i="37" s="1"/>
  <c r="J1317" i="37"/>
  <c r="P1316" i="37"/>
  <c r="J1316" i="37"/>
  <c r="M1316" i="37" s="1"/>
  <c r="M1315" i="37"/>
  <c r="P1315" i="37" s="1"/>
  <c r="J1315" i="37"/>
  <c r="J1314" i="37"/>
  <c r="M1314" i="37" s="1"/>
  <c r="P1314" i="37" s="1"/>
  <c r="S1313" i="37"/>
  <c r="P1313" i="37"/>
  <c r="M1313" i="37"/>
  <c r="S1312" i="37"/>
  <c r="S1292" i="37" s="1"/>
  <c r="S1291" i="37" s="1"/>
  <c r="M1312" i="37"/>
  <c r="P1312" i="37" s="1"/>
  <c r="J1312" i="37"/>
  <c r="J1311" i="37"/>
  <c r="M1311" i="37" s="1"/>
  <c r="P1311" i="37" s="1"/>
  <c r="M1310" i="37"/>
  <c r="P1310" i="37" s="1"/>
  <c r="J1310" i="37"/>
  <c r="J1309" i="37"/>
  <c r="M1309" i="37" s="1"/>
  <c r="P1309" i="37" s="1"/>
  <c r="M1307" i="37"/>
  <c r="P1307" i="37" s="1"/>
  <c r="J1307" i="37"/>
  <c r="P1306" i="37"/>
  <c r="J1306" i="37"/>
  <c r="M1306" i="37" s="1"/>
  <c r="M1305" i="37"/>
  <c r="P1305" i="37" s="1"/>
  <c r="J1305" i="37"/>
  <c r="J1304" i="37"/>
  <c r="M1304" i="37" s="1"/>
  <c r="P1304" i="37" s="1"/>
  <c r="M1303" i="37"/>
  <c r="P1303" i="37" s="1"/>
  <c r="J1303" i="37"/>
  <c r="J1302" i="37"/>
  <c r="M1302" i="37" s="1"/>
  <c r="P1302" i="37" s="1"/>
  <c r="M1301" i="37"/>
  <c r="P1301" i="37" s="1"/>
  <c r="J1301" i="37"/>
  <c r="J1300" i="37"/>
  <c r="M1300" i="37" s="1"/>
  <c r="P1300" i="37" s="1"/>
  <c r="M1299" i="37"/>
  <c r="P1299" i="37" s="1"/>
  <c r="J1299" i="37"/>
  <c r="P1298" i="37"/>
  <c r="J1298" i="37"/>
  <c r="M1298" i="37" s="1"/>
  <c r="M1297" i="37"/>
  <c r="P1297" i="37" s="1"/>
  <c r="J1297" i="37"/>
  <c r="J1296" i="37"/>
  <c r="M1296" i="37" s="1"/>
  <c r="P1296" i="37" s="1"/>
  <c r="M1295" i="37"/>
  <c r="P1295" i="37" s="1"/>
  <c r="J1295" i="37"/>
  <c r="J1294" i="37"/>
  <c r="M1294" i="37" s="1"/>
  <c r="P1294" i="37" s="1"/>
  <c r="M1293" i="37"/>
  <c r="J1293" i="37"/>
  <c r="U1292" i="37"/>
  <c r="R1292" i="37"/>
  <c r="R1291" i="37" s="1"/>
  <c r="Q1292" i="37"/>
  <c r="Q1291" i="37" s="1"/>
  <c r="O1292" i="37"/>
  <c r="N1292" i="37"/>
  <c r="N1291" i="37" s="1"/>
  <c r="L1292" i="37"/>
  <c r="K1292" i="37"/>
  <c r="I1292" i="37"/>
  <c r="I1291" i="37" s="1"/>
  <c r="H1292" i="37"/>
  <c r="G1292" i="37"/>
  <c r="F1292" i="37"/>
  <c r="F1291" i="37" s="1"/>
  <c r="E1292" i="37"/>
  <c r="E1291" i="37" s="1"/>
  <c r="D1292" i="37"/>
  <c r="C1292" i="37"/>
  <c r="U1291" i="37"/>
  <c r="O1291" i="37"/>
  <c r="L1291" i="37"/>
  <c r="K1291" i="37"/>
  <c r="H1291" i="37"/>
  <c r="G1291" i="37"/>
  <c r="D1291" i="37"/>
  <c r="C1291" i="37"/>
  <c r="J1288" i="37"/>
  <c r="M1288" i="37" s="1"/>
  <c r="P1288" i="37" s="1"/>
  <c r="M1287" i="37"/>
  <c r="P1287" i="37" s="1"/>
  <c r="J1287" i="37"/>
  <c r="P1286" i="37"/>
  <c r="J1286" i="37"/>
  <c r="M1286" i="37" s="1"/>
  <c r="M1285" i="37"/>
  <c r="P1285" i="37" s="1"/>
  <c r="J1285" i="37"/>
  <c r="J1284" i="37"/>
  <c r="M1284" i="37" s="1"/>
  <c r="P1284" i="37" s="1"/>
  <c r="M1283" i="37"/>
  <c r="P1283" i="37" s="1"/>
  <c r="J1283" i="37"/>
  <c r="S1282" i="37"/>
  <c r="M1282" i="37"/>
  <c r="P1282" i="37" s="1"/>
  <c r="J1282" i="37"/>
  <c r="P1281" i="37"/>
  <c r="J1281" i="37"/>
  <c r="M1281" i="37" s="1"/>
  <c r="M1280" i="37"/>
  <c r="P1280" i="37" s="1"/>
  <c r="J1280" i="37"/>
  <c r="J1279" i="37"/>
  <c r="M1279" i="37" s="1"/>
  <c r="P1279" i="37" s="1"/>
  <c r="M1278" i="37"/>
  <c r="P1278" i="37" s="1"/>
  <c r="J1278" i="37"/>
  <c r="J1277" i="37"/>
  <c r="M1277" i="37" s="1"/>
  <c r="P1277" i="37" s="1"/>
  <c r="M1276" i="37"/>
  <c r="P1276" i="37" s="1"/>
  <c r="J1276" i="37"/>
  <c r="S1275" i="37"/>
  <c r="S1262" i="37" s="1"/>
  <c r="S1261" i="37" s="1"/>
  <c r="M1275" i="37"/>
  <c r="P1275" i="37" s="1"/>
  <c r="J1275" i="37"/>
  <c r="J1274" i="37"/>
  <c r="M1274" i="37" s="1"/>
  <c r="P1274" i="37" s="1"/>
  <c r="M1273" i="37"/>
  <c r="P1273" i="37" s="1"/>
  <c r="J1273" i="37"/>
  <c r="J1272" i="37"/>
  <c r="M1272" i="37" s="1"/>
  <c r="P1272" i="37" s="1"/>
  <c r="M1271" i="37"/>
  <c r="P1271" i="37" s="1"/>
  <c r="J1271" i="37"/>
  <c r="J1270" i="37"/>
  <c r="M1270" i="37" s="1"/>
  <c r="P1270" i="37" s="1"/>
  <c r="M1269" i="37"/>
  <c r="P1269" i="37" s="1"/>
  <c r="J1269" i="37"/>
  <c r="P1268" i="37"/>
  <c r="J1268" i="37"/>
  <c r="M1268" i="37" s="1"/>
  <c r="M1267" i="37"/>
  <c r="P1267" i="37" s="1"/>
  <c r="J1267" i="37"/>
  <c r="J1266" i="37"/>
  <c r="M1266" i="37" s="1"/>
  <c r="P1266" i="37" s="1"/>
  <c r="M1265" i="37"/>
  <c r="P1265" i="37" s="1"/>
  <c r="J1265" i="37"/>
  <c r="J1264" i="37"/>
  <c r="M1264" i="37" s="1"/>
  <c r="P1264" i="37" s="1"/>
  <c r="M1263" i="37"/>
  <c r="J1263" i="37"/>
  <c r="U1262" i="37"/>
  <c r="R1262" i="37"/>
  <c r="R1261" i="37" s="1"/>
  <c r="Q1262" i="37"/>
  <c r="Q1261" i="37" s="1"/>
  <c r="O1262" i="37"/>
  <c r="N1262" i="37"/>
  <c r="N1261" i="37" s="1"/>
  <c r="L1262" i="37"/>
  <c r="K1262" i="37"/>
  <c r="J1262" i="37"/>
  <c r="J1261" i="37" s="1"/>
  <c r="I1262" i="37"/>
  <c r="I1261" i="37" s="1"/>
  <c r="H1262" i="37"/>
  <c r="G1262" i="37"/>
  <c r="F1262" i="37"/>
  <c r="F1261" i="37" s="1"/>
  <c r="E1262" i="37"/>
  <c r="E1261" i="37" s="1"/>
  <c r="D1262" i="37"/>
  <c r="C1262" i="37"/>
  <c r="U1261" i="37"/>
  <c r="O1261" i="37"/>
  <c r="L1261" i="37"/>
  <c r="K1261" i="37"/>
  <c r="H1261" i="37"/>
  <c r="G1261" i="37"/>
  <c r="D1261" i="37"/>
  <c r="C1261" i="37"/>
  <c r="J1259" i="37"/>
  <c r="M1259" i="37" s="1"/>
  <c r="P1259" i="37" s="1"/>
  <c r="M1258" i="37"/>
  <c r="P1258" i="37" s="1"/>
  <c r="J1258" i="37"/>
  <c r="P1256" i="37"/>
  <c r="J1256" i="37"/>
  <c r="M1256" i="37" s="1"/>
  <c r="M1255" i="37"/>
  <c r="P1255" i="37" s="1"/>
  <c r="J1255" i="37"/>
  <c r="J1254" i="37"/>
  <c r="M1254" i="37" s="1"/>
  <c r="P1254" i="37" s="1"/>
  <c r="M1253" i="37"/>
  <c r="P1253" i="37" s="1"/>
  <c r="J1253" i="37"/>
  <c r="J1252" i="37"/>
  <c r="M1252" i="37" s="1"/>
  <c r="P1252" i="37" s="1"/>
  <c r="M1251" i="37"/>
  <c r="P1251" i="37" s="1"/>
  <c r="J1251" i="37"/>
  <c r="J1250" i="37"/>
  <c r="M1250" i="37" s="1"/>
  <c r="P1250" i="37" s="1"/>
  <c r="M1249" i="37"/>
  <c r="P1249" i="37" s="1"/>
  <c r="J1249" i="37"/>
  <c r="S1248" i="37"/>
  <c r="M1248" i="37"/>
  <c r="P1248" i="37" s="1"/>
  <c r="J1248" i="37"/>
  <c r="J1247" i="37"/>
  <c r="M1247" i="37" s="1"/>
  <c r="P1247" i="37" s="1"/>
  <c r="M1246" i="37"/>
  <c r="P1246" i="37" s="1"/>
  <c r="J1246" i="37"/>
  <c r="J1245" i="37"/>
  <c r="M1245" i="37" s="1"/>
  <c r="P1245" i="37" s="1"/>
  <c r="M1244" i="37"/>
  <c r="P1244" i="37" s="1"/>
  <c r="J1244" i="37"/>
  <c r="P1243" i="37"/>
  <c r="J1243" i="37"/>
  <c r="M1243" i="37" s="1"/>
  <c r="M1242" i="37"/>
  <c r="P1242" i="37" s="1"/>
  <c r="J1242" i="37"/>
  <c r="J1241" i="37"/>
  <c r="M1241" i="37" s="1"/>
  <c r="P1241" i="37" s="1"/>
  <c r="M1240" i="37"/>
  <c r="P1240" i="37" s="1"/>
  <c r="J1240" i="37"/>
  <c r="J1238" i="37"/>
  <c r="M1238" i="37" s="1"/>
  <c r="P1238" i="37" s="1"/>
  <c r="M1237" i="37"/>
  <c r="P1237" i="37" s="1"/>
  <c r="J1237" i="37"/>
  <c r="J1236" i="37"/>
  <c r="M1236" i="37" s="1"/>
  <c r="P1236" i="37" s="1"/>
  <c r="M1234" i="37"/>
  <c r="P1234" i="37" s="1"/>
  <c r="J1234" i="37"/>
  <c r="S1233" i="37"/>
  <c r="M1233" i="37"/>
  <c r="P1233" i="37" s="1"/>
  <c r="J1233" i="37"/>
  <c r="J1232" i="37"/>
  <c r="M1232" i="37" s="1"/>
  <c r="P1232" i="37" s="1"/>
  <c r="M1231" i="37"/>
  <c r="P1231" i="37" s="1"/>
  <c r="J1231" i="37"/>
  <c r="J1230" i="37"/>
  <c r="M1230" i="37" s="1"/>
  <c r="P1230" i="37" s="1"/>
  <c r="M1229" i="37"/>
  <c r="P1229" i="37" s="1"/>
  <c r="J1229" i="37"/>
  <c r="P1228" i="37"/>
  <c r="J1228" i="37"/>
  <c r="M1228" i="37" s="1"/>
  <c r="M1227" i="37"/>
  <c r="P1227" i="37" s="1"/>
  <c r="J1227" i="37"/>
  <c r="J1226" i="37"/>
  <c r="M1226" i="37" s="1"/>
  <c r="P1226" i="37" s="1"/>
  <c r="M1225" i="37"/>
  <c r="P1225" i="37" s="1"/>
  <c r="J1225" i="37"/>
  <c r="J1224" i="37"/>
  <c r="M1224" i="37" s="1"/>
  <c r="P1224" i="37" s="1"/>
  <c r="M1223" i="37"/>
  <c r="P1223" i="37" s="1"/>
  <c r="J1223" i="37"/>
  <c r="J1222" i="37"/>
  <c r="M1222" i="37" s="1"/>
  <c r="P1222" i="37" s="1"/>
  <c r="M1221" i="37"/>
  <c r="P1221" i="37" s="1"/>
  <c r="J1221" i="37"/>
  <c r="P1220" i="37"/>
  <c r="J1220" i="37"/>
  <c r="M1220" i="37" s="1"/>
  <c r="M1219" i="37"/>
  <c r="P1219" i="37" s="1"/>
  <c r="J1219" i="37"/>
  <c r="J1218" i="37"/>
  <c r="M1218" i="37" s="1"/>
  <c r="P1218" i="37" s="1"/>
  <c r="M1217" i="37"/>
  <c r="P1217" i="37" s="1"/>
  <c r="J1217" i="37"/>
  <c r="J1216" i="37"/>
  <c r="M1216" i="37" s="1"/>
  <c r="U1215" i="37"/>
  <c r="S1215" i="37"/>
  <c r="S1214" i="37" s="1"/>
  <c r="R1215" i="37"/>
  <c r="R1214" i="37" s="1"/>
  <c r="Q1215" i="37"/>
  <c r="O1215" i="37"/>
  <c r="O1214" i="37" s="1"/>
  <c r="N1215" i="37"/>
  <c r="N1214" i="37" s="1"/>
  <c r="L1215" i="37"/>
  <c r="K1215" i="37"/>
  <c r="K1214" i="37" s="1"/>
  <c r="I1215" i="37"/>
  <c r="H1215" i="37"/>
  <c r="G1215" i="37"/>
  <c r="G1214" i="37" s="1"/>
  <c r="F1215" i="37"/>
  <c r="F1214" i="37" s="1"/>
  <c r="E1215" i="37"/>
  <c r="D1215" i="37"/>
  <c r="C1215" i="37"/>
  <c r="C1214" i="37" s="1"/>
  <c r="U1214" i="37"/>
  <c r="Q1214" i="37"/>
  <c r="L1214" i="37"/>
  <c r="I1214" i="37"/>
  <c r="H1214" i="37"/>
  <c r="E1214" i="37"/>
  <c r="D1214" i="37"/>
  <c r="U1213" i="37"/>
  <c r="J1213" i="37"/>
  <c r="M1213" i="37" s="1"/>
  <c r="P1213" i="37" s="1"/>
  <c r="M1212" i="37"/>
  <c r="P1212" i="37" s="1"/>
  <c r="J1212" i="37"/>
  <c r="J1211" i="37"/>
  <c r="M1211" i="37" s="1"/>
  <c r="P1211" i="37" s="1"/>
  <c r="L1210" i="37"/>
  <c r="J1210" i="37"/>
  <c r="M1210" i="37" s="1"/>
  <c r="P1210" i="37" s="1"/>
  <c r="M1209" i="37"/>
  <c r="P1209" i="37" s="1"/>
  <c r="J1209" i="37"/>
  <c r="P1208" i="37"/>
  <c r="J1208" i="37"/>
  <c r="M1208" i="37" s="1"/>
  <c r="M1207" i="37"/>
  <c r="P1207" i="37" s="1"/>
  <c r="J1207" i="37"/>
  <c r="J1206" i="37"/>
  <c r="M1206" i="37" s="1"/>
  <c r="P1206" i="37" s="1"/>
  <c r="M1205" i="37"/>
  <c r="P1205" i="37" s="1"/>
  <c r="J1205" i="37"/>
  <c r="J1204" i="37"/>
  <c r="M1204" i="37" s="1"/>
  <c r="P1204" i="37" s="1"/>
  <c r="M1203" i="37"/>
  <c r="P1203" i="37" s="1"/>
  <c r="J1203" i="37"/>
  <c r="J1202" i="37"/>
  <c r="M1202" i="37" s="1"/>
  <c r="P1202" i="37" s="1"/>
  <c r="M1201" i="37"/>
  <c r="P1201" i="37" s="1"/>
  <c r="J1201" i="37"/>
  <c r="P1200" i="37"/>
  <c r="J1200" i="37"/>
  <c r="M1200" i="37" s="1"/>
  <c r="M1199" i="37"/>
  <c r="P1199" i="37" s="1"/>
  <c r="J1199" i="37"/>
  <c r="J1198" i="37"/>
  <c r="M1198" i="37" s="1"/>
  <c r="P1198" i="37" s="1"/>
  <c r="M1197" i="37"/>
  <c r="P1197" i="37" s="1"/>
  <c r="J1197" i="37"/>
  <c r="S1196" i="37"/>
  <c r="M1196" i="37"/>
  <c r="P1196" i="37" s="1"/>
  <c r="J1196" i="37"/>
  <c r="P1195" i="37"/>
  <c r="J1195" i="37"/>
  <c r="M1195" i="37" s="1"/>
  <c r="M1194" i="37"/>
  <c r="P1194" i="37" s="1"/>
  <c r="J1194" i="37"/>
  <c r="J1193" i="37"/>
  <c r="M1193" i="37" s="1"/>
  <c r="P1193" i="37" s="1"/>
  <c r="M1192" i="37"/>
  <c r="P1192" i="37" s="1"/>
  <c r="J1192" i="37"/>
  <c r="J1187" i="37"/>
  <c r="M1187" i="37" s="1"/>
  <c r="P1187" i="37" s="1"/>
  <c r="M1186" i="37"/>
  <c r="P1186" i="37" s="1"/>
  <c r="J1186" i="37"/>
  <c r="J1185" i="37"/>
  <c r="M1185" i="37" s="1"/>
  <c r="P1185" i="37" s="1"/>
  <c r="M1184" i="37"/>
  <c r="P1184" i="37" s="1"/>
  <c r="J1184" i="37"/>
  <c r="P1183" i="37"/>
  <c r="J1183" i="37"/>
  <c r="M1183" i="37" s="1"/>
  <c r="M1182" i="37"/>
  <c r="P1182" i="37" s="1"/>
  <c r="J1182" i="37"/>
  <c r="J1180" i="37"/>
  <c r="M1180" i="37" s="1"/>
  <c r="P1180" i="37" s="1"/>
  <c r="S1179" i="37"/>
  <c r="J1179" i="37"/>
  <c r="M1179" i="37" s="1"/>
  <c r="P1179" i="37" s="1"/>
  <c r="M1178" i="37"/>
  <c r="P1178" i="37" s="1"/>
  <c r="J1178" i="37"/>
  <c r="J1177" i="37"/>
  <c r="M1177" i="37" s="1"/>
  <c r="P1177" i="37" s="1"/>
  <c r="M1176" i="37"/>
  <c r="P1176" i="37" s="1"/>
  <c r="J1176" i="37"/>
  <c r="J1175" i="37"/>
  <c r="M1175" i="37" s="1"/>
  <c r="P1175" i="37" s="1"/>
  <c r="M1174" i="37"/>
  <c r="P1174" i="37" s="1"/>
  <c r="J1174" i="37"/>
  <c r="P1173" i="37"/>
  <c r="J1173" i="37"/>
  <c r="M1173" i="37" s="1"/>
  <c r="M1172" i="37"/>
  <c r="P1172" i="37" s="1"/>
  <c r="J1172" i="37"/>
  <c r="J1171" i="37"/>
  <c r="M1171" i="37" s="1"/>
  <c r="P1171" i="37" s="1"/>
  <c r="M1170" i="37"/>
  <c r="P1170" i="37" s="1"/>
  <c r="J1170" i="37"/>
  <c r="J1169" i="37"/>
  <c r="M1169" i="37" s="1"/>
  <c r="P1169" i="37" s="1"/>
  <c r="M1168" i="37"/>
  <c r="P1168" i="37" s="1"/>
  <c r="J1168" i="37"/>
  <c r="J1167" i="37"/>
  <c r="M1167" i="37" s="1"/>
  <c r="P1167" i="37" s="1"/>
  <c r="M1166" i="37"/>
  <c r="P1166" i="37" s="1"/>
  <c r="J1166" i="37"/>
  <c r="P1165" i="37"/>
  <c r="J1165" i="37"/>
  <c r="M1165" i="37" s="1"/>
  <c r="M1164" i="37"/>
  <c r="P1164" i="37" s="1"/>
  <c r="J1164" i="37"/>
  <c r="J1163" i="37"/>
  <c r="M1163" i="37" s="1"/>
  <c r="P1163" i="37" s="1"/>
  <c r="M1162" i="37"/>
  <c r="P1162" i="37" s="1"/>
  <c r="J1162" i="37"/>
  <c r="J1161" i="37"/>
  <c r="M1161" i="37" s="1"/>
  <c r="M1160" i="37" s="1"/>
  <c r="M1159" i="37" s="1"/>
  <c r="U1160" i="37"/>
  <c r="S1160" i="37"/>
  <c r="S1159" i="37" s="1"/>
  <c r="R1160" i="37"/>
  <c r="R1159" i="37" s="1"/>
  <c r="Q1160" i="37"/>
  <c r="O1160" i="37"/>
  <c r="O1159" i="37" s="1"/>
  <c r="N1160" i="37"/>
  <c r="N1159" i="37" s="1"/>
  <c r="L1160" i="37"/>
  <c r="K1160" i="37"/>
  <c r="K1159" i="37" s="1"/>
  <c r="I1160" i="37"/>
  <c r="H1160" i="37"/>
  <c r="G1160" i="37"/>
  <c r="G1159" i="37" s="1"/>
  <c r="F1160" i="37"/>
  <c r="F1159" i="37" s="1"/>
  <c r="E1160" i="37"/>
  <c r="D1160" i="37"/>
  <c r="C1160" i="37"/>
  <c r="C1159" i="37" s="1"/>
  <c r="U1159" i="37"/>
  <c r="Q1159" i="37"/>
  <c r="L1159" i="37"/>
  <c r="I1159" i="37"/>
  <c r="H1159" i="37"/>
  <c r="E1159" i="37"/>
  <c r="D1159" i="37"/>
  <c r="M1158" i="37"/>
  <c r="P1158" i="37" s="1"/>
  <c r="J1158" i="37"/>
  <c r="J1157" i="37"/>
  <c r="M1157" i="37" s="1"/>
  <c r="P1157" i="37" s="1"/>
  <c r="M1154" i="37"/>
  <c r="P1154" i="37" s="1"/>
  <c r="J1154" i="37"/>
  <c r="J1153" i="37"/>
  <c r="M1153" i="37" s="1"/>
  <c r="P1153" i="37" s="1"/>
  <c r="M1152" i="37"/>
  <c r="P1152" i="37" s="1"/>
  <c r="J1152" i="37"/>
  <c r="J1151" i="37"/>
  <c r="M1151" i="37" s="1"/>
  <c r="P1151" i="37" s="1"/>
  <c r="M1150" i="37"/>
  <c r="P1150" i="37" s="1"/>
  <c r="J1150" i="37"/>
  <c r="P1149" i="37"/>
  <c r="J1149" i="37"/>
  <c r="M1149" i="37" s="1"/>
  <c r="S1148" i="37"/>
  <c r="J1148" i="37"/>
  <c r="M1148" i="37" s="1"/>
  <c r="P1148" i="37" s="1"/>
  <c r="M1147" i="37"/>
  <c r="P1147" i="37" s="1"/>
  <c r="J1147" i="37"/>
  <c r="J1146" i="37"/>
  <c r="M1146" i="37" s="1"/>
  <c r="P1146" i="37" s="1"/>
  <c r="M1145" i="37"/>
  <c r="P1145" i="37" s="1"/>
  <c r="J1145" i="37"/>
  <c r="P1144" i="37"/>
  <c r="J1144" i="37"/>
  <c r="M1144" i="37" s="1"/>
  <c r="S1143" i="37"/>
  <c r="J1143" i="37"/>
  <c r="M1143" i="37" s="1"/>
  <c r="P1143" i="37" s="1"/>
  <c r="M1142" i="37"/>
  <c r="P1142" i="37" s="1"/>
  <c r="J1142" i="37"/>
  <c r="J1141" i="37"/>
  <c r="M1141" i="37" s="1"/>
  <c r="P1141" i="37" s="1"/>
  <c r="M1140" i="37"/>
  <c r="P1140" i="37" s="1"/>
  <c r="J1140" i="37"/>
  <c r="P1139" i="37"/>
  <c r="J1139" i="37"/>
  <c r="M1139" i="37" s="1"/>
  <c r="M1138" i="37"/>
  <c r="P1138" i="37" s="1"/>
  <c r="J1138" i="37"/>
  <c r="J1137" i="37"/>
  <c r="M1137" i="37" s="1"/>
  <c r="P1137" i="37" s="1"/>
  <c r="M1136" i="37"/>
  <c r="P1136" i="37" s="1"/>
  <c r="J1136" i="37"/>
  <c r="J1135" i="37"/>
  <c r="M1135" i="37" s="1"/>
  <c r="P1135" i="37" s="1"/>
  <c r="M1134" i="37"/>
  <c r="P1134" i="37" s="1"/>
  <c r="J1134" i="37"/>
  <c r="J1133" i="37"/>
  <c r="M1133" i="37" s="1"/>
  <c r="P1133" i="37" s="1"/>
  <c r="M1132" i="37"/>
  <c r="P1132" i="37" s="1"/>
  <c r="J1132" i="37"/>
  <c r="P1131" i="37"/>
  <c r="J1131" i="37"/>
  <c r="M1131" i="37" s="1"/>
  <c r="U1130" i="37"/>
  <c r="S1130" i="37"/>
  <c r="R1130" i="37"/>
  <c r="Q1130" i="37"/>
  <c r="O1130" i="37"/>
  <c r="N1130" i="37"/>
  <c r="L1130" i="37"/>
  <c r="K1130" i="37"/>
  <c r="I1130" i="37"/>
  <c r="H1130" i="37"/>
  <c r="G1130" i="37"/>
  <c r="F1130" i="37"/>
  <c r="E1130" i="37"/>
  <c r="D1130" i="37"/>
  <c r="C1130" i="37"/>
  <c r="M1129" i="37"/>
  <c r="P1129" i="37" s="1"/>
  <c r="J1129" i="37"/>
  <c r="J1128" i="37"/>
  <c r="M1128" i="37" s="1"/>
  <c r="P1128" i="37" s="1"/>
  <c r="M1127" i="37"/>
  <c r="P1127" i="37" s="1"/>
  <c r="J1127" i="37"/>
  <c r="J1126" i="37"/>
  <c r="M1126" i="37" s="1"/>
  <c r="P1126" i="37" s="1"/>
  <c r="M1125" i="37"/>
  <c r="P1125" i="37" s="1"/>
  <c r="J1125" i="37"/>
  <c r="P1124" i="37"/>
  <c r="J1124" i="37"/>
  <c r="M1124" i="37" s="1"/>
  <c r="M1123" i="37"/>
  <c r="P1123" i="37" s="1"/>
  <c r="J1123" i="37"/>
  <c r="J1122" i="37"/>
  <c r="M1122" i="37" s="1"/>
  <c r="P1122" i="37" s="1"/>
  <c r="M1121" i="37"/>
  <c r="P1121" i="37" s="1"/>
  <c r="J1121" i="37"/>
  <c r="J1120" i="37"/>
  <c r="M1120" i="37" s="1"/>
  <c r="P1120" i="37" s="1"/>
  <c r="M1119" i="37"/>
  <c r="P1119" i="37" s="1"/>
  <c r="J1119" i="37"/>
  <c r="J1118" i="37"/>
  <c r="M1118" i="37" s="1"/>
  <c r="P1118" i="37" s="1"/>
  <c r="M1117" i="37"/>
  <c r="P1117" i="37" s="1"/>
  <c r="J1117" i="37"/>
  <c r="P1116" i="37"/>
  <c r="J1116" i="37"/>
  <c r="M1116" i="37" s="1"/>
  <c r="M1115" i="37"/>
  <c r="P1115" i="37" s="1"/>
  <c r="J1115" i="37"/>
  <c r="J1114" i="37"/>
  <c r="M1114" i="37" s="1"/>
  <c r="P1114" i="37" s="1"/>
  <c r="M1113" i="37"/>
  <c r="P1113" i="37" s="1"/>
  <c r="J1113" i="37"/>
  <c r="J1112" i="37"/>
  <c r="M1112" i="37" s="1"/>
  <c r="P1112" i="37" s="1"/>
  <c r="M1111" i="37"/>
  <c r="P1111" i="37" s="1"/>
  <c r="J1111" i="37"/>
  <c r="J1110" i="37"/>
  <c r="U1109" i="37"/>
  <c r="S1109" i="37"/>
  <c r="R1109" i="37"/>
  <c r="Q1109" i="37"/>
  <c r="O1109" i="37"/>
  <c r="N1109" i="37"/>
  <c r="L1109" i="37"/>
  <c r="K1109" i="37"/>
  <c r="I1109" i="37"/>
  <c r="H1109" i="37"/>
  <c r="G1109" i="37"/>
  <c r="F1109" i="37"/>
  <c r="E1109" i="37"/>
  <c r="D1109" i="37"/>
  <c r="C1109" i="37"/>
  <c r="M1108" i="37"/>
  <c r="P1108" i="37" s="1"/>
  <c r="J1108" i="37"/>
  <c r="J1107" i="37"/>
  <c r="M1107" i="37" s="1"/>
  <c r="P1107" i="37" s="1"/>
  <c r="M1106" i="37"/>
  <c r="P1106" i="37" s="1"/>
  <c r="J1106" i="37"/>
  <c r="J1105" i="37"/>
  <c r="M1105" i="37" s="1"/>
  <c r="P1105" i="37" s="1"/>
  <c r="M1104" i="37"/>
  <c r="P1104" i="37" s="1"/>
  <c r="J1104" i="37"/>
  <c r="J1103" i="37"/>
  <c r="M1103" i="37" s="1"/>
  <c r="P1103" i="37" s="1"/>
  <c r="M1102" i="37"/>
  <c r="P1102" i="37" s="1"/>
  <c r="J1102" i="37"/>
  <c r="P1101" i="37"/>
  <c r="J1101" i="37"/>
  <c r="M1101" i="37" s="1"/>
  <c r="M1100" i="37"/>
  <c r="P1100" i="37" s="1"/>
  <c r="J1100" i="37"/>
  <c r="J1099" i="37"/>
  <c r="M1099" i="37" s="1"/>
  <c r="P1099" i="37" s="1"/>
  <c r="M1098" i="37"/>
  <c r="P1098" i="37" s="1"/>
  <c r="J1098" i="37"/>
  <c r="J1097" i="37"/>
  <c r="M1097" i="37" s="1"/>
  <c r="P1097" i="37" s="1"/>
  <c r="M1096" i="37"/>
  <c r="P1096" i="37" s="1"/>
  <c r="J1096" i="37"/>
  <c r="J1095" i="37"/>
  <c r="U1094" i="37"/>
  <c r="S1094" i="37"/>
  <c r="R1094" i="37"/>
  <c r="Q1094" i="37"/>
  <c r="O1094" i="37"/>
  <c r="N1094" i="37"/>
  <c r="L1094" i="37"/>
  <c r="K1094" i="37"/>
  <c r="I1094" i="37"/>
  <c r="H1094" i="37"/>
  <c r="G1094" i="37"/>
  <c r="F1094" i="37"/>
  <c r="E1094" i="37"/>
  <c r="D1094" i="37"/>
  <c r="C1094" i="37"/>
  <c r="M1093" i="37"/>
  <c r="P1093" i="37" s="1"/>
  <c r="J1093" i="37"/>
  <c r="J1092" i="37"/>
  <c r="M1092" i="37" s="1"/>
  <c r="P1092" i="37" s="1"/>
  <c r="M1091" i="37"/>
  <c r="P1091" i="37" s="1"/>
  <c r="J1091" i="37"/>
  <c r="P1090" i="37"/>
  <c r="M1090" i="37"/>
  <c r="J1089" i="37"/>
  <c r="M1089" i="37" s="1"/>
  <c r="P1089" i="37" s="1"/>
  <c r="M1088" i="37"/>
  <c r="P1088" i="37" s="1"/>
  <c r="J1088" i="37"/>
  <c r="P1087" i="37"/>
  <c r="J1087" i="37"/>
  <c r="M1087" i="37" s="1"/>
  <c r="S1086" i="37"/>
  <c r="J1086" i="37"/>
  <c r="M1086" i="37" s="1"/>
  <c r="P1086" i="37" s="1"/>
  <c r="M1085" i="37"/>
  <c r="P1085" i="37" s="1"/>
  <c r="J1085" i="37"/>
  <c r="J1084" i="37"/>
  <c r="M1084" i="37" s="1"/>
  <c r="P1084" i="37" s="1"/>
  <c r="H1084" i="37"/>
  <c r="J1083" i="37"/>
  <c r="M1083" i="37" s="1"/>
  <c r="P1083" i="37" s="1"/>
  <c r="M1082" i="37"/>
  <c r="P1082" i="37" s="1"/>
  <c r="J1082" i="37"/>
  <c r="P1081" i="37"/>
  <c r="J1081" i="37"/>
  <c r="M1081" i="37" s="1"/>
  <c r="M1080" i="37"/>
  <c r="P1080" i="37" s="1"/>
  <c r="J1080" i="37"/>
  <c r="J1079" i="37"/>
  <c r="M1079" i="37" s="1"/>
  <c r="P1079" i="37" s="1"/>
  <c r="M1078" i="37"/>
  <c r="P1078" i="37" s="1"/>
  <c r="J1078" i="37"/>
  <c r="J1077" i="37"/>
  <c r="M1077" i="37" s="1"/>
  <c r="P1077" i="37" s="1"/>
  <c r="M1076" i="37"/>
  <c r="P1076" i="37" s="1"/>
  <c r="J1076" i="37"/>
  <c r="J1075" i="37"/>
  <c r="M1075" i="37" s="1"/>
  <c r="P1075" i="37" s="1"/>
  <c r="M1074" i="37"/>
  <c r="P1074" i="37" s="1"/>
  <c r="J1074" i="37"/>
  <c r="P1073" i="37"/>
  <c r="J1073" i="37"/>
  <c r="M1073" i="37" s="1"/>
  <c r="M1072" i="37"/>
  <c r="P1072" i="37" s="1"/>
  <c r="J1072" i="37"/>
  <c r="J1071" i="37"/>
  <c r="M1071" i="37" s="1"/>
  <c r="P1071" i="37" s="1"/>
  <c r="M1070" i="37"/>
  <c r="P1070" i="37" s="1"/>
  <c r="J1070" i="37"/>
  <c r="J1069" i="37"/>
  <c r="M1069" i="37" s="1"/>
  <c r="U1068" i="37"/>
  <c r="S1068" i="37"/>
  <c r="R1068" i="37"/>
  <c r="Q1068" i="37"/>
  <c r="O1068" i="37"/>
  <c r="N1068" i="37"/>
  <c r="L1068" i="37"/>
  <c r="K1068" i="37"/>
  <c r="I1068" i="37"/>
  <c r="H1068" i="37"/>
  <c r="G1068" i="37"/>
  <c r="F1068" i="37"/>
  <c r="E1068" i="37"/>
  <c r="D1068" i="37"/>
  <c r="C1068" i="37"/>
  <c r="M1067" i="37"/>
  <c r="P1067" i="37" s="1"/>
  <c r="M1066" i="37"/>
  <c r="P1066" i="37" s="1"/>
  <c r="J1066" i="37"/>
  <c r="J1065" i="37"/>
  <c r="M1065" i="37" s="1"/>
  <c r="P1065" i="37" s="1"/>
  <c r="M1064" i="37"/>
  <c r="P1064" i="37" s="1"/>
  <c r="J1064" i="37"/>
  <c r="P1063" i="37"/>
  <c r="J1063" i="37"/>
  <c r="M1063" i="37" s="1"/>
  <c r="M1062" i="37"/>
  <c r="P1062" i="37" s="1"/>
  <c r="J1062" i="37"/>
  <c r="J1061" i="37"/>
  <c r="M1061" i="37" s="1"/>
  <c r="P1061" i="37" s="1"/>
  <c r="M1059" i="37"/>
  <c r="P1059" i="37" s="1"/>
  <c r="J1059" i="37"/>
  <c r="J1058" i="37"/>
  <c r="M1058" i="37" s="1"/>
  <c r="P1058" i="37" s="1"/>
  <c r="M1057" i="37"/>
  <c r="P1057" i="37" s="1"/>
  <c r="J1057" i="37"/>
  <c r="J1056" i="37"/>
  <c r="M1056" i="37" s="1"/>
  <c r="P1056" i="37" s="1"/>
  <c r="M1055" i="37"/>
  <c r="P1055" i="37" s="1"/>
  <c r="J1055" i="37"/>
  <c r="S1054" i="37"/>
  <c r="M1054" i="37"/>
  <c r="P1054" i="37" s="1"/>
  <c r="J1054" i="37"/>
  <c r="P1053" i="37"/>
  <c r="S1052" i="37"/>
  <c r="J1052" i="37"/>
  <c r="M1052" i="37" s="1"/>
  <c r="P1052" i="37" s="1"/>
  <c r="M1051" i="37"/>
  <c r="P1051" i="37" s="1"/>
  <c r="J1051" i="37"/>
  <c r="P1050" i="37"/>
  <c r="J1050" i="37"/>
  <c r="M1050" i="37" s="1"/>
  <c r="M1049" i="37"/>
  <c r="P1049" i="37" s="1"/>
  <c r="J1049" i="37"/>
  <c r="J1048" i="37"/>
  <c r="M1048" i="37" s="1"/>
  <c r="P1048" i="37" s="1"/>
  <c r="M1047" i="37"/>
  <c r="P1047" i="37" s="1"/>
  <c r="J1047" i="37"/>
  <c r="S1046" i="37"/>
  <c r="M1046" i="37"/>
  <c r="P1046" i="37" s="1"/>
  <c r="S1045" i="37"/>
  <c r="P1045" i="37"/>
  <c r="J1045" i="37"/>
  <c r="M1045" i="37" s="1"/>
  <c r="M1044" i="37"/>
  <c r="P1044" i="37" s="1"/>
  <c r="J1044" i="37"/>
  <c r="J1043" i="37"/>
  <c r="M1043" i="37" s="1"/>
  <c r="P1043" i="37" s="1"/>
  <c r="M1042" i="37"/>
  <c r="P1042" i="37" s="1"/>
  <c r="J1042" i="37"/>
  <c r="J1041" i="37"/>
  <c r="M1041" i="37" s="1"/>
  <c r="P1041" i="37" s="1"/>
  <c r="M1040" i="37"/>
  <c r="P1040" i="37" s="1"/>
  <c r="J1040" i="37"/>
  <c r="J1039" i="37"/>
  <c r="M1039" i="37" s="1"/>
  <c r="P1039" i="37" s="1"/>
  <c r="M1038" i="37"/>
  <c r="P1038" i="37" s="1"/>
  <c r="J1038" i="37"/>
  <c r="P1037" i="37"/>
  <c r="J1037" i="37"/>
  <c r="M1037" i="37" s="1"/>
  <c r="M1036" i="37"/>
  <c r="P1036" i="37" s="1"/>
  <c r="J1036" i="37"/>
  <c r="J1035" i="37"/>
  <c r="M1035" i="37" s="1"/>
  <c r="P1035" i="37" s="1"/>
  <c r="M1034" i="37"/>
  <c r="P1034" i="37" s="1"/>
  <c r="J1034" i="37"/>
  <c r="J1033" i="37"/>
  <c r="M1033" i="37" s="1"/>
  <c r="P1033" i="37" s="1"/>
  <c r="M1032" i="37"/>
  <c r="P1032" i="37" s="1"/>
  <c r="J1032" i="37"/>
  <c r="J1031" i="37"/>
  <c r="M1031" i="37" s="1"/>
  <c r="P1031" i="37" s="1"/>
  <c r="M1030" i="37"/>
  <c r="P1030" i="37" s="1"/>
  <c r="J1030" i="37"/>
  <c r="P1029" i="37"/>
  <c r="J1029" i="37"/>
  <c r="M1029" i="37" s="1"/>
  <c r="M1028" i="37"/>
  <c r="P1028" i="37" s="1"/>
  <c r="J1028" i="37"/>
  <c r="J1027" i="37"/>
  <c r="U1026" i="37"/>
  <c r="U1025" i="37" s="1"/>
  <c r="R1026" i="37"/>
  <c r="Q1026" i="37"/>
  <c r="Q1025" i="37" s="1"/>
  <c r="O1026" i="37"/>
  <c r="N1026" i="37"/>
  <c r="L1026" i="37"/>
  <c r="L1025" i="37" s="1"/>
  <c r="K1026" i="37"/>
  <c r="I1026" i="37"/>
  <c r="I1025" i="37" s="1"/>
  <c r="H1026" i="37"/>
  <c r="H1025" i="37" s="1"/>
  <c r="G1026" i="37"/>
  <c r="F1026" i="37"/>
  <c r="E1026" i="37"/>
  <c r="E1025" i="37" s="1"/>
  <c r="D1026" i="37"/>
  <c r="D1025" i="37" s="1"/>
  <c r="C1026" i="37"/>
  <c r="R1025" i="37"/>
  <c r="O1025" i="37"/>
  <c r="N1025" i="37"/>
  <c r="K1025" i="37"/>
  <c r="G1025" i="37"/>
  <c r="F1025" i="37"/>
  <c r="C1025" i="37"/>
  <c r="M1024" i="37"/>
  <c r="P1024" i="37" s="1"/>
  <c r="J1024" i="37"/>
  <c r="P1022" i="37"/>
  <c r="J1022" i="37"/>
  <c r="M1022" i="37" s="1"/>
  <c r="M1021" i="37"/>
  <c r="P1021" i="37" s="1"/>
  <c r="J1021" i="37"/>
  <c r="J1018" i="37"/>
  <c r="M1018" i="37" s="1"/>
  <c r="P1018" i="37" s="1"/>
  <c r="M1017" i="37"/>
  <c r="P1017" i="37" s="1"/>
  <c r="J1017" i="37"/>
  <c r="J1016" i="37"/>
  <c r="M1016" i="37" s="1"/>
  <c r="P1016" i="37" s="1"/>
  <c r="G1016" i="37"/>
  <c r="P1015" i="37"/>
  <c r="J1015" i="37"/>
  <c r="M1015" i="37" s="1"/>
  <c r="M1014" i="37"/>
  <c r="P1014" i="37" s="1"/>
  <c r="J1014" i="37"/>
  <c r="S1013" i="37"/>
  <c r="M1013" i="37"/>
  <c r="P1013" i="37" s="1"/>
  <c r="J1013" i="37"/>
  <c r="J1012" i="37"/>
  <c r="M1012" i="37" s="1"/>
  <c r="P1012" i="37" s="1"/>
  <c r="M1011" i="37"/>
  <c r="P1011" i="37" s="1"/>
  <c r="J1011" i="37"/>
  <c r="P1010" i="37"/>
  <c r="J1010" i="37"/>
  <c r="M1010" i="37" s="1"/>
  <c r="S1009" i="37"/>
  <c r="J1009" i="37"/>
  <c r="M1009" i="37" s="1"/>
  <c r="P1009" i="37" s="1"/>
  <c r="M1008" i="37"/>
  <c r="P1008" i="37" s="1"/>
  <c r="J1008" i="37"/>
  <c r="J1007" i="37"/>
  <c r="M1007" i="37" s="1"/>
  <c r="P1007" i="37" s="1"/>
  <c r="M1006" i="37"/>
  <c r="P1006" i="37" s="1"/>
  <c r="J1006" i="37"/>
  <c r="P1005" i="37"/>
  <c r="J1005" i="37"/>
  <c r="M1005" i="37" s="1"/>
  <c r="M1004" i="37"/>
  <c r="P1004" i="37" s="1"/>
  <c r="J1004" i="37"/>
  <c r="J1003" i="37"/>
  <c r="M1003" i="37" s="1"/>
  <c r="P1003" i="37" s="1"/>
  <c r="M1002" i="37"/>
  <c r="P1002" i="37" s="1"/>
  <c r="J1002" i="37"/>
  <c r="J1001" i="37"/>
  <c r="M1001" i="37" s="1"/>
  <c r="P1001" i="37" s="1"/>
  <c r="M1000" i="37"/>
  <c r="P1000" i="37" s="1"/>
  <c r="J1000" i="37"/>
  <c r="J999" i="37"/>
  <c r="M999" i="37" s="1"/>
  <c r="P999" i="37" s="1"/>
  <c r="M998" i="37"/>
  <c r="P998" i="37" s="1"/>
  <c r="J998" i="37"/>
  <c r="P997" i="37"/>
  <c r="J997" i="37"/>
  <c r="M997" i="37" s="1"/>
  <c r="M996" i="37"/>
  <c r="P996" i="37" s="1"/>
  <c r="J996" i="37"/>
  <c r="J995" i="37"/>
  <c r="M995" i="37" s="1"/>
  <c r="P995" i="37" s="1"/>
  <c r="M994" i="37"/>
  <c r="P994" i="37" s="1"/>
  <c r="J994" i="37"/>
  <c r="J993" i="37"/>
  <c r="M993" i="37" s="1"/>
  <c r="P993" i="37" s="1"/>
  <c r="M992" i="37"/>
  <c r="P992" i="37" s="1"/>
  <c r="J992" i="37"/>
  <c r="J991" i="37"/>
  <c r="U990" i="37"/>
  <c r="U989" i="37" s="1"/>
  <c r="S990" i="37"/>
  <c r="R990" i="37"/>
  <c r="Q990" i="37"/>
  <c r="Q989" i="37" s="1"/>
  <c r="O990" i="37"/>
  <c r="N990" i="37"/>
  <c r="L990" i="37"/>
  <c r="L989" i="37" s="1"/>
  <c r="K990" i="37"/>
  <c r="I990" i="37"/>
  <c r="I989" i="37" s="1"/>
  <c r="H990" i="37"/>
  <c r="H989" i="37" s="1"/>
  <c r="G990" i="37"/>
  <c r="F990" i="37"/>
  <c r="E990" i="37"/>
  <c r="E989" i="37" s="1"/>
  <c r="D990" i="37"/>
  <c r="D989" i="37" s="1"/>
  <c r="C990" i="37"/>
  <c r="S989" i="37"/>
  <c r="R989" i="37"/>
  <c r="O989" i="37"/>
  <c r="N989" i="37"/>
  <c r="K989" i="37"/>
  <c r="G989" i="37"/>
  <c r="F989" i="37"/>
  <c r="C989" i="37"/>
  <c r="M988" i="37"/>
  <c r="P988" i="37" s="1"/>
  <c r="J988" i="37"/>
  <c r="P987" i="37"/>
  <c r="M987" i="37"/>
  <c r="J986" i="37"/>
  <c r="M986" i="37" s="1"/>
  <c r="P986" i="37" s="1"/>
  <c r="M985" i="37"/>
  <c r="P985" i="37" s="1"/>
  <c r="J985" i="37"/>
  <c r="J984" i="37"/>
  <c r="M984" i="37" s="1"/>
  <c r="P984" i="37" s="1"/>
  <c r="M983" i="37"/>
  <c r="P983" i="37" s="1"/>
  <c r="J983" i="37"/>
  <c r="J982" i="37"/>
  <c r="M982" i="37" s="1"/>
  <c r="P982" i="37" s="1"/>
  <c r="M981" i="37"/>
  <c r="P981" i="37" s="1"/>
  <c r="J981" i="37"/>
  <c r="P980" i="37"/>
  <c r="J980" i="37"/>
  <c r="M980" i="37" s="1"/>
  <c r="M979" i="37"/>
  <c r="P979" i="37" s="1"/>
  <c r="J979" i="37"/>
  <c r="J977" i="37"/>
  <c r="M977" i="37" s="1"/>
  <c r="P977" i="37" s="1"/>
  <c r="M976" i="37"/>
  <c r="P976" i="37" s="1"/>
  <c r="J976" i="37"/>
  <c r="J975" i="37"/>
  <c r="M975" i="37" s="1"/>
  <c r="P975" i="37" s="1"/>
  <c r="M974" i="37"/>
  <c r="P974" i="37" s="1"/>
  <c r="J974" i="37"/>
  <c r="J973" i="37"/>
  <c r="M973" i="37" s="1"/>
  <c r="P973" i="37" s="1"/>
  <c r="K972" i="37"/>
  <c r="J972" i="37"/>
  <c r="M972" i="37" s="1"/>
  <c r="P972" i="37" s="1"/>
  <c r="M971" i="37"/>
  <c r="P971" i="37" s="1"/>
  <c r="J971" i="37"/>
  <c r="P969" i="37"/>
  <c r="L969" i="37"/>
  <c r="M969" i="37" s="1"/>
  <c r="J969" i="37"/>
  <c r="S968" i="37"/>
  <c r="S942" i="37" s="1"/>
  <c r="M968" i="37"/>
  <c r="P968" i="37" s="1"/>
  <c r="J968" i="37"/>
  <c r="P967" i="37"/>
  <c r="J967" i="37"/>
  <c r="M967" i="37" s="1"/>
  <c r="M966" i="37"/>
  <c r="P966" i="37" s="1"/>
  <c r="J966" i="37"/>
  <c r="J965" i="37"/>
  <c r="M965" i="37" s="1"/>
  <c r="P965" i="37" s="1"/>
  <c r="M964" i="37"/>
  <c r="P964" i="37" s="1"/>
  <c r="J964" i="37"/>
  <c r="J963" i="37"/>
  <c r="M963" i="37" s="1"/>
  <c r="P963" i="37" s="1"/>
  <c r="M961" i="37"/>
  <c r="P961" i="37" s="1"/>
  <c r="J961" i="37"/>
  <c r="S960" i="37"/>
  <c r="M960" i="37"/>
  <c r="P960" i="37" s="1"/>
  <c r="J960" i="37"/>
  <c r="J959" i="37"/>
  <c r="M959" i="37" s="1"/>
  <c r="P959" i="37" s="1"/>
  <c r="M958" i="37"/>
  <c r="P958" i="37" s="1"/>
  <c r="J958" i="37"/>
  <c r="J957" i="37"/>
  <c r="M957" i="37" s="1"/>
  <c r="P957" i="37" s="1"/>
  <c r="M956" i="37"/>
  <c r="P956" i="37" s="1"/>
  <c r="J956" i="37"/>
  <c r="J955" i="37"/>
  <c r="M955" i="37" s="1"/>
  <c r="P955" i="37" s="1"/>
  <c r="M954" i="37"/>
  <c r="P954" i="37" s="1"/>
  <c r="J954" i="37"/>
  <c r="P953" i="37"/>
  <c r="J953" i="37"/>
  <c r="M953" i="37" s="1"/>
  <c r="M952" i="37"/>
  <c r="P952" i="37" s="1"/>
  <c r="J952" i="37"/>
  <c r="J951" i="37"/>
  <c r="M951" i="37" s="1"/>
  <c r="P951" i="37" s="1"/>
  <c r="M950" i="37"/>
  <c r="P950" i="37" s="1"/>
  <c r="J950" i="37"/>
  <c r="J949" i="37"/>
  <c r="M949" i="37" s="1"/>
  <c r="P949" i="37" s="1"/>
  <c r="M948" i="37"/>
  <c r="P948" i="37" s="1"/>
  <c r="J948" i="37"/>
  <c r="J947" i="37"/>
  <c r="M947" i="37" s="1"/>
  <c r="P947" i="37" s="1"/>
  <c r="M946" i="37"/>
  <c r="P946" i="37" s="1"/>
  <c r="J946" i="37"/>
  <c r="P945" i="37"/>
  <c r="J945" i="37"/>
  <c r="M945" i="37" s="1"/>
  <c r="M944" i="37"/>
  <c r="P944" i="37" s="1"/>
  <c r="J944" i="37"/>
  <c r="J943" i="37"/>
  <c r="U942" i="37"/>
  <c r="R942" i="37"/>
  <c r="Q942" i="37"/>
  <c r="Q941" i="37" s="1"/>
  <c r="O942" i="37"/>
  <c r="N942" i="37"/>
  <c r="L942" i="37"/>
  <c r="K942" i="37"/>
  <c r="I942" i="37"/>
  <c r="I941" i="37" s="1"/>
  <c r="H942" i="37"/>
  <c r="G942" i="37"/>
  <c r="F942" i="37"/>
  <c r="E942" i="37"/>
  <c r="E941" i="37" s="1"/>
  <c r="D942" i="37"/>
  <c r="C942" i="37"/>
  <c r="U941" i="37"/>
  <c r="S941" i="37"/>
  <c r="R941" i="37"/>
  <c r="O941" i="37"/>
  <c r="N941" i="37"/>
  <c r="L941" i="37"/>
  <c r="K941" i="37"/>
  <c r="H941" i="37"/>
  <c r="G941" i="37"/>
  <c r="F941" i="37"/>
  <c r="D941" i="37"/>
  <c r="C941" i="37"/>
  <c r="M940" i="37"/>
  <c r="P940" i="37" s="1"/>
  <c r="J940" i="37"/>
  <c r="U939" i="37"/>
  <c r="U886" i="37" s="1"/>
  <c r="S939" i="37"/>
  <c r="R939" i="37"/>
  <c r="Q939" i="37"/>
  <c r="P939" i="37"/>
  <c r="O939" i="37"/>
  <c r="N939" i="37"/>
  <c r="L939" i="37"/>
  <c r="L886" i="37" s="1"/>
  <c r="K939" i="37"/>
  <c r="J939" i="37"/>
  <c r="I939" i="37"/>
  <c r="H939" i="37"/>
  <c r="H886" i="37" s="1"/>
  <c r="G939" i="37"/>
  <c r="F939" i="37"/>
  <c r="E939" i="37"/>
  <c r="D939" i="37"/>
  <c r="D886" i="37" s="1"/>
  <c r="C939" i="37"/>
  <c r="J938" i="37"/>
  <c r="U937" i="37"/>
  <c r="S937" i="37"/>
  <c r="R937" i="37"/>
  <c r="Q937" i="37"/>
  <c r="O937" i="37"/>
  <c r="N937" i="37"/>
  <c r="L937" i="37"/>
  <c r="K937" i="37"/>
  <c r="I937" i="37"/>
  <c r="H937" i="37"/>
  <c r="G937" i="37"/>
  <c r="F937" i="37"/>
  <c r="E937" i="37"/>
  <c r="D937" i="37"/>
  <c r="C937" i="37"/>
  <c r="M936" i="37"/>
  <c r="P936" i="37" s="1"/>
  <c r="J936" i="37"/>
  <c r="J935" i="37"/>
  <c r="U934" i="37"/>
  <c r="S934" i="37"/>
  <c r="R934" i="37"/>
  <c r="Q934" i="37"/>
  <c r="O934" i="37"/>
  <c r="N934" i="37"/>
  <c r="L934" i="37"/>
  <c r="K934" i="37"/>
  <c r="I934" i="37"/>
  <c r="H934" i="37"/>
  <c r="G934" i="37"/>
  <c r="F934" i="37"/>
  <c r="E934" i="37"/>
  <c r="D934" i="37"/>
  <c r="C934" i="37"/>
  <c r="M933" i="37"/>
  <c r="P933" i="37" s="1"/>
  <c r="J933" i="37"/>
  <c r="J932" i="37"/>
  <c r="U931" i="37"/>
  <c r="S931" i="37"/>
  <c r="R931" i="37"/>
  <c r="Q931" i="37"/>
  <c r="O931" i="37"/>
  <c r="N931" i="37"/>
  <c r="L931" i="37"/>
  <c r="K931" i="37"/>
  <c r="I931" i="37"/>
  <c r="H931" i="37"/>
  <c r="G931" i="37"/>
  <c r="F931" i="37"/>
  <c r="E931" i="37"/>
  <c r="D931" i="37"/>
  <c r="C931" i="37"/>
  <c r="M930" i="37"/>
  <c r="P930" i="37" s="1"/>
  <c r="J930" i="37"/>
  <c r="J929" i="37"/>
  <c r="M929" i="37" s="1"/>
  <c r="P929" i="37" s="1"/>
  <c r="M928" i="37"/>
  <c r="P928" i="37" s="1"/>
  <c r="J928" i="37"/>
  <c r="J927" i="37"/>
  <c r="M927" i="37" s="1"/>
  <c r="P927" i="37" s="1"/>
  <c r="M926" i="37"/>
  <c r="P926" i="37" s="1"/>
  <c r="J926" i="37"/>
  <c r="J925" i="37"/>
  <c r="M925" i="37" s="1"/>
  <c r="P925" i="37" s="1"/>
  <c r="M924" i="37"/>
  <c r="P924" i="37" s="1"/>
  <c r="J924" i="37"/>
  <c r="P923" i="37"/>
  <c r="J923" i="37"/>
  <c r="M923" i="37" s="1"/>
  <c r="M922" i="37"/>
  <c r="P922" i="37" s="1"/>
  <c r="J922" i="37"/>
  <c r="J921" i="37"/>
  <c r="M920" i="37"/>
  <c r="P920" i="37" s="1"/>
  <c r="J920" i="37"/>
  <c r="U919" i="37"/>
  <c r="S919" i="37"/>
  <c r="R919" i="37"/>
  <c r="Q919" i="37"/>
  <c r="O919" i="37"/>
  <c r="N919" i="37"/>
  <c r="L919" i="37"/>
  <c r="K919" i="37"/>
  <c r="I919" i="37"/>
  <c r="H919" i="37"/>
  <c r="G919" i="37"/>
  <c r="F919" i="37"/>
  <c r="E919" i="37"/>
  <c r="D919" i="37"/>
  <c r="C919" i="37"/>
  <c r="J918" i="37"/>
  <c r="M918" i="37" s="1"/>
  <c r="P918" i="37" s="1"/>
  <c r="M917" i="37"/>
  <c r="P917" i="37" s="1"/>
  <c r="J917" i="37"/>
  <c r="P916" i="37"/>
  <c r="J916" i="37"/>
  <c r="M916" i="37" s="1"/>
  <c r="M915" i="37"/>
  <c r="P915" i="37" s="1"/>
  <c r="J915" i="37"/>
  <c r="J914" i="37"/>
  <c r="M914" i="37" s="1"/>
  <c r="P914" i="37" s="1"/>
  <c r="M913" i="37"/>
  <c r="P913" i="37" s="1"/>
  <c r="J913" i="37"/>
  <c r="J912" i="37"/>
  <c r="M912" i="37" s="1"/>
  <c r="P912" i="37" s="1"/>
  <c r="M911" i="37"/>
  <c r="P911" i="37" s="1"/>
  <c r="J911" i="37"/>
  <c r="J910" i="37"/>
  <c r="M910" i="37" s="1"/>
  <c r="P910" i="37" s="1"/>
  <c r="M909" i="37"/>
  <c r="P909" i="37" s="1"/>
  <c r="J909" i="37"/>
  <c r="P908" i="37"/>
  <c r="J908" i="37"/>
  <c r="M908" i="37" s="1"/>
  <c r="M907" i="37"/>
  <c r="J907" i="37"/>
  <c r="U906" i="37"/>
  <c r="S906" i="37"/>
  <c r="R906" i="37"/>
  <c r="Q906" i="37"/>
  <c r="O906" i="37"/>
  <c r="N906" i="37"/>
  <c r="L906" i="37"/>
  <c r="K906" i="37"/>
  <c r="J906" i="37"/>
  <c r="I906" i="37"/>
  <c r="H906" i="37"/>
  <c r="G906" i="37"/>
  <c r="F906" i="37"/>
  <c r="E906" i="37"/>
  <c r="D906" i="37"/>
  <c r="C906" i="37"/>
  <c r="P905" i="37"/>
  <c r="J905" i="37"/>
  <c r="M905" i="37" s="1"/>
  <c r="M904" i="37"/>
  <c r="J904" i="37"/>
  <c r="U903" i="37"/>
  <c r="S903" i="37"/>
  <c r="R903" i="37"/>
  <c r="Q903" i="37"/>
  <c r="O903" i="37"/>
  <c r="N903" i="37"/>
  <c r="L903" i="37"/>
  <c r="K903" i="37"/>
  <c r="J903" i="37"/>
  <c r="I903" i="37"/>
  <c r="H903" i="37"/>
  <c r="G903" i="37"/>
  <c r="F903" i="37"/>
  <c r="E903" i="37"/>
  <c r="D903" i="37"/>
  <c r="C903" i="37"/>
  <c r="P902" i="37"/>
  <c r="J902" i="37"/>
  <c r="M902" i="37" s="1"/>
  <c r="M901" i="37"/>
  <c r="J901" i="37"/>
  <c r="U900" i="37"/>
  <c r="S900" i="37"/>
  <c r="R900" i="37"/>
  <c r="R886" i="37" s="1"/>
  <c r="Q900" i="37"/>
  <c r="O900" i="37"/>
  <c r="N900" i="37"/>
  <c r="N886" i="37" s="1"/>
  <c r="L900" i="37"/>
  <c r="K900" i="37"/>
  <c r="J900" i="37"/>
  <c r="I900" i="37"/>
  <c r="H900" i="37"/>
  <c r="G900" i="37"/>
  <c r="F900" i="37"/>
  <c r="F886" i="37" s="1"/>
  <c r="E900" i="37"/>
  <c r="D900" i="37"/>
  <c r="C900" i="37"/>
  <c r="P899" i="37"/>
  <c r="J899" i="37"/>
  <c r="M899" i="37" s="1"/>
  <c r="M898" i="37"/>
  <c r="P898" i="37" s="1"/>
  <c r="J898" i="37"/>
  <c r="J897" i="37"/>
  <c r="U896" i="37"/>
  <c r="S896" i="37"/>
  <c r="R896" i="37"/>
  <c r="Q896" i="37"/>
  <c r="O896" i="37"/>
  <c r="N896" i="37"/>
  <c r="L896" i="37"/>
  <c r="K896" i="37"/>
  <c r="I896" i="37"/>
  <c r="H896" i="37"/>
  <c r="G896" i="37"/>
  <c r="F896" i="37"/>
  <c r="E896" i="37"/>
  <c r="D896" i="37"/>
  <c r="C896" i="37"/>
  <c r="M895" i="37"/>
  <c r="P895" i="37" s="1"/>
  <c r="J895" i="37"/>
  <c r="J894" i="37"/>
  <c r="U893" i="37"/>
  <c r="S893" i="37"/>
  <c r="R893" i="37"/>
  <c r="Q893" i="37"/>
  <c r="O893" i="37"/>
  <c r="N893" i="37"/>
  <c r="L893" i="37"/>
  <c r="K893" i="37"/>
  <c r="I893" i="37"/>
  <c r="H893" i="37"/>
  <c r="G893" i="37"/>
  <c r="F893" i="37"/>
  <c r="E893" i="37"/>
  <c r="D893" i="37"/>
  <c r="C893" i="37"/>
  <c r="M892" i="37"/>
  <c r="P892" i="37" s="1"/>
  <c r="J892" i="37"/>
  <c r="J891" i="37"/>
  <c r="U890" i="37"/>
  <c r="S890" i="37"/>
  <c r="R890" i="37"/>
  <c r="Q890" i="37"/>
  <c r="O890" i="37"/>
  <c r="N890" i="37"/>
  <c r="L890" i="37"/>
  <c r="K890" i="37"/>
  <c r="I890" i="37"/>
  <c r="H890" i="37"/>
  <c r="G890" i="37"/>
  <c r="F890" i="37"/>
  <c r="E890" i="37"/>
  <c r="D890" i="37"/>
  <c r="C890" i="37"/>
  <c r="M889" i="37"/>
  <c r="P889" i="37" s="1"/>
  <c r="J889" i="37"/>
  <c r="J888" i="37"/>
  <c r="U887" i="37"/>
  <c r="S887" i="37"/>
  <c r="R887" i="37"/>
  <c r="Q887" i="37"/>
  <c r="O887" i="37"/>
  <c r="N887" i="37"/>
  <c r="L887" i="37"/>
  <c r="K887" i="37"/>
  <c r="I887" i="37"/>
  <c r="H887" i="37"/>
  <c r="G887" i="37"/>
  <c r="F887" i="37"/>
  <c r="E887" i="37"/>
  <c r="D887" i="37"/>
  <c r="C887" i="37"/>
  <c r="S886" i="37"/>
  <c r="O886" i="37"/>
  <c r="K886" i="37"/>
  <c r="G886" i="37"/>
  <c r="C886" i="37"/>
  <c r="M885" i="37"/>
  <c r="P885" i="37" s="1"/>
  <c r="J885" i="37"/>
  <c r="J884" i="37"/>
  <c r="M884" i="37" s="1"/>
  <c r="P884" i="37" s="1"/>
  <c r="M883" i="37"/>
  <c r="P883" i="37" s="1"/>
  <c r="J883" i="37"/>
  <c r="J882" i="37"/>
  <c r="M882" i="37" s="1"/>
  <c r="P882" i="37" s="1"/>
  <c r="M881" i="37"/>
  <c r="P881" i="37" s="1"/>
  <c r="J881" i="37"/>
  <c r="P880" i="37"/>
  <c r="J880" i="37"/>
  <c r="M880" i="37" s="1"/>
  <c r="M879" i="37"/>
  <c r="P879" i="37" s="1"/>
  <c r="J879" i="37"/>
  <c r="J878" i="37"/>
  <c r="M878" i="37" s="1"/>
  <c r="P878" i="37" s="1"/>
  <c r="M877" i="37"/>
  <c r="P877" i="37" s="1"/>
  <c r="J877" i="37"/>
  <c r="J876" i="37"/>
  <c r="M876" i="37" s="1"/>
  <c r="P876" i="37" s="1"/>
  <c r="M875" i="37"/>
  <c r="P875" i="37" s="1"/>
  <c r="J875" i="37"/>
  <c r="J874" i="37"/>
  <c r="M874" i="37" s="1"/>
  <c r="P874" i="37" s="1"/>
  <c r="M873" i="37"/>
  <c r="P873" i="37" s="1"/>
  <c r="J873" i="37"/>
  <c r="P872" i="37"/>
  <c r="J872" i="37"/>
  <c r="M872" i="37" s="1"/>
  <c r="M871" i="37"/>
  <c r="P871" i="37" s="1"/>
  <c r="J871" i="37"/>
  <c r="J870" i="37"/>
  <c r="M870" i="37" s="1"/>
  <c r="P870" i="37" s="1"/>
  <c r="M869" i="37"/>
  <c r="P869" i="37" s="1"/>
  <c r="J869" i="37"/>
  <c r="J868" i="37"/>
  <c r="M868" i="37" s="1"/>
  <c r="P868" i="37" s="1"/>
  <c r="M867" i="37"/>
  <c r="J867" i="37"/>
  <c r="U866" i="37"/>
  <c r="S866" i="37"/>
  <c r="R866" i="37"/>
  <c r="R865" i="37" s="1"/>
  <c r="Q866" i="37"/>
  <c r="O866" i="37"/>
  <c r="N866" i="37"/>
  <c r="N865" i="37" s="1"/>
  <c r="N855" i="37" s="1"/>
  <c r="N853" i="37" s="1"/>
  <c r="L866" i="37"/>
  <c r="K866" i="37"/>
  <c r="I866" i="37"/>
  <c r="H866" i="37"/>
  <c r="G866" i="37"/>
  <c r="F866" i="37"/>
  <c r="F865" i="37" s="1"/>
  <c r="E866" i="37"/>
  <c r="D866" i="37"/>
  <c r="C866" i="37"/>
  <c r="U865" i="37"/>
  <c r="S865" i="37"/>
  <c r="Q865" i="37"/>
  <c r="O865" i="37"/>
  <c r="L865" i="37"/>
  <c r="L855" i="37" s="1"/>
  <c r="L853" i="37" s="1"/>
  <c r="K865" i="37"/>
  <c r="I865" i="37"/>
  <c r="H865" i="37"/>
  <c r="H855" i="37" s="1"/>
  <c r="H853" i="37" s="1"/>
  <c r="G865" i="37"/>
  <c r="E865" i="37"/>
  <c r="D865" i="37"/>
  <c r="D855" i="37" s="1"/>
  <c r="D853" i="37" s="1"/>
  <c r="C865" i="37"/>
  <c r="U862" i="37"/>
  <c r="S862" i="37"/>
  <c r="R862" i="37"/>
  <c r="Q862" i="37"/>
  <c r="U860" i="37"/>
  <c r="S860" i="37"/>
  <c r="R860" i="37"/>
  <c r="Q860" i="37"/>
  <c r="U858" i="37"/>
  <c r="S858" i="37"/>
  <c r="R858" i="37"/>
  <c r="Q858" i="37"/>
  <c r="U855" i="37"/>
  <c r="S855" i="37"/>
  <c r="R855" i="37"/>
  <c r="Q855" i="37"/>
  <c r="O855" i="37"/>
  <c r="K855" i="37"/>
  <c r="I855" i="37"/>
  <c r="G855" i="37"/>
  <c r="F855" i="37"/>
  <c r="F853" i="37" s="1"/>
  <c r="E855" i="37"/>
  <c r="C855" i="37"/>
  <c r="U853" i="37"/>
  <c r="S853" i="37"/>
  <c r="R853" i="37"/>
  <c r="Q853" i="37"/>
  <c r="O853" i="37"/>
  <c r="K853" i="37"/>
  <c r="I853" i="37"/>
  <c r="G853" i="37"/>
  <c r="E853" i="37"/>
  <c r="C853" i="37"/>
  <c r="J851" i="37"/>
  <c r="M851" i="37" s="1"/>
  <c r="P851" i="37" s="1"/>
  <c r="J839" i="37"/>
  <c r="M839" i="37" s="1"/>
  <c r="M838" i="37" s="1"/>
  <c r="U838" i="37"/>
  <c r="S838" i="37"/>
  <c r="R838" i="37"/>
  <c r="Q838" i="37"/>
  <c r="O838" i="37"/>
  <c r="N838" i="37"/>
  <c r="L838" i="37"/>
  <c r="K838" i="37"/>
  <c r="J838" i="37"/>
  <c r="I838" i="37"/>
  <c r="H838" i="37"/>
  <c r="G838" i="37"/>
  <c r="F838" i="37"/>
  <c r="E838" i="37"/>
  <c r="D838" i="37"/>
  <c r="C838" i="37"/>
  <c r="J836" i="37"/>
  <c r="M836" i="37" s="1"/>
  <c r="P836" i="37" s="1"/>
  <c r="P835" i="37"/>
  <c r="P834" i="37" s="1"/>
  <c r="J835" i="37"/>
  <c r="M835" i="37" s="1"/>
  <c r="M834" i="37" s="1"/>
  <c r="U834" i="37"/>
  <c r="S834" i="37"/>
  <c r="R834" i="37"/>
  <c r="Q834" i="37"/>
  <c r="O834" i="37"/>
  <c r="N834" i="37"/>
  <c r="L834" i="37"/>
  <c r="K834" i="37"/>
  <c r="J834" i="37"/>
  <c r="I834" i="37"/>
  <c r="H834" i="37"/>
  <c r="G834" i="37"/>
  <c r="F834" i="37"/>
  <c r="E834" i="37"/>
  <c r="D834" i="37"/>
  <c r="C834" i="37"/>
  <c r="J833" i="37"/>
  <c r="M833" i="37" s="1"/>
  <c r="P833" i="37" s="1"/>
  <c r="J831" i="37"/>
  <c r="M831" i="37" s="1"/>
  <c r="P831" i="37" s="1"/>
  <c r="P830" i="37" s="1"/>
  <c r="U830" i="37"/>
  <c r="S830" i="37"/>
  <c r="S781" i="37" s="1"/>
  <c r="R830" i="37"/>
  <c r="Q830" i="37"/>
  <c r="O830" i="37"/>
  <c r="N830" i="37"/>
  <c r="L830" i="37"/>
  <c r="K830" i="37"/>
  <c r="K781" i="37" s="1"/>
  <c r="J830" i="37"/>
  <c r="I830" i="37"/>
  <c r="H830" i="37"/>
  <c r="G830" i="37"/>
  <c r="F830" i="37"/>
  <c r="E830" i="37"/>
  <c r="D830" i="37"/>
  <c r="C830" i="37"/>
  <c r="J829" i="37"/>
  <c r="M829" i="37" s="1"/>
  <c r="U828" i="37"/>
  <c r="S828" i="37"/>
  <c r="R828" i="37"/>
  <c r="Q828" i="37"/>
  <c r="O828" i="37"/>
  <c r="N828" i="37"/>
  <c r="L828" i="37"/>
  <c r="K828" i="37"/>
  <c r="J828" i="37"/>
  <c r="I828" i="37"/>
  <c r="H828" i="37"/>
  <c r="G828" i="37"/>
  <c r="F828" i="37"/>
  <c r="E828" i="37"/>
  <c r="D828" i="37"/>
  <c r="C828" i="37"/>
  <c r="J827" i="37"/>
  <c r="J825" i="37"/>
  <c r="M825" i="37" s="1"/>
  <c r="U824" i="37"/>
  <c r="S824" i="37"/>
  <c r="R824" i="37"/>
  <c r="Q824" i="37"/>
  <c r="O824" i="37"/>
  <c r="N824" i="37"/>
  <c r="L824" i="37"/>
  <c r="K824" i="37"/>
  <c r="I824" i="37"/>
  <c r="H824" i="37"/>
  <c r="G824" i="37"/>
  <c r="F824" i="37"/>
  <c r="E824" i="37"/>
  <c r="D824" i="37"/>
  <c r="C824" i="37"/>
  <c r="J817" i="37"/>
  <c r="M816" i="37"/>
  <c r="J816" i="37"/>
  <c r="U815" i="37"/>
  <c r="S815" i="37"/>
  <c r="R815" i="37"/>
  <c r="Q815" i="37"/>
  <c r="O815" i="37"/>
  <c r="N815" i="37"/>
  <c r="L815" i="37"/>
  <c r="K815" i="37"/>
  <c r="J815" i="37"/>
  <c r="I815" i="37"/>
  <c r="H815" i="37"/>
  <c r="G815" i="37"/>
  <c r="F815" i="37"/>
  <c r="E815" i="37"/>
  <c r="D815" i="37"/>
  <c r="C815" i="37"/>
  <c r="P814" i="37"/>
  <c r="M814" i="37"/>
  <c r="J814" i="37"/>
  <c r="M813" i="37"/>
  <c r="J813" i="37"/>
  <c r="U812" i="37"/>
  <c r="S812" i="37"/>
  <c r="R812" i="37"/>
  <c r="Q812" i="37"/>
  <c r="O812" i="37"/>
  <c r="N812" i="37"/>
  <c r="L812" i="37"/>
  <c r="K812" i="37"/>
  <c r="J812" i="37"/>
  <c r="I812" i="37"/>
  <c r="H812" i="37"/>
  <c r="G812" i="37"/>
  <c r="F812" i="37"/>
  <c r="E812" i="37"/>
  <c r="D812" i="37"/>
  <c r="C812" i="37"/>
  <c r="P811" i="37"/>
  <c r="M811" i="37"/>
  <c r="J811" i="37"/>
  <c r="M810" i="37"/>
  <c r="J810" i="37"/>
  <c r="U809" i="37"/>
  <c r="S809" i="37"/>
  <c r="R809" i="37"/>
  <c r="Q809" i="37"/>
  <c r="O809" i="37"/>
  <c r="N809" i="37"/>
  <c r="L809" i="37"/>
  <c r="K809" i="37"/>
  <c r="J809" i="37"/>
  <c r="I809" i="37"/>
  <c r="H809" i="37"/>
  <c r="G809" i="37"/>
  <c r="F809" i="37"/>
  <c r="E809" i="37"/>
  <c r="D809" i="37"/>
  <c r="C809" i="37"/>
  <c r="P808" i="37"/>
  <c r="M808" i="37"/>
  <c r="J808" i="37"/>
  <c r="U807" i="37"/>
  <c r="S807" i="37"/>
  <c r="R807" i="37"/>
  <c r="J806" i="37"/>
  <c r="M806" i="37" s="1"/>
  <c r="P806" i="37" s="1"/>
  <c r="J805" i="37"/>
  <c r="J803" i="37"/>
  <c r="M803" i="37" s="1"/>
  <c r="P803" i="37" s="1"/>
  <c r="J802" i="37"/>
  <c r="M802" i="37" s="1"/>
  <c r="P802" i="37" s="1"/>
  <c r="P801" i="37"/>
  <c r="M801" i="37"/>
  <c r="J801" i="37"/>
  <c r="M800" i="37"/>
  <c r="P800" i="37" s="1"/>
  <c r="J800" i="37"/>
  <c r="J799" i="37"/>
  <c r="M799" i="37" s="1"/>
  <c r="P799" i="37" s="1"/>
  <c r="J798" i="37"/>
  <c r="M798" i="37" s="1"/>
  <c r="P798" i="37" s="1"/>
  <c r="P797" i="37"/>
  <c r="M797" i="37"/>
  <c r="J797" i="37"/>
  <c r="M795" i="37"/>
  <c r="P795" i="37" s="1"/>
  <c r="J795" i="37"/>
  <c r="J794" i="37"/>
  <c r="M794" i="37" s="1"/>
  <c r="P794" i="37" s="1"/>
  <c r="J793" i="37"/>
  <c r="M793" i="37" s="1"/>
  <c r="P793" i="37" s="1"/>
  <c r="P792" i="37"/>
  <c r="M792" i="37"/>
  <c r="J792" i="37"/>
  <c r="M791" i="37"/>
  <c r="P791" i="37" s="1"/>
  <c r="J791" i="37"/>
  <c r="J790" i="37"/>
  <c r="M790" i="37" s="1"/>
  <c r="P790" i="37" s="1"/>
  <c r="J789" i="37"/>
  <c r="M789" i="37" s="1"/>
  <c r="P789" i="37" s="1"/>
  <c r="P788" i="37"/>
  <c r="M788" i="37"/>
  <c r="J788" i="37"/>
  <c r="M787" i="37"/>
  <c r="P787" i="37" s="1"/>
  <c r="J787" i="37"/>
  <c r="J786" i="37"/>
  <c r="J785" i="37"/>
  <c r="M785" i="37" s="1"/>
  <c r="U784" i="37"/>
  <c r="S784" i="37"/>
  <c r="R784" i="37"/>
  <c r="Q784" i="37"/>
  <c r="O784" i="37"/>
  <c r="N784" i="37"/>
  <c r="L784" i="37"/>
  <c r="K784" i="37"/>
  <c r="I784" i="37"/>
  <c r="H784" i="37"/>
  <c r="G784" i="37"/>
  <c r="F784" i="37"/>
  <c r="E784" i="37"/>
  <c r="D784" i="37"/>
  <c r="C784" i="37"/>
  <c r="J783" i="37"/>
  <c r="U782" i="37"/>
  <c r="S782" i="37"/>
  <c r="R782" i="37"/>
  <c r="Q782" i="37"/>
  <c r="Q781" i="37" s="1"/>
  <c r="O782" i="37"/>
  <c r="N782" i="37"/>
  <c r="L782" i="37"/>
  <c r="L781" i="37" s="1"/>
  <c r="K782" i="37"/>
  <c r="I782" i="37"/>
  <c r="I781" i="37" s="1"/>
  <c r="H782" i="37"/>
  <c r="G782" i="37"/>
  <c r="F782" i="37"/>
  <c r="E782" i="37"/>
  <c r="E781" i="37" s="1"/>
  <c r="D782" i="37"/>
  <c r="C782" i="37"/>
  <c r="O781" i="37"/>
  <c r="G781" i="37"/>
  <c r="F781" i="37"/>
  <c r="C781" i="37"/>
  <c r="J780" i="37"/>
  <c r="M780" i="37" s="1"/>
  <c r="U779" i="37"/>
  <c r="S779" i="37"/>
  <c r="R779" i="37"/>
  <c r="Q779" i="37"/>
  <c r="O779" i="37"/>
  <c r="N779" i="37"/>
  <c r="L779" i="37"/>
  <c r="K779" i="37"/>
  <c r="J779" i="37"/>
  <c r="I779" i="37"/>
  <c r="H779" i="37"/>
  <c r="G779" i="37"/>
  <c r="F779" i="37"/>
  <c r="E779" i="37"/>
  <c r="D779" i="37"/>
  <c r="C779" i="37"/>
  <c r="J778" i="37"/>
  <c r="M778" i="37" s="1"/>
  <c r="P778" i="37" s="1"/>
  <c r="J777" i="37"/>
  <c r="M777" i="37" s="1"/>
  <c r="P777" i="37" s="1"/>
  <c r="P776" i="37"/>
  <c r="M776" i="37"/>
  <c r="J776" i="37"/>
  <c r="M775" i="37"/>
  <c r="P775" i="37" s="1"/>
  <c r="J775" i="37"/>
  <c r="J774" i="37"/>
  <c r="M774" i="37" s="1"/>
  <c r="P774" i="37" s="1"/>
  <c r="J773" i="37"/>
  <c r="M773" i="37" s="1"/>
  <c r="P773" i="37" s="1"/>
  <c r="P772" i="37"/>
  <c r="M772" i="37"/>
  <c r="J772" i="37"/>
  <c r="M771" i="37"/>
  <c r="P771" i="37" s="1"/>
  <c r="J771" i="37"/>
  <c r="J770" i="37"/>
  <c r="M770" i="37" s="1"/>
  <c r="P770" i="37" s="1"/>
  <c r="J769" i="37"/>
  <c r="M769" i="37" s="1"/>
  <c r="P769" i="37" s="1"/>
  <c r="P768" i="37"/>
  <c r="M768" i="37"/>
  <c r="J768" i="37"/>
  <c r="M767" i="37"/>
  <c r="P767" i="37" s="1"/>
  <c r="J767" i="37"/>
  <c r="J766" i="37"/>
  <c r="M766" i="37" s="1"/>
  <c r="P766" i="37" s="1"/>
  <c r="J765" i="37"/>
  <c r="M765" i="37" s="1"/>
  <c r="P765" i="37" s="1"/>
  <c r="P764" i="37"/>
  <c r="M764" i="37"/>
  <c r="J764" i="37"/>
  <c r="M763" i="37"/>
  <c r="P763" i="37" s="1"/>
  <c r="J763" i="37"/>
  <c r="J762" i="37"/>
  <c r="M762" i="37" s="1"/>
  <c r="P762" i="37" s="1"/>
  <c r="J761" i="37"/>
  <c r="M761" i="37" s="1"/>
  <c r="P761" i="37" s="1"/>
  <c r="P760" i="37"/>
  <c r="M760" i="37"/>
  <c r="J760" i="37"/>
  <c r="M759" i="37"/>
  <c r="P759" i="37" s="1"/>
  <c r="J759" i="37"/>
  <c r="J758" i="37"/>
  <c r="M758" i="37" s="1"/>
  <c r="P758" i="37" s="1"/>
  <c r="J757" i="37"/>
  <c r="M757" i="37" s="1"/>
  <c r="P757" i="37" s="1"/>
  <c r="P756" i="37"/>
  <c r="M756" i="37"/>
  <c r="J756" i="37"/>
  <c r="M755" i="37"/>
  <c r="P755" i="37" s="1"/>
  <c r="J755" i="37"/>
  <c r="J754" i="37"/>
  <c r="M754" i="37" s="1"/>
  <c r="P754" i="37" s="1"/>
  <c r="J753" i="37"/>
  <c r="M753" i="37" s="1"/>
  <c r="P753" i="37" s="1"/>
  <c r="P752" i="37"/>
  <c r="M752" i="37"/>
  <c r="J752" i="37"/>
  <c r="M751" i="37"/>
  <c r="P751" i="37" s="1"/>
  <c r="J751" i="37"/>
  <c r="J750" i="37"/>
  <c r="J749" i="37"/>
  <c r="M749" i="37" s="1"/>
  <c r="U748" i="37"/>
  <c r="S748" i="37"/>
  <c r="R748" i="37"/>
  <c r="Q748" i="37"/>
  <c r="O748" i="37"/>
  <c r="N748" i="37"/>
  <c r="L748" i="37"/>
  <c r="L677" i="37" s="1"/>
  <c r="K748" i="37"/>
  <c r="I748" i="37"/>
  <c r="H748" i="37"/>
  <c r="H677" i="37" s="1"/>
  <c r="G748" i="37"/>
  <c r="F748" i="37"/>
  <c r="E748" i="37"/>
  <c r="D748" i="37"/>
  <c r="D677" i="37" s="1"/>
  <c r="C748" i="37"/>
  <c r="J747" i="37"/>
  <c r="M747" i="37" s="1"/>
  <c r="P747" i="37" s="1"/>
  <c r="J746" i="37"/>
  <c r="M746" i="37" s="1"/>
  <c r="P746" i="37" s="1"/>
  <c r="P744" i="37"/>
  <c r="M744" i="37"/>
  <c r="J744" i="37"/>
  <c r="M743" i="37"/>
  <c r="P743" i="37" s="1"/>
  <c r="J743" i="37"/>
  <c r="J742" i="37"/>
  <c r="M742" i="37" s="1"/>
  <c r="P742" i="37" s="1"/>
  <c r="J741" i="37"/>
  <c r="M741" i="37" s="1"/>
  <c r="P741" i="37" s="1"/>
  <c r="U733" i="37"/>
  <c r="S733" i="37"/>
  <c r="R733" i="37"/>
  <c r="U730" i="37"/>
  <c r="S730" i="37"/>
  <c r="R730" i="37"/>
  <c r="Q730" i="37"/>
  <c r="M722" i="37"/>
  <c r="P722" i="37" s="1"/>
  <c r="J722" i="37"/>
  <c r="U721" i="37"/>
  <c r="S721" i="37"/>
  <c r="R721" i="37"/>
  <c r="J720" i="37"/>
  <c r="M720" i="37" s="1"/>
  <c r="P720" i="37" s="1"/>
  <c r="P719" i="37"/>
  <c r="M719" i="37"/>
  <c r="J719" i="37"/>
  <c r="M718" i="37"/>
  <c r="P718" i="37" s="1"/>
  <c r="J718" i="37"/>
  <c r="J717" i="37"/>
  <c r="M717" i="37" s="1"/>
  <c r="P717" i="37" s="1"/>
  <c r="J716" i="37"/>
  <c r="M716" i="37" s="1"/>
  <c r="P716" i="37" s="1"/>
  <c r="P715" i="37"/>
  <c r="M715" i="37"/>
  <c r="J715" i="37"/>
  <c r="M714" i="37"/>
  <c r="P714" i="37" s="1"/>
  <c r="J714" i="37"/>
  <c r="S713" i="37"/>
  <c r="M713" i="37"/>
  <c r="P713" i="37" s="1"/>
  <c r="J713" i="37"/>
  <c r="J712" i="37"/>
  <c r="M712" i="37" s="1"/>
  <c r="P712" i="37" s="1"/>
  <c r="J711" i="37"/>
  <c r="M711" i="37" s="1"/>
  <c r="P711" i="37" s="1"/>
  <c r="P710" i="37"/>
  <c r="M710" i="37"/>
  <c r="J710" i="37"/>
  <c r="M709" i="37"/>
  <c r="P709" i="37" s="1"/>
  <c r="J709" i="37"/>
  <c r="J708" i="37"/>
  <c r="M708" i="37" s="1"/>
  <c r="P708" i="37" s="1"/>
  <c r="H708" i="37"/>
  <c r="J707" i="37"/>
  <c r="M707" i="37" s="1"/>
  <c r="P707" i="37" s="1"/>
  <c r="J706" i="37"/>
  <c r="M706" i="37" s="1"/>
  <c r="P706" i="37" s="1"/>
  <c r="P705" i="37"/>
  <c r="M705" i="37"/>
  <c r="J705" i="37"/>
  <c r="M703" i="37"/>
  <c r="P703" i="37" s="1"/>
  <c r="J703" i="37"/>
  <c r="U702" i="37"/>
  <c r="S702" i="37"/>
  <c r="R702" i="37"/>
  <c r="J701" i="37"/>
  <c r="M701" i="37" s="1"/>
  <c r="P701" i="37" s="1"/>
  <c r="P700" i="37"/>
  <c r="M700" i="37"/>
  <c r="J700" i="37"/>
  <c r="M699" i="37"/>
  <c r="P699" i="37" s="1"/>
  <c r="J699" i="37"/>
  <c r="U698" i="37"/>
  <c r="S698" i="37"/>
  <c r="R698" i="37"/>
  <c r="R678" i="37" s="1"/>
  <c r="R677" i="37" s="1"/>
  <c r="J688" i="37"/>
  <c r="M688" i="37" s="1"/>
  <c r="P688" i="37" s="1"/>
  <c r="P687" i="37"/>
  <c r="M687" i="37"/>
  <c r="J687" i="37"/>
  <c r="M686" i="37"/>
  <c r="P686" i="37" s="1"/>
  <c r="J686" i="37"/>
  <c r="J685" i="37"/>
  <c r="M685" i="37" s="1"/>
  <c r="P685" i="37" s="1"/>
  <c r="J684" i="37"/>
  <c r="M684" i="37" s="1"/>
  <c r="P684" i="37" s="1"/>
  <c r="P683" i="37"/>
  <c r="M683" i="37"/>
  <c r="J683" i="37"/>
  <c r="M682" i="37"/>
  <c r="P682" i="37" s="1"/>
  <c r="J682" i="37"/>
  <c r="J681" i="37"/>
  <c r="J680" i="37"/>
  <c r="M680" i="37" s="1"/>
  <c r="P680" i="37" s="1"/>
  <c r="P679" i="37"/>
  <c r="M679" i="37"/>
  <c r="J679" i="37"/>
  <c r="U678" i="37"/>
  <c r="S678" i="37"/>
  <c r="S677" i="37" s="1"/>
  <c r="Q678" i="37"/>
  <c r="O678" i="37"/>
  <c r="O677" i="37" s="1"/>
  <c r="N678" i="37"/>
  <c r="N677" i="37" s="1"/>
  <c r="L678" i="37"/>
  <c r="K678" i="37"/>
  <c r="K677" i="37" s="1"/>
  <c r="I678" i="37"/>
  <c r="H678" i="37"/>
  <c r="G678" i="37"/>
  <c r="G677" i="37" s="1"/>
  <c r="F678" i="37"/>
  <c r="F677" i="37" s="1"/>
  <c r="E678" i="37"/>
  <c r="D678" i="37"/>
  <c r="C678" i="37"/>
  <c r="C677" i="37" s="1"/>
  <c r="Q677" i="37"/>
  <c r="I677" i="37"/>
  <c r="E677" i="37"/>
  <c r="M676" i="37"/>
  <c r="P676" i="37" s="1"/>
  <c r="J676" i="37"/>
  <c r="J675" i="37"/>
  <c r="M675" i="37" s="1"/>
  <c r="P675" i="37" s="1"/>
  <c r="J674" i="37"/>
  <c r="M674" i="37" s="1"/>
  <c r="P674" i="37" s="1"/>
  <c r="P673" i="37"/>
  <c r="M673" i="37"/>
  <c r="J673" i="37"/>
  <c r="M672" i="37"/>
  <c r="P672" i="37" s="1"/>
  <c r="J672" i="37"/>
  <c r="J670" i="37"/>
  <c r="M670" i="37" s="1"/>
  <c r="P670" i="37" s="1"/>
  <c r="J669" i="37"/>
  <c r="M669" i="37" s="1"/>
  <c r="P669" i="37" s="1"/>
  <c r="P668" i="37"/>
  <c r="M668" i="37"/>
  <c r="J668" i="37"/>
  <c r="M667" i="37"/>
  <c r="P667" i="37" s="1"/>
  <c r="J667" i="37"/>
  <c r="J666" i="37"/>
  <c r="M666" i="37" s="1"/>
  <c r="P666" i="37" s="1"/>
  <c r="J665" i="37"/>
  <c r="M665" i="37" s="1"/>
  <c r="P665" i="37" s="1"/>
  <c r="P664" i="37"/>
  <c r="M664" i="37"/>
  <c r="J664" i="37"/>
  <c r="M663" i="37"/>
  <c r="P663" i="37" s="1"/>
  <c r="J663" i="37"/>
  <c r="J662" i="37"/>
  <c r="M662" i="37" s="1"/>
  <c r="P662" i="37" s="1"/>
  <c r="J661" i="37"/>
  <c r="M661" i="37" s="1"/>
  <c r="P661" i="37" s="1"/>
  <c r="P660" i="37"/>
  <c r="M660" i="37"/>
  <c r="J660" i="37"/>
  <c r="M659" i="37"/>
  <c r="P659" i="37" s="1"/>
  <c r="J659" i="37"/>
  <c r="J658" i="37"/>
  <c r="J657" i="37"/>
  <c r="M657" i="37" s="1"/>
  <c r="U656" i="37"/>
  <c r="S656" i="37"/>
  <c r="R656" i="37"/>
  <c r="Q656" i="37"/>
  <c r="O656" i="37"/>
  <c r="N656" i="37"/>
  <c r="L656" i="37"/>
  <c r="K656" i="37"/>
  <c r="I656" i="37"/>
  <c r="H656" i="37"/>
  <c r="G656" i="37"/>
  <c r="F656" i="37"/>
  <c r="E656" i="37"/>
  <c r="D656" i="37"/>
  <c r="C656" i="37"/>
  <c r="J655" i="37"/>
  <c r="M655" i="37" s="1"/>
  <c r="P655" i="37" s="1"/>
  <c r="J654" i="37"/>
  <c r="M654" i="37" s="1"/>
  <c r="P654" i="37" s="1"/>
  <c r="P653" i="37"/>
  <c r="M653" i="37"/>
  <c r="J653" i="37"/>
  <c r="M652" i="37"/>
  <c r="P652" i="37" s="1"/>
  <c r="J652" i="37"/>
  <c r="J651" i="37"/>
  <c r="M651" i="37" s="1"/>
  <c r="P651" i="37" s="1"/>
  <c r="J650" i="37"/>
  <c r="M650" i="37" s="1"/>
  <c r="P650" i="37" s="1"/>
  <c r="P649" i="37"/>
  <c r="M649" i="37"/>
  <c r="J649" i="37"/>
  <c r="M648" i="37"/>
  <c r="P648" i="37" s="1"/>
  <c r="J648" i="37"/>
  <c r="J647" i="37"/>
  <c r="M647" i="37" s="1"/>
  <c r="P647" i="37" s="1"/>
  <c r="J646" i="37"/>
  <c r="M646" i="37" s="1"/>
  <c r="P646" i="37" s="1"/>
  <c r="P645" i="37"/>
  <c r="M645" i="37"/>
  <c r="J645" i="37"/>
  <c r="M644" i="37"/>
  <c r="P644" i="37" s="1"/>
  <c r="J644" i="37"/>
  <c r="J643" i="37"/>
  <c r="M643" i="37" s="1"/>
  <c r="P643" i="37" s="1"/>
  <c r="J641" i="37"/>
  <c r="M641" i="37" s="1"/>
  <c r="P641" i="37" s="1"/>
  <c r="P640" i="37"/>
  <c r="M640" i="37"/>
  <c r="J640" i="37"/>
  <c r="M639" i="37"/>
  <c r="P639" i="37" s="1"/>
  <c r="J639" i="37"/>
  <c r="J638" i="37"/>
  <c r="M638" i="37" s="1"/>
  <c r="P638" i="37" s="1"/>
  <c r="J637" i="37"/>
  <c r="M637" i="37" s="1"/>
  <c r="P637" i="37" s="1"/>
  <c r="P636" i="37"/>
  <c r="M636" i="37"/>
  <c r="J636" i="37"/>
  <c r="M635" i="37"/>
  <c r="P635" i="37" s="1"/>
  <c r="J635" i="37"/>
  <c r="J634" i="37"/>
  <c r="M634" i="37" s="1"/>
  <c r="P634" i="37" s="1"/>
  <c r="J633" i="37"/>
  <c r="M633" i="37" s="1"/>
  <c r="P633" i="37" s="1"/>
  <c r="P632" i="37"/>
  <c r="M632" i="37"/>
  <c r="J632" i="37"/>
  <c r="M631" i="37"/>
  <c r="P631" i="37" s="1"/>
  <c r="J631" i="37"/>
  <c r="J630" i="37"/>
  <c r="J629" i="37"/>
  <c r="M629" i="37" s="1"/>
  <c r="P629" i="37" s="1"/>
  <c r="P628" i="37"/>
  <c r="M628" i="37"/>
  <c r="J628" i="37"/>
  <c r="U627" i="37"/>
  <c r="S627" i="37"/>
  <c r="R627" i="37"/>
  <c r="Q627" i="37"/>
  <c r="O627" i="37"/>
  <c r="O616" i="37" s="1"/>
  <c r="O611" i="37" s="1"/>
  <c r="O609" i="37" s="1"/>
  <c r="N627" i="37"/>
  <c r="L627" i="37"/>
  <c r="K627" i="37"/>
  <c r="I627" i="37"/>
  <c r="H627" i="37"/>
  <c r="G627" i="37"/>
  <c r="F627" i="37"/>
  <c r="E627" i="37"/>
  <c r="D627" i="37"/>
  <c r="C627" i="37"/>
  <c r="J626" i="37"/>
  <c r="M626" i="37" s="1"/>
  <c r="P626" i="37" s="1"/>
  <c r="P625" i="37"/>
  <c r="P624" i="37" s="1"/>
  <c r="M625" i="37"/>
  <c r="M624" i="37" s="1"/>
  <c r="J625" i="37"/>
  <c r="U624" i="37"/>
  <c r="S624" i="37"/>
  <c r="S616" i="37" s="1"/>
  <c r="R624" i="37"/>
  <c r="Q624" i="37"/>
  <c r="O624" i="37"/>
  <c r="N624" i="37"/>
  <c r="L624" i="37"/>
  <c r="K624" i="37"/>
  <c r="K616" i="37" s="1"/>
  <c r="K611" i="37" s="1"/>
  <c r="K609" i="37" s="1"/>
  <c r="J624" i="37"/>
  <c r="I624" i="37"/>
  <c r="H624" i="37"/>
  <c r="G624" i="37"/>
  <c r="F624" i="37"/>
  <c r="E624" i="37"/>
  <c r="D624" i="37"/>
  <c r="C624" i="37"/>
  <c r="J623" i="37"/>
  <c r="M623" i="37" s="1"/>
  <c r="U622" i="37"/>
  <c r="S622" i="37"/>
  <c r="R622" i="37"/>
  <c r="Q622" i="37"/>
  <c r="O622" i="37"/>
  <c r="N622" i="37"/>
  <c r="L622" i="37"/>
  <c r="K622" i="37"/>
  <c r="J622" i="37"/>
  <c r="I622" i="37"/>
  <c r="H622" i="37"/>
  <c r="G622" i="37"/>
  <c r="F622" i="37"/>
  <c r="E622" i="37"/>
  <c r="D622" i="37"/>
  <c r="C622" i="37"/>
  <c r="J621" i="37"/>
  <c r="U620" i="37"/>
  <c r="S620" i="37"/>
  <c r="R620" i="37"/>
  <c r="Q620" i="37"/>
  <c r="O620" i="37"/>
  <c r="N620" i="37"/>
  <c r="L620" i="37"/>
  <c r="K620" i="37"/>
  <c r="I620" i="37"/>
  <c r="H620" i="37"/>
  <c r="G620" i="37"/>
  <c r="F620" i="37"/>
  <c r="E620" i="37"/>
  <c r="D620" i="37"/>
  <c r="C620" i="37"/>
  <c r="M619" i="37"/>
  <c r="P619" i="37" s="1"/>
  <c r="J619" i="37"/>
  <c r="J618" i="37"/>
  <c r="U617" i="37"/>
  <c r="S617" i="37"/>
  <c r="R617" i="37"/>
  <c r="Q617" i="37"/>
  <c r="Q616" i="37" s="1"/>
  <c r="O617" i="37"/>
  <c r="N617" i="37"/>
  <c r="L617" i="37"/>
  <c r="L616" i="37" s="1"/>
  <c r="L611" i="37" s="1"/>
  <c r="L609" i="37" s="1"/>
  <c r="K617" i="37"/>
  <c r="I617" i="37"/>
  <c r="I616" i="37" s="1"/>
  <c r="I611" i="37" s="1"/>
  <c r="I609" i="37" s="1"/>
  <c r="H617" i="37"/>
  <c r="H616" i="37" s="1"/>
  <c r="G617" i="37"/>
  <c r="F617" i="37"/>
  <c r="E617" i="37"/>
  <c r="E616" i="37" s="1"/>
  <c r="E611" i="37" s="1"/>
  <c r="E609" i="37" s="1"/>
  <c r="D617" i="37"/>
  <c r="D616" i="37" s="1"/>
  <c r="C617" i="37"/>
  <c r="R616" i="37"/>
  <c r="N616" i="37"/>
  <c r="N611" i="37" s="1"/>
  <c r="G616" i="37"/>
  <c r="G611" i="37" s="1"/>
  <c r="G609" i="37" s="1"/>
  <c r="F616" i="37"/>
  <c r="F611" i="37" s="1"/>
  <c r="C616" i="37"/>
  <c r="C611" i="37" s="1"/>
  <c r="C609" i="37" s="1"/>
  <c r="U611" i="37"/>
  <c r="S611" i="37"/>
  <c r="R611" i="37"/>
  <c r="Q611" i="37"/>
  <c r="H611" i="37"/>
  <c r="H609" i="37" s="1"/>
  <c r="D611" i="37"/>
  <c r="D609" i="37" s="1"/>
  <c r="U609" i="37"/>
  <c r="S609" i="37"/>
  <c r="R609" i="37"/>
  <c r="Q609" i="37"/>
  <c r="N609" i="37"/>
  <c r="M609" i="37"/>
  <c r="F609" i="37"/>
  <c r="P607" i="37"/>
  <c r="M607" i="37"/>
  <c r="J607" i="37"/>
  <c r="J606" i="37"/>
  <c r="M606" i="37" s="1"/>
  <c r="P606" i="37" s="1"/>
  <c r="J605" i="37"/>
  <c r="M605" i="37" s="1"/>
  <c r="P605" i="37" s="1"/>
  <c r="P602" i="37"/>
  <c r="J602" i="37"/>
  <c r="M602" i="37" s="1"/>
  <c r="P601" i="37"/>
  <c r="M601" i="37"/>
  <c r="J601" i="37"/>
  <c r="J600" i="37"/>
  <c r="M600" i="37" s="1"/>
  <c r="P600" i="37" s="1"/>
  <c r="J599" i="37"/>
  <c r="M599" i="37" s="1"/>
  <c r="P599" i="37" s="1"/>
  <c r="P598" i="37"/>
  <c r="J598" i="37"/>
  <c r="M598" i="37" s="1"/>
  <c r="P597" i="37"/>
  <c r="M597" i="37"/>
  <c r="J597" i="37"/>
  <c r="J596" i="37"/>
  <c r="M596" i="37" s="1"/>
  <c r="P596" i="37" s="1"/>
  <c r="J595" i="37"/>
  <c r="M595" i="37" s="1"/>
  <c r="P595" i="37" s="1"/>
  <c r="P594" i="37"/>
  <c r="J594" i="37"/>
  <c r="M594" i="37" s="1"/>
  <c r="P593" i="37"/>
  <c r="M593" i="37"/>
  <c r="J593" i="37"/>
  <c r="J592" i="37"/>
  <c r="M592" i="37" s="1"/>
  <c r="P592" i="37" s="1"/>
  <c r="J591" i="37"/>
  <c r="M591" i="37" s="1"/>
  <c r="P591" i="37" s="1"/>
  <c r="P590" i="37"/>
  <c r="J590" i="37"/>
  <c r="M590" i="37" s="1"/>
  <c r="P589" i="37"/>
  <c r="M589" i="37"/>
  <c r="J589" i="37"/>
  <c r="J588" i="37"/>
  <c r="M588" i="37" s="1"/>
  <c r="P588" i="37" s="1"/>
  <c r="J587" i="37"/>
  <c r="M587" i="37" s="1"/>
  <c r="P587" i="37" s="1"/>
  <c r="P585" i="37"/>
  <c r="J585" i="37"/>
  <c r="M585" i="37" s="1"/>
  <c r="P584" i="37"/>
  <c r="M584" i="37"/>
  <c r="J584" i="37"/>
  <c r="J583" i="37"/>
  <c r="M583" i="37" s="1"/>
  <c r="P583" i="37" s="1"/>
  <c r="J582" i="37"/>
  <c r="M582" i="37" s="1"/>
  <c r="P582" i="37" s="1"/>
  <c r="P581" i="37"/>
  <c r="J581" i="37"/>
  <c r="M581" i="37" s="1"/>
  <c r="P580" i="37"/>
  <c r="M580" i="37"/>
  <c r="J580" i="37"/>
  <c r="J579" i="37"/>
  <c r="M579" i="37" s="1"/>
  <c r="P579" i="37" s="1"/>
  <c r="J578" i="37"/>
  <c r="M578" i="37" s="1"/>
  <c r="P578" i="37" s="1"/>
  <c r="P577" i="37"/>
  <c r="J577" i="37"/>
  <c r="M577" i="37" s="1"/>
  <c r="P576" i="37"/>
  <c r="M576" i="37"/>
  <c r="J576" i="37"/>
  <c r="J575" i="37"/>
  <c r="M575" i="37" s="1"/>
  <c r="P575" i="37" s="1"/>
  <c r="J574" i="37"/>
  <c r="M574" i="37" s="1"/>
  <c r="P574" i="37" s="1"/>
  <c r="P573" i="37"/>
  <c r="J573" i="37"/>
  <c r="M573" i="37" s="1"/>
  <c r="P572" i="37"/>
  <c r="M572" i="37"/>
  <c r="J572" i="37"/>
  <c r="J571" i="37"/>
  <c r="M571" i="37" s="1"/>
  <c r="J570" i="37"/>
  <c r="M570" i="37" s="1"/>
  <c r="P570" i="37" s="1"/>
  <c r="U569" i="37"/>
  <c r="S569" i="37"/>
  <c r="R569" i="37"/>
  <c r="Q569" i="37"/>
  <c r="Q561" i="37" s="1"/>
  <c r="O569" i="37"/>
  <c r="N569" i="37"/>
  <c r="L569" i="37"/>
  <c r="K569" i="37"/>
  <c r="J569" i="37"/>
  <c r="I569" i="37"/>
  <c r="I561" i="37" s="1"/>
  <c r="I559" i="37" s="1"/>
  <c r="H569" i="37"/>
  <c r="H561" i="37" s="1"/>
  <c r="H559" i="37" s="1"/>
  <c r="G569" i="37"/>
  <c r="F569" i="37"/>
  <c r="F561" i="37" s="1"/>
  <c r="F559" i="37" s="1"/>
  <c r="E569" i="37"/>
  <c r="E561" i="37" s="1"/>
  <c r="E559" i="37" s="1"/>
  <c r="D569" i="37"/>
  <c r="C569" i="37"/>
  <c r="U562" i="37"/>
  <c r="S562" i="37"/>
  <c r="R562" i="37"/>
  <c r="Q562" i="37"/>
  <c r="U561" i="37"/>
  <c r="S561" i="37"/>
  <c r="R561" i="37"/>
  <c r="O561" i="37"/>
  <c r="N561" i="37"/>
  <c r="N559" i="37" s="1"/>
  <c r="L561" i="37"/>
  <c r="K561" i="37"/>
  <c r="K559" i="37" s="1"/>
  <c r="J561" i="37"/>
  <c r="J559" i="37" s="1"/>
  <c r="G561" i="37"/>
  <c r="G559" i="37" s="1"/>
  <c r="D561" i="37"/>
  <c r="C561" i="37"/>
  <c r="C559" i="37" s="1"/>
  <c r="U559" i="37"/>
  <c r="O559" i="37"/>
  <c r="L559" i="37"/>
  <c r="D559" i="37"/>
  <c r="J558" i="37"/>
  <c r="U557" i="37"/>
  <c r="S557" i="37"/>
  <c r="R557" i="37"/>
  <c r="Q557" i="37"/>
  <c r="O557" i="37"/>
  <c r="N557" i="37"/>
  <c r="L557" i="37"/>
  <c r="K557" i="37"/>
  <c r="I557" i="37"/>
  <c r="H557" i="37"/>
  <c r="G557" i="37"/>
  <c r="F557" i="37"/>
  <c r="J556" i="37"/>
  <c r="U555" i="37"/>
  <c r="S555" i="37"/>
  <c r="R555" i="37"/>
  <c r="Q555" i="37"/>
  <c r="O555" i="37"/>
  <c r="N555" i="37"/>
  <c r="L555" i="37"/>
  <c r="K555" i="37"/>
  <c r="I555" i="37"/>
  <c r="H555" i="37"/>
  <c r="G555" i="37"/>
  <c r="F555" i="37"/>
  <c r="E555" i="37"/>
  <c r="D555" i="37"/>
  <c r="C555" i="37"/>
  <c r="M554" i="37"/>
  <c r="P554" i="37" s="1"/>
  <c r="J554" i="37"/>
  <c r="P553" i="37"/>
  <c r="J553" i="37"/>
  <c r="M553" i="37" s="1"/>
  <c r="P550" i="37"/>
  <c r="M550" i="37"/>
  <c r="J550" i="37"/>
  <c r="M548" i="37"/>
  <c r="P548" i="37" s="1"/>
  <c r="J548" i="37"/>
  <c r="M547" i="37"/>
  <c r="P547" i="37" s="1"/>
  <c r="J547" i="37"/>
  <c r="P545" i="37"/>
  <c r="J545" i="37"/>
  <c r="M545" i="37" s="1"/>
  <c r="P543" i="37"/>
  <c r="M543" i="37"/>
  <c r="J543" i="37"/>
  <c r="M542" i="37"/>
  <c r="P542" i="37" s="1"/>
  <c r="J542" i="37"/>
  <c r="M541" i="37"/>
  <c r="P541" i="37" s="1"/>
  <c r="J541" i="37"/>
  <c r="P539" i="37"/>
  <c r="J539" i="37"/>
  <c r="M539" i="37" s="1"/>
  <c r="P537" i="37"/>
  <c r="M537" i="37"/>
  <c r="J537" i="37"/>
  <c r="M536" i="37"/>
  <c r="P536" i="37" s="1"/>
  <c r="J536" i="37"/>
  <c r="M535" i="37"/>
  <c r="P535" i="37" s="1"/>
  <c r="J535" i="37"/>
  <c r="P534" i="37"/>
  <c r="J534" i="37"/>
  <c r="M534" i="37" s="1"/>
  <c r="P533" i="37"/>
  <c r="M533" i="37"/>
  <c r="J533" i="37"/>
  <c r="M532" i="37"/>
  <c r="P532" i="37" s="1"/>
  <c r="J532" i="37"/>
  <c r="M531" i="37"/>
  <c r="P531" i="37" s="1"/>
  <c r="J531" i="37"/>
  <c r="P530" i="37"/>
  <c r="J530" i="37"/>
  <c r="M530" i="37" s="1"/>
  <c r="S529" i="37"/>
  <c r="J529" i="37"/>
  <c r="M529" i="37" s="1"/>
  <c r="P529" i="37" s="1"/>
  <c r="P528" i="37"/>
  <c r="S527" i="37"/>
  <c r="J527" i="37"/>
  <c r="M527" i="37" s="1"/>
  <c r="P527" i="37" s="1"/>
  <c r="J526" i="37"/>
  <c r="M526" i="37" s="1"/>
  <c r="P526" i="37" s="1"/>
  <c r="M525" i="37"/>
  <c r="P525" i="37" s="1"/>
  <c r="J525" i="37"/>
  <c r="J524" i="37"/>
  <c r="M524" i="37" s="1"/>
  <c r="P524" i="37" s="1"/>
  <c r="J523" i="37"/>
  <c r="M523" i="37" s="1"/>
  <c r="P523" i="37" s="1"/>
  <c r="J522" i="37"/>
  <c r="M522" i="37" s="1"/>
  <c r="P522" i="37" s="1"/>
  <c r="M521" i="37"/>
  <c r="P521" i="37" s="1"/>
  <c r="J521" i="37"/>
  <c r="J520" i="37"/>
  <c r="M520" i="37" s="1"/>
  <c r="P520" i="37" s="1"/>
  <c r="J519" i="37"/>
  <c r="M519" i="37" s="1"/>
  <c r="P519" i="37" s="1"/>
  <c r="J518" i="37"/>
  <c r="M518" i="37" s="1"/>
  <c r="P518" i="37" s="1"/>
  <c r="M517" i="37"/>
  <c r="P517" i="37" s="1"/>
  <c r="J517" i="37"/>
  <c r="J516" i="37"/>
  <c r="M516" i="37" s="1"/>
  <c r="P516" i="37" s="1"/>
  <c r="J515" i="37"/>
  <c r="M515" i="37" s="1"/>
  <c r="P515" i="37" s="1"/>
  <c r="M514" i="37"/>
  <c r="P514" i="37" s="1"/>
  <c r="J514" i="37"/>
  <c r="J513" i="37"/>
  <c r="M513" i="37" s="1"/>
  <c r="P513" i="37" s="1"/>
  <c r="S512" i="37"/>
  <c r="J512" i="37"/>
  <c r="M512" i="37" s="1"/>
  <c r="P512" i="37" s="1"/>
  <c r="S511" i="37"/>
  <c r="J511" i="37"/>
  <c r="M511" i="37" s="1"/>
  <c r="P511" i="37" s="1"/>
  <c r="M510" i="37"/>
  <c r="P510" i="37" s="1"/>
  <c r="J510" i="37"/>
  <c r="J506" i="37"/>
  <c r="M506" i="37" s="1"/>
  <c r="P506" i="37" s="1"/>
  <c r="M505" i="37"/>
  <c r="P505" i="37" s="1"/>
  <c r="J505" i="37"/>
  <c r="J504" i="37"/>
  <c r="M504" i="37" s="1"/>
  <c r="P504" i="37" s="1"/>
  <c r="M502" i="37"/>
  <c r="P502" i="37" s="1"/>
  <c r="J502" i="37"/>
  <c r="J501" i="37"/>
  <c r="M501" i="37" s="1"/>
  <c r="P501" i="37" s="1"/>
  <c r="U499" i="37"/>
  <c r="U488" i="37" s="1"/>
  <c r="J499" i="37"/>
  <c r="M499" i="37" s="1"/>
  <c r="P499" i="37" s="1"/>
  <c r="M498" i="37"/>
  <c r="P498" i="37" s="1"/>
  <c r="J498" i="37"/>
  <c r="J497" i="37"/>
  <c r="M497" i="37" s="1"/>
  <c r="P497" i="37" s="1"/>
  <c r="M496" i="37"/>
  <c r="P496" i="37" s="1"/>
  <c r="J496" i="37"/>
  <c r="J495" i="37"/>
  <c r="M495" i="37" s="1"/>
  <c r="P495" i="37" s="1"/>
  <c r="M494" i="37"/>
  <c r="P494" i="37" s="1"/>
  <c r="J494" i="37"/>
  <c r="J493" i="37"/>
  <c r="M493" i="37" s="1"/>
  <c r="P493" i="37" s="1"/>
  <c r="M492" i="37"/>
  <c r="P492" i="37" s="1"/>
  <c r="J492" i="37"/>
  <c r="J491" i="37"/>
  <c r="M491" i="37" s="1"/>
  <c r="P491" i="37" s="1"/>
  <c r="M490" i="37"/>
  <c r="P490" i="37" s="1"/>
  <c r="J490" i="37"/>
  <c r="J489" i="37"/>
  <c r="M489" i="37" s="1"/>
  <c r="S488" i="37"/>
  <c r="R488" i="37"/>
  <c r="Q488" i="37"/>
  <c r="O488" i="37"/>
  <c r="N488" i="37"/>
  <c r="L488" i="37"/>
  <c r="K488" i="37"/>
  <c r="I488" i="37"/>
  <c r="H488" i="37"/>
  <c r="G488" i="37"/>
  <c r="F488" i="37"/>
  <c r="E488" i="37"/>
  <c r="D488" i="37"/>
  <c r="C488" i="37"/>
  <c r="Q486" i="37"/>
  <c r="J485" i="37"/>
  <c r="M485" i="37" s="1"/>
  <c r="P485" i="37" s="1"/>
  <c r="M484" i="37"/>
  <c r="P484" i="37" s="1"/>
  <c r="J484" i="37"/>
  <c r="J483" i="37"/>
  <c r="M483" i="37" s="1"/>
  <c r="P483" i="37" s="1"/>
  <c r="M482" i="37"/>
  <c r="P482" i="37" s="1"/>
  <c r="J482" i="37"/>
  <c r="J481" i="37"/>
  <c r="M481" i="37" s="1"/>
  <c r="P481" i="37" s="1"/>
  <c r="M480" i="37"/>
  <c r="P480" i="37" s="1"/>
  <c r="J480" i="37"/>
  <c r="J479" i="37"/>
  <c r="M479" i="37" s="1"/>
  <c r="P479" i="37" s="1"/>
  <c r="M478" i="37"/>
  <c r="P478" i="37" s="1"/>
  <c r="J478" i="37"/>
  <c r="J477" i="37"/>
  <c r="M477" i="37" s="1"/>
  <c r="U476" i="37"/>
  <c r="S476" i="37"/>
  <c r="R476" i="37"/>
  <c r="Q476" i="37"/>
  <c r="O476" i="37"/>
  <c r="N476" i="37"/>
  <c r="L476" i="37"/>
  <c r="K476" i="37"/>
  <c r="I476" i="37"/>
  <c r="H476" i="37"/>
  <c r="G476" i="37"/>
  <c r="F476" i="37"/>
  <c r="E476" i="37"/>
  <c r="D476" i="37"/>
  <c r="C476" i="37"/>
  <c r="M475" i="37"/>
  <c r="M474" i="37" s="1"/>
  <c r="J475" i="37"/>
  <c r="U474" i="37"/>
  <c r="S474" i="37"/>
  <c r="R474" i="37"/>
  <c r="R469" i="37" s="1"/>
  <c r="Q474" i="37"/>
  <c r="O474" i="37"/>
  <c r="N474" i="37"/>
  <c r="N469" i="37" s="1"/>
  <c r="L474" i="37"/>
  <c r="K474" i="37"/>
  <c r="J474" i="37"/>
  <c r="I474" i="37"/>
  <c r="H474" i="37"/>
  <c r="G474" i="37"/>
  <c r="F474" i="37"/>
  <c r="F469" i="37" s="1"/>
  <c r="E474" i="37"/>
  <c r="D474" i="37"/>
  <c r="C474" i="37"/>
  <c r="J473" i="37"/>
  <c r="M473" i="37" s="1"/>
  <c r="P473" i="37" s="1"/>
  <c r="M472" i="37"/>
  <c r="P472" i="37" s="1"/>
  <c r="J472" i="37"/>
  <c r="J471" i="37"/>
  <c r="M471" i="37" s="1"/>
  <c r="U470" i="37"/>
  <c r="U469" i="37" s="1"/>
  <c r="S470" i="37"/>
  <c r="R470" i="37"/>
  <c r="Q470" i="37"/>
  <c r="O470" i="37"/>
  <c r="N470" i="37"/>
  <c r="L470" i="37"/>
  <c r="L469" i="37" s="1"/>
  <c r="K470" i="37"/>
  <c r="I470" i="37"/>
  <c r="H470" i="37"/>
  <c r="H469" i="37" s="1"/>
  <c r="G470" i="37"/>
  <c r="F470" i="37"/>
  <c r="E470" i="37"/>
  <c r="D470" i="37"/>
  <c r="D469" i="37" s="1"/>
  <c r="C470" i="37"/>
  <c r="S469" i="37"/>
  <c r="Q469" i="37"/>
  <c r="O469" i="37"/>
  <c r="K469" i="37"/>
  <c r="I469" i="37"/>
  <c r="G469" i="37"/>
  <c r="E469" i="37"/>
  <c r="C469" i="37"/>
  <c r="M466" i="37"/>
  <c r="P466" i="37" s="1"/>
  <c r="J466" i="37"/>
  <c r="J465" i="37"/>
  <c r="M465" i="37" s="1"/>
  <c r="P465" i="37" s="1"/>
  <c r="M463" i="37"/>
  <c r="P463" i="37" s="1"/>
  <c r="J463" i="37"/>
  <c r="N462" i="37"/>
  <c r="M462" i="37"/>
  <c r="P462" i="37" s="1"/>
  <c r="J462" i="37"/>
  <c r="P461" i="37"/>
  <c r="M461" i="37"/>
  <c r="J459" i="37"/>
  <c r="M459" i="37" s="1"/>
  <c r="P459" i="37" s="1"/>
  <c r="M458" i="37"/>
  <c r="P458" i="37" s="1"/>
  <c r="J458" i="37"/>
  <c r="J457" i="37"/>
  <c r="M457" i="37" s="1"/>
  <c r="P457" i="37" s="1"/>
  <c r="M455" i="37"/>
  <c r="P455" i="37" s="1"/>
  <c r="J455" i="37"/>
  <c r="J454" i="37"/>
  <c r="M454" i="37" s="1"/>
  <c r="P454" i="37" s="1"/>
  <c r="M453" i="37"/>
  <c r="P453" i="37" s="1"/>
  <c r="J453" i="37"/>
  <c r="J452" i="37"/>
  <c r="M452" i="37" s="1"/>
  <c r="P452" i="37" s="1"/>
  <c r="M451" i="37"/>
  <c r="P451" i="37" s="1"/>
  <c r="J451" i="37"/>
  <c r="J450" i="37"/>
  <c r="M450" i="37" s="1"/>
  <c r="P450" i="37" s="1"/>
  <c r="M449" i="37"/>
  <c r="P449" i="37" s="1"/>
  <c r="J449" i="37"/>
  <c r="J448" i="37"/>
  <c r="M448" i="37" s="1"/>
  <c r="P448" i="37" s="1"/>
  <c r="M447" i="37"/>
  <c r="P447" i="37" s="1"/>
  <c r="J447" i="37"/>
  <c r="J446" i="37"/>
  <c r="M446" i="37" s="1"/>
  <c r="P446" i="37" s="1"/>
  <c r="M445" i="37"/>
  <c r="P445" i="37" s="1"/>
  <c r="J445" i="37"/>
  <c r="J444" i="37"/>
  <c r="M444" i="37" s="1"/>
  <c r="P444" i="37" s="1"/>
  <c r="M443" i="37"/>
  <c r="P443" i="37" s="1"/>
  <c r="J443" i="37"/>
  <c r="J442" i="37"/>
  <c r="M442" i="37" s="1"/>
  <c r="P442" i="37" s="1"/>
  <c r="M441" i="37"/>
  <c r="P441" i="37" s="1"/>
  <c r="J441" i="37"/>
  <c r="J440" i="37"/>
  <c r="M440" i="37" s="1"/>
  <c r="U439" i="37"/>
  <c r="S439" i="37"/>
  <c r="R439" i="37"/>
  <c r="Q439" i="37"/>
  <c r="O439" i="37"/>
  <c r="N439" i="37"/>
  <c r="L439" i="37"/>
  <c r="K439" i="37"/>
  <c r="I439" i="37"/>
  <c r="H439" i="37"/>
  <c r="G439" i="37"/>
  <c r="F439" i="37"/>
  <c r="E439" i="37"/>
  <c r="D439" i="37"/>
  <c r="C439" i="37"/>
  <c r="J438" i="37"/>
  <c r="M438" i="37" s="1"/>
  <c r="M437" i="37"/>
  <c r="P437" i="37" s="1"/>
  <c r="J437" i="37"/>
  <c r="J436" i="37"/>
  <c r="M436" i="37" s="1"/>
  <c r="P436" i="37" s="1"/>
  <c r="M434" i="37"/>
  <c r="P434" i="37" s="1"/>
  <c r="J434" i="37"/>
  <c r="J433" i="37"/>
  <c r="M433" i="37" s="1"/>
  <c r="P433" i="37" s="1"/>
  <c r="M432" i="37"/>
  <c r="P432" i="37" s="1"/>
  <c r="J432" i="37"/>
  <c r="J431" i="37"/>
  <c r="M431" i="37" s="1"/>
  <c r="P431" i="37" s="1"/>
  <c r="M430" i="37"/>
  <c r="P430" i="37" s="1"/>
  <c r="J430" i="37"/>
  <c r="J429" i="37"/>
  <c r="M429" i="37" s="1"/>
  <c r="P429" i="37" s="1"/>
  <c r="M428" i="37"/>
  <c r="P428" i="37" s="1"/>
  <c r="J428" i="37"/>
  <c r="J427" i="37"/>
  <c r="M427" i="37" s="1"/>
  <c r="P427" i="37" s="1"/>
  <c r="M426" i="37"/>
  <c r="P426" i="37" s="1"/>
  <c r="J426" i="37"/>
  <c r="J425" i="37"/>
  <c r="M425" i="37" s="1"/>
  <c r="P425" i="37" s="1"/>
  <c r="M424" i="37"/>
  <c r="P424" i="37" s="1"/>
  <c r="J424" i="37"/>
  <c r="J423" i="37"/>
  <c r="M423" i="37" s="1"/>
  <c r="P423" i="37" s="1"/>
  <c r="M422" i="37"/>
  <c r="P422" i="37" s="1"/>
  <c r="J422" i="37"/>
  <c r="J421" i="37"/>
  <c r="M421" i="37" s="1"/>
  <c r="P421" i="37" s="1"/>
  <c r="M420" i="37"/>
  <c r="P420" i="37" s="1"/>
  <c r="J420" i="37"/>
  <c r="S419" i="37"/>
  <c r="M419" i="37"/>
  <c r="P419" i="37" s="1"/>
  <c r="J419" i="37"/>
  <c r="J418" i="37"/>
  <c r="M418" i="37" s="1"/>
  <c r="P418" i="37" s="1"/>
  <c r="M417" i="37"/>
  <c r="P417" i="37" s="1"/>
  <c r="J417" i="37"/>
  <c r="J416" i="37"/>
  <c r="M416" i="37" s="1"/>
  <c r="P416" i="37" s="1"/>
  <c r="M415" i="37"/>
  <c r="P415" i="37" s="1"/>
  <c r="J415" i="37"/>
  <c r="J414" i="37"/>
  <c r="M414" i="37" s="1"/>
  <c r="P414" i="37" s="1"/>
  <c r="M413" i="37"/>
  <c r="P413" i="37" s="1"/>
  <c r="J413" i="37"/>
  <c r="J412" i="37"/>
  <c r="M412" i="37" s="1"/>
  <c r="P412" i="37" s="1"/>
  <c r="M411" i="37"/>
  <c r="P411" i="37" s="1"/>
  <c r="J411" i="37"/>
  <c r="J410" i="37"/>
  <c r="M410" i="37" s="1"/>
  <c r="P410" i="37" s="1"/>
  <c r="M409" i="37"/>
  <c r="P409" i="37" s="1"/>
  <c r="J409" i="37"/>
  <c r="S408" i="37"/>
  <c r="M408" i="37"/>
  <c r="P408" i="37" s="1"/>
  <c r="J408" i="37"/>
  <c r="J407" i="37"/>
  <c r="M407" i="37" s="1"/>
  <c r="P407" i="37" s="1"/>
  <c r="M406" i="37"/>
  <c r="P406" i="37" s="1"/>
  <c r="J406" i="37"/>
  <c r="J405" i="37"/>
  <c r="M405" i="37" s="1"/>
  <c r="P405" i="37" s="1"/>
  <c r="M403" i="37"/>
  <c r="P403" i="37" s="1"/>
  <c r="J403" i="37"/>
  <c r="P402" i="37"/>
  <c r="M402" i="37"/>
  <c r="J401" i="37"/>
  <c r="M401" i="37" s="1"/>
  <c r="P401" i="37" s="1"/>
  <c r="M400" i="37"/>
  <c r="P400" i="37" s="1"/>
  <c r="J400" i="37"/>
  <c r="J399" i="37"/>
  <c r="M399" i="37" s="1"/>
  <c r="P399" i="37" s="1"/>
  <c r="M398" i="37"/>
  <c r="P398" i="37" s="1"/>
  <c r="J398" i="37"/>
  <c r="J397" i="37"/>
  <c r="M397" i="37" s="1"/>
  <c r="P397" i="37" s="1"/>
  <c r="M396" i="37"/>
  <c r="P396" i="37" s="1"/>
  <c r="J396" i="37"/>
  <c r="J395" i="37"/>
  <c r="M395" i="37" s="1"/>
  <c r="P395" i="37" s="1"/>
  <c r="M394" i="37"/>
  <c r="P394" i="37" s="1"/>
  <c r="J394" i="37"/>
  <c r="P393" i="37"/>
  <c r="M392" i="37"/>
  <c r="P392" i="37" s="1"/>
  <c r="J392" i="37"/>
  <c r="J391" i="37"/>
  <c r="M391" i="37" s="1"/>
  <c r="U390" i="37"/>
  <c r="S390" i="37"/>
  <c r="R390" i="37"/>
  <c r="Q390" i="37"/>
  <c r="O390" i="37"/>
  <c r="N390" i="37"/>
  <c r="L390" i="37"/>
  <c r="K390" i="37"/>
  <c r="I390" i="37"/>
  <c r="H390" i="37"/>
  <c r="G390" i="37"/>
  <c r="F390" i="37"/>
  <c r="E390" i="37"/>
  <c r="D390" i="37"/>
  <c r="C390" i="37"/>
  <c r="U389" i="37"/>
  <c r="S389" i="37"/>
  <c r="R389" i="37"/>
  <c r="Q389" i="37"/>
  <c r="O389" i="37"/>
  <c r="N389" i="37"/>
  <c r="L389" i="37"/>
  <c r="K389" i="37"/>
  <c r="I389" i="37"/>
  <c r="H389" i="37"/>
  <c r="G389" i="37"/>
  <c r="F389" i="37"/>
  <c r="E389" i="37"/>
  <c r="D389" i="37"/>
  <c r="C389" i="37"/>
  <c r="U386" i="37"/>
  <c r="S386" i="37"/>
  <c r="S385" i="37" s="1"/>
  <c r="Q386" i="37"/>
  <c r="U385" i="37"/>
  <c r="Q385" i="37"/>
  <c r="U382" i="37"/>
  <c r="S382" i="37"/>
  <c r="S381" i="37" s="1"/>
  <c r="Q382" i="37"/>
  <c r="U381" i="37"/>
  <c r="Q381" i="37"/>
  <c r="U378" i="37"/>
  <c r="S378" i="37"/>
  <c r="S377" i="37" s="1"/>
  <c r="Q378" i="37"/>
  <c r="U377" i="37"/>
  <c r="Q377" i="37"/>
  <c r="U374" i="37"/>
  <c r="S374" i="37"/>
  <c r="S373" i="37" s="1"/>
  <c r="Q374" i="37"/>
  <c r="U373" i="37"/>
  <c r="Q373" i="37"/>
  <c r="U370" i="37"/>
  <c r="S370" i="37"/>
  <c r="S369" i="37" s="1"/>
  <c r="Q370" i="37"/>
  <c r="U369" i="37"/>
  <c r="Q369" i="37"/>
  <c r="U366" i="37"/>
  <c r="S366" i="37"/>
  <c r="S365" i="37" s="1"/>
  <c r="Q366" i="37"/>
  <c r="U365" i="37"/>
  <c r="Q365" i="37"/>
  <c r="U362" i="37"/>
  <c r="S362" i="37"/>
  <c r="S361" i="37" s="1"/>
  <c r="Q362" i="37"/>
  <c r="U361" i="37"/>
  <c r="Q361" i="37"/>
  <c r="U358" i="37"/>
  <c r="S358" i="37"/>
  <c r="S357" i="37" s="1"/>
  <c r="Q358" i="37"/>
  <c r="U357" i="37"/>
  <c r="Q357" i="37"/>
  <c r="U354" i="37"/>
  <c r="S354" i="37"/>
  <c r="S353" i="37" s="1"/>
  <c r="Q354" i="37"/>
  <c r="U353" i="37"/>
  <c r="Q353" i="37"/>
  <c r="U350" i="37"/>
  <c r="S350" i="37"/>
  <c r="S349" i="37" s="1"/>
  <c r="Q350" i="37"/>
  <c r="U349" i="37"/>
  <c r="Q349" i="37"/>
  <c r="U346" i="37"/>
  <c r="S346" i="37"/>
  <c r="S345" i="37" s="1"/>
  <c r="Q346" i="37"/>
  <c r="U345" i="37"/>
  <c r="Q345" i="37"/>
  <c r="U342" i="37"/>
  <c r="S342" i="37"/>
  <c r="S341" i="37" s="1"/>
  <c r="Q342" i="37"/>
  <c r="U341" i="37"/>
  <c r="Q341" i="37"/>
  <c r="U338" i="37"/>
  <c r="S338" i="37"/>
  <c r="R338" i="37"/>
  <c r="Q338" i="37"/>
  <c r="Q337" i="37" s="1"/>
  <c r="P338" i="37"/>
  <c r="O338" i="37"/>
  <c r="O337" i="37" s="1"/>
  <c r="N338" i="37"/>
  <c r="M338" i="37"/>
  <c r="M337" i="37" s="1"/>
  <c r="L338" i="37"/>
  <c r="K338" i="37"/>
  <c r="K337" i="37" s="1"/>
  <c r="J338" i="37"/>
  <c r="I338" i="37"/>
  <c r="I337" i="37" s="1"/>
  <c r="H338" i="37"/>
  <c r="G338" i="37"/>
  <c r="G337" i="37" s="1"/>
  <c r="F338" i="37"/>
  <c r="E338" i="37"/>
  <c r="E337" i="37" s="1"/>
  <c r="D338" i="37"/>
  <c r="C338" i="37"/>
  <c r="C337" i="37" s="1"/>
  <c r="U337" i="37"/>
  <c r="S337" i="37"/>
  <c r="P337" i="37"/>
  <c r="N337" i="37"/>
  <c r="L337" i="37"/>
  <c r="J337" i="37"/>
  <c r="H337" i="37"/>
  <c r="F337" i="37"/>
  <c r="D337" i="37"/>
  <c r="U334" i="37"/>
  <c r="S334" i="37"/>
  <c r="R334" i="37"/>
  <c r="Q334" i="37"/>
  <c r="P334" i="37"/>
  <c r="P333" i="37" s="1"/>
  <c r="O334" i="37"/>
  <c r="N334" i="37"/>
  <c r="N333" i="37" s="1"/>
  <c r="M334" i="37"/>
  <c r="L334" i="37"/>
  <c r="L333" i="37" s="1"/>
  <c r="K334" i="37"/>
  <c r="J334" i="37"/>
  <c r="J333" i="37" s="1"/>
  <c r="I334" i="37"/>
  <c r="H334" i="37"/>
  <c r="H333" i="37" s="1"/>
  <c r="G334" i="37"/>
  <c r="F334" i="37"/>
  <c r="F333" i="37" s="1"/>
  <c r="E334" i="37"/>
  <c r="D334" i="37"/>
  <c r="D333" i="37" s="1"/>
  <c r="C334" i="37"/>
  <c r="U333" i="37"/>
  <c r="S333" i="37"/>
  <c r="Q333" i="37"/>
  <c r="O333" i="37"/>
  <c r="M333" i="37"/>
  <c r="K333" i="37"/>
  <c r="I333" i="37"/>
  <c r="G333" i="37"/>
  <c r="E333" i="37"/>
  <c r="C333" i="37"/>
  <c r="M332" i="37"/>
  <c r="P332" i="37" s="1"/>
  <c r="J332" i="37"/>
  <c r="J331" i="37"/>
  <c r="M331" i="37" s="1"/>
  <c r="P331" i="37" s="1"/>
  <c r="M330" i="37"/>
  <c r="P330" i="37" s="1"/>
  <c r="J330" i="37"/>
  <c r="J329" i="37"/>
  <c r="M329" i="37" s="1"/>
  <c r="P329" i="37" s="1"/>
  <c r="M328" i="37"/>
  <c r="P328" i="37" s="1"/>
  <c r="J328" i="37"/>
  <c r="J327" i="37"/>
  <c r="M327" i="37" s="1"/>
  <c r="P327" i="37" s="1"/>
  <c r="M326" i="37"/>
  <c r="P326" i="37" s="1"/>
  <c r="J326" i="37"/>
  <c r="J325" i="37"/>
  <c r="M325" i="37" s="1"/>
  <c r="P325" i="37" s="1"/>
  <c r="M324" i="37"/>
  <c r="P324" i="37" s="1"/>
  <c r="J324" i="37"/>
  <c r="J323" i="37"/>
  <c r="M323" i="37" s="1"/>
  <c r="S322" i="37"/>
  <c r="R322" i="37"/>
  <c r="Q322" i="37"/>
  <c r="O322" i="37"/>
  <c r="N322" i="37"/>
  <c r="L322" i="37"/>
  <c r="K322" i="37"/>
  <c r="J322" i="37"/>
  <c r="I322" i="37"/>
  <c r="H322" i="37"/>
  <c r="G322" i="37"/>
  <c r="F322" i="37"/>
  <c r="E322" i="37"/>
  <c r="D322" i="37"/>
  <c r="C322" i="37"/>
  <c r="U321" i="37"/>
  <c r="S321" i="37"/>
  <c r="R321" i="37"/>
  <c r="Q321" i="37"/>
  <c r="O321" i="37"/>
  <c r="N321" i="37"/>
  <c r="L321" i="37"/>
  <c r="K321" i="37"/>
  <c r="J321" i="37"/>
  <c r="I321" i="37"/>
  <c r="H321" i="37"/>
  <c r="G321" i="37"/>
  <c r="F321" i="37"/>
  <c r="E321" i="37"/>
  <c r="D321" i="37"/>
  <c r="C321" i="37"/>
  <c r="J320" i="37"/>
  <c r="J318" i="37" s="1"/>
  <c r="J317" i="37" s="1"/>
  <c r="M319" i="37"/>
  <c r="P319" i="37" s="1"/>
  <c r="J319" i="37"/>
  <c r="S318" i="37"/>
  <c r="R318" i="37"/>
  <c r="Q318" i="37"/>
  <c r="O318" i="37"/>
  <c r="N318" i="37"/>
  <c r="L318" i="37"/>
  <c r="K318" i="37"/>
  <c r="I318" i="37"/>
  <c r="H318" i="37"/>
  <c r="G318" i="37"/>
  <c r="F318" i="37"/>
  <c r="E318" i="37"/>
  <c r="D318" i="37"/>
  <c r="C318" i="37"/>
  <c r="U317" i="37"/>
  <c r="S317" i="37"/>
  <c r="R317" i="37"/>
  <c r="Q317" i="37"/>
  <c r="O317" i="37"/>
  <c r="N317" i="37"/>
  <c r="L317" i="37"/>
  <c r="K317" i="37"/>
  <c r="I317" i="37"/>
  <c r="H317" i="37"/>
  <c r="G317" i="37"/>
  <c r="F317" i="37"/>
  <c r="E317" i="37"/>
  <c r="D317" i="37"/>
  <c r="C317" i="37"/>
  <c r="M316" i="37"/>
  <c r="P316" i="37" s="1"/>
  <c r="J316" i="37"/>
  <c r="J315" i="37"/>
  <c r="M315" i="37" s="1"/>
  <c r="P315" i="37" s="1"/>
  <c r="M314" i="37"/>
  <c r="P314" i="37" s="1"/>
  <c r="J314" i="37"/>
  <c r="J313" i="37"/>
  <c r="M313" i="37" s="1"/>
  <c r="P313" i="37" s="1"/>
  <c r="M312" i="37"/>
  <c r="P312" i="37" s="1"/>
  <c r="J312" i="37"/>
  <c r="J311" i="37"/>
  <c r="M311" i="37" s="1"/>
  <c r="P311" i="37" s="1"/>
  <c r="M310" i="37"/>
  <c r="P310" i="37" s="1"/>
  <c r="J310" i="37"/>
  <c r="J309" i="37"/>
  <c r="M309" i="37" s="1"/>
  <c r="P309" i="37" s="1"/>
  <c r="M308" i="37"/>
  <c r="P308" i="37" s="1"/>
  <c r="J308" i="37"/>
  <c r="J307" i="37"/>
  <c r="J305" i="37" s="1"/>
  <c r="J304" i="37" s="1"/>
  <c r="M306" i="37"/>
  <c r="P306" i="37" s="1"/>
  <c r="J306" i="37"/>
  <c r="S305" i="37"/>
  <c r="R305" i="37"/>
  <c r="Q305" i="37"/>
  <c r="O305" i="37"/>
  <c r="N305" i="37"/>
  <c r="L305" i="37"/>
  <c r="K305" i="37"/>
  <c r="I305" i="37"/>
  <c r="H305" i="37"/>
  <c r="G305" i="37"/>
  <c r="F305" i="37"/>
  <c r="E305" i="37"/>
  <c r="D305" i="37"/>
  <c r="C305" i="37"/>
  <c r="U304" i="37"/>
  <c r="S304" i="37"/>
  <c r="R304" i="37"/>
  <c r="Q304" i="37"/>
  <c r="O304" i="37"/>
  <c r="N304" i="37"/>
  <c r="L304" i="37"/>
  <c r="K304" i="37"/>
  <c r="I304" i="37"/>
  <c r="H304" i="37"/>
  <c r="G304" i="37"/>
  <c r="F304" i="37"/>
  <c r="E304" i="37"/>
  <c r="D304" i="37"/>
  <c r="C304" i="37"/>
  <c r="M303" i="37"/>
  <c r="P303" i="37" s="1"/>
  <c r="J303" i="37"/>
  <c r="J302" i="37"/>
  <c r="M302" i="37" s="1"/>
  <c r="P302" i="37" s="1"/>
  <c r="M301" i="37"/>
  <c r="P301" i="37" s="1"/>
  <c r="J301" i="37"/>
  <c r="J300" i="37"/>
  <c r="M300" i="37" s="1"/>
  <c r="M299" i="37"/>
  <c r="P299" i="37" s="1"/>
  <c r="J299" i="37"/>
  <c r="S298" i="37"/>
  <c r="R298" i="37"/>
  <c r="Q298" i="37"/>
  <c r="O298" i="37"/>
  <c r="N298" i="37"/>
  <c r="L298" i="37"/>
  <c r="K298" i="37"/>
  <c r="I298" i="37"/>
  <c r="H298" i="37"/>
  <c r="G298" i="37"/>
  <c r="F298" i="37"/>
  <c r="E298" i="37"/>
  <c r="D298" i="37"/>
  <c r="C298" i="37"/>
  <c r="U297" i="37"/>
  <c r="S297" i="37"/>
  <c r="R297" i="37"/>
  <c r="Q297" i="37"/>
  <c r="O297" i="37"/>
  <c r="N297" i="37"/>
  <c r="L297" i="37"/>
  <c r="K297" i="37"/>
  <c r="I297" i="37"/>
  <c r="H297" i="37"/>
  <c r="G297" i="37"/>
  <c r="F297" i="37"/>
  <c r="E297" i="37"/>
  <c r="D297" i="37"/>
  <c r="C297" i="37"/>
  <c r="M296" i="37"/>
  <c r="P296" i="37" s="1"/>
  <c r="J296" i="37"/>
  <c r="J295" i="37"/>
  <c r="M295" i="37" s="1"/>
  <c r="P295" i="37" s="1"/>
  <c r="M294" i="37"/>
  <c r="P294" i="37" s="1"/>
  <c r="J294" i="37"/>
  <c r="J293" i="37"/>
  <c r="M293" i="37" s="1"/>
  <c r="P293" i="37" s="1"/>
  <c r="M292" i="37"/>
  <c r="P292" i="37" s="1"/>
  <c r="J292" i="37"/>
  <c r="J291" i="37"/>
  <c r="M291" i="37" s="1"/>
  <c r="M290" i="37"/>
  <c r="P290" i="37" s="1"/>
  <c r="J290" i="37"/>
  <c r="S289" i="37"/>
  <c r="R289" i="37"/>
  <c r="Q289" i="37"/>
  <c r="O289" i="37"/>
  <c r="N289" i="37"/>
  <c r="L289" i="37"/>
  <c r="K289" i="37"/>
  <c r="I289" i="37"/>
  <c r="H289" i="37"/>
  <c r="G289" i="37"/>
  <c r="F289" i="37"/>
  <c r="E289" i="37"/>
  <c r="D289" i="37"/>
  <c r="C289" i="37"/>
  <c r="U288" i="37"/>
  <c r="S288" i="37"/>
  <c r="R288" i="37"/>
  <c r="Q288" i="37"/>
  <c r="O288" i="37"/>
  <c r="N288" i="37"/>
  <c r="L288" i="37"/>
  <c r="K288" i="37"/>
  <c r="I288" i="37"/>
  <c r="H288" i="37"/>
  <c r="G288" i="37"/>
  <c r="F288" i="37"/>
  <c r="E288" i="37"/>
  <c r="D288" i="37"/>
  <c r="C288" i="37"/>
  <c r="M287" i="37"/>
  <c r="P287" i="37" s="1"/>
  <c r="J287" i="37"/>
  <c r="J286" i="37"/>
  <c r="M286" i="37" s="1"/>
  <c r="P286" i="37" s="1"/>
  <c r="M285" i="37"/>
  <c r="P285" i="37" s="1"/>
  <c r="J285" i="37"/>
  <c r="J284" i="37"/>
  <c r="M284" i="37" s="1"/>
  <c r="P284" i="37" s="1"/>
  <c r="M283" i="37"/>
  <c r="P283" i="37" s="1"/>
  <c r="J283" i="37"/>
  <c r="J282" i="37"/>
  <c r="M282" i="37" s="1"/>
  <c r="P282" i="37" s="1"/>
  <c r="M281" i="37"/>
  <c r="P281" i="37" s="1"/>
  <c r="J281" i="37"/>
  <c r="J280" i="37"/>
  <c r="M280" i="37" s="1"/>
  <c r="P280" i="37" s="1"/>
  <c r="M279" i="37"/>
  <c r="P279" i="37" s="1"/>
  <c r="J279" i="37"/>
  <c r="J278" i="37"/>
  <c r="M278" i="37" s="1"/>
  <c r="P278" i="37" s="1"/>
  <c r="M277" i="37"/>
  <c r="P277" i="37" s="1"/>
  <c r="J277" i="37"/>
  <c r="J276" i="37"/>
  <c r="M276" i="37" s="1"/>
  <c r="S275" i="37"/>
  <c r="R275" i="37"/>
  <c r="Q275" i="37"/>
  <c r="O275" i="37"/>
  <c r="N275" i="37"/>
  <c r="L275" i="37"/>
  <c r="K275" i="37"/>
  <c r="J275" i="37"/>
  <c r="I275" i="37"/>
  <c r="H275" i="37"/>
  <c r="G275" i="37"/>
  <c r="F275" i="37"/>
  <c r="E275" i="37"/>
  <c r="D275" i="37"/>
  <c r="C275" i="37"/>
  <c r="U274" i="37"/>
  <c r="S274" i="37"/>
  <c r="R274" i="37"/>
  <c r="Q274" i="37"/>
  <c r="O274" i="37"/>
  <c r="N274" i="37"/>
  <c r="L274" i="37"/>
  <c r="K274" i="37"/>
  <c r="J274" i="37"/>
  <c r="I274" i="37"/>
  <c r="H274" i="37"/>
  <c r="G274" i="37"/>
  <c r="F274" i="37"/>
  <c r="E274" i="37"/>
  <c r="D274" i="37"/>
  <c r="C274" i="37"/>
  <c r="J273" i="37"/>
  <c r="M273" i="37" s="1"/>
  <c r="P273" i="37" s="1"/>
  <c r="M272" i="37"/>
  <c r="P272" i="37" s="1"/>
  <c r="J272" i="37"/>
  <c r="J271" i="37"/>
  <c r="M271" i="37" s="1"/>
  <c r="P271" i="37" s="1"/>
  <c r="M270" i="37"/>
  <c r="P270" i="37" s="1"/>
  <c r="J270" i="37"/>
  <c r="J269" i="37"/>
  <c r="M269" i="37" s="1"/>
  <c r="P269" i="37" s="1"/>
  <c r="M268" i="37"/>
  <c r="P268" i="37" s="1"/>
  <c r="J268" i="37"/>
  <c r="J267" i="37"/>
  <c r="M267" i="37" s="1"/>
  <c r="P267" i="37" s="1"/>
  <c r="M266" i="37"/>
  <c r="P266" i="37" s="1"/>
  <c r="J266" i="37"/>
  <c r="J265" i="37"/>
  <c r="M265" i="37" s="1"/>
  <c r="M264" i="37"/>
  <c r="P264" i="37" s="1"/>
  <c r="J264" i="37"/>
  <c r="S263" i="37"/>
  <c r="R263" i="37"/>
  <c r="Q263" i="37"/>
  <c r="O263" i="37"/>
  <c r="N263" i="37"/>
  <c r="L263" i="37"/>
  <c r="K263" i="37"/>
  <c r="I263" i="37"/>
  <c r="H263" i="37"/>
  <c r="G263" i="37"/>
  <c r="F263" i="37"/>
  <c r="E263" i="37"/>
  <c r="D263" i="37"/>
  <c r="C263" i="37"/>
  <c r="U262" i="37"/>
  <c r="S262" i="37"/>
  <c r="R262" i="37"/>
  <c r="Q262" i="37"/>
  <c r="O262" i="37"/>
  <c r="N262" i="37"/>
  <c r="L262" i="37"/>
  <c r="K262" i="37"/>
  <c r="I262" i="37"/>
  <c r="H262" i="37"/>
  <c r="G262" i="37"/>
  <c r="F262" i="37"/>
  <c r="E262" i="37"/>
  <c r="D262" i="37"/>
  <c r="C262" i="37"/>
  <c r="M261" i="37"/>
  <c r="P261" i="37" s="1"/>
  <c r="J261" i="37"/>
  <c r="J260" i="37"/>
  <c r="M260" i="37" s="1"/>
  <c r="P260" i="37" s="1"/>
  <c r="M259" i="37"/>
  <c r="P259" i="37" s="1"/>
  <c r="J259" i="37"/>
  <c r="J258" i="37"/>
  <c r="J256" i="37" s="1"/>
  <c r="J255" i="37" s="1"/>
  <c r="M257" i="37"/>
  <c r="P257" i="37" s="1"/>
  <c r="J257" i="37"/>
  <c r="S256" i="37"/>
  <c r="R256" i="37"/>
  <c r="Q256" i="37"/>
  <c r="O256" i="37"/>
  <c r="N256" i="37"/>
  <c r="L256" i="37"/>
  <c r="K256" i="37"/>
  <c r="I256" i="37"/>
  <c r="H256" i="37"/>
  <c r="G256" i="37"/>
  <c r="F256" i="37"/>
  <c r="E256" i="37"/>
  <c r="D256" i="37"/>
  <c r="C256" i="37"/>
  <c r="U255" i="37"/>
  <c r="S255" i="37"/>
  <c r="R255" i="37"/>
  <c r="Q255" i="37"/>
  <c r="O255" i="37"/>
  <c r="N255" i="37"/>
  <c r="L255" i="37"/>
  <c r="K255" i="37"/>
  <c r="I255" i="37"/>
  <c r="H255" i="37"/>
  <c r="G255" i="37"/>
  <c r="F255" i="37"/>
  <c r="E255" i="37"/>
  <c r="D255" i="37"/>
  <c r="C255" i="37"/>
  <c r="M254" i="37"/>
  <c r="P254" i="37" s="1"/>
  <c r="J254" i="37"/>
  <c r="J253" i="37"/>
  <c r="M253" i="37" s="1"/>
  <c r="P253" i="37" s="1"/>
  <c r="M252" i="37"/>
  <c r="P252" i="37" s="1"/>
  <c r="J252" i="37"/>
  <c r="J251" i="37"/>
  <c r="M251" i="37" s="1"/>
  <c r="P251" i="37" s="1"/>
  <c r="M250" i="37"/>
  <c r="P250" i="37" s="1"/>
  <c r="J250" i="37"/>
  <c r="J249" i="37"/>
  <c r="M249" i="37" s="1"/>
  <c r="P249" i="37" s="1"/>
  <c r="M248" i="37"/>
  <c r="P248" i="37" s="1"/>
  <c r="J248" i="37"/>
  <c r="J247" i="37"/>
  <c r="M247" i="37" s="1"/>
  <c r="P247" i="37" s="1"/>
  <c r="M246" i="37"/>
  <c r="P246" i="37" s="1"/>
  <c r="J246" i="37"/>
  <c r="J245" i="37"/>
  <c r="M245" i="37" s="1"/>
  <c r="P245" i="37" s="1"/>
  <c r="M244" i="37"/>
  <c r="P244" i="37" s="1"/>
  <c r="J244" i="37"/>
  <c r="J243" i="37"/>
  <c r="M243" i="37" s="1"/>
  <c r="P243" i="37" s="1"/>
  <c r="M242" i="37"/>
  <c r="P242" i="37" s="1"/>
  <c r="J242" i="37"/>
  <c r="J241" i="37"/>
  <c r="M241" i="37" s="1"/>
  <c r="P241" i="37" s="1"/>
  <c r="M240" i="37"/>
  <c r="P240" i="37" s="1"/>
  <c r="J240" i="37"/>
  <c r="J239" i="37"/>
  <c r="M239" i="37" s="1"/>
  <c r="S238" i="37"/>
  <c r="R238" i="37"/>
  <c r="Q238" i="37"/>
  <c r="O238" i="37"/>
  <c r="N238" i="37"/>
  <c r="L238" i="37"/>
  <c r="K238" i="37"/>
  <c r="J238" i="37"/>
  <c r="I238" i="37"/>
  <c r="H238" i="37"/>
  <c r="G238" i="37"/>
  <c r="F238" i="37"/>
  <c r="E238" i="37"/>
  <c r="D238" i="37"/>
  <c r="C238" i="37"/>
  <c r="U237" i="37"/>
  <c r="S237" i="37"/>
  <c r="R237" i="37"/>
  <c r="Q237" i="37"/>
  <c r="O237" i="37"/>
  <c r="N237" i="37"/>
  <c r="L237" i="37"/>
  <c r="K237" i="37"/>
  <c r="J237" i="37"/>
  <c r="I237" i="37"/>
  <c r="H237" i="37"/>
  <c r="G237" i="37"/>
  <c r="F237" i="37"/>
  <c r="E237" i="37"/>
  <c r="D237" i="37"/>
  <c r="C237" i="37"/>
  <c r="J236" i="37"/>
  <c r="M236" i="37" s="1"/>
  <c r="P236" i="37" s="1"/>
  <c r="M235" i="37"/>
  <c r="P235" i="37" s="1"/>
  <c r="J235" i="37"/>
  <c r="J234" i="37"/>
  <c r="M234" i="37" s="1"/>
  <c r="P234" i="37" s="1"/>
  <c r="M233" i="37"/>
  <c r="P233" i="37" s="1"/>
  <c r="J233" i="37"/>
  <c r="J232" i="37"/>
  <c r="M232" i="37" s="1"/>
  <c r="P232" i="37" s="1"/>
  <c r="M231" i="37"/>
  <c r="P231" i="37" s="1"/>
  <c r="J231" i="37"/>
  <c r="J230" i="37"/>
  <c r="M230" i="37" s="1"/>
  <c r="P230" i="37" s="1"/>
  <c r="M229" i="37"/>
  <c r="P229" i="37" s="1"/>
  <c r="J229" i="37"/>
  <c r="J228" i="37"/>
  <c r="J227" i="37" s="1"/>
  <c r="S227" i="37"/>
  <c r="R227" i="37"/>
  <c r="R226" i="37" s="1"/>
  <c r="Q227" i="37"/>
  <c r="N227" i="37"/>
  <c r="L227" i="37"/>
  <c r="K227" i="37"/>
  <c r="K226" i="37" s="1"/>
  <c r="I227" i="37"/>
  <c r="I226" i="37" s="1"/>
  <c r="H227" i="37"/>
  <c r="G227" i="37"/>
  <c r="G226" i="37" s="1"/>
  <c r="F227" i="37"/>
  <c r="E227" i="37"/>
  <c r="E226" i="37" s="1"/>
  <c r="D227" i="37"/>
  <c r="C227" i="37"/>
  <c r="C226" i="37" s="1"/>
  <c r="U226" i="37"/>
  <c r="S226" i="37"/>
  <c r="Q226" i="37"/>
  <c r="O226" i="37"/>
  <c r="L226" i="37"/>
  <c r="J226" i="37"/>
  <c r="H226" i="37"/>
  <c r="F226" i="37"/>
  <c r="D226" i="37"/>
  <c r="P225" i="37"/>
  <c r="J225" i="37"/>
  <c r="M225" i="37" s="1"/>
  <c r="M224" i="37"/>
  <c r="P224" i="37" s="1"/>
  <c r="J224" i="37"/>
  <c r="P223" i="37"/>
  <c r="J223" i="37"/>
  <c r="M223" i="37" s="1"/>
  <c r="M222" i="37"/>
  <c r="P222" i="37" s="1"/>
  <c r="J222" i="37"/>
  <c r="P221" i="37"/>
  <c r="J221" i="37"/>
  <c r="M221" i="37" s="1"/>
  <c r="M220" i="37"/>
  <c r="P220" i="37" s="1"/>
  <c r="J220" i="37"/>
  <c r="P219" i="37"/>
  <c r="J219" i="37"/>
  <c r="M219" i="37" s="1"/>
  <c r="M218" i="37"/>
  <c r="P218" i="37" s="1"/>
  <c r="J218" i="37"/>
  <c r="P217" i="37"/>
  <c r="J217" i="37"/>
  <c r="M217" i="37" s="1"/>
  <c r="M216" i="37"/>
  <c r="P216" i="37" s="1"/>
  <c r="J216" i="37"/>
  <c r="P215" i="37"/>
  <c r="P214" i="37" s="1"/>
  <c r="P213" i="37" s="1"/>
  <c r="J215" i="37"/>
  <c r="M215" i="37" s="1"/>
  <c r="S214" i="37"/>
  <c r="R214" i="37"/>
  <c r="Q214" i="37"/>
  <c r="O214" i="37"/>
  <c r="N214" i="37"/>
  <c r="L214" i="37"/>
  <c r="L213" i="37" s="1"/>
  <c r="K214" i="37"/>
  <c r="J214" i="37"/>
  <c r="J213" i="37" s="1"/>
  <c r="I214" i="37"/>
  <c r="H214" i="37"/>
  <c r="H213" i="37" s="1"/>
  <c r="G214" i="37"/>
  <c r="F214" i="37"/>
  <c r="F213" i="37" s="1"/>
  <c r="E214" i="37"/>
  <c r="D214" i="37"/>
  <c r="D213" i="37" s="1"/>
  <c r="C214" i="37"/>
  <c r="U213" i="37"/>
  <c r="S213" i="37"/>
  <c r="R213" i="37"/>
  <c r="Q213" i="37"/>
  <c r="O213" i="37"/>
  <c r="N213" i="37"/>
  <c r="K213" i="37"/>
  <c r="I213" i="37"/>
  <c r="G213" i="37"/>
  <c r="E213" i="37"/>
  <c r="C213" i="37"/>
  <c r="P212" i="37"/>
  <c r="M212" i="37"/>
  <c r="J211" i="37"/>
  <c r="M211" i="37" s="1"/>
  <c r="P211" i="37" s="1"/>
  <c r="M210" i="37"/>
  <c r="P210" i="37" s="1"/>
  <c r="J210" i="37"/>
  <c r="J209" i="37"/>
  <c r="M209" i="37" s="1"/>
  <c r="P209" i="37" s="1"/>
  <c r="M208" i="37"/>
  <c r="P208" i="37" s="1"/>
  <c r="J208" i="37"/>
  <c r="J207" i="37"/>
  <c r="M207" i="37" s="1"/>
  <c r="P207" i="37" s="1"/>
  <c r="M206" i="37"/>
  <c r="P206" i="37" s="1"/>
  <c r="J206" i="37"/>
  <c r="J205" i="37"/>
  <c r="M205" i="37" s="1"/>
  <c r="P205" i="37" s="1"/>
  <c r="M204" i="37"/>
  <c r="P204" i="37" s="1"/>
  <c r="J204" i="37"/>
  <c r="J203" i="37"/>
  <c r="M203" i="37" s="1"/>
  <c r="P203" i="37" s="1"/>
  <c r="M202" i="37"/>
  <c r="P202" i="37" s="1"/>
  <c r="J202" i="37"/>
  <c r="J201" i="37"/>
  <c r="M200" i="37"/>
  <c r="P200" i="37" s="1"/>
  <c r="J200" i="37"/>
  <c r="S199" i="37"/>
  <c r="R199" i="37"/>
  <c r="Q199" i="37"/>
  <c r="O199" i="37"/>
  <c r="N199" i="37"/>
  <c r="L199" i="37"/>
  <c r="K199" i="37"/>
  <c r="I199" i="37"/>
  <c r="H199" i="37"/>
  <c r="G199" i="37"/>
  <c r="F199" i="37"/>
  <c r="E199" i="37"/>
  <c r="D199" i="37"/>
  <c r="C199" i="37"/>
  <c r="U198" i="37"/>
  <c r="S198" i="37"/>
  <c r="R198" i="37"/>
  <c r="Q198" i="37"/>
  <c r="O198" i="37"/>
  <c r="N198" i="37"/>
  <c r="L198" i="37"/>
  <c r="K198" i="37"/>
  <c r="I198" i="37"/>
  <c r="H198" i="37"/>
  <c r="G198" i="37"/>
  <c r="F198" i="37"/>
  <c r="E198" i="37"/>
  <c r="D198" i="37"/>
  <c r="C198" i="37"/>
  <c r="M197" i="37"/>
  <c r="P197" i="37" s="1"/>
  <c r="J197" i="37"/>
  <c r="P196" i="37"/>
  <c r="J196" i="37"/>
  <c r="M196" i="37" s="1"/>
  <c r="M195" i="37"/>
  <c r="P195" i="37" s="1"/>
  <c r="J195" i="37"/>
  <c r="P194" i="37"/>
  <c r="J194" i="37"/>
  <c r="M194" i="37" s="1"/>
  <c r="M193" i="37"/>
  <c r="P193" i="37" s="1"/>
  <c r="J193" i="37"/>
  <c r="P192" i="37"/>
  <c r="J192" i="37"/>
  <c r="M192" i="37" s="1"/>
  <c r="M191" i="37"/>
  <c r="P191" i="37" s="1"/>
  <c r="J191" i="37"/>
  <c r="P190" i="37"/>
  <c r="P189" i="37" s="1"/>
  <c r="P188" i="37" s="1"/>
  <c r="J190" i="37"/>
  <c r="M190" i="37" s="1"/>
  <c r="S189" i="37"/>
  <c r="R189" i="37"/>
  <c r="Q189" i="37"/>
  <c r="O189" i="37"/>
  <c r="N189" i="37"/>
  <c r="L189" i="37"/>
  <c r="L188" i="37" s="1"/>
  <c r="K189" i="37"/>
  <c r="J189" i="37"/>
  <c r="J188" i="37" s="1"/>
  <c r="I189" i="37"/>
  <c r="H189" i="37"/>
  <c r="H188" i="37" s="1"/>
  <c r="G189" i="37"/>
  <c r="F189" i="37"/>
  <c r="F188" i="37" s="1"/>
  <c r="E189" i="37"/>
  <c r="D189" i="37"/>
  <c r="D188" i="37" s="1"/>
  <c r="C189" i="37"/>
  <c r="U188" i="37"/>
  <c r="S188" i="37"/>
  <c r="R188" i="37"/>
  <c r="Q188" i="37"/>
  <c r="O188" i="37"/>
  <c r="N188" i="37"/>
  <c r="K188" i="37"/>
  <c r="I188" i="37"/>
  <c r="G188" i="37"/>
  <c r="E188" i="37"/>
  <c r="C188" i="37"/>
  <c r="J187" i="37"/>
  <c r="M187" i="37" s="1"/>
  <c r="P187" i="37" s="1"/>
  <c r="M186" i="37"/>
  <c r="P186" i="37" s="1"/>
  <c r="J186" i="37"/>
  <c r="J185" i="37"/>
  <c r="M185" i="37" s="1"/>
  <c r="P185" i="37" s="1"/>
  <c r="M184" i="37"/>
  <c r="P184" i="37" s="1"/>
  <c r="J184" i="37"/>
  <c r="M183" i="37"/>
  <c r="P183" i="37" s="1"/>
  <c r="J183" i="37"/>
  <c r="M182" i="37"/>
  <c r="P182" i="37" s="1"/>
  <c r="J182" i="37"/>
  <c r="J181" i="37"/>
  <c r="M181" i="37" s="1"/>
  <c r="P181" i="37" s="1"/>
  <c r="M180" i="37"/>
  <c r="P180" i="37" s="1"/>
  <c r="J180" i="37"/>
  <c r="J179" i="37"/>
  <c r="M179" i="37" s="1"/>
  <c r="P179" i="37" s="1"/>
  <c r="M178" i="37"/>
  <c r="P178" i="37" s="1"/>
  <c r="J178" i="37"/>
  <c r="J177" i="37"/>
  <c r="M177" i="37" s="1"/>
  <c r="P177" i="37" s="1"/>
  <c r="M176" i="37"/>
  <c r="P176" i="37" s="1"/>
  <c r="J176" i="37"/>
  <c r="J175" i="37"/>
  <c r="J174" i="37" s="1"/>
  <c r="J173" i="37" s="1"/>
  <c r="S174" i="37"/>
  <c r="S173" i="37" s="1"/>
  <c r="R174" i="37"/>
  <c r="Q174" i="37"/>
  <c r="O174" i="37"/>
  <c r="O173" i="37" s="1"/>
  <c r="N174" i="37"/>
  <c r="L174" i="37"/>
  <c r="L173" i="37" s="1"/>
  <c r="K174" i="37"/>
  <c r="K173" i="37" s="1"/>
  <c r="I174" i="37"/>
  <c r="H174" i="37"/>
  <c r="H173" i="37" s="1"/>
  <c r="G174" i="37"/>
  <c r="G173" i="37" s="1"/>
  <c r="F174" i="37"/>
  <c r="E174" i="37"/>
  <c r="D174" i="37"/>
  <c r="D173" i="37" s="1"/>
  <c r="C174" i="37"/>
  <c r="C173" i="37" s="1"/>
  <c r="U173" i="37"/>
  <c r="R173" i="37"/>
  <c r="Q173" i="37"/>
  <c r="N173" i="37"/>
  <c r="I173" i="37"/>
  <c r="F173" i="37"/>
  <c r="E173" i="37"/>
  <c r="J171" i="37"/>
  <c r="M171" i="37" s="1"/>
  <c r="P171" i="37" s="1"/>
  <c r="M170" i="37"/>
  <c r="P170" i="37" s="1"/>
  <c r="J170" i="37"/>
  <c r="J168" i="37"/>
  <c r="M168" i="37" s="1"/>
  <c r="P168" i="37" s="1"/>
  <c r="M167" i="37"/>
  <c r="P167" i="37" s="1"/>
  <c r="J167" i="37"/>
  <c r="J166" i="37"/>
  <c r="M166" i="37" s="1"/>
  <c r="P166" i="37" s="1"/>
  <c r="M165" i="37"/>
  <c r="P165" i="37" s="1"/>
  <c r="J165" i="37"/>
  <c r="J164" i="37"/>
  <c r="M164" i="37" s="1"/>
  <c r="P164" i="37" s="1"/>
  <c r="M163" i="37"/>
  <c r="P163" i="37" s="1"/>
  <c r="J163" i="37"/>
  <c r="J162" i="37"/>
  <c r="M162" i="37" s="1"/>
  <c r="P162" i="37" s="1"/>
  <c r="S161" i="37"/>
  <c r="J161" i="37"/>
  <c r="M161" i="37" s="1"/>
  <c r="P161" i="37" s="1"/>
  <c r="M160" i="37"/>
  <c r="P160" i="37" s="1"/>
  <c r="J160" i="37"/>
  <c r="J159" i="37"/>
  <c r="M159" i="37" s="1"/>
  <c r="P159" i="37" s="1"/>
  <c r="M158" i="37"/>
  <c r="P158" i="37" s="1"/>
  <c r="J158" i="37"/>
  <c r="J157" i="37"/>
  <c r="M157" i="37" s="1"/>
  <c r="P157" i="37" s="1"/>
  <c r="M156" i="37"/>
  <c r="P156" i="37" s="1"/>
  <c r="J156" i="37"/>
  <c r="J155" i="37"/>
  <c r="M155" i="37" s="1"/>
  <c r="P155" i="37" s="1"/>
  <c r="M154" i="37"/>
  <c r="P154" i="37" s="1"/>
  <c r="J154" i="37"/>
  <c r="J153" i="37"/>
  <c r="M153" i="37" s="1"/>
  <c r="P153" i="37" s="1"/>
  <c r="M152" i="37"/>
  <c r="P152" i="37" s="1"/>
  <c r="J152" i="37"/>
  <c r="J151" i="37"/>
  <c r="M151" i="37" s="1"/>
  <c r="P151" i="37" s="1"/>
  <c r="M150" i="37"/>
  <c r="P150" i="37" s="1"/>
  <c r="J150" i="37"/>
  <c r="J149" i="37"/>
  <c r="M149" i="37" s="1"/>
  <c r="P149" i="37" s="1"/>
  <c r="M148" i="37"/>
  <c r="P148" i="37" s="1"/>
  <c r="J148" i="37"/>
  <c r="S147" i="37"/>
  <c r="S130" i="37" s="1"/>
  <c r="S129" i="37" s="1"/>
  <c r="M147" i="37"/>
  <c r="P147" i="37" s="1"/>
  <c r="J147" i="37"/>
  <c r="J146" i="37"/>
  <c r="M146" i="37" s="1"/>
  <c r="P146" i="37" s="1"/>
  <c r="M145" i="37"/>
  <c r="P145" i="37" s="1"/>
  <c r="J145" i="37"/>
  <c r="J144" i="37"/>
  <c r="M144" i="37" s="1"/>
  <c r="P144" i="37" s="1"/>
  <c r="M143" i="37"/>
  <c r="P143" i="37" s="1"/>
  <c r="J143" i="37"/>
  <c r="J142" i="37"/>
  <c r="M142" i="37" s="1"/>
  <c r="P142" i="37" s="1"/>
  <c r="M141" i="37"/>
  <c r="P141" i="37" s="1"/>
  <c r="J141" i="37"/>
  <c r="J140" i="37"/>
  <c r="M140" i="37" s="1"/>
  <c r="P140" i="37" s="1"/>
  <c r="M139" i="37"/>
  <c r="P139" i="37" s="1"/>
  <c r="J139" i="37"/>
  <c r="J138" i="37"/>
  <c r="M138" i="37" s="1"/>
  <c r="P138" i="37" s="1"/>
  <c r="M137" i="37"/>
  <c r="P137" i="37" s="1"/>
  <c r="J137" i="37"/>
  <c r="J136" i="37"/>
  <c r="M136" i="37" s="1"/>
  <c r="P136" i="37" s="1"/>
  <c r="M135" i="37"/>
  <c r="P135" i="37" s="1"/>
  <c r="J135" i="37"/>
  <c r="J134" i="37"/>
  <c r="M134" i="37" s="1"/>
  <c r="P134" i="37" s="1"/>
  <c r="M133" i="37"/>
  <c r="P133" i="37" s="1"/>
  <c r="J133" i="37"/>
  <c r="J132" i="37"/>
  <c r="M132" i="37" s="1"/>
  <c r="P132" i="37" s="1"/>
  <c r="M131" i="37"/>
  <c r="P131" i="37" s="1"/>
  <c r="P130" i="37" s="1"/>
  <c r="P129" i="37" s="1"/>
  <c r="J131" i="37"/>
  <c r="U130" i="37"/>
  <c r="R130" i="37"/>
  <c r="Q130" i="37"/>
  <c r="O130" i="37"/>
  <c r="N130" i="37"/>
  <c r="N129" i="37" s="1"/>
  <c r="L130" i="37"/>
  <c r="K130" i="37"/>
  <c r="J130" i="37"/>
  <c r="J129" i="37" s="1"/>
  <c r="I130" i="37"/>
  <c r="H130" i="37"/>
  <c r="G130" i="37"/>
  <c r="F130" i="37"/>
  <c r="F129" i="37" s="1"/>
  <c r="E130" i="37"/>
  <c r="D130" i="37"/>
  <c r="C130" i="37"/>
  <c r="U129" i="37"/>
  <c r="R129" i="37"/>
  <c r="Q129" i="37"/>
  <c r="O129" i="37"/>
  <c r="L129" i="37"/>
  <c r="K129" i="37"/>
  <c r="I129" i="37"/>
  <c r="H129" i="37"/>
  <c r="G129" i="37"/>
  <c r="E129" i="37"/>
  <c r="D129" i="37"/>
  <c r="C129" i="37"/>
  <c r="J128" i="37"/>
  <c r="M128" i="37" s="1"/>
  <c r="P128" i="37" s="1"/>
  <c r="M127" i="37"/>
  <c r="P127" i="37" s="1"/>
  <c r="J127" i="37"/>
  <c r="J126" i="37"/>
  <c r="M126" i="37" s="1"/>
  <c r="P126" i="37" s="1"/>
  <c r="M125" i="37"/>
  <c r="P125" i="37" s="1"/>
  <c r="J125" i="37"/>
  <c r="J124" i="37"/>
  <c r="M124" i="37" s="1"/>
  <c r="P124" i="37" s="1"/>
  <c r="M123" i="37"/>
  <c r="P123" i="37" s="1"/>
  <c r="J123" i="37"/>
  <c r="J122" i="37"/>
  <c r="M122" i="37" s="1"/>
  <c r="P122" i="37" s="1"/>
  <c r="M121" i="37"/>
  <c r="P121" i="37" s="1"/>
  <c r="J121" i="37"/>
  <c r="J120" i="37"/>
  <c r="M120" i="37" s="1"/>
  <c r="P120" i="37" s="1"/>
  <c r="M119" i="37"/>
  <c r="P119" i="37" s="1"/>
  <c r="J119" i="37"/>
  <c r="J118" i="37"/>
  <c r="M118" i="37" s="1"/>
  <c r="P118" i="37" s="1"/>
  <c r="M117" i="37"/>
  <c r="P117" i="37" s="1"/>
  <c r="J117" i="37"/>
  <c r="U116" i="37"/>
  <c r="S116" i="37"/>
  <c r="R116" i="37"/>
  <c r="R115" i="37" s="1"/>
  <c r="Q116" i="37"/>
  <c r="O116" i="37"/>
  <c r="N116" i="37"/>
  <c r="N115" i="37" s="1"/>
  <c r="L116" i="37"/>
  <c r="K116" i="37"/>
  <c r="J116" i="37"/>
  <c r="J115" i="37" s="1"/>
  <c r="I116" i="37"/>
  <c r="H116" i="37"/>
  <c r="G116" i="37"/>
  <c r="F116" i="37"/>
  <c r="F115" i="37" s="1"/>
  <c r="E116" i="37"/>
  <c r="D116" i="37"/>
  <c r="C116" i="37"/>
  <c r="U115" i="37"/>
  <c r="S115" i="37"/>
  <c r="Q115" i="37"/>
  <c r="O115" i="37"/>
  <c r="L115" i="37"/>
  <c r="K115" i="37"/>
  <c r="I115" i="37"/>
  <c r="H115" i="37"/>
  <c r="G115" i="37"/>
  <c r="E115" i="37"/>
  <c r="D115" i="37"/>
  <c r="C115" i="37"/>
  <c r="J113" i="37"/>
  <c r="M113" i="37" s="1"/>
  <c r="P113" i="37" s="1"/>
  <c r="M112" i="37"/>
  <c r="P112" i="37" s="1"/>
  <c r="J112" i="37"/>
  <c r="J111" i="37"/>
  <c r="M111" i="37" s="1"/>
  <c r="P111" i="37" s="1"/>
  <c r="M110" i="37"/>
  <c r="P110" i="37" s="1"/>
  <c r="J110" i="37"/>
  <c r="J109" i="37"/>
  <c r="M109" i="37" s="1"/>
  <c r="P109" i="37" s="1"/>
  <c r="M108" i="37"/>
  <c r="P108" i="37" s="1"/>
  <c r="J108" i="37"/>
  <c r="J107" i="37"/>
  <c r="M107" i="37" s="1"/>
  <c r="P107" i="37" s="1"/>
  <c r="M106" i="37"/>
  <c r="P106" i="37" s="1"/>
  <c r="J106" i="37"/>
  <c r="J105" i="37"/>
  <c r="M105" i="37" s="1"/>
  <c r="P105" i="37" s="1"/>
  <c r="M104" i="37"/>
  <c r="P104" i="37" s="1"/>
  <c r="J104" i="37"/>
  <c r="J103" i="37"/>
  <c r="M103" i="37" s="1"/>
  <c r="P103" i="37" s="1"/>
  <c r="M102" i="37"/>
  <c r="P102" i="37" s="1"/>
  <c r="J102" i="37"/>
  <c r="J101" i="37"/>
  <c r="M101" i="37" s="1"/>
  <c r="P101" i="37" s="1"/>
  <c r="M100" i="37"/>
  <c r="P100" i="37" s="1"/>
  <c r="J100" i="37"/>
  <c r="J99" i="37"/>
  <c r="M99" i="37" s="1"/>
  <c r="P99" i="37" s="1"/>
  <c r="M98" i="37"/>
  <c r="P98" i="37" s="1"/>
  <c r="J98" i="37"/>
  <c r="J97" i="37"/>
  <c r="J95" i="37" s="1"/>
  <c r="M96" i="37"/>
  <c r="J96" i="37"/>
  <c r="U95" i="37"/>
  <c r="S95" i="37"/>
  <c r="R95" i="37"/>
  <c r="Q95" i="37"/>
  <c r="O95" i="37"/>
  <c r="N95" i="37"/>
  <c r="L95" i="37"/>
  <c r="K95" i="37"/>
  <c r="I95" i="37"/>
  <c r="H95" i="37"/>
  <c r="G95" i="37"/>
  <c r="F95" i="37"/>
  <c r="E95" i="37"/>
  <c r="D95" i="37"/>
  <c r="C95" i="37"/>
  <c r="J94" i="37"/>
  <c r="M94" i="37" s="1"/>
  <c r="P94" i="37" s="1"/>
  <c r="M93" i="37"/>
  <c r="P93" i="37" s="1"/>
  <c r="J93" i="37"/>
  <c r="J92" i="37"/>
  <c r="M92" i="37" s="1"/>
  <c r="P92" i="37" s="1"/>
  <c r="M91" i="37"/>
  <c r="P91" i="37" s="1"/>
  <c r="J91" i="37"/>
  <c r="S90" i="37"/>
  <c r="S72" i="37" s="1"/>
  <c r="S6" i="37" s="1"/>
  <c r="M90" i="37"/>
  <c r="P90" i="37" s="1"/>
  <c r="J90" i="37"/>
  <c r="J89" i="37"/>
  <c r="M89" i="37" s="1"/>
  <c r="P89" i="37" s="1"/>
  <c r="M88" i="37"/>
  <c r="P88" i="37" s="1"/>
  <c r="J88" i="37"/>
  <c r="J87" i="37"/>
  <c r="M87" i="37" s="1"/>
  <c r="P87" i="37" s="1"/>
  <c r="S86" i="37"/>
  <c r="J86" i="37"/>
  <c r="M86" i="37" s="1"/>
  <c r="P86" i="37" s="1"/>
  <c r="M85" i="37"/>
  <c r="P85" i="37" s="1"/>
  <c r="J85" i="37"/>
  <c r="J84" i="37"/>
  <c r="M84" i="37" s="1"/>
  <c r="P84" i="37" s="1"/>
  <c r="M83" i="37"/>
  <c r="P83" i="37" s="1"/>
  <c r="J83" i="37"/>
  <c r="J82" i="37"/>
  <c r="M82" i="37" s="1"/>
  <c r="P82" i="37" s="1"/>
  <c r="M81" i="37"/>
  <c r="P81" i="37" s="1"/>
  <c r="J81" i="37"/>
  <c r="J80" i="37"/>
  <c r="M80" i="37" s="1"/>
  <c r="P80" i="37" s="1"/>
  <c r="M79" i="37"/>
  <c r="P79" i="37" s="1"/>
  <c r="J79" i="37"/>
  <c r="J78" i="37"/>
  <c r="M78" i="37" s="1"/>
  <c r="P78" i="37" s="1"/>
  <c r="M77" i="37"/>
  <c r="P77" i="37" s="1"/>
  <c r="J77" i="37"/>
  <c r="J76" i="37"/>
  <c r="M76" i="37" s="1"/>
  <c r="P76" i="37" s="1"/>
  <c r="M75" i="37"/>
  <c r="P75" i="37" s="1"/>
  <c r="J75" i="37"/>
  <c r="J74" i="37"/>
  <c r="M74" i="37" s="1"/>
  <c r="P74" i="37" s="1"/>
  <c r="M73" i="37"/>
  <c r="P73" i="37" s="1"/>
  <c r="J73" i="37"/>
  <c r="U72" i="37"/>
  <c r="R72" i="37"/>
  <c r="Q72" i="37"/>
  <c r="O72" i="37"/>
  <c r="N72" i="37"/>
  <c r="L72" i="37"/>
  <c r="K72" i="37"/>
  <c r="J72" i="37"/>
  <c r="I72" i="37"/>
  <c r="H72" i="37"/>
  <c r="G72" i="37"/>
  <c r="F72" i="37"/>
  <c r="E72" i="37"/>
  <c r="D72" i="37"/>
  <c r="C72" i="37"/>
  <c r="J70" i="37"/>
  <c r="M70" i="37" s="1"/>
  <c r="P70" i="37" s="1"/>
  <c r="M69" i="37"/>
  <c r="P69" i="37" s="1"/>
  <c r="J69" i="37"/>
  <c r="J68" i="37"/>
  <c r="M68" i="37" s="1"/>
  <c r="P68" i="37" s="1"/>
  <c r="M67" i="37"/>
  <c r="P67" i="37" s="1"/>
  <c r="J67" i="37"/>
  <c r="J66" i="37"/>
  <c r="M66" i="37" s="1"/>
  <c r="P66" i="37" s="1"/>
  <c r="M65" i="37"/>
  <c r="P65" i="37" s="1"/>
  <c r="J65" i="37"/>
  <c r="J64" i="37"/>
  <c r="M64" i="37" s="1"/>
  <c r="P64" i="37" s="1"/>
  <c r="M63" i="37"/>
  <c r="P63" i="37" s="1"/>
  <c r="J63" i="37"/>
  <c r="J62" i="37"/>
  <c r="M62" i="37" s="1"/>
  <c r="P62" i="37" s="1"/>
  <c r="M61" i="37"/>
  <c r="P61" i="37" s="1"/>
  <c r="J61" i="37"/>
  <c r="J60" i="37"/>
  <c r="M60" i="37" s="1"/>
  <c r="P60" i="37" s="1"/>
  <c r="M59" i="37"/>
  <c r="P59" i="37" s="1"/>
  <c r="J59" i="37"/>
  <c r="J58" i="37"/>
  <c r="M58" i="37" s="1"/>
  <c r="U57" i="37"/>
  <c r="S57" i="37"/>
  <c r="R57" i="37"/>
  <c r="Q57" i="37"/>
  <c r="O57" i="37"/>
  <c r="N57" i="37"/>
  <c r="L57" i="37"/>
  <c r="K57" i="37"/>
  <c r="I57" i="37"/>
  <c r="H57" i="37"/>
  <c r="G57" i="37"/>
  <c r="F57" i="37"/>
  <c r="E57" i="37"/>
  <c r="D57" i="37"/>
  <c r="C57" i="37"/>
  <c r="M56" i="37"/>
  <c r="P56" i="37" s="1"/>
  <c r="J56" i="37"/>
  <c r="J55" i="37"/>
  <c r="M55" i="37" s="1"/>
  <c r="P55" i="37" s="1"/>
  <c r="M54" i="37"/>
  <c r="P54" i="37" s="1"/>
  <c r="J54" i="37"/>
  <c r="J53" i="37"/>
  <c r="M53" i="37" s="1"/>
  <c r="P53" i="37" s="1"/>
  <c r="M52" i="37"/>
  <c r="P52" i="37" s="1"/>
  <c r="J52" i="37"/>
  <c r="J51" i="37"/>
  <c r="M51" i="37" s="1"/>
  <c r="P51" i="37" s="1"/>
  <c r="Q50" i="37"/>
  <c r="J50" i="37"/>
  <c r="M50" i="37" s="1"/>
  <c r="P50" i="37" s="1"/>
  <c r="M49" i="37"/>
  <c r="P49" i="37" s="1"/>
  <c r="J49" i="37"/>
  <c r="J48" i="37"/>
  <c r="M48" i="37" s="1"/>
  <c r="P48" i="37" s="1"/>
  <c r="M47" i="37"/>
  <c r="P47" i="37" s="1"/>
  <c r="J47" i="37"/>
  <c r="J46" i="37"/>
  <c r="M46" i="37" s="1"/>
  <c r="P46" i="37" s="1"/>
  <c r="M45" i="37"/>
  <c r="P45" i="37" s="1"/>
  <c r="J45" i="37"/>
  <c r="J44" i="37"/>
  <c r="M44" i="37" s="1"/>
  <c r="P44" i="37" s="1"/>
  <c r="M43" i="37"/>
  <c r="P43" i="37" s="1"/>
  <c r="J43" i="37"/>
  <c r="J42" i="37"/>
  <c r="M42" i="37" s="1"/>
  <c r="P42" i="37" s="1"/>
  <c r="M41" i="37"/>
  <c r="P41" i="37" s="1"/>
  <c r="J41" i="37"/>
  <c r="J40" i="37"/>
  <c r="M40" i="37" s="1"/>
  <c r="P40" i="37" s="1"/>
  <c r="M39" i="37"/>
  <c r="P39" i="37" s="1"/>
  <c r="J39" i="37"/>
  <c r="J38" i="37"/>
  <c r="M38" i="37" s="1"/>
  <c r="P38" i="37" s="1"/>
  <c r="M37" i="37"/>
  <c r="P37" i="37" s="1"/>
  <c r="J37" i="37"/>
  <c r="J36" i="37"/>
  <c r="M36" i="37" s="1"/>
  <c r="U35" i="37"/>
  <c r="S35" i="37"/>
  <c r="R35" i="37"/>
  <c r="Q35" i="37"/>
  <c r="O35" i="37"/>
  <c r="N35" i="37"/>
  <c r="L35" i="37"/>
  <c r="K35" i="37"/>
  <c r="I35" i="37"/>
  <c r="H35" i="37"/>
  <c r="G35" i="37"/>
  <c r="F35" i="37"/>
  <c r="E35" i="37"/>
  <c r="D35" i="37"/>
  <c r="C35" i="37"/>
  <c r="M34" i="37"/>
  <c r="P34" i="37" s="1"/>
  <c r="J34" i="37"/>
  <c r="J31" i="37"/>
  <c r="M31" i="37" s="1"/>
  <c r="P31" i="37" s="1"/>
  <c r="M29" i="37"/>
  <c r="P29" i="37" s="1"/>
  <c r="J29" i="37"/>
  <c r="J28" i="37"/>
  <c r="M28" i="37" s="1"/>
  <c r="P28" i="37" s="1"/>
  <c r="M27" i="37"/>
  <c r="P27" i="37" s="1"/>
  <c r="J27" i="37"/>
  <c r="S26" i="37"/>
  <c r="M26" i="37"/>
  <c r="P26" i="37" s="1"/>
  <c r="J26" i="37"/>
  <c r="J25" i="37"/>
  <c r="M25" i="37" s="1"/>
  <c r="P25" i="37" s="1"/>
  <c r="M24" i="37"/>
  <c r="P24" i="37" s="1"/>
  <c r="J24" i="37"/>
  <c r="J23" i="37"/>
  <c r="M23" i="37" s="1"/>
  <c r="P23" i="37" s="1"/>
  <c r="S22" i="37"/>
  <c r="J22" i="37"/>
  <c r="M22" i="37" s="1"/>
  <c r="P22" i="37" s="1"/>
  <c r="M21" i="37"/>
  <c r="P21" i="37" s="1"/>
  <c r="J21" i="37"/>
  <c r="J20" i="37"/>
  <c r="M20" i="37" s="1"/>
  <c r="P20" i="37" s="1"/>
  <c r="M19" i="37"/>
  <c r="P19" i="37" s="1"/>
  <c r="J19" i="37"/>
  <c r="J18" i="37"/>
  <c r="M18" i="37" s="1"/>
  <c r="P18" i="37" s="1"/>
  <c r="M17" i="37"/>
  <c r="P17" i="37" s="1"/>
  <c r="J17" i="37"/>
  <c r="J16" i="37"/>
  <c r="M16" i="37" s="1"/>
  <c r="P16" i="37" s="1"/>
  <c r="M15" i="37"/>
  <c r="P15" i="37" s="1"/>
  <c r="J15" i="37"/>
  <c r="J14" i="37"/>
  <c r="M14" i="37" s="1"/>
  <c r="P14" i="37" s="1"/>
  <c r="M13" i="37"/>
  <c r="P13" i="37" s="1"/>
  <c r="J13" i="37"/>
  <c r="J12" i="37"/>
  <c r="M12" i="37" s="1"/>
  <c r="P12" i="37" s="1"/>
  <c r="M11" i="37"/>
  <c r="P11" i="37" s="1"/>
  <c r="J11" i="37"/>
  <c r="J10" i="37"/>
  <c r="M10" i="37" s="1"/>
  <c r="P10" i="37" s="1"/>
  <c r="M9" i="37"/>
  <c r="P9" i="37" s="1"/>
  <c r="J9" i="37"/>
  <c r="J8" i="37"/>
  <c r="M8" i="37" s="1"/>
  <c r="U7" i="37"/>
  <c r="S7" i="37"/>
  <c r="R7" i="37"/>
  <c r="Q7" i="37"/>
  <c r="O7" i="37"/>
  <c r="N7" i="37"/>
  <c r="L7" i="37"/>
  <c r="K7" i="37"/>
  <c r="I7" i="37"/>
  <c r="H7" i="37"/>
  <c r="G7" i="37"/>
  <c r="F7" i="37"/>
  <c r="E7" i="37"/>
  <c r="D7" i="37"/>
  <c r="C7" i="37"/>
  <c r="U6" i="37"/>
  <c r="R6" i="37"/>
  <c r="Q6" i="37"/>
  <c r="O6" i="37"/>
  <c r="N6" i="37"/>
  <c r="L6" i="37"/>
  <c r="K6" i="37"/>
  <c r="I6" i="37"/>
  <c r="H6" i="37"/>
  <c r="G6" i="37"/>
  <c r="F6" i="37"/>
  <c r="E6" i="37"/>
  <c r="D6" i="37"/>
  <c r="C6" i="37"/>
  <c r="V5" i="37"/>
  <c r="T5" i="37"/>
  <c r="Q5" i="37"/>
  <c r="L5" i="37"/>
  <c r="AC422" i="36"/>
  <c r="AC421" i="36"/>
  <c r="AC420" i="36"/>
  <c r="AC419" i="36"/>
  <c r="AC418" i="36"/>
  <c r="X418" i="36"/>
  <c r="AC414" i="36"/>
  <c r="AC413" i="36"/>
  <c r="AC412" i="36"/>
  <c r="AC411" i="36"/>
  <c r="AC410" i="36"/>
  <c r="H410" i="36"/>
  <c r="AG402" i="36"/>
  <c r="AF402" i="36"/>
  <c r="AC402" i="36"/>
  <c r="X402" i="36"/>
  <c r="H402" i="36"/>
  <c r="AJ399" i="36"/>
  <c r="AJ398" i="36"/>
  <c r="AJ396" i="36"/>
  <c r="AG393" i="36"/>
  <c r="AG392" i="36"/>
  <c r="AJ391" i="36"/>
  <c r="AG390" i="36"/>
  <c r="AC389" i="36"/>
  <c r="X389" i="36"/>
  <c r="AC388" i="36"/>
  <c r="AG387" i="36"/>
  <c r="AC387" i="36"/>
  <c r="X387" i="36"/>
  <c r="AG386" i="36"/>
  <c r="X386" i="36"/>
  <c r="AC386" i="36" s="1"/>
  <c r="AG385" i="36"/>
  <c r="AF385" i="36"/>
  <c r="X385" i="36"/>
  <c r="AC384" i="36"/>
  <c r="AG383" i="36"/>
  <c r="AG382" i="36"/>
  <c r="AC382" i="36"/>
  <c r="X382" i="36"/>
  <c r="X381" i="36"/>
  <c r="AC381" i="36" s="1"/>
  <c r="AC380" i="36"/>
  <c r="AC379" i="36"/>
  <c r="AC378" i="36"/>
  <c r="AC377" i="36"/>
  <c r="AJ374" i="36"/>
  <c r="AI374" i="36"/>
  <c r="AF374" i="36"/>
  <c r="AG374" i="36" s="1"/>
  <c r="AE374" i="36"/>
  <c r="AD374" i="36"/>
  <c r="AB374" i="36"/>
  <c r="AA374" i="36"/>
  <c r="Z374" i="36"/>
  <c r="Y374" i="36"/>
  <c r="W374" i="36"/>
  <c r="V374" i="36"/>
  <c r="U374" i="36"/>
  <c r="T374" i="36"/>
  <c r="S374" i="36"/>
  <c r="R374" i="36"/>
  <c r="Q374" i="36"/>
  <c r="P374" i="36"/>
  <c r="O374" i="36"/>
  <c r="N374" i="36"/>
  <c r="M374" i="36"/>
  <c r="L374" i="36"/>
  <c r="K374" i="36"/>
  <c r="J374" i="36"/>
  <c r="I374" i="36"/>
  <c r="H374" i="36"/>
  <c r="G374" i="36"/>
  <c r="AG372" i="36"/>
  <c r="AG371" i="36"/>
  <c r="AG370" i="36"/>
  <c r="AG369" i="36"/>
  <c r="X369" i="36"/>
  <c r="AC369" i="36" s="1"/>
  <c r="V369" i="36"/>
  <c r="AG368" i="36"/>
  <c r="AG367" i="36"/>
  <c r="AG366" i="36"/>
  <c r="X366" i="36"/>
  <c r="AC366" i="36" s="1"/>
  <c r="V366" i="36"/>
  <c r="J366" i="36"/>
  <c r="AG365" i="36"/>
  <c r="V365" i="36"/>
  <c r="V363" i="36" s="1"/>
  <c r="U365" i="36"/>
  <c r="J365" i="36"/>
  <c r="AG364" i="36"/>
  <c r="X364" i="36"/>
  <c r="V364" i="36"/>
  <c r="AJ363" i="36"/>
  <c r="AI363" i="36"/>
  <c r="AH363" i="36"/>
  <c r="AF363" i="36"/>
  <c r="AE363" i="36"/>
  <c r="AD363" i="36"/>
  <c r="AB363" i="36"/>
  <c r="AA363" i="36"/>
  <c r="Z363" i="36"/>
  <c r="Y363" i="36"/>
  <c r="T363" i="36"/>
  <c r="S363" i="36"/>
  <c r="R363" i="36"/>
  <c r="Q363" i="36"/>
  <c r="P363" i="36"/>
  <c r="O363" i="36"/>
  <c r="N363" i="36"/>
  <c r="M363" i="36"/>
  <c r="L363" i="36"/>
  <c r="K363" i="36"/>
  <c r="J363" i="36"/>
  <c r="I363" i="36"/>
  <c r="H363" i="36"/>
  <c r="G363" i="36"/>
  <c r="AJ361" i="36"/>
  <c r="AI361" i="36"/>
  <c r="AH361" i="36"/>
  <c r="AG360" i="36"/>
  <c r="AJ359" i="36"/>
  <c r="AI359" i="36"/>
  <c r="AH359" i="36"/>
  <c r="AG358" i="36"/>
  <c r="AG356" i="36"/>
  <c r="AG355" i="36"/>
  <c r="AG354" i="36"/>
  <c r="AG353" i="36"/>
  <c r="AG352" i="36"/>
  <c r="AG351" i="36"/>
  <c r="AG350" i="36"/>
  <c r="AG349" i="36"/>
  <c r="AG348" i="36"/>
  <c r="AG344" i="36"/>
  <c r="AG343" i="36"/>
  <c r="AF342" i="36"/>
  <c r="AG342" i="36" s="1"/>
  <c r="AE342" i="36"/>
  <c r="AG341" i="36"/>
  <c r="AG340" i="36"/>
  <c r="AG339" i="36"/>
  <c r="AF338" i="36"/>
  <c r="AG338" i="36" s="1"/>
  <c r="AG337" i="36"/>
  <c r="AG336" i="36"/>
  <c r="AF336" i="36"/>
  <c r="AJ335" i="36"/>
  <c r="AI335" i="36"/>
  <c r="AJ334" i="36"/>
  <c r="AI334" i="36"/>
  <c r="AI333" i="36"/>
  <c r="AG331" i="36"/>
  <c r="AG330" i="36"/>
  <c r="W329" i="36"/>
  <c r="AC329" i="36" s="1"/>
  <c r="W328" i="36"/>
  <c r="AC328" i="36" s="1"/>
  <c r="W327" i="36"/>
  <c r="AC327" i="36" s="1"/>
  <c r="AC326" i="36"/>
  <c r="X326" i="36"/>
  <c r="W326" i="36"/>
  <c r="AC325" i="36"/>
  <c r="AC324" i="36"/>
  <c r="X324" i="36"/>
  <c r="W323" i="36"/>
  <c r="W322" i="36"/>
  <c r="X322" i="36" s="1"/>
  <c r="AC322" i="36" s="1"/>
  <c r="X321" i="36"/>
  <c r="AC321" i="36" s="1"/>
  <c r="X320" i="36"/>
  <c r="AC320" i="36" s="1"/>
  <c r="AC319" i="36"/>
  <c r="X319" i="36"/>
  <c r="X318" i="36"/>
  <c r="AC318" i="36" s="1"/>
  <c r="AJ317" i="36"/>
  <c r="AI317" i="36"/>
  <c r="AH317" i="36"/>
  <c r="W317" i="36"/>
  <c r="AC317" i="36" s="1"/>
  <c r="AJ316" i="36"/>
  <c r="AI316" i="36"/>
  <c r="AH316" i="36"/>
  <c r="X316" i="36"/>
  <c r="AC316" i="36" s="1"/>
  <c r="W316" i="36"/>
  <c r="W315" i="36"/>
  <c r="W314" i="36"/>
  <c r="W313" i="36"/>
  <c r="W312" i="36"/>
  <c r="W311" i="36"/>
  <c r="W310" i="36"/>
  <c r="W309" i="36"/>
  <c r="W308" i="36"/>
  <c r="AG307" i="36"/>
  <c r="W307" i="36"/>
  <c r="X306" i="36"/>
  <c r="W306" i="36"/>
  <c r="AG305" i="36"/>
  <c r="W305" i="36"/>
  <c r="W304" i="36"/>
  <c r="W303" i="36"/>
  <c r="W302" i="36"/>
  <c r="W301" i="36"/>
  <c r="W300" i="36"/>
  <c r="W299" i="36"/>
  <c r="W298" i="36"/>
  <c r="W297" i="36"/>
  <c r="W296" i="36"/>
  <c r="W295" i="36"/>
  <c r="W294" i="36"/>
  <c r="W293" i="36"/>
  <c r="W292" i="36"/>
  <c r="W291" i="36"/>
  <c r="W290" i="36"/>
  <c r="W289" i="36"/>
  <c r="W288" i="36"/>
  <c r="W287" i="36"/>
  <c r="W286" i="36"/>
  <c r="AJ284" i="36"/>
  <c r="AG284" i="36"/>
  <c r="X284" i="36"/>
  <c r="W284" i="36"/>
  <c r="W283" i="36"/>
  <c r="W282" i="36"/>
  <c r="X282" i="36" s="1"/>
  <c r="AC282" i="36" s="1"/>
  <c r="AJ281" i="36"/>
  <c r="AI281" i="36"/>
  <c r="W281" i="36"/>
  <c r="AG280" i="36"/>
  <c r="W280" i="36"/>
  <c r="AC279" i="36"/>
  <c r="W279" i="36"/>
  <c r="X279" i="36" s="1"/>
  <c r="AC278" i="36"/>
  <c r="X278" i="36"/>
  <c r="W278" i="36"/>
  <c r="AG277" i="36"/>
  <c r="AC277" i="36"/>
  <c r="X277" i="36"/>
  <c r="W277" i="36"/>
  <c r="AG276" i="36"/>
  <c r="AC276" i="36"/>
  <c r="X276" i="36"/>
  <c r="W276" i="36"/>
  <c r="AG275" i="36"/>
  <c r="AC275" i="36"/>
  <c r="X275" i="36"/>
  <c r="W275" i="36"/>
  <c r="W274" i="36"/>
  <c r="W273" i="36"/>
  <c r="AC272" i="36"/>
  <c r="W271" i="36"/>
  <c r="J271" i="36"/>
  <c r="J269" i="36" s="1"/>
  <c r="J264" i="36" s="1"/>
  <c r="W270" i="36"/>
  <c r="AJ269" i="36"/>
  <c r="AJ264" i="36" s="1"/>
  <c r="AH269" i="36"/>
  <c r="AF269" i="36"/>
  <c r="AG269" i="36" s="1"/>
  <c r="AE269" i="36"/>
  <c r="AD269" i="36"/>
  <c r="AB269" i="36"/>
  <c r="AA269" i="36"/>
  <c r="Z269" i="36"/>
  <c r="V269" i="36"/>
  <c r="U269" i="36"/>
  <c r="T269" i="36"/>
  <c r="S269" i="36"/>
  <c r="R269" i="36"/>
  <c r="Q269" i="36"/>
  <c r="P269" i="36"/>
  <c r="O269" i="36"/>
  <c r="N269" i="36"/>
  <c r="M269" i="36"/>
  <c r="L269" i="36"/>
  <c r="K269" i="36"/>
  <c r="I269" i="36"/>
  <c r="H269" i="36"/>
  <c r="G269" i="36"/>
  <c r="X268" i="36"/>
  <c r="AC268" i="36" s="1"/>
  <c r="AC267" i="36"/>
  <c r="X267" i="36"/>
  <c r="W266" i="36"/>
  <c r="AJ265" i="36"/>
  <c r="AI265" i="36"/>
  <c r="AH265" i="36"/>
  <c r="AH264" i="36" s="1"/>
  <c r="AF265" i="36"/>
  <c r="AF264" i="36" s="1"/>
  <c r="AG264" i="36" s="1"/>
  <c r="AE265" i="36"/>
  <c r="AD265" i="36"/>
  <c r="AB265" i="36"/>
  <c r="AB264" i="36" s="1"/>
  <c r="AA265" i="36"/>
  <c r="Z265" i="36"/>
  <c r="Y265" i="36"/>
  <c r="V265" i="36"/>
  <c r="U265" i="36"/>
  <c r="U264" i="36" s="1"/>
  <c r="T265" i="36"/>
  <c r="T264" i="36" s="1"/>
  <c r="S265" i="36"/>
  <c r="R265" i="36"/>
  <c r="Q265" i="36"/>
  <c r="Q264" i="36" s="1"/>
  <c r="P265" i="36"/>
  <c r="P264" i="36" s="1"/>
  <c r="O265" i="36"/>
  <c r="N265" i="36"/>
  <c r="M265" i="36"/>
  <c r="M264" i="36" s="1"/>
  <c r="L265" i="36"/>
  <c r="L264" i="36" s="1"/>
  <c r="K265" i="36"/>
  <c r="J265" i="36"/>
  <c r="I265" i="36"/>
  <c r="H265" i="36"/>
  <c r="H264" i="36" s="1"/>
  <c r="G265" i="36"/>
  <c r="AE264" i="36"/>
  <c r="AE249" i="36" s="1"/>
  <c r="AD264" i="36"/>
  <c r="AA264" i="36"/>
  <c r="AA249" i="36" s="1"/>
  <c r="Z264" i="36"/>
  <c r="V264" i="36"/>
  <c r="S264" i="36"/>
  <c r="R264" i="36"/>
  <c r="O264" i="36"/>
  <c r="O249" i="36" s="1"/>
  <c r="N264" i="36"/>
  <c r="N249" i="36" s="1"/>
  <c r="K264" i="36"/>
  <c r="K249" i="36" s="1"/>
  <c r="G264" i="36"/>
  <c r="AG263" i="36"/>
  <c r="AG262" i="36"/>
  <c r="W262" i="36"/>
  <c r="V262" i="36"/>
  <c r="AG261" i="36"/>
  <c r="AG260" i="36"/>
  <c r="T260" i="36"/>
  <c r="W260" i="36" s="1"/>
  <c r="AJ259" i="36"/>
  <c r="AI259" i="36"/>
  <c r="AH259" i="36"/>
  <c r="AG259" i="36"/>
  <c r="AF259" i="36"/>
  <c r="AE259" i="36"/>
  <c r="AD259" i="36"/>
  <c r="AB259" i="36"/>
  <c r="AA259" i="36"/>
  <c r="Z259" i="36"/>
  <c r="Y259" i="36"/>
  <c r="V259" i="36"/>
  <c r="U259" i="36"/>
  <c r="T259" i="36"/>
  <c r="S259" i="36"/>
  <c r="R259" i="36"/>
  <c r="Q259" i="36"/>
  <c r="P259" i="36"/>
  <c r="O259" i="36"/>
  <c r="N259" i="36"/>
  <c r="M259" i="36"/>
  <c r="L259" i="36"/>
  <c r="K259" i="36"/>
  <c r="J259" i="36"/>
  <c r="I259" i="36"/>
  <c r="H259" i="36"/>
  <c r="G259" i="36"/>
  <c r="AG258" i="36"/>
  <c r="AC258" i="36"/>
  <c r="X258" i="36"/>
  <c r="AG257" i="36"/>
  <c r="AJ256" i="36"/>
  <c r="AG256" i="36"/>
  <c r="AC256" i="36"/>
  <c r="X256" i="36"/>
  <c r="T256" i="36"/>
  <c r="AG255" i="36"/>
  <c r="AC255" i="36"/>
  <c r="X255" i="36"/>
  <c r="V255" i="36"/>
  <c r="T255" i="36"/>
  <c r="T250" i="36" s="1"/>
  <c r="T249" i="36" s="1"/>
  <c r="AG254" i="36"/>
  <c r="X254" i="36"/>
  <c r="AC254" i="36" s="1"/>
  <c r="V254" i="36"/>
  <c r="U254" i="36"/>
  <c r="T254" i="36"/>
  <c r="AG253" i="36"/>
  <c r="X253" i="36"/>
  <c r="AC253" i="36" s="1"/>
  <c r="U253" i="36"/>
  <c r="AG252" i="36"/>
  <c r="V252" i="36"/>
  <c r="U252" i="36"/>
  <c r="J252" i="36"/>
  <c r="J250" i="36" s="1"/>
  <c r="I252" i="36"/>
  <c r="H252" i="36"/>
  <c r="AJ251" i="36"/>
  <c r="AG251" i="36"/>
  <c r="X251" i="36"/>
  <c r="AC251" i="36" s="1"/>
  <c r="V251" i="36"/>
  <c r="V250" i="36" s="1"/>
  <c r="AJ250" i="36"/>
  <c r="AJ249" i="36" s="1"/>
  <c r="AI250" i="36"/>
  <c r="AH250" i="36"/>
  <c r="AF250" i="36"/>
  <c r="AF249" i="36" s="1"/>
  <c r="AE250" i="36"/>
  <c r="AD250" i="36"/>
  <c r="AB250" i="36"/>
  <c r="AB249" i="36" s="1"/>
  <c r="AA250" i="36"/>
  <c r="Z250" i="36"/>
  <c r="Y250" i="36"/>
  <c r="S250" i="36"/>
  <c r="R250" i="36"/>
  <c r="Q250" i="36"/>
  <c r="P250" i="36"/>
  <c r="P249" i="36" s="1"/>
  <c r="O250" i="36"/>
  <c r="N250" i="36"/>
  <c r="M250" i="36"/>
  <c r="L250" i="36"/>
  <c r="L249" i="36" s="1"/>
  <c r="K250" i="36"/>
  <c r="I250" i="36"/>
  <c r="H250" i="36"/>
  <c r="G250" i="36"/>
  <c r="AH249" i="36"/>
  <c r="AD249" i="36"/>
  <c r="Z249" i="36"/>
  <c r="V249" i="36"/>
  <c r="S249" i="36"/>
  <c r="R249" i="36"/>
  <c r="J249" i="36"/>
  <c r="G249" i="36"/>
  <c r="AG248" i="36"/>
  <c r="W248" i="36"/>
  <c r="AG247" i="36"/>
  <c r="AD247" i="36"/>
  <c r="W247" i="36"/>
  <c r="AD246" i="36"/>
  <c r="AG246" i="36" s="1"/>
  <c r="X246" i="36"/>
  <c r="AC246" i="36" s="1"/>
  <c r="W246" i="36"/>
  <c r="J246" i="36"/>
  <c r="AJ245" i="36"/>
  <c r="AI245" i="36"/>
  <c r="AH245" i="36"/>
  <c r="AF245" i="36"/>
  <c r="AG245" i="36" s="1"/>
  <c r="AE245" i="36"/>
  <c r="AD245" i="36"/>
  <c r="AB245" i="36"/>
  <c r="AA245" i="36"/>
  <c r="Z245" i="36"/>
  <c r="Y245" i="36"/>
  <c r="W245" i="36"/>
  <c r="V245" i="36"/>
  <c r="U245" i="36"/>
  <c r="T245" i="36"/>
  <c r="S245" i="36"/>
  <c r="R245" i="36"/>
  <c r="Q245" i="36"/>
  <c r="P245" i="36"/>
  <c r="O245" i="36"/>
  <c r="N245" i="36"/>
  <c r="M245" i="36"/>
  <c r="L245" i="36"/>
  <c r="K245" i="36"/>
  <c r="I245" i="36"/>
  <c r="H245" i="36"/>
  <c r="J245" i="36" s="1"/>
  <c r="J241" i="36" s="1"/>
  <c r="G245" i="36"/>
  <c r="AG244" i="36"/>
  <c r="W244" i="36"/>
  <c r="AD243" i="36"/>
  <c r="AC243" i="36"/>
  <c r="W243" i="36"/>
  <c r="X243" i="36" s="1"/>
  <c r="AJ242" i="36"/>
  <c r="AJ241" i="36" s="1"/>
  <c r="AI242" i="36"/>
  <c r="AI241" i="36" s="1"/>
  <c r="AH242" i="36"/>
  <c r="AE242" i="36"/>
  <c r="AE241" i="36" s="1"/>
  <c r="AB242" i="36"/>
  <c r="AB241" i="36" s="1"/>
  <c r="AA242" i="36"/>
  <c r="AA241" i="36" s="1"/>
  <c r="Z242" i="36"/>
  <c r="Y242" i="36"/>
  <c r="V242" i="36"/>
  <c r="U242" i="36"/>
  <c r="T242" i="36"/>
  <c r="T241" i="36" s="1"/>
  <c r="S242" i="36"/>
  <c r="S241" i="36" s="1"/>
  <c r="R242" i="36"/>
  <c r="Q242" i="36"/>
  <c r="P242" i="36"/>
  <c r="P241" i="36" s="1"/>
  <c r="O242" i="36"/>
  <c r="O241" i="36" s="1"/>
  <c r="N242" i="36"/>
  <c r="M242" i="36"/>
  <c r="L242" i="36"/>
  <c r="L241" i="36" s="1"/>
  <c r="K242" i="36"/>
  <c r="K241" i="36" s="1"/>
  <c r="J242" i="36"/>
  <c r="I242" i="36"/>
  <c r="H242" i="36"/>
  <c r="H241" i="36" s="1"/>
  <c r="G242" i="36"/>
  <c r="G241" i="36" s="1"/>
  <c r="AH241" i="36"/>
  <c r="Z241" i="36"/>
  <c r="Y241" i="36"/>
  <c r="V241" i="36"/>
  <c r="U241" i="36"/>
  <c r="R241" i="36"/>
  <c r="Q241" i="36"/>
  <c r="N241" i="36"/>
  <c r="M241" i="36"/>
  <c r="I241" i="36"/>
  <c r="AG240" i="36"/>
  <c r="AG239" i="36"/>
  <c r="W239" i="36"/>
  <c r="AG238" i="36"/>
  <c r="X238" i="36"/>
  <c r="AC238" i="36" s="1"/>
  <c r="W238" i="36"/>
  <c r="AG237" i="36"/>
  <c r="X237" i="36"/>
  <c r="AC237" i="36" s="1"/>
  <c r="W237" i="36"/>
  <c r="AF236" i="36"/>
  <c r="AG236" i="36" s="1"/>
  <c r="AC236" i="36"/>
  <c r="W236" i="36"/>
  <c r="X236" i="36" s="1"/>
  <c r="AF235" i="36"/>
  <c r="AG235" i="36" s="1"/>
  <c r="X235" i="36"/>
  <c r="AC235" i="36" s="1"/>
  <c r="J235" i="36"/>
  <c r="AG234" i="36"/>
  <c r="AF234" i="36"/>
  <c r="AC234" i="36"/>
  <c r="X234" i="36"/>
  <c r="W234" i="36"/>
  <c r="J234" i="36"/>
  <c r="I234" i="36"/>
  <c r="I230" i="36" s="1"/>
  <c r="I196" i="36" s="1"/>
  <c r="I195" i="36" s="1"/>
  <c r="H234" i="36"/>
  <c r="AG233" i="36"/>
  <c r="W233" i="36"/>
  <c r="AG232" i="36"/>
  <c r="W232" i="36"/>
  <c r="AD231" i="36"/>
  <c r="X231" i="36"/>
  <c r="AC231" i="36" s="1"/>
  <c r="W231" i="36"/>
  <c r="J231" i="36"/>
  <c r="J230" i="36" s="1"/>
  <c r="AJ230" i="36"/>
  <c r="AI230" i="36"/>
  <c r="AH230" i="36"/>
  <c r="AE230" i="36"/>
  <c r="AB230" i="36"/>
  <c r="AA230" i="36"/>
  <c r="Z230" i="36"/>
  <c r="Y230" i="36"/>
  <c r="V230" i="36"/>
  <c r="U230" i="36"/>
  <c r="T230" i="36"/>
  <c r="S230" i="36"/>
  <c r="R230" i="36"/>
  <c r="Q230" i="36"/>
  <c r="Q196" i="36" s="1"/>
  <c r="Q195" i="36" s="1"/>
  <c r="P230" i="36"/>
  <c r="O230" i="36"/>
  <c r="N230" i="36"/>
  <c r="M230" i="36"/>
  <c r="L230" i="36"/>
  <c r="K230" i="36"/>
  <c r="H230" i="36"/>
  <c r="G230" i="36"/>
  <c r="AG229" i="36"/>
  <c r="AG228" i="36"/>
  <c r="AC228" i="36"/>
  <c r="X228" i="36"/>
  <c r="W228" i="36"/>
  <c r="AG227" i="36"/>
  <c r="AC227" i="36"/>
  <c r="X227" i="36"/>
  <c r="W227" i="36"/>
  <c r="AG226" i="36"/>
  <c r="AC226" i="36"/>
  <c r="X226" i="36"/>
  <c r="W226" i="36"/>
  <c r="AG225" i="36"/>
  <c r="AC225" i="36"/>
  <c r="X225" i="36"/>
  <c r="W225" i="36"/>
  <c r="AG224" i="36"/>
  <c r="AC224" i="36"/>
  <c r="X224" i="36"/>
  <c r="W224" i="36"/>
  <c r="AF223" i="36"/>
  <c r="AF214" i="36" s="1"/>
  <c r="AC223" i="36"/>
  <c r="W223" i="36"/>
  <c r="X223" i="36" s="1"/>
  <c r="AG222" i="36"/>
  <c r="AC222" i="36"/>
  <c r="W222" i="36"/>
  <c r="X222" i="36" s="1"/>
  <c r="AD221" i="36"/>
  <c r="AG221" i="36" s="1"/>
  <c r="X221" i="36"/>
  <c r="AC221" i="36" s="1"/>
  <c r="AG220" i="36"/>
  <c r="AD220" i="36"/>
  <c r="W220" i="36"/>
  <c r="AG219" i="36"/>
  <c r="AD219" i="36"/>
  <c r="X219" i="36"/>
  <c r="W219" i="36"/>
  <c r="AC219" i="36" s="1"/>
  <c r="AG218" i="36"/>
  <c r="X218" i="36"/>
  <c r="W218" i="36"/>
  <c r="AC218" i="36" s="1"/>
  <c r="AG217" i="36"/>
  <c r="X217" i="36"/>
  <c r="AC217" i="36" s="1"/>
  <c r="AG216" i="36"/>
  <c r="W216" i="36"/>
  <c r="AG215" i="36"/>
  <c r="AF215" i="36"/>
  <c r="AD215" i="36"/>
  <c r="X215" i="36"/>
  <c r="AJ214" i="36"/>
  <c r="AI214" i="36"/>
  <c r="AH214" i="36"/>
  <c r="AE214" i="36"/>
  <c r="AB214" i="36"/>
  <c r="AA214" i="36"/>
  <c r="Z214" i="36"/>
  <c r="Y214" i="36"/>
  <c r="W214" i="36"/>
  <c r="V214" i="36"/>
  <c r="U214" i="36"/>
  <c r="T214" i="36"/>
  <c r="S214" i="36"/>
  <c r="R214" i="36"/>
  <c r="Q214" i="36"/>
  <c r="P214" i="36"/>
  <c r="O214" i="36"/>
  <c r="N214" i="36"/>
  <c r="M214" i="36"/>
  <c r="L214" i="36"/>
  <c r="K214" i="36"/>
  <c r="J214" i="36"/>
  <c r="I214" i="36"/>
  <c r="H214" i="36"/>
  <c r="G214" i="36"/>
  <c r="AG213" i="36"/>
  <c r="W213" i="36"/>
  <c r="X213" i="36" s="1"/>
  <c r="AG212" i="36"/>
  <c r="AF212" i="36"/>
  <c r="AF211" i="36" s="1"/>
  <c r="AG211" i="36" s="1"/>
  <c r="X212" i="36"/>
  <c r="AC212" i="36" s="1"/>
  <c r="AJ211" i="36"/>
  <c r="AI211" i="36"/>
  <c r="AI196" i="36" s="1"/>
  <c r="AI195" i="36" s="1"/>
  <c r="AH211" i="36"/>
  <c r="AE211" i="36"/>
  <c r="AD211" i="36"/>
  <c r="AB211" i="36"/>
  <c r="AA211" i="36"/>
  <c r="AA196" i="36" s="1"/>
  <c r="AA195" i="36" s="1"/>
  <c r="Z211" i="36"/>
  <c r="Y211" i="36"/>
  <c r="X211" i="36"/>
  <c r="W211" i="36"/>
  <c r="AC211" i="36" s="1"/>
  <c r="V211" i="36"/>
  <c r="U211" i="36"/>
  <c r="T211" i="36"/>
  <c r="S211" i="36"/>
  <c r="S196" i="36" s="1"/>
  <c r="S195" i="36" s="1"/>
  <c r="R211" i="36"/>
  <c r="Q211" i="36"/>
  <c r="P211" i="36"/>
  <c r="O211" i="36"/>
  <c r="N211" i="36"/>
  <c r="M211" i="36"/>
  <c r="L211" i="36"/>
  <c r="K211" i="36"/>
  <c r="K196" i="36" s="1"/>
  <c r="K195" i="36" s="1"/>
  <c r="J211" i="36"/>
  <c r="I211" i="36"/>
  <c r="H211" i="36"/>
  <c r="G211" i="36"/>
  <c r="AG210" i="36"/>
  <c r="W210" i="36"/>
  <c r="W209" i="36" s="1"/>
  <c r="AJ209" i="36"/>
  <c r="AI209" i="36"/>
  <c r="AH209" i="36"/>
  <c r="AG209" i="36"/>
  <c r="AF209" i="36"/>
  <c r="AE209" i="36"/>
  <c r="AD209" i="36"/>
  <c r="AB209" i="36"/>
  <c r="AA209" i="36"/>
  <c r="Z209" i="36"/>
  <c r="Y209" i="36"/>
  <c r="V209" i="36"/>
  <c r="U209" i="36"/>
  <c r="T209" i="36"/>
  <c r="S209" i="36"/>
  <c r="R209" i="36"/>
  <c r="Q209" i="36"/>
  <c r="P209" i="36"/>
  <c r="O209" i="36"/>
  <c r="N209" i="36"/>
  <c r="M209" i="36"/>
  <c r="L209" i="36"/>
  <c r="K209" i="36"/>
  <c r="J209" i="36"/>
  <c r="I209" i="36"/>
  <c r="H209" i="36"/>
  <c r="G209" i="36"/>
  <c r="X208" i="36"/>
  <c r="AC208" i="36" s="1"/>
  <c r="W208" i="36"/>
  <c r="AC207" i="36"/>
  <c r="AG206" i="36"/>
  <c r="W206" i="36"/>
  <c r="X206" i="36" s="1"/>
  <c r="AG205" i="36"/>
  <c r="W205" i="36"/>
  <c r="X205" i="36" s="1"/>
  <c r="AJ204" i="36"/>
  <c r="AI204" i="36"/>
  <c r="AH204" i="36"/>
  <c r="AF204" i="36"/>
  <c r="AG204" i="36" s="1"/>
  <c r="AE204" i="36"/>
  <c r="AD204" i="36"/>
  <c r="AB204" i="36"/>
  <c r="AA204" i="36"/>
  <c r="Z204" i="36"/>
  <c r="Y204" i="36"/>
  <c r="X204" i="36"/>
  <c r="W204" i="36"/>
  <c r="AC204" i="36" s="1"/>
  <c r="V204" i="36"/>
  <c r="U204" i="36"/>
  <c r="T204" i="36"/>
  <c r="S204" i="36"/>
  <c r="R204" i="36"/>
  <c r="Q204" i="36"/>
  <c r="P204" i="36"/>
  <c r="O204" i="36"/>
  <c r="N204" i="36"/>
  <c r="M204" i="36"/>
  <c r="L204" i="36"/>
  <c r="K204" i="36"/>
  <c r="J204" i="36"/>
  <c r="I204" i="36"/>
  <c r="H204" i="36"/>
  <c r="G204" i="36"/>
  <c r="AF203" i="36"/>
  <c r="AG203" i="36" s="1"/>
  <c r="AJ202" i="36"/>
  <c r="AI202" i="36"/>
  <c r="AH202" i="36"/>
  <c r="AG202" i="36"/>
  <c r="AF202" i="36"/>
  <c r="AE202" i="36"/>
  <c r="AD202" i="36"/>
  <c r="AB202" i="36"/>
  <c r="AA202" i="36"/>
  <c r="Z202" i="36"/>
  <c r="AG201" i="36"/>
  <c r="W201" i="36"/>
  <c r="AD200" i="36"/>
  <c r="AG200" i="36" s="1"/>
  <c r="X200" i="36"/>
  <c r="AC200" i="36" s="1"/>
  <c r="W200" i="36"/>
  <c r="AG199" i="36"/>
  <c r="AD199" i="36"/>
  <c r="W199" i="36"/>
  <c r="X199" i="36" s="1"/>
  <c r="AG198" i="36"/>
  <c r="AD198" i="36"/>
  <c r="W198" i="36"/>
  <c r="AJ197" i="36"/>
  <c r="AI197" i="36"/>
  <c r="AH197" i="36"/>
  <c r="AH196" i="36" s="1"/>
  <c r="AH195" i="36" s="1"/>
  <c r="AG197" i="36"/>
  <c r="AF197" i="36"/>
  <c r="AE197" i="36"/>
  <c r="AD197" i="36"/>
  <c r="AB197" i="36"/>
  <c r="AA197" i="36"/>
  <c r="Z197" i="36"/>
  <c r="Y197" i="36"/>
  <c r="Y196" i="36" s="1"/>
  <c r="Y195" i="36" s="1"/>
  <c r="V197" i="36"/>
  <c r="U197" i="36"/>
  <c r="T197" i="36"/>
  <c r="T196" i="36" s="1"/>
  <c r="T195" i="36" s="1"/>
  <c r="S197" i="36"/>
  <c r="R197" i="36"/>
  <c r="Q197" i="36"/>
  <c r="P197" i="36"/>
  <c r="P196" i="36" s="1"/>
  <c r="P195" i="36" s="1"/>
  <c r="O197" i="36"/>
  <c r="N197" i="36"/>
  <c r="M197" i="36"/>
  <c r="M196" i="36" s="1"/>
  <c r="M195" i="36" s="1"/>
  <c r="L197" i="36"/>
  <c r="L196" i="36" s="1"/>
  <c r="L195" i="36" s="1"/>
  <c r="K197" i="36"/>
  <c r="J197" i="36"/>
  <c r="H197" i="36"/>
  <c r="G197" i="36"/>
  <c r="G196" i="36" s="1"/>
  <c r="AE196" i="36"/>
  <c r="AE195" i="36" s="1"/>
  <c r="Z196" i="36"/>
  <c r="Z195" i="36" s="1"/>
  <c r="V196" i="36"/>
  <c r="U196" i="36"/>
  <c r="U195" i="36" s="1"/>
  <c r="R196" i="36"/>
  <c r="R195" i="36" s="1"/>
  <c r="O196" i="36"/>
  <c r="O195" i="36" s="1"/>
  <c r="N196" i="36"/>
  <c r="J196" i="36"/>
  <c r="J195" i="36" s="1"/>
  <c r="G195" i="36"/>
  <c r="AG194" i="36"/>
  <c r="X194" i="36"/>
  <c r="AC194" i="36" s="1"/>
  <c r="J194" i="36"/>
  <c r="I194" i="36"/>
  <c r="H194" i="36"/>
  <c r="AG193" i="36"/>
  <c r="AC193" i="36"/>
  <c r="W193" i="36"/>
  <c r="X193" i="36" s="1"/>
  <c r="AJ192" i="36"/>
  <c r="AI192" i="36"/>
  <c r="AH192" i="36"/>
  <c r="AF192" i="36"/>
  <c r="AG192" i="36" s="1"/>
  <c r="AE192" i="36"/>
  <c r="AD192" i="36"/>
  <c r="AB192" i="36"/>
  <c r="AA192" i="36"/>
  <c r="Z192" i="36"/>
  <c r="Y192" i="36"/>
  <c r="X192" i="36"/>
  <c r="W192" i="36"/>
  <c r="AC192" i="36" s="1"/>
  <c r="V192" i="36"/>
  <c r="U192" i="36"/>
  <c r="T192" i="36"/>
  <c r="S192" i="36"/>
  <c r="R192" i="36"/>
  <c r="Q192" i="36"/>
  <c r="O192" i="36"/>
  <c r="N192" i="36"/>
  <c r="M192" i="36"/>
  <c r="L192" i="36"/>
  <c r="K192" i="36"/>
  <c r="J192" i="36"/>
  <c r="I192" i="36"/>
  <c r="H192" i="36"/>
  <c r="G192" i="36"/>
  <c r="AG191" i="36"/>
  <c r="AF191" i="36"/>
  <c r="X191" i="36"/>
  <c r="AC191" i="36" s="1"/>
  <c r="J191" i="36"/>
  <c r="J190" i="36" s="1"/>
  <c r="H191" i="36"/>
  <c r="AJ190" i="36"/>
  <c r="AI190" i="36"/>
  <c r="AH190" i="36"/>
  <c r="AF190" i="36"/>
  <c r="AG190" i="36" s="1"/>
  <c r="AE190" i="36"/>
  <c r="AD190" i="36"/>
  <c r="AB190" i="36"/>
  <c r="AA190" i="36"/>
  <c r="Z190" i="36"/>
  <c r="Y190" i="36"/>
  <c r="X190" i="36"/>
  <c r="W190" i="36"/>
  <c r="V190" i="36"/>
  <c r="U190" i="36"/>
  <c r="T190" i="36"/>
  <c r="S190" i="36"/>
  <c r="R190" i="36"/>
  <c r="Q190" i="36"/>
  <c r="O190" i="36"/>
  <c r="N190" i="36"/>
  <c r="M190" i="36"/>
  <c r="L190" i="36"/>
  <c r="K190" i="36"/>
  <c r="I190" i="36"/>
  <c r="H190" i="36"/>
  <c r="G190" i="36"/>
  <c r="AG189" i="36"/>
  <c r="AF189" i="36"/>
  <c r="AD189" i="36"/>
  <c r="AC189" i="36"/>
  <c r="X189" i="36"/>
  <c r="W189" i="36"/>
  <c r="J189" i="36"/>
  <c r="I189" i="36"/>
  <c r="I187" i="36" s="1"/>
  <c r="H189" i="36"/>
  <c r="AG188" i="36"/>
  <c r="X188" i="36"/>
  <c r="AC188" i="36" s="1"/>
  <c r="AJ187" i="36"/>
  <c r="AI187" i="36"/>
  <c r="AH187" i="36"/>
  <c r="AF187" i="36"/>
  <c r="AF167" i="36" s="1"/>
  <c r="AE187" i="36"/>
  <c r="AD187" i="36"/>
  <c r="AB187" i="36"/>
  <c r="AB167" i="36" s="1"/>
  <c r="AB166" i="36" s="1"/>
  <c r="AA187" i="36"/>
  <c r="Z187" i="36"/>
  <c r="Y187" i="36"/>
  <c r="X187" i="36"/>
  <c r="W187" i="36"/>
  <c r="AC187" i="36" s="1"/>
  <c r="V187" i="36"/>
  <c r="U187" i="36"/>
  <c r="T187" i="36"/>
  <c r="S187" i="36"/>
  <c r="R187" i="36"/>
  <c r="Q187" i="36"/>
  <c r="P187" i="36"/>
  <c r="P167" i="36" s="1"/>
  <c r="P166" i="36" s="1"/>
  <c r="O187" i="36"/>
  <c r="N187" i="36"/>
  <c r="M187" i="36"/>
  <c r="L187" i="36"/>
  <c r="L167" i="36" s="1"/>
  <c r="L166" i="36" s="1"/>
  <c r="K187" i="36"/>
  <c r="J187" i="36"/>
  <c r="H187" i="36"/>
  <c r="H167" i="36" s="1"/>
  <c r="H166" i="36" s="1"/>
  <c r="G187" i="36"/>
  <c r="AG186" i="36"/>
  <c r="X186" i="36"/>
  <c r="X185" i="36" s="1"/>
  <c r="AC185" i="36" s="1"/>
  <c r="AJ185" i="36"/>
  <c r="AI185" i="36"/>
  <c r="AH185" i="36"/>
  <c r="AG185" i="36"/>
  <c r="AF185" i="36"/>
  <c r="AE185" i="36"/>
  <c r="AD185" i="36"/>
  <c r="AB185" i="36"/>
  <c r="AA185" i="36"/>
  <c r="Z185" i="36"/>
  <c r="Y185" i="36"/>
  <c r="W185" i="36"/>
  <c r="V185" i="36"/>
  <c r="U185" i="36"/>
  <c r="T185" i="36"/>
  <c r="S185" i="36"/>
  <c r="R185" i="36"/>
  <c r="Q185" i="36"/>
  <c r="P185" i="36"/>
  <c r="O185" i="36"/>
  <c r="N185" i="36"/>
  <c r="M185" i="36"/>
  <c r="L185" i="36"/>
  <c r="K185" i="36"/>
  <c r="J185" i="36"/>
  <c r="I185" i="36"/>
  <c r="H185" i="36"/>
  <c r="G185" i="36"/>
  <c r="AG183" i="36"/>
  <c r="AG182" i="36"/>
  <c r="AG181" i="36"/>
  <c r="W180" i="36"/>
  <c r="W179" i="36"/>
  <c r="Y178" i="36"/>
  <c r="X178" i="36"/>
  <c r="W178" i="36"/>
  <c r="X177" i="36"/>
  <c r="W177" i="36"/>
  <c r="Y177" i="36" s="1"/>
  <c r="W176" i="36"/>
  <c r="W175" i="36"/>
  <c r="AC174" i="36"/>
  <c r="X174" i="36"/>
  <c r="X173" i="36"/>
  <c r="W173" i="36"/>
  <c r="AC173" i="36" s="1"/>
  <c r="X172" i="36"/>
  <c r="AC172" i="36" s="1"/>
  <c r="J172" i="36"/>
  <c r="AC171" i="36"/>
  <c r="X171" i="36"/>
  <c r="U171" i="36"/>
  <c r="J171" i="36"/>
  <c r="AJ170" i="36"/>
  <c r="AJ168" i="36" s="1"/>
  <c r="AJ167" i="36" s="1"/>
  <c r="AJ166" i="36" s="1"/>
  <c r="AD170" i="36"/>
  <c r="AG170" i="36" s="1"/>
  <c r="AC170" i="36"/>
  <c r="X170" i="36"/>
  <c r="V170" i="36"/>
  <c r="U170" i="36"/>
  <c r="U168" i="36" s="1"/>
  <c r="U167" i="36" s="1"/>
  <c r="U166" i="36" s="1"/>
  <c r="T170" i="36"/>
  <c r="T168" i="36" s="1"/>
  <c r="T167" i="36" s="1"/>
  <c r="T166" i="36" s="1"/>
  <c r="S170" i="36"/>
  <c r="R170" i="36"/>
  <c r="Q170" i="36"/>
  <c r="Q168" i="36" s="1"/>
  <c r="Q167" i="36" s="1"/>
  <c r="Q166" i="36" s="1"/>
  <c r="J170" i="36"/>
  <c r="J168" i="36" s="1"/>
  <c r="J167" i="36" s="1"/>
  <c r="J166" i="36" s="1"/>
  <c r="I170" i="36"/>
  <c r="I168" i="36" s="1"/>
  <c r="I167" i="36" s="1"/>
  <c r="I166" i="36" s="1"/>
  <c r="H170" i="36"/>
  <c r="Y169" i="36"/>
  <c r="X169" i="36"/>
  <c r="AC169" i="36" s="1"/>
  <c r="W169" i="36"/>
  <c r="AI168" i="36"/>
  <c r="AI167" i="36" s="1"/>
  <c r="AI166" i="36" s="1"/>
  <c r="AH168" i="36"/>
  <c r="AH167" i="36" s="1"/>
  <c r="AH166" i="36" s="1"/>
  <c r="AF168" i="36"/>
  <c r="AG168" i="36" s="1"/>
  <c r="AE168" i="36"/>
  <c r="AE167" i="36" s="1"/>
  <c r="AE166" i="36" s="1"/>
  <c r="AD168" i="36"/>
  <c r="AD167" i="36" s="1"/>
  <c r="AD166" i="36" s="1"/>
  <c r="AB168" i="36"/>
  <c r="AA168" i="36"/>
  <c r="AA167" i="36" s="1"/>
  <c r="AA166" i="36" s="1"/>
  <c r="Z168" i="36"/>
  <c r="Z167" i="36" s="1"/>
  <c r="Z166" i="36" s="1"/>
  <c r="W168" i="36"/>
  <c r="V168" i="36"/>
  <c r="V167" i="36" s="1"/>
  <c r="V166" i="36" s="1"/>
  <c r="S168" i="36"/>
  <c r="S167" i="36" s="1"/>
  <c r="S166" i="36" s="1"/>
  <c r="R168" i="36"/>
  <c r="R167" i="36" s="1"/>
  <c r="R166" i="36" s="1"/>
  <c r="P168" i="36"/>
  <c r="O168" i="36"/>
  <c r="O167" i="36" s="1"/>
  <c r="O166" i="36" s="1"/>
  <c r="N168" i="36"/>
  <c r="N167" i="36" s="1"/>
  <c r="N166" i="36" s="1"/>
  <c r="M168" i="36"/>
  <c r="L168" i="36"/>
  <c r="K168" i="36"/>
  <c r="K167" i="36" s="1"/>
  <c r="K166" i="36" s="1"/>
  <c r="H168" i="36"/>
  <c r="G168" i="36"/>
  <c r="G167" i="36" s="1"/>
  <c r="M167" i="36"/>
  <c r="M166" i="36" s="1"/>
  <c r="AG165" i="36"/>
  <c r="W165" i="36"/>
  <c r="AJ164" i="36"/>
  <c r="AI164" i="36"/>
  <c r="AH164" i="36"/>
  <c r="AG164" i="36"/>
  <c r="AF164" i="36"/>
  <c r="AE164" i="36"/>
  <c r="AD164" i="36"/>
  <c r="Y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H164" i="36"/>
  <c r="G164" i="36"/>
  <c r="AF163" i="36"/>
  <c r="AF161" i="36" s="1"/>
  <c r="AG161" i="36" s="1"/>
  <c r="AD163" i="36"/>
  <c r="W163" i="36"/>
  <c r="AG162" i="36"/>
  <c r="AD162" i="36"/>
  <c r="X162" i="36"/>
  <c r="W162" i="36"/>
  <c r="AC162" i="36" s="1"/>
  <c r="AJ161" i="36"/>
  <c r="AI161" i="36"/>
  <c r="AH161" i="36"/>
  <c r="AE161" i="36"/>
  <c r="AD161" i="36"/>
  <c r="AB161" i="36"/>
  <c r="AA161" i="36"/>
  <c r="Z161" i="36"/>
  <c r="Y161" i="36"/>
  <c r="V161" i="36"/>
  <c r="U161" i="36"/>
  <c r="T161" i="36"/>
  <c r="S161" i="36"/>
  <c r="R161" i="36"/>
  <c r="Q161" i="36"/>
  <c r="P161" i="36"/>
  <c r="O161" i="36"/>
  <c r="N161" i="36"/>
  <c r="M161" i="36"/>
  <c r="L161" i="36"/>
  <c r="K161" i="36"/>
  <c r="J161" i="36"/>
  <c r="I161" i="36"/>
  <c r="H161" i="36"/>
  <c r="G161" i="36"/>
  <c r="AJ160" i="36"/>
  <c r="AJ159" i="36" s="1"/>
  <c r="AG160" i="36"/>
  <c r="AF160" i="36"/>
  <c r="X160" i="36"/>
  <c r="W160" i="36"/>
  <c r="AC160" i="36" s="1"/>
  <c r="P160" i="36"/>
  <c r="J160" i="36"/>
  <c r="I160" i="36"/>
  <c r="H160" i="36"/>
  <c r="AI159" i="36"/>
  <c r="AH159" i="36"/>
  <c r="AD158" i="36"/>
  <c r="AF158" i="36" s="1"/>
  <c r="AC158" i="36"/>
  <c r="X158" i="36"/>
  <c r="X157" i="36" s="1"/>
  <c r="W158" i="36"/>
  <c r="AJ157" i="36"/>
  <c r="AI157" i="36"/>
  <c r="AH157" i="36"/>
  <c r="AE157" i="36"/>
  <c r="AD157" i="36"/>
  <c r="AB157" i="36"/>
  <c r="AA157" i="36"/>
  <c r="Z157" i="36"/>
  <c r="Y157" i="36"/>
  <c r="W157" i="36"/>
  <c r="AC157" i="36" s="1"/>
  <c r="V157" i="36"/>
  <c r="U157" i="36"/>
  <c r="T157" i="36"/>
  <c r="S157" i="36"/>
  <c r="R157" i="36"/>
  <c r="Q157" i="36"/>
  <c r="P157" i="36"/>
  <c r="O157" i="36"/>
  <c r="N157" i="36"/>
  <c r="M157" i="36"/>
  <c r="L157" i="36"/>
  <c r="K157" i="36"/>
  <c r="J157" i="36"/>
  <c r="I157" i="36"/>
  <c r="H157" i="36"/>
  <c r="G157" i="36"/>
  <c r="AG156" i="36"/>
  <c r="AD156" i="36"/>
  <c r="X156" i="36"/>
  <c r="W156" i="36"/>
  <c r="AC156" i="36" s="1"/>
  <c r="AD155" i="36"/>
  <c r="AG155" i="36" s="1"/>
  <c r="AC155" i="36"/>
  <c r="X155" i="36"/>
  <c r="AD154" i="36"/>
  <c r="AG154" i="36" s="1"/>
  <c r="AC154" i="36"/>
  <c r="X154" i="36"/>
  <c r="W154" i="36"/>
  <c r="AD153" i="36"/>
  <c r="AG153" i="36" s="1"/>
  <c r="W153" i="36"/>
  <c r="X153" i="36" s="1"/>
  <c r="AC153" i="36" s="1"/>
  <c r="AG152" i="36"/>
  <c r="AD152" i="36"/>
  <c r="W152" i="36"/>
  <c r="AG151" i="36"/>
  <c r="AD151" i="36"/>
  <c r="X151" i="36"/>
  <c r="W151" i="36"/>
  <c r="AC151" i="36" s="1"/>
  <c r="AG150" i="36"/>
  <c r="X150" i="36"/>
  <c r="W150" i="36"/>
  <c r="AC150" i="36" s="1"/>
  <c r="AD149" i="36"/>
  <c r="AG149" i="36" s="1"/>
  <c r="AC149" i="36"/>
  <c r="X149" i="36"/>
  <c r="J149" i="36"/>
  <c r="I149" i="36"/>
  <c r="H149" i="36"/>
  <c r="H147" i="36" s="1"/>
  <c r="AG148" i="36"/>
  <c r="AD148" i="36"/>
  <c r="X148" i="36"/>
  <c r="W148" i="36"/>
  <c r="AC148" i="36" s="1"/>
  <c r="AJ147" i="36"/>
  <c r="AI147" i="36"/>
  <c r="AH147" i="36"/>
  <c r="AF147" i="36"/>
  <c r="AE147" i="36"/>
  <c r="AD147" i="36"/>
  <c r="AG147" i="36" s="1"/>
  <c r="AB147" i="36"/>
  <c r="AA147" i="36"/>
  <c r="Z147" i="36"/>
  <c r="Y147" i="36"/>
  <c r="V147" i="36"/>
  <c r="U147" i="36"/>
  <c r="T147" i="36"/>
  <c r="S147" i="36"/>
  <c r="R147" i="36"/>
  <c r="Q147" i="36"/>
  <c r="P147" i="36"/>
  <c r="O147" i="36"/>
  <c r="N147" i="36"/>
  <c r="M147" i="36"/>
  <c r="L147" i="36"/>
  <c r="K147" i="36"/>
  <c r="J147" i="36"/>
  <c r="I147" i="36"/>
  <c r="G147" i="36"/>
  <c r="AG146" i="36"/>
  <c r="AF146" i="36"/>
  <c r="W146" i="36"/>
  <c r="AD145" i="36"/>
  <c r="AF145" i="36" s="1"/>
  <c r="AG145" i="36" s="1"/>
  <c r="AC145" i="36"/>
  <c r="X145" i="36"/>
  <c r="W145" i="36"/>
  <c r="AF144" i="36"/>
  <c r="AG144" i="36" s="1"/>
  <c r="W144" i="36"/>
  <c r="X144" i="36" s="1"/>
  <c r="AC144" i="36" s="1"/>
  <c r="AG143" i="36"/>
  <c r="AF143" i="36"/>
  <c r="AD143" i="36"/>
  <c r="X143" i="36"/>
  <c r="W143" i="36"/>
  <c r="AC143" i="36" s="1"/>
  <c r="AF142" i="36"/>
  <c r="AG142" i="36" s="1"/>
  <c r="AC142" i="36"/>
  <c r="X142" i="36"/>
  <c r="W142" i="36"/>
  <c r="AF141" i="36"/>
  <c r="AD141" i="36"/>
  <c r="AD140" i="36" s="1"/>
  <c r="W141" i="36"/>
  <c r="AJ140" i="36"/>
  <c r="AI140" i="36"/>
  <c r="AH140" i="36"/>
  <c r="AE140" i="36"/>
  <c r="AB140" i="36"/>
  <c r="AA140" i="36"/>
  <c r="Z140" i="36"/>
  <c r="Y140" i="36"/>
  <c r="V140" i="36"/>
  <c r="U140" i="36"/>
  <c r="T140" i="36"/>
  <c r="S140" i="36"/>
  <c r="R140" i="36"/>
  <c r="Q140" i="36"/>
  <c r="P140" i="36"/>
  <c r="O140" i="36"/>
  <c r="N140" i="36"/>
  <c r="M140" i="36"/>
  <c r="L140" i="36"/>
  <c r="K140" i="36"/>
  <c r="J140" i="36"/>
  <c r="I140" i="36"/>
  <c r="H140" i="36"/>
  <c r="G140" i="36"/>
  <c r="AG139" i="36"/>
  <c r="AC139" i="36"/>
  <c r="X139" i="36"/>
  <c r="W139" i="36"/>
  <c r="J139" i="36"/>
  <c r="AG138" i="36"/>
  <c r="W138" i="36"/>
  <c r="X138" i="36" s="1"/>
  <c r="AC138" i="36" s="1"/>
  <c r="AJ137" i="36"/>
  <c r="AI137" i="36"/>
  <c r="AH137" i="36"/>
  <c r="AF137" i="36"/>
  <c r="AG137" i="36" s="1"/>
  <c r="AE137" i="36"/>
  <c r="AD137" i="36"/>
  <c r="AB137" i="36"/>
  <c r="AA137" i="36"/>
  <c r="Z137" i="36"/>
  <c r="Y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AD136" i="36"/>
  <c r="W136" i="36"/>
  <c r="X136" i="36" s="1"/>
  <c r="AC136" i="36" s="1"/>
  <c r="AJ135" i="36"/>
  <c r="AI135" i="36"/>
  <c r="AH135" i="36"/>
  <c r="AE135" i="36"/>
  <c r="AB135" i="36"/>
  <c r="AA135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AD134" i="36"/>
  <c r="AG134" i="36" s="1"/>
  <c r="AG133" i="36"/>
  <c r="AD133" i="36"/>
  <c r="W133" i="36"/>
  <c r="AD132" i="36"/>
  <c r="AF132" i="36" s="1"/>
  <c r="AC132" i="36"/>
  <c r="X132" i="36"/>
  <c r="W132" i="36"/>
  <c r="AD131" i="36"/>
  <c r="AG131" i="36" s="1"/>
  <c r="AC131" i="36"/>
  <c r="X131" i="36"/>
  <c r="I131" i="36"/>
  <c r="H131" i="36"/>
  <c r="H129" i="36" s="1"/>
  <c r="AG130" i="36"/>
  <c r="AJ129" i="36"/>
  <c r="AI129" i="36"/>
  <c r="AH129" i="36"/>
  <c r="AE129" i="36"/>
  <c r="AD129" i="36"/>
  <c r="AB129" i="36"/>
  <c r="AA129" i="36"/>
  <c r="Z129" i="36"/>
  <c r="Y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G129" i="36"/>
  <c r="AG128" i="36"/>
  <c r="AG127" i="36"/>
  <c r="AD126" i="36"/>
  <c r="AG126" i="36" s="1"/>
  <c r="AC126" i="36"/>
  <c r="X126" i="36"/>
  <c r="W126" i="36"/>
  <c r="AJ125" i="36"/>
  <c r="AG125" i="36"/>
  <c r="AF125" i="36"/>
  <c r="AD125" i="36"/>
  <c r="X125" i="36"/>
  <c r="X123" i="36" s="1"/>
  <c r="W125" i="36"/>
  <c r="AC125" i="36" s="1"/>
  <c r="AD124" i="36"/>
  <c r="AG124" i="36" s="1"/>
  <c r="AC124" i="36"/>
  <c r="X124" i="36"/>
  <c r="W124" i="36"/>
  <c r="AJ123" i="36"/>
  <c r="AI123" i="36"/>
  <c r="AH123" i="36"/>
  <c r="AF123" i="36"/>
  <c r="AG123" i="36" s="1"/>
  <c r="AE123" i="36"/>
  <c r="AD123" i="36"/>
  <c r="AB123" i="36"/>
  <c r="AA123" i="36"/>
  <c r="Z123" i="36"/>
  <c r="Y123" i="36"/>
  <c r="W123" i="36"/>
  <c r="AC123" i="36" s="1"/>
  <c r="V123" i="36"/>
  <c r="U123" i="36"/>
  <c r="T123" i="36"/>
  <c r="S123" i="36"/>
  <c r="R123" i="36"/>
  <c r="Q123" i="36"/>
  <c r="P123" i="36"/>
  <c r="O123" i="36"/>
  <c r="N123" i="36"/>
  <c r="M123" i="36"/>
  <c r="L123" i="36"/>
  <c r="K123" i="36"/>
  <c r="J123" i="36"/>
  <c r="I123" i="36"/>
  <c r="H123" i="36"/>
  <c r="G123" i="36"/>
  <c r="AJ122" i="36"/>
  <c r="AJ121" i="36"/>
  <c r="AF120" i="36"/>
  <c r="AG120" i="36" s="1"/>
  <c r="AD120" i="36"/>
  <c r="W120" i="36"/>
  <c r="AG119" i="36"/>
  <c r="AD119" i="36"/>
  <c r="X119" i="36"/>
  <c r="W119" i="36"/>
  <c r="AC119" i="36" s="1"/>
  <c r="AD118" i="36"/>
  <c r="AG118" i="36" s="1"/>
  <c r="AC118" i="36"/>
  <c r="X118" i="36"/>
  <c r="AD117" i="36"/>
  <c r="AG117" i="36" s="1"/>
  <c r="AC117" i="36"/>
  <c r="X117" i="36"/>
  <c r="W117" i="36"/>
  <c r="AD116" i="36"/>
  <c r="W116" i="36"/>
  <c r="AG115" i="36"/>
  <c r="AF115" i="36"/>
  <c r="AD115" i="36"/>
  <c r="X115" i="36"/>
  <c r="W115" i="36"/>
  <c r="AG114" i="36"/>
  <c r="X114" i="36"/>
  <c r="AC114" i="36" s="1"/>
  <c r="J114" i="36"/>
  <c r="I114" i="36"/>
  <c r="H114" i="36"/>
  <c r="AJ113" i="36"/>
  <c r="AI113" i="36"/>
  <c r="AH113" i="36"/>
  <c r="AE113" i="36"/>
  <c r="AB113" i="36"/>
  <c r="AA113" i="36"/>
  <c r="Z113" i="36"/>
  <c r="Y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AG112" i="36"/>
  <c r="AD112" i="36"/>
  <c r="AC112" i="36"/>
  <c r="X112" i="36"/>
  <c r="W112" i="36"/>
  <c r="AD111" i="36"/>
  <c r="AG111" i="36" s="1"/>
  <c r="AC111" i="36"/>
  <c r="X111" i="36"/>
  <c r="W111" i="36"/>
  <c r="AG110" i="36"/>
  <c r="AD110" i="36"/>
  <c r="AD109" i="36" s="1"/>
  <c r="W110" i="36"/>
  <c r="AJ109" i="36"/>
  <c r="AI109" i="36"/>
  <c r="AH109" i="36"/>
  <c r="AG109" i="36"/>
  <c r="AF109" i="36"/>
  <c r="AE109" i="36"/>
  <c r="AB109" i="36"/>
  <c r="AA109" i="36"/>
  <c r="Z109" i="36"/>
  <c r="Y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AD108" i="36"/>
  <c r="X108" i="36"/>
  <c r="AC108" i="36" s="1"/>
  <c r="W108" i="36"/>
  <c r="AJ107" i="36"/>
  <c r="AI107" i="36"/>
  <c r="AH107" i="36"/>
  <c r="AF107" i="36"/>
  <c r="AE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AG106" i="36"/>
  <c r="AD106" i="36"/>
  <c r="AC106" i="36"/>
  <c r="W106" i="36"/>
  <c r="X106" i="36" s="1"/>
  <c r="X105" i="36" s="1"/>
  <c r="AJ105" i="36"/>
  <c r="AI105" i="36"/>
  <c r="AH105" i="36"/>
  <c r="AF105" i="36"/>
  <c r="AE105" i="36"/>
  <c r="AD105" i="36"/>
  <c r="AG105" i="36" s="1"/>
  <c r="AB105" i="36"/>
  <c r="AA105" i="36"/>
  <c r="Z105" i="36"/>
  <c r="Y105" i="36"/>
  <c r="W105" i="36"/>
  <c r="AC105" i="36" s="1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AD104" i="36"/>
  <c r="AG104" i="36" s="1"/>
  <c r="X104" i="36"/>
  <c r="W104" i="36"/>
  <c r="AC104" i="36" s="1"/>
  <c r="AG103" i="36"/>
  <c r="AD103" i="36"/>
  <c r="AC103" i="36"/>
  <c r="X103" i="36"/>
  <c r="I103" i="36"/>
  <c r="H103" i="36"/>
  <c r="AJ102" i="36"/>
  <c r="AI102" i="36"/>
  <c r="AH102" i="36"/>
  <c r="AF102" i="36"/>
  <c r="AG102" i="36" s="1"/>
  <c r="AE102" i="36"/>
  <c r="AD102" i="36"/>
  <c r="AB102" i="36"/>
  <c r="AA102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AG101" i="36"/>
  <c r="AD101" i="36"/>
  <c r="AC101" i="36"/>
  <c r="W101" i="36"/>
  <c r="X101" i="36" s="1"/>
  <c r="AD100" i="36"/>
  <c r="AG100" i="36" s="1"/>
  <c r="X100" i="36"/>
  <c r="AC100" i="36" s="1"/>
  <c r="W100" i="36"/>
  <c r="AG99" i="36"/>
  <c r="AD99" i="36"/>
  <c r="AC99" i="36"/>
  <c r="X99" i="36"/>
  <c r="AG98" i="36"/>
  <c r="AD98" i="36"/>
  <c r="W98" i="36"/>
  <c r="AD97" i="36"/>
  <c r="AG97" i="36" s="1"/>
  <c r="X97" i="36"/>
  <c r="W97" i="36"/>
  <c r="AJ96" i="36"/>
  <c r="AI96" i="36"/>
  <c r="AH96" i="36"/>
  <c r="AF96" i="36"/>
  <c r="AE96" i="36"/>
  <c r="AD96" i="36"/>
  <c r="AB96" i="36"/>
  <c r="AA96" i="36"/>
  <c r="Z96" i="36"/>
  <c r="Y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AG95" i="36"/>
  <c r="AD95" i="36"/>
  <c r="W95" i="36"/>
  <c r="AD94" i="36"/>
  <c r="AG94" i="36" s="1"/>
  <c r="X94" i="36"/>
  <c r="W94" i="36"/>
  <c r="AJ93" i="36"/>
  <c r="AD93" i="36"/>
  <c r="AG93" i="36" s="1"/>
  <c r="X93" i="36"/>
  <c r="AC93" i="36" s="1"/>
  <c r="W93" i="36"/>
  <c r="AJ92" i="36"/>
  <c r="AJ91" i="36" s="1"/>
  <c r="AD92" i="36"/>
  <c r="AG92" i="36" s="1"/>
  <c r="X92" i="36"/>
  <c r="W92" i="36"/>
  <c r="AI91" i="36"/>
  <c r="AH91" i="36"/>
  <c r="AF91" i="36"/>
  <c r="AE91" i="36"/>
  <c r="AB91" i="36"/>
  <c r="AA91" i="36"/>
  <c r="Z91" i="36"/>
  <c r="Y91" i="36"/>
  <c r="V91" i="36"/>
  <c r="U91" i="36"/>
  <c r="T91" i="36"/>
  <c r="S91" i="36"/>
  <c r="R91" i="36"/>
  <c r="Q91" i="36"/>
  <c r="P91" i="36"/>
  <c r="O91" i="36"/>
  <c r="N91" i="36"/>
  <c r="M91" i="36"/>
  <c r="L91" i="36"/>
  <c r="K91" i="36"/>
  <c r="J91" i="36"/>
  <c r="I91" i="36"/>
  <c r="H91" i="36"/>
  <c r="G91" i="36"/>
  <c r="AG90" i="36"/>
  <c r="AD90" i="36"/>
  <c r="W90" i="36"/>
  <c r="X90" i="36" s="1"/>
  <c r="AD89" i="36"/>
  <c r="AG89" i="36" s="1"/>
  <c r="X89" i="36"/>
  <c r="W89" i="36"/>
  <c r="AG88" i="36"/>
  <c r="AD88" i="36"/>
  <c r="AC88" i="36"/>
  <c r="W88" i="36"/>
  <c r="X88" i="36" s="1"/>
  <c r="AD87" i="36"/>
  <c r="AG87" i="36" s="1"/>
  <c r="AC87" i="36"/>
  <c r="X87" i="36"/>
  <c r="W87" i="36"/>
  <c r="AD86" i="36"/>
  <c r="AG86" i="36" s="1"/>
  <c r="W86" i="36"/>
  <c r="AG85" i="36"/>
  <c r="AD85" i="36"/>
  <c r="W85" i="36"/>
  <c r="AG84" i="36"/>
  <c r="AD84" i="36"/>
  <c r="V84" i="36"/>
  <c r="U84" i="36"/>
  <c r="T84" i="36"/>
  <c r="T82" i="36" s="1"/>
  <c r="T65" i="36" s="1"/>
  <c r="S84" i="36"/>
  <c r="S82" i="36" s="1"/>
  <c r="S65" i="36" s="1"/>
  <c r="R84" i="36"/>
  <c r="Q84" i="36"/>
  <c r="W84" i="36" s="1"/>
  <c r="AG83" i="36"/>
  <c r="AD83" i="36"/>
  <c r="W83" i="36"/>
  <c r="AJ82" i="36"/>
  <c r="AI82" i="36"/>
  <c r="AH82" i="36"/>
  <c r="AF82" i="36"/>
  <c r="AE82" i="36"/>
  <c r="AB82" i="36"/>
  <c r="AA82" i="36"/>
  <c r="Z82" i="36"/>
  <c r="Y82" i="36"/>
  <c r="V82" i="36"/>
  <c r="U82" i="36"/>
  <c r="R82" i="36"/>
  <c r="Q82" i="36"/>
  <c r="P82" i="36"/>
  <c r="O82" i="36"/>
  <c r="N82" i="36"/>
  <c r="M82" i="36"/>
  <c r="L82" i="36"/>
  <c r="K82" i="36"/>
  <c r="J82" i="36"/>
  <c r="I82" i="36"/>
  <c r="H82" i="36"/>
  <c r="G82" i="36"/>
  <c r="AD79" i="36"/>
  <c r="AG79" i="36" s="1"/>
  <c r="AC79" i="36"/>
  <c r="X79" i="36"/>
  <c r="AF78" i="36"/>
  <c r="AG78" i="36" s="1"/>
  <c r="AD78" i="36"/>
  <c r="X78" i="36"/>
  <c r="AC78" i="36" s="1"/>
  <c r="AG77" i="36"/>
  <c r="AD77" i="36"/>
  <c r="X77" i="36"/>
  <c r="AC77" i="36" s="1"/>
  <c r="AG76" i="36"/>
  <c r="AD76" i="36"/>
  <c r="X76" i="36"/>
  <c r="AC76" i="36" s="1"/>
  <c r="AG75" i="36"/>
  <c r="AD75" i="36"/>
  <c r="AD74" i="36" s="1"/>
  <c r="X75" i="36"/>
  <c r="AC75" i="36" s="1"/>
  <c r="AJ74" i="36"/>
  <c r="AI74" i="36"/>
  <c r="AH74" i="36"/>
  <c r="AF74" i="36"/>
  <c r="AE74" i="36"/>
  <c r="AB74" i="36"/>
  <c r="AA74" i="36"/>
  <c r="Z74" i="36"/>
  <c r="Y74" i="36"/>
  <c r="X74" i="36"/>
  <c r="AC74" i="36" s="1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AD73" i="36"/>
  <c r="AG73" i="36" s="1"/>
  <c r="AC73" i="36"/>
  <c r="X73" i="36"/>
  <c r="W73" i="36"/>
  <c r="AF72" i="36"/>
  <c r="AF66" i="36" s="1"/>
  <c r="AD72" i="36"/>
  <c r="W72" i="36"/>
  <c r="AG71" i="36"/>
  <c r="AD71" i="36"/>
  <c r="X71" i="36"/>
  <c r="AC71" i="36" s="1"/>
  <c r="W71" i="36"/>
  <c r="AD70" i="36"/>
  <c r="AG70" i="36" s="1"/>
  <c r="AC70" i="36"/>
  <c r="X70" i="36"/>
  <c r="W70" i="36"/>
  <c r="AD69" i="36"/>
  <c r="AG69" i="36" s="1"/>
  <c r="W69" i="36"/>
  <c r="AG68" i="36"/>
  <c r="AD68" i="36"/>
  <c r="W68" i="36"/>
  <c r="AG67" i="36"/>
  <c r="AD67" i="36"/>
  <c r="X67" i="36"/>
  <c r="AJ66" i="36"/>
  <c r="AI66" i="36"/>
  <c r="AH66" i="36"/>
  <c r="AE66" i="36"/>
  <c r="AB66" i="36"/>
  <c r="AA66" i="36"/>
  <c r="Z66" i="36"/>
  <c r="Y66" i="36"/>
  <c r="Y65" i="36" s="1"/>
  <c r="V66" i="36"/>
  <c r="U66" i="36"/>
  <c r="U65" i="36" s="1"/>
  <c r="T66" i="36"/>
  <c r="S66" i="36"/>
  <c r="R66" i="36"/>
  <c r="Q66" i="36"/>
  <c r="Q65" i="36" s="1"/>
  <c r="P66" i="36"/>
  <c r="O66" i="36"/>
  <c r="N66" i="36"/>
  <c r="M66" i="36"/>
  <c r="M65" i="36" s="1"/>
  <c r="L66" i="36"/>
  <c r="K66" i="36"/>
  <c r="J66" i="36"/>
  <c r="I66" i="36"/>
  <c r="I65" i="36" s="1"/>
  <c r="H66" i="36"/>
  <c r="G66" i="36"/>
  <c r="AJ65" i="36"/>
  <c r="AI65" i="36"/>
  <c r="AH65" i="36"/>
  <c r="AE65" i="36"/>
  <c r="AB65" i="36"/>
  <c r="AA65" i="36"/>
  <c r="Z65" i="36"/>
  <c r="V65" i="36"/>
  <c r="R65" i="36"/>
  <c r="P65" i="36"/>
  <c r="O65" i="36"/>
  <c r="N65" i="36"/>
  <c r="L65" i="36"/>
  <c r="K65" i="36"/>
  <c r="J65" i="36"/>
  <c r="H65" i="36"/>
  <c r="G65" i="36"/>
  <c r="AJ64" i="36"/>
  <c r="AJ63" i="36" s="1"/>
  <c r="AJ47" i="36" s="1"/>
  <c r="AJ46" i="36" s="1"/>
  <c r="AG62" i="36"/>
  <c r="AC62" i="36"/>
  <c r="X62" i="36"/>
  <c r="W62" i="36"/>
  <c r="AG61" i="36"/>
  <c r="AC61" i="36"/>
  <c r="X61" i="36"/>
  <c r="W61" i="36"/>
  <c r="AG60" i="36"/>
  <c r="AC60" i="36"/>
  <c r="X60" i="36"/>
  <c r="W60" i="36"/>
  <c r="AD59" i="36"/>
  <c r="AG59" i="36" s="1"/>
  <c r="W59" i="36"/>
  <c r="AG58" i="36"/>
  <c r="AD58" i="36"/>
  <c r="W58" i="36"/>
  <c r="AG57" i="36"/>
  <c r="W57" i="36"/>
  <c r="AG56" i="36"/>
  <c r="W56" i="36"/>
  <c r="W53" i="36" s="1"/>
  <c r="AD55" i="36"/>
  <c r="AF55" i="36" s="1"/>
  <c r="AC55" i="36"/>
  <c r="X55" i="36"/>
  <c r="W55" i="36"/>
  <c r="AD54" i="36"/>
  <c r="AD53" i="36" s="1"/>
  <c r="W54" i="36"/>
  <c r="AJ53" i="36"/>
  <c r="AI53" i="36"/>
  <c r="AH53" i="36"/>
  <c r="AE53" i="36"/>
  <c r="AB53" i="36"/>
  <c r="AA53" i="36"/>
  <c r="Z53" i="36"/>
  <c r="Y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G166" i="36" s="1"/>
  <c r="AD52" i="36"/>
  <c r="AG52" i="36" s="1"/>
  <c r="AC52" i="36"/>
  <c r="X52" i="36"/>
  <c r="W52" i="36"/>
  <c r="AG51" i="36"/>
  <c r="AC51" i="36"/>
  <c r="X51" i="36"/>
  <c r="W51" i="36"/>
  <c r="AJ50" i="36"/>
  <c r="AG50" i="36"/>
  <c r="AF50" i="36"/>
  <c r="AD50" i="36"/>
  <c r="X50" i="36"/>
  <c r="W50" i="36"/>
  <c r="AC50" i="36" s="1"/>
  <c r="AD49" i="36"/>
  <c r="AD48" i="36" s="1"/>
  <c r="AD47" i="36" s="1"/>
  <c r="V49" i="36"/>
  <c r="V48" i="36" s="1"/>
  <c r="V47" i="36" s="1"/>
  <c r="V46" i="36" s="1"/>
  <c r="U49" i="36"/>
  <c r="U48" i="36" s="1"/>
  <c r="U47" i="36" s="1"/>
  <c r="U46" i="36" s="1"/>
  <c r="T49" i="36"/>
  <c r="AJ48" i="36"/>
  <c r="AI48" i="36"/>
  <c r="AI47" i="36" s="1"/>
  <c r="AI46" i="36" s="1"/>
  <c r="AH48" i="36"/>
  <c r="AH47" i="36" s="1"/>
  <c r="AH46" i="36" s="1"/>
  <c r="AE48" i="36"/>
  <c r="AE47" i="36" s="1"/>
  <c r="AE46" i="36" s="1"/>
  <c r="AB48" i="36"/>
  <c r="AA48" i="36"/>
  <c r="AA47" i="36" s="1"/>
  <c r="AA46" i="36" s="1"/>
  <c r="Z48" i="36"/>
  <c r="Z47" i="36" s="1"/>
  <c r="Z46" i="36" s="1"/>
  <c r="Z5" i="36" s="1"/>
  <c r="Y48" i="36"/>
  <c r="T48" i="36"/>
  <c r="S48" i="36"/>
  <c r="S47" i="36" s="1"/>
  <c r="S46" i="36" s="1"/>
  <c r="R48" i="36"/>
  <c r="R47" i="36" s="1"/>
  <c r="R46" i="36" s="1"/>
  <c r="R5" i="36" s="1"/>
  <c r="Q48" i="36"/>
  <c r="P48" i="36"/>
  <c r="O48" i="36"/>
  <c r="O47" i="36" s="1"/>
  <c r="O46" i="36" s="1"/>
  <c r="N48" i="36"/>
  <c r="N47" i="36" s="1"/>
  <c r="N46" i="36" s="1"/>
  <c r="M48" i="36"/>
  <c r="L48" i="36"/>
  <c r="K48" i="36"/>
  <c r="K47" i="36" s="1"/>
  <c r="K46" i="36" s="1"/>
  <c r="J48" i="36"/>
  <c r="J47" i="36" s="1"/>
  <c r="J46" i="36" s="1"/>
  <c r="J5" i="36" s="1"/>
  <c r="I48" i="36"/>
  <c r="H48" i="36"/>
  <c r="G48" i="36"/>
  <c r="G47" i="36" s="1"/>
  <c r="AB47" i="36"/>
  <c r="AB46" i="36" s="1"/>
  <c r="Y47" i="36"/>
  <c r="Y46" i="36" s="1"/>
  <c r="T47" i="36"/>
  <c r="T46" i="36" s="1"/>
  <c r="Q47" i="36"/>
  <c r="Q46" i="36" s="1"/>
  <c r="P47" i="36"/>
  <c r="P46" i="36" s="1"/>
  <c r="M47" i="36"/>
  <c r="L47" i="36"/>
  <c r="L46" i="36" s="1"/>
  <c r="I47" i="36"/>
  <c r="I46" i="36" s="1"/>
  <c r="H47" i="36"/>
  <c r="H46" i="36" s="1"/>
  <c r="G46" i="36"/>
  <c r="AG45" i="36"/>
  <c r="AC45" i="36"/>
  <c r="X45" i="36"/>
  <c r="AJ44" i="36"/>
  <c r="AJ43" i="36" s="1"/>
  <c r="AI44" i="36"/>
  <c r="AI43" i="36" s="1"/>
  <c r="AH44" i="36"/>
  <c r="AF44" i="36"/>
  <c r="AG44" i="36" s="1"/>
  <c r="AE44" i="36"/>
  <c r="AE43" i="36" s="1"/>
  <c r="AD44" i="36"/>
  <c r="Y44" i="36"/>
  <c r="Y43" i="36" s="1"/>
  <c r="X44" i="36"/>
  <c r="X43" i="36" s="1"/>
  <c r="W44" i="36"/>
  <c r="AC44" i="36" s="1"/>
  <c r="V44" i="36"/>
  <c r="U44" i="36"/>
  <c r="U43" i="36" s="1"/>
  <c r="T44" i="36"/>
  <c r="T43" i="36" s="1"/>
  <c r="S44" i="36"/>
  <c r="R44" i="36"/>
  <c r="Q44" i="36"/>
  <c r="Q43" i="36" s="1"/>
  <c r="P44" i="36"/>
  <c r="P43" i="36" s="1"/>
  <c r="O44" i="36"/>
  <c r="N44" i="36"/>
  <c r="M44" i="36"/>
  <c r="M43" i="36" s="1"/>
  <c r="L44" i="36"/>
  <c r="L43" i="36" s="1"/>
  <c r="K44" i="36"/>
  <c r="J44" i="36"/>
  <c r="I44" i="36"/>
  <c r="I43" i="36" s="1"/>
  <c r="H44" i="36"/>
  <c r="H43" i="36" s="1"/>
  <c r="G44" i="36"/>
  <c r="AH43" i="36"/>
  <c r="AD43" i="36"/>
  <c r="Z43" i="36"/>
  <c r="W43" i="36"/>
  <c r="V43" i="36"/>
  <c r="S43" i="36"/>
  <c r="R43" i="36"/>
  <c r="O43" i="36"/>
  <c r="N43" i="36"/>
  <c r="K43" i="36"/>
  <c r="J43" i="36"/>
  <c r="G43" i="36"/>
  <c r="W42" i="36"/>
  <c r="X42" i="36" s="1"/>
  <c r="AF41" i="36"/>
  <c r="AE41" i="36"/>
  <c r="AD41" i="36"/>
  <c r="AB41" i="36"/>
  <c r="AA41" i="36"/>
  <c r="Z41" i="36"/>
  <c r="Y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W40" i="36"/>
  <c r="AF39" i="36"/>
  <c r="AE39" i="36"/>
  <c r="AD39" i="36"/>
  <c r="AB39" i="36"/>
  <c r="AA39" i="36"/>
  <c r="Z39" i="36"/>
  <c r="Y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AD38" i="36"/>
  <c r="AF38" i="36" s="1"/>
  <c r="AC38" i="36"/>
  <c r="X38" i="36"/>
  <c r="X37" i="36" s="1"/>
  <c r="W38" i="36"/>
  <c r="AJ37" i="36"/>
  <c r="AI37" i="36"/>
  <c r="AH37" i="36"/>
  <c r="AE37" i="36"/>
  <c r="AD37" i="36"/>
  <c r="AB37" i="36"/>
  <c r="AA37" i="36"/>
  <c r="Z37" i="36"/>
  <c r="Y37" i="36"/>
  <c r="W37" i="36"/>
  <c r="V37" i="36"/>
  <c r="U37" i="36"/>
  <c r="T37" i="36"/>
  <c r="S37" i="36"/>
  <c r="R37" i="36"/>
  <c r="Q37" i="36"/>
  <c r="P37" i="36"/>
  <c r="O37" i="36"/>
  <c r="N37" i="36"/>
  <c r="M37" i="36"/>
  <c r="L37" i="36"/>
  <c r="K37" i="36"/>
  <c r="J37" i="36"/>
  <c r="I37" i="36"/>
  <c r="H37" i="36"/>
  <c r="G37" i="36"/>
  <c r="AD36" i="36"/>
  <c r="AF36" i="36" s="1"/>
  <c r="AC36" i="36"/>
  <c r="X36" i="36"/>
  <c r="X35" i="36" s="1"/>
  <c r="W36" i="36"/>
  <c r="AJ35" i="36"/>
  <c r="AI35" i="36"/>
  <c r="AH35" i="36"/>
  <c r="AE35" i="36"/>
  <c r="AD35" i="36"/>
  <c r="AB35" i="36"/>
  <c r="AA35" i="36"/>
  <c r="Z35" i="36"/>
  <c r="Y35" i="36"/>
  <c r="W35" i="36"/>
  <c r="AC35" i="36" s="1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AG34" i="36"/>
  <c r="AD34" i="36"/>
  <c r="X34" i="36"/>
  <c r="W34" i="36"/>
  <c r="AC34" i="36" s="1"/>
  <c r="AD33" i="36"/>
  <c r="AD31" i="36" s="1"/>
  <c r="AD30" i="36" s="1"/>
  <c r="W33" i="36"/>
  <c r="X33" i="36" s="1"/>
  <c r="AG32" i="36"/>
  <c r="AF32" i="36"/>
  <c r="AD32" i="36"/>
  <c r="X32" i="36"/>
  <c r="W32" i="36"/>
  <c r="AC32" i="36" s="1"/>
  <c r="I32" i="36"/>
  <c r="H32" i="36"/>
  <c r="AJ31" i="36"/>
  <c r="AJ30" i="36" s="1"/>
  <c r="AI31" i="36"/>
  <c r="AH31" i="36"/>
  <c r="AE31" i="36"/>
  <c r="AB31" i="36"/>
  <c r="AB30" i="36" s="1"/>
  <c r="AA31" i="36"/>
  <c r="Z31" i="36"/>
  <c r="Y31" i="36"/>
  <c r="W31" i="36"/>
  <c r="V31" i="36"/>
  <c r="U31" i="36"/>
  <c r="T31" i="36"/>
  <c r="T30" i="36" s="1"/>
  <c r="S31" i="36"/>
  <c r="R31" i="36"/>
  <c r="Q31" i="36"/>
  <c r="P31" i="36"/>
  <c r="P30" i="36" s="1"/>
  <c r="O31" i="36"/>
  <c r="N31" i="36"/>
  <c r="M31" i="36"/>
  <c r="L31" i="36"/>
  <c r="L30" i="36" s="1"/>
  <c r="K31" i="36"/>
  <c r="J31" i="36"/>
  <c r="I31" i="36"/>
  <c r="H31" i="36"/>
  <c r="H30" i="36" s="1"/>
  <c r="G31" i="36"/>
  <c r="AI30" i="36"/>
  <c r="AH30" i="36"/>
  <c r="AE30" i="36"/>
  <c r="AA30" i="36"/>
  <c r="Z30" i="36"/>
  <c r="Y30" i="36"/>
  <c r="V30" i="36"/>
  <c r="U30" i="36"/>
  <c r="S30" i="36"/>
  <c r="R30" i="36"/>
  <c r="Q30" i="36"/>
  <c r="O30" i="36"/>
  <c r="N30" i="36"/>
  <c r="M30" i="36"/>
  <c r="K30" i="36"/>
  <c r="J30" i="36"/>
  <c r="I30" i="36"/>
  <c r="G30" i="36"/>
  <c r="AG29" i="36"/>
  <c r="AD29" i="36"/>
  <c r="W29" i="36"/>
  <c r="AD28" i="36"/>
  <c r="AF28" i="36" s="1"/>
  <c r="V28" i="36"/>
  <c r="U28" i="36"/>
  <c r="T28" i="36"/>
  <c r="S28" i="36"/>
  <c r="R28" i="36"/>
  <c r="Q28" i="36"/>
  <c r="W28" i="36" s="1"/>
  <c r="AG27" i="36"/>
  <c r="AD27" i="36"/>
  <c r="X27" i="36"/>
  <c r="AJ26" i="36"/>
  <c r="AI26" i="36"/>
  <c r="AH26" i="36"/>
  <c r="AE26" i="36"/>
  <c r="AD26" i="36"/>
  <c r="AB26" i="36"/>
  <c r="AA26" i="36"/>
  <c r="Z26" i="36"/>
  <c r="Y26" i="36"/>
  <c r="V26" i="36"/>
  <c r="U26" i="36"/>
  <c r="T26" i="36"/>
  <c r="S26" i="36"/>
  <c r="R26" i="36"/>
  <c r="Q26" i="36"/>
  <c r="P26" i="36"/>
  <c r="O26" i="36"/>
  <c r="N26" i="36"/>
  <c r="M26" i="36"/>
  <c r="L26" i="36"/>
  <c r="K26" i="36"/>
  <c r="J26" i="36"/>
  <c r="I26" i="36"/>
  <c r="H26" i="36"/>
  <c r="G26" i="36"/>
  <c r="AD25" i="36"/>
  <c r="AG25" i="36" s="1"/>
  <c r="AC25" i="36"/>
  <c r="X25" i="36"/>
  <c r="AF24" i="36"/>
  <c r="AF23" i="36" s="1"/>
  <c r="AD24" i="36"/>
  <c r="W24" i="36"/>
  <c r="AJ23" i="36"/>
  <c r="AI23" i="36"/>
  <c r="AH23" i="36"/>
  <c r="AE23" i="36"/>
  <c r="AB23" i="36"/>
  <c r="AA23" i="36"/>
  <c r="Z23" i="36"/>
  <c r="Y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AF22" i="36"/>
  <c r="AG22" i="36" s="1"/>
  <c r="AG21" i="36"/>
  <c r="AF21" i="36"/>
  <c r="AF20" i="36"/>
  <c r="AG20" i="36" s="1"/>
  <c r="AC20" i="36"/>
  <c r="X20" i="36"/>
  <c r="V20" i="36"/>
  <c r="U20" i="36"/>
  <c r="T20" i="36"/>
  <c r="S20" i="36"/>
  <c r="R20" i="36"/>
  <c r="Q20" i="36"/>
  <c r="AG19" i="36"/>
  <c r="AF19" i="36"/>
  <c r="X19" i="36"/>
  <c r="W19" i="36"/>
  <c r="W16" i="36" s="1"/>
  <c r="V19" i="36"/>
  <c r="U19" i="36"/>
  <c r="T19" i="36"/>
  <c r="S19" i="36"/>
  <c r="R19" i="36"/>
  <c r="Q19" i="36"/>
  <c r="J19" i="36"/>
  <c r="I19" i="36"/>
  <c r="H19" i="36"/>
  <c r="AF18" i="36"/>
  <c r="AF16" i="36" s="1"/>
  <c r="AC18" i="36"/>
  <c r="X18" i="36"/>
  <c r="V18" i="36"/>
  <c r="U18" i="36"/>
  <c r="T18" i="36"/>
  <c r="S18" i="36"/>
  <c r="R18" i="36"/>
  <c r="Q18" i="36"/>
  <c r="AJ17" i="36"/>
  <c r="AF17" i="36"/>
  <c r="AG17" i="36" s="1"/>
  <c r="AC17" i="36"/>
  <c r="X17" i="36"/>
  <c r="V17" i="36"/>
  <c r="U17" i="36"/>
  <c r="T17" i="36"/>
  <c r="S17" i="36"/>
  <c r="S16" i="36" s="1"/>
  <c r="S15" i="36" s="1"/>
  <c r="R17" i="36"/>
  <c r="Q17" i="36"/>
  <c r="J17" i="36"/>
  <c r="AJ16" i="36"/>
  <c r="AI16" i="36"/>
  <c r="AH16" i="36"/>
  <c r="AE16" i="36"/>
  <c r="AD16" i="36"/>
  <c r="AB16" i="36"/>
  <c r="AA16" i="36"/>
  <c r="Z16" i="36"/>
  <c r="Y16" i="36"/>
  <c r="Y15" i="36" s="1"/>
  <c r="Y6" i="36" s="1"/>
  <c r="X16" i="36"/>
  <c r="V16" i="36"/>
  <c r="U16" i="36"/>
  <c r="U15" i="36" s="1"/>
  <c r="U6" i="36" s="1"/>
  <c r="T16" i="36"/>
  <c r="R16" i="36"/>
  <c r="Q16" i="36"/>
  <c r="Q15" i="36" s="1"/>
  <c r="Q6" i="36" s="1"/>
  <c r="P16" i="36"/>
  <c r="O16" i="36"/>
  <c r="N16" i="36"/>
  <c r="M16" i="36"/>
  <c r="M15" i="36" s="1"/>
  <c r="M6" i="36" s="1"/>
  <c r="L16" i="36"/>
  <c r="K16" i="36"/>
  <c r="J16" i="36"/>
  <c r="I16" i="36"/>
  <c r="I15" i="36" s="1"/>
  <c r="I6" i="36" s="1"/>
  <c r="H16" i="36"/>
  <c r="G16" i="36"/>
  <c r="AJ15" i="36"/>
  <c r="AI15" i="36"/>
  <c r="AH15" i="36"/>
  <c r="AE15" i="36"/>
  <c r="AB15" i="36"/>
  <c r="AA15" i="36"/>
  <c r="Z15" i="36"/>
  <c r="V15" i="36"/>
  <c r="T15" i="36"/>
  <c r="R15" i="36"/>
  <c r="P15" i="36"/>
  <c r="O15" i="36"/>
  <c r="N15" i="36"/>
  <c r="L15" i="36"/>
  <c r="K15" i="36"/>
  <c r="J15" i="36"/>
  <c r="H15" i="36"/>
  <c r="G15" i="36"/>
  <c r="AD14" i="36"/>
  <c r="AF14" i="36" s="1"/>
  <c r="AC14" i="36"/>
  <c r="X14" i="36"/>
  <c r="X13" i="36" s="1"/>
  <c r="W14" i="36"/>
  <c r="J14" i="36"/>
  <c r="I14" i="36"/>
  <c r="H14" i="36"/>
  <c r="AJ13" i="36"/>
  <c r="AI13" i="36"/>
  <c r="AH13" i="36"/>
  <c r="AE13" i="36"/>
  <c r="AD13" i="36"/>
  <c r="AB13" i="36"/>
  <c r="AA13" i="36"/>
  <c r="Z13" i="36"/>
  <c r="Y13" i="36"/>
  <c r="W13" i="36"/>
  <c r="AC13" i="36" s="1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H13" i="36"/>
  <c r="G13" i="36"/>
  <c r="AD12" i="36"/>
  <c r="AG12" i="36" s="1"/>
  <c r="W12" i="36"/>
  <c r="AG11" i="36"/>
  <c r="AD11" i="36"/>
  <c r="AJ10" i="36"/>
  <c r="AI10" i="36"/>
  <c r="AH10" i="36"/>
  <c r="AG10" i="36"/>
  <c r="AF10" i="36"/>
  <c r="AE10" i="36"/>
  <c r="AD10" i="36"/>
  <c r="AB10" i="36"/>
  <c r="AA10" i="36"/>
  <c r="Z10" i="36"/>
  <c r="Y10" i="36"/>
  <c r="V10" i="36"/>
  <c r="U10" i="36"/>
  <c r="T10" i="36"/>
  <c r="S10" i="36"/>
  <c r="R10" i="36"/>
  <c r="Q10" i="36"/>
  <c r="P10" i="36"/>
  <c r="O10" i="36"/>
  <c r="N10" i="36"/>
  <c r="M10" i="36"/>
  <c r="L10" i="36"/>
  <c r="W11" i="36" s="1"/>
  <c r="K10" i="36"/>
  <c r="J10" i="36"/>
  <c r="I10" i="36"/>
  <c r="H10" i="36"/>
  <c r="G10" i="36"/>
  <c r="AD9" i="36"/>
  <c r="AD8" i="36" s="1"/>
  <c r="AD7" i="36" s="1"/>
  <c r="W9" i="36"/>
  <c r="X9" i="36" s="1"/>
  <c r="AJ8" i="36"/>
  <c r="AI8" i="36"/>
  <c r="AI7" i="36" s="1"/>
  <c r="AI6" i="36" s="1"/>
  <c r="AH8" i="36"/>
  <c r="AF8" i="36"/>
  <c r="AE8" i="36"/>
  <c r="AE7" i="36" s="1"/>
  <c r="AE6" i="36" s="1"/>
  <c r="AE5" i="36" s="1"/>
  <c r="AB8" i="36"/>
  <c r="AA8" i="36"/>
  <c r="AA7" i="36" s="1"/>
  <c r="AA6" i="36" s="1"/>
  <c r="AA5" i="36" s="1"/>
  <c r="Z8" i="36"/>
  <c r="Y8" i="36"/>
  <c r="W8" i="36"/>
  <c r="V8" i="36"/>
  <c r="U8" i="36"/>
  <c r="T8" i="36"/>
  <c r="S8" i="36"/>
  <c r="S7" i="36" s="1"/>
  <c r="S6" i="36" s="1"/>
  <c r="S5" i="36" s="1"/>
  <c r="R8" i="36"/>
  <c r="Q8" i="36"/>
  <c r="P8" i="36"/>
  <c r="O8" i="36"/>
  <c r="O7" i="36" s="1"/>
  <c r="O6" i="36" s="1"/>
  <c r="O5" i="36" s="1"/>
  <c r="N8" i="36"/>
  <c r="M8" i="36"/>
  <c r="L8" i="36"/>
  <c r="K8" i="36"/>
  <c r="K7" i="36" s="1"/>
  <c r="K6" i="36" s="1"/>
  <c r="K5" i="36" s="1"/>
  <c r="J8" i="36"/>
  <c r="H8" i="36"/>
  <c r="G8" i="36"/>
  <c r="AJ7" i="36"/>
  <c r="AJ6" i="36" s="1"/>
  <c r="AH7" i="36"/>
  <c r="AB7" i="36"/>
  <c r="AB6" i="36" s="1"/>
  <c r="Z7" i="36"/>
  <c r="Y7" i="36"/>
  <c r="V7" i="36"/>
  <c r="U7" i="36"/>
  <c r="T7" i="36"/>
  <c r="T6" i="36" s="1"/>
  <c r="T5" i="36" s="1"/>
  <c r="R7" i="36"/>
  <c r="Q7" i="36"/>
  <c r="P7" i="36"/>
  <c r="P6" i="36" s="1"/>
  <c r="N7" i="36"/>
  <c r="M7" i="36"/>
  <c r="L7" i="36"/>
  <c r="L6" i="36" s="1"/>
  <c r="L5" i="36" s="1"/>
  <c r="J7" i="36"/>
  <c r="I7" i="36"/>
  <c r="H7" i="36"/>
  <c r="H6" i="36" s="1"/>
  <c r="AH6" i="36"/>
  <c r="AH5" i="36" s="1"/>
  <c r="Z6" i="36"/>
  <c r="V6" i="36"/>
  <c r="R6" i="36"/>
  <c r="N6" i="36"/>
  <c r="J6" i="36"/>
  <c r="G6" i="36"/>
  <c r="G5" i="36"/>
  <c r="B177" i="34"/>
  <c r="D50" i="39" l="1"/>
  <c r="D6" i="39"/>
  <c r="D10" i="39"/>
  <c r="D15" i="39"/>
  <c r="D20" i="39"/>
  <c r="D39" i="39"/>
  <c r="P8" i="37"/>
  <c r="P7" i="37" s="1"/>
  <c r="M7" i="37"/>
  <c r="M57" i="37"/>
  <c r="P58" i="37"/>
  <c r="P57" i="37" s="1"/>
  <c r="P116" i="37"/>
  <c r="P115" i="37" s="1"/>
  <c r="P36" i="37"/>
  <c r="P35" i="37" s="1"/>
  <c r="M35" i="37"/>
  <c r="P72" i="37"/>
  <c r="J57" i="37"/>
  <c r="M72" i="37"/>
  <c r="P96" i="37"/>
  <c r="M116" i="37"/>
  <c r="M115" i="37" s="1"/>
  <c r="M130" i="37"/>
  <c r="M129" i="37" s="1"/>
  <c r="M189" i="37"/>
  <c r="M188" i="37" s="1"/>
  <c r="P239" i="37"/>
  <c r="P238" i="37" s="1"/>
  <c r="P237" i="37" s="1"/>
  <c r="M238" i="37"/>
  <c r="M237" i="37" s="1"/>
  <c r="P265" i="37"/>
  <c r="P263" i="37" s="1"/>
  <c r="P262" i="37" s="1"/>
  <c r="M263" i="37"/>
  <c r="M262" i="37" s="1"/>
  <c r="P276" i="37"/>
  <c r="P275" i="37" s="1"/>
  <c r="P274" i="37" s="1"/>
  <c r="M275" i="37"/>
  <c r="M274" i="37" s="1"/>
  <c r="P323" i="37"/>
  <c r="P322" i="37" s="1"/>
  <c r="P321" i="37" s="1"/>
  <c r="M322" i="37"/>
  <c r="M321" i="37" s="1"/>
  <c r="P391" i="37"/>
  <c r="P390" i="37" s="1"/>
  <c r="M390" i="37"/>
  <c r="M470" i="37"/>
  <c r="P471" i="37"/>
  <c r="P470" i="37" s="1"/>
  <c r="J199" i="37"/>
  <c r="J198" i="37" s="1"/>
  <c r="M201" i="37"/>
  <c r="P291" i="37"/>
  <c r="P289" i="37" s="1"/>
  <c r="P288" i="37" s="1"/>
  <c r="M289" i="37"/>
  <c r="M288" i="37" s="1"/>
  <c r="P300" i="37"/>
  <c r="P298" i="37" s="1"/>
  <c r="P297" i="37" s="1"/>
  <c r="M298" i="37"/>
  <c r="M297" i="37" s="1"/>
  <c r="M476" i="37"/>
  <c r="P477" i="37"/>
  <c r="P476" i="37" s="1"/>
  <c r="P489" i="37"/>
  <c r="P488" i="37" s="1"/>
  <c r="M488" i="37"/>
  <c r="J7" i="37"/>
  <c r="J35" i="37"/>
  <c r="M97" i="37"/>
  <c r="P97" i="37" s="1"/>
  <c r="M175" i="37"/>
  <c r="M214" i="37"/>
  <c r="M213" i="37" s="1"/>
  <c r="M439" i="37"/>
  <c r="P440" i="37"/>
  <c r="P439" i="37" s="1"/>
  <c r="M228" i="37"/>
  <c r="M258" i="37"/>
  <c r="J263" i="37"/>
  <c r="J262" i="37" s="1"/>
  <c r="J289" i="37"/>
  <c r="J288" i="37" s="1"/>
  <c r="J298" i="37"/>
  <c r="J297" i="37" s="1"/>
  <c r="M307" i="37"/>
  <c r="M320" i="37"/>
  <c r="J439" i="37"/>
  <c r="J470" i="37"/>
  <c r="P475" i="37"/>
  <c r="P474" i="37" s="1"/>
  <c r="J476" i="37"/>
  <c r="M556" i="37"/>
  <c r="J555" i="37"/>
  <c r="P571" i="37"/>
  <c r="P569" i="37" s="1"/>
  <c r="P561" i="37" s="1"/>
  <c r="P559" i="37" s="1"/>
  <c r="M569" i="37"/>
  <c r="M561" i="37" s="1"/>
  <c r="J390" i="37"/>
  <c r="J389" i="37" s="1"/>
  <c r="J488" i="37"/>
  <c r="M618" i="37"/>
  <c r="J617" i="37"/>
  <c r="M558" i="37"/>
  <c r="J557" i="37"/>
  <c r="P623" i="37"/>
  <c r="P622" i="37" s="1"/>
  <c r="M622" i="37"/>
  <c r="J627" i="37"/>
  <c r="M630" i="37"/>
  <c r="P630" i="37" s="1"/>
  <c r="J656" i="37"/>
  <c r="M658" i="37"/>
  <c r="P658" i="37" s="1"/>
  <c r="P749" i="37"/>
  <c r="P748" i="37" s="1"/>
  <c r="P780" i="37"/>
  <c r="P779" i="37" s="1"/>
  <c r="M779" i="37"/>
  <c r="D781" i="37"/>
  <c r="D5" i="37" s="1"/>
  <c r="H781" i="37"/>
  <c r="P785" i="37"/>
  <c r="N781" i="37"/>
  <c r="M812" i="37"/>
  <c r="P813" i="37"/>
  <c r="P812" i="37" s="1"/>
  <c r="J824" i="37"/>
  <c r="M827" i="37"/>
  <c r="P827" i="37" s="1"/>
  <c r="J866" i="37"/>
  <c r="J865" i="37" s="1"/>
  <c r="J855" i="37" s="1"/>
  <c r="J853" i="37" s="1"/>
  <c r="Q886" i="37"/>
  <c r="M888" i="37"/>
  <c r="J887" i="37"/>
  <c r="M938" i="37"/>
  <c r="J937" i="37"/>
  <c r="M1130" i="37"/>
  <c r="P1161" i="37"/>
  <c r="P1160" i="37" s="1"/>
  <c r="P1159" i="37" s="1"/>
  <c r="M1262" i="37"/>
  <c r="M1261" i="37" s="1"/>
  <c r="P1263" i="37"/>
  <c r="P1262" i="37" s="1"/>
  <c r="P1261" i="37" s="1"/>
  <c r="M1292" i="37"/>
  <c r="M1291" i="37" s="1"/>
  <c r="P1293" i="37"/>
  <c r="P1292" i="37" s="1"/>
  <c r="P1291" i="37" s="1"/>
  <c r="M627" i="37"/>
  <c r="J678" i="37"/>
  <c r="J677" i="37" s="1"/>
  <c r="M681" i="37"/>
  <c r="P681" i="37" s="1"/>
  <c r="J748" i="37"/>
  <c r="M750" i="37"/>
  <c r="P750" i="37" s="1"/>
  <c r="J784" i="37"/>
  <c r="M786" i="37"/>
  <c r="P786" i="37" s="1"/>
  <c r="M815" i="37"/>
  <c r="P816" i="37"/>
  <c r="P815" i="37" s="1"/>
  <c r="M897" i="37"/>
  <c r="J896" i="37"/>
  <c r="J919" i="37"/>
  <c r="M921" i="37"/>
  <c r="P921" i="37" s="1"/>
  <c r="P919" i="37" s="1"/>
  <c r="M935" i="37"/>
  <c r="J934" i="37"/>
  <c r="M1068" i="37"/>
  <c r="P1130" i="37"/>
  <c r="M1215" i="37"/>
  <c r="M1214" i="37" s="1"/>
  <c r="U616" i="37"/>
  <c r="M621" i="37"/>
  <c r="J620" i="37"/>
  <c r="P627" i="37"/>
  <c r="M678" i="37"/>
  <c r="U677" i="37"/>
  <c r="U781" i="37"/>
  <c r="P829" i="37"/>
  <c r="P828" i="37" s="1"/>
  <c r="M828" i="37"/>
  <c r="P839" i="37"/>
  <c r="P838" i="37" s="1"/>
  <c r="M866" i="37"/>
  <c r="M865" i="37" s="1"/>
  <c r="M855" i="37" s="1"/>
  <c r="P867" i="37"/>
  <c r="P866" i="37" s="1"/>
  <c r="P865" i="37" s="1"/>
  <c r="P855" i="37" s="1"/>
  <c r="P853" i="37" s="1"/>
  <c r="E886" i="37"/>
  <c r="I886" i="37"/>
  <c r="M894" i="37"/>
  <c r="J893" i="37"/>
  <c r="M932" i="37"/>
  <c r="J931" i="37"/>
  <c r="M991" i="37"/>
  <c r="J990" i="37"/>
  <c r="J989" i="37" s="1"/>
  <c r="S1026" i="37"/>
  <c r="S1025" i="37" s="1"/>
  <c r="S5" i="37" s="1"/>
  <c r="P1069" i="37"/>
  <c r="P1068" i="37" s="1"/>
  <c r="M1095" i="37"/>
  <c r="J1094" i="37"/>
  <c r="M1110" i="37"/>
  <c r="J1109" i="37"/>
  <c r="P1216" i="37"/>
  <c r="P1215" i="37" s="1"/>
  <c r="P1214" i="37" s="1"/>
  <c r="M1391" i="37"/>
  <c r="P1391" i="37" s="1"/>
  <c r="P1344" i="37" s="1"/>
  <c r="J1344" i="37"/>
  <c r="M1466" i="37"/>
  <c r="J1465" i="37"/>
  <c r="J1464" i="37" s="1"/>
  <c r="M1498" i="37"/>
  <c r="M1497" i="37" s="1"/>
  <c r="P1499" i="37"/>
  <c r="P1498" i="37" s="1"/>
  <c r="P1497" i="37" s="1"/>
  <c r="P657" i="37"/>
  <c r="P656" i="37" s="1"/>
  <c r="M656" i="37"/>
  <c r="P678" i="37"/>
  <c r="P677" i="37" s="1"/>
  <c r="M783" i="37"/>
  <c r="J782" i="37"/>
  <c r="J781" i="37" s="1"/>
  <c r="R781" i="37"/>
  <c r="R5" i="37" s="1"/>
  <c r="M809" i="37"/>
  <c r="P810" i="37"/>
  <c r="P809" i="37" s="1"/>
  <c r="P825" i="37"/>
  <c r="P824" i="37" s="1"/>
  <c r="M824" i="37"/>
  <c r="M830" i="37"/>
  <c r="M891" i="37"/>
  <c r="J890" i="37"/>
  <c r="M900" i="37"/>
  <c r="P901" i="37"/>
  <c r="P900" i="37" s="1"/>
  <c r="M903" i="37"/>
  <c r="P904" i="37"/>
  <c r="P903" i="37" s="1"/>
  <c r="M906" i="37"/>
  <c r="P907" i="37"/>
  <c r="P906" i="37" s="1"/>
  <c r="M943" i="37"/>
  <c r="J942" i="37"/>
  <c r="J941" i="37" s="1"/>
  <c r="M1027" i="37"/>
  <c r="J1026" i="37"/>
  <c r="J1292" i="37"/>
  <c r="J1291" i="37" s="1"/>
  <c r="M3244" i="37"/>
  <c r="J3243" i="37"/>
  <c r="M3804" i="37"/>
  <c r="J3803" i="37"/>
  <c r="J3802" i="37" s="1"/>
  <c r="M919" i="37"/>
  <c r="M939" i="37"/>
  <c r="M1542" i="37"/>
  <c r="J1541" i="37"/>
  <c r="J1540" i="37" s="1"/>
  <c r="O1557" i="37"/>
  <c r="S1557" i="37"/>
  <c r="J1558" i="37"/>
  <c r="M1560" i="37"/>
  <c r="P1560" i="37" s="1"/>
  <c r="P1558" i="37" s="1"/>
  <c r="P1557" i="37" s="1"/>
  <c r="M1572" i="37"/>
  <c r="E1588" i="37"/>
  <c r="I1588" i="37"/>
  <c r="J1595" i="37"/>
  <c r="M1597" i="37"/>
  <c r="P1597" i="37" s="1"/>
  <c r="P1595" i="37" s="1"/>
  <c r="P1632" i="37"/>
  <c r="M2016" i="37"/>
  <c r="J2015" i="37"/>
  <c r="C2042" i="37"/>
  <c r="G2042" i="37"/>
  <c r="P2247" i="37"/>
  <c r="M2228" i="37"/>
  <c r="M1416" i="37"/>
  <c r="J1415" i="37"/>
  <c r="M1460" i="37"/>
  <c r="J1459" i="37"/>
  <c r="J1498" i="37"/>
  <c r="J1497" i="37" s="1"/>
  <c r="M1536" i="37"/>
  <c r="M1535" i="37" s="1"/>
  <c r="P1537" i="37"/>
  <c r="P1536" i="37" s="1"/>
  <c r="P1535" i="37" s="1"/>
  <c r="P1572" i="37"/>
  <c r="M1590" i="37"/>
  <c r="J1589" i="37"/>
  <c r="S1595" i="37"/>
  <c r="S1588" i="37" s="1"/>
  <c r="U1608" i="37"/>
  <c r="U1595" i="37" s="1"/>
  <c r="U1588" i="37" s="1"/>
  <c r="J1764" i="37"/>
  <c r="J1763" i="37" s="1"/>
  <c r="M1982" i="37"/>
  <c r="P1983" i="37"/>
  <c r="P1982" i="37" s="1"/>
  <c r="M1990" i="37"/>
  <c r="P1990" i="37" s="1"/>
  <c r="J1982" i="37"/>
  <c r="J1981" i="37" s="1"/>
  <c r="J2122" i="37"/>
  <c r="M2125" i="37"/>
  <c r="P2125" i="37" s="1"/>
  <c r="J2145" i="37"/>
  <c r="M2145" i="37" s="1"/>
  <c r="P2145" i="37" s="1"/>
  <c r="H2122" i="37"/>
  <c r="H2121" i="37" s="1"/>
  <c r="J1068" i="37"/>
  <c r="J1130" i="37"/>
  <c r="J1160" i="37"/>
  <c r="J1159" i="37" s="1"/>
  <c r="J1215" i="37"/>
  <c r="J1214" i="37" s="1"/>
  <c r="M1405" i="37"/>
  <c r="J1404" i="37"/>
  <c r="C1557" i="37"/>
  <c r="C5" i="37" s="1"/>
  <c r="G1557" i="37"/>
  <c r="L1588" i="37"/>
  <c r="P1724" i="37"/>
  <c r="M1722" i="37"/>
  <c r="J1751" i="37"/>
  <c r="M1753" i="37"/>
  <c r="P1753" i="37" s="1"/>
  <c r="G1536" i="37"/>
  <c r="G1535" i="37" s="1"/>
  <c r="G5" i="37" s="1"/>
  <c r="M1558" i="37"/>
  <c r="M1557" i="37" s="1"/>
  <c r="M1595" i="37"/>
  <c r="N1887" i="37"/>
  <c r="J1927" i="37"/>
  <c r="M1927" i="37"/>
  <c r="P1928" i="37"/>
  <c r="P1927" i="37" s="1"/>
  <c r="P2004" i="37"/>
  <c r="D2042" i="37"/>
  <c r="H2042" i="37"/>
  <c r="P2083" i="37"/>
  <c r="P2103" i="37"/>
  <c r="P2102" i="37" s="1"/>
  <c r="M2102" i="37"/>
  <c r="M2255" i="37"/>
  <c r="P2256" i="37"/>
  <c r="P2255" i="37" s="1"/>
  <c r="J1636" i="37"/>
  <c r="J1635" i="37" s="1"/>
  <c r="M1639" i="37"/>
  <c r="P1639" i="37" s="1"/>
  <c r="P1674" i="37"/>
  <c r="M1764" i="37"/>
  <c r="M1763" i="37" s="1"/>
  <c r="M1800" i="37"/>
  <c r="M1799" i="37" s="1"/>
  <c r="M1849" i="37"/>
  <c r="J1848" i="37"/>
  <c r="J1847" i="37" s="1"/>
  <c r="U2042" i="37"/>
  <c r="P2122" i="37"/>
  <c r="J2181" i="37"/>
  <c r="M2184" i="37"/>
  <c r="P2184" i="37" s="1"/>
  <c r="P2181" i="37" s="1"/>
  <c r="H1465" i="37"/>
  <c r="H1464" i="37" s="1"/>
  <c r="J1572" i="37"/>
  <c r="J1591" i="37"/>
  <c r="P1637" i="37"/>
  <c r="M1674" i="37"/>
  <c r="J1722" i="37"/>
  <c r="J1673" i="37" s="1"/>
  <c r="M1726" i="37"/>
  <c r="P1726" i="37" s="1"/>
  <c r="P1752" i="37"/>
  <c r="P1751" i="37" s="1"/>
  <c r="P1765" i="37"/>
  <c r="P1764" i="37" s="1"/>
  <c r="P1763" i="37" s="1"/>
  <c r="P1801" i="37"/>
  <c r="P1800" i="37" s="1"/>
  <c r="P1799" i="37" s="1"/>
  <c r="H1800" i="37"/>
  <c r="H1799" i="37" s="1"/>
  <c r="J1888" i="37"/>
  <c r="J1887" i="37" s="1"/>
  <c r="M1891" i="37"/>
  <c r="P1891" i="37" s="1"/>
  <c r="P1888" i="37" s="1"/>
  <c r="P1887" i="37" s="1"/>
  <c r="P2044" i="37"/>
  <c r="P2043" i="37" s="1"/>
  <c r="P2042" i="37" s="1"/>
  <c r="M2043" i="37"/>
  <c r="J2083" i="37"/>
  <c r="M2086" i="37"/>
  <c r="P2086" i="37" s="1"/>
  <c r="M2181" i="37"/>
  <c r="J2228" i="37"/>
  <c r="D2254" i="37"/>
  <c r="H2254" i="37"/>
  <c r="P2420" i="37"/>
  <c r="P2419" i="37" s="1"/>
  <c r="M2419" i="37"/>
  <c r="J2614" i="37"/>
  <c r="M2616" i="37"/>
  <c r="P2616" i="37" s="1"/>
  <c r="M2738" i="37"/>
  <c r="J3085" i="37"/>
  <c r="J3084" i="37" s="1"/>
  <c r="M3087" i="37"/>
  <c r="J2043" i="37"/>
  <c r="J2102" i="37"/>
  <c r="M2297" i="37"/>
  <c r="S2378" i="37"/>
  <c r="M2723" i="37"/>
  <c r="P2723" i="37" s="1"/>
  <c r="J2719" i="37"/>
  <c r="P2228" i="37"/>
  <c r="P2297" i="37"/>
  <c r="M2318" i="37"/>
  <c r="P2319" i="37"/>
  <c r="P2318" i="37" s="1"/>
  <c r="F2344" i="37"/>
  <c r="F5" i="37" s="1"/>
  <c r="M2549" i="37"/>
  <c r="J2548" i="37"/>
  <c r="M2456" i="37"/>
  <c r="N2679" i="37"/>
  <c r="S2679" i="37"/>
  <c r="P2738" i="37"/>
  <c r="J2738" i="37"/>
  <c r="M2741" i="37"/>
  <c r="P2741" i="37" s="1"/>
  <c r="M2794" i="37"/>
  <c r="P2795" i="37"/>
  <c r="P2794" i="37" s="1"/>
  <c r="M2891" i="37"/>
  <c r="P2892" i="37"/>
  <c r="P2891" i="37" s="1"/>
  <c r="J3061" i="37"/>
  <c r="M3064" i="37"/>
  <c r="P3064" i="37" s="1"/>
  <c r="M3540" i="37"/>
  <c r="P3540" i="37" s="1"/>
  <c r="J3537" i="37"/>
  <c r="M2345" i="37"/>
  <c r="M2378" i="37"/>
  <c r="P2457" i="37"/>
  <c r="J2501" i="37"/>
  <c r="P2648" i="37"/>
  <c r="J2937" i="37"/>
  <c r="M2939" i="37"/>
  <c r="P2939" i="37" s="1"/>
  <c r="P2937" i="37" s="1"/>
  <c r="M2962" i="37"/>
  <c r="P2962" i="37"/>
  <c r="J2255" i="37"/>
  <c r="J2318" i="37"/>
  <c r="N2344" i="37"/>
  <c r="S2344" i="37"/>
  <c r="P2346" i="37"/>
  <c r="P2345" i="37" s="1"/>
  <c r="P2379" i="37"/>
  <c r="P2378" i="37" s="1"/>
  <c r="J2456" i="37"/>
  <c r="J2344" i="37" s="1"/>
  <c r="M2458" i="37"/>
  <c r="P2458" i="37" s="1"/>
  <c r="P2476" i="37"/>
  <c r="M2501" i="37"/>
  <c r="P2615" i="37"/>
  <c r="P2614" i="37" s="1"/>
  <c r="M2614" i="37"/>
  <c r="J2647" i="37"/>
  <c r="M2649" i="37"/>
  <c r="P2649" i="37" s="1"/>
  <c r="F2679" i="37"/>
  <c r="K2679" i="37"/>
  <c r="J2680" i="37"/>
  <c r="M2683" i="37"/>
  <c r="P2683" i="37" s="1"/>
  <c r="P2680" i="37" s="1"/>
  <c r="P2679" i="37" s="1"/>
  <c r="M2719" i="37"/>
  <c r="P2720" i="37"/>
  <c r="P2719" i="37" s="1"/>
  <c r="E2793" i="37"/>
  <c r="I2793" i="37"/>
  <c r="M2904" i="37"/>
  <c r="J2903" i="37"/>
  <c r="J2793" i="37" s="1"/>
  <c r="E2961" i="37"/>
  <c r="I2961" i="37"/>
  <c r="M3061" i="37"/>
  <c r="J3257" i="37"/>
  <c r="M3279" i="37"/>
  <c r="P3279" i="37" s="1"/>
  <c r="J3402" i="37"/>
  <c r="M3405" i="37"/>
  <c r="P3405" i="37" s="1"/>
  <c r="M3498" i="37"/>
  <c r="J3497" i="37"/>
  <c r="J2297" i="37"/>
  <c r="M2990" i="37"/>
  <c r="J2989" i="37"/>
  <c r="J2961" i="37" s="1"/>
  <c r="P3061" i="37"/>
  <c r="F3210" i="37"/>
  <c r="K3210" i="37"/>
  <c r="J3211" i="37"/>
  <c r="M3214" i="37"/>
  <c r="P3214" i="37" s="1"/>
  <c r="P3211" i="37" s="1"/>
  <c r="M3229" i="37"/>
  <c r="P3230" i="37"/>
  <c r="P3229" i="37" s="1"/>
  <c r="P3370" i="37"/>
  <c r="P3146" i="37"/>
  <c r="P3145" i="37" s="1"/>
  <c r="P3144" i="37" s="1"/>
  <c r="M3145" i="37"/>
  <c r="M3144" i="37" s="1"/>
  <c r="C3210" i="37"/>
  <c r="G3210" i="37"/>
  <c r="M3359" i="37"/>
  <c r="P3360" i="37"/>
  <c r="P3359" i="37" s="1"/>
  <c r="J3427" i="37"/>
  <c r="M3430" i="37"/>
  <c r="P3430" i="37" s="1"/>
  <c r="J3626" i="37"/>
  <c r="M3628" i="37"/>
  <c r="P3628" i="37" s="1"/>
  <c r="M3257" i="37"/>
  <c r="F3308" i="37"/>
  <c r="O3308" i="37"/>
  <c r="O5" i="37" s="1"/>
  <c r="P3310" i="37"/>
  <c r="P3309" i="37" s="1"/>
  <c r="M3309" i="37"/>
  <c r="M3313" i="37"/>
  <c r="P3314" i="37"/>
  <c r="P3313" i="37" s="1"/>
  <c r="H3381" i="37"/>
  <c r="J3385" i="37"/>
  <c r="M3385" i="37" s="1"/>
  <c r="P3385" i="37" s="1"/>
  <c r="M3402" i="37"/>
  <c r="M3427" i="37"/>
  <c r="P3448" i="37"/>
  <c r="M3452" i="37"/>
  <c r="J3451" i="37"/>
  <c r="M3482" i="37"/>
  <c r="P3483" i="37"/>
  <c r="P3482" i="37" s="1"/>
  <c r="M3485" i="37"/>
  <c r="P3486" i="37"/>
  <c r="P3485" i="37" s="1"/>
  <c r="M3489" i="37"/>
  <c r="P3490" i="37"/>
  <c r="P3489" i="37" s="1"/>
  <c r="M3537" i="37"/>
  <c r="P3538" i="37"/>
  <c r="P3537" i="37" s="1"/>
  <c r="J3585" i="37"/>
  <c r="M3586" i="37"/>
  <c r="M3728" i="37"/>
  <c r="P3728" i="37" s="1"/>
  <c r="J3724" i="37"/>
  <c r="J3723" i="37" s="1"/>
  <c r="M3742" i="37"/>
  <c r="M3741" i="37" s="1"/>
  <c r="P3743" i="37"/>
  <c r="P3742" i="37" s="1"/>
  <c r="P3741" i="37" s="1"/>
  <c r="J3145" i="37"/>
  <c r="J3144" i="37" s="1"/>
  <c r="P3258" i="37"/>
  <c r="P3257" i="37" s="1"/>
  <c r="C3308" i="37"/>
  <c r="G3308" i="37"/>
  <c r="K3308" i="37"/>
  <c r="M3374" i="37"/>
  <c r="P3374" i="37" s="1"/>
  <c r="J3369" i="37"/>
  <c r="J3308" i="37" s="1"/>
  <c r="P3402" i="37"/>
  <c r="M3412" i="37"/>
  <c r="J3411" i="37"/>
  <c r="P3418" i="37"/>
  <c r="P3427" i="37"/>
  <c r="J3446" i="37"/>
  <c r="M3449" i="37"/>
  <c r="P3449" i="37" s="1"/>
  <c r="M3492" i="37"/>
  <c r="P3493" i="37"/>
  <c r="P3492" i="37" s="1"/>
  <c r="S3308" i="37"/>
  <c r="M3383" i="37"/>
  <c r="J3381" i="37"/>
  <c r="J3389" i="37"/>
  <c r="M3392" i="37"/>
  <c r="P3392" i="37" s="1"/>
  <c r="P3389" i="37" s="1"/>
  <c r="D3308" i="37"/>
  <c r="H3308" i="37"/>
  <c r="J3417" i="37"/>
  <c r="M3419" i="37"/>
  <c r="P3419" i="37" s="1"/>
  <c r="M3432" i="37"/>
  <c r="J3431" i="37"/>
  <c r="M3467" i="37"/>
  <c r="P3468" i="37"/>
  <c r="P3467" i="37" s="1"/>
  <c r="M3479" i="37"/>
  <c r="J3478" i="37"/>
  <c r="E3496" i="37"/>
  <c r="I3496" i="37"/>
  <c r="P3619" i="37"/>
  <c r="M3715" i="37"/>
  <c r="P3716" i="37"/>
  <c r="P3715" i="37" s="1"/>
  <c r="P3733" i="37"/>
  <c r="P3732" i="37" s="1"/>
  <c r="P3731" i="37" s="1"/>
  <c r="M3732" i="37"/>
  <c r="M3731" i="37" s="1"/>
  <c r="J3618" i="37"/>
  <c r="M3620" i="37"/>
  <c r="P3620" i="37" s="1"/>
  <c r="M3776" i="37"/>
  <c r="P3778" i="37"/>
  <c r="P3776" i="37" s="1"/>
  <c r="P3775" i="37" s="1"/>
  <c r="P3627" i="37"/>
  <c r="P3626" i="37" s="1"/>
  <c r="M3626" i="37"/>
  <c r="M3657" i="37"/>
  <c r="J3656" i="37"/>
  <c r="M3752" i="37"/>
  <c r="J3751" i="37"/>
  <c r="J3750" i="37" s="1"/>
  <c r="M3718" i="37"/>
  <c r="J3717" i="37"/>
  <c r="J3714" i="37" s="1"/>
  <c r="M3764" i="37"/>
  <c r="M3763" i="37" s="1"/>
  <c r="P3765" i="37"/>
  <c r="P3764" i="37" s="1"/>
  <c r="P3763" i="37" s="1"/>
  <c r="M3769" i="37"/>
  <c r="M3768" i="37" s="1"/>
  <c r="P3770" i="37"/>
  <c r="P3769" i="37" s="1"/>
  <c r="P3768" i="37" s="1"/>
  <c r="M3787" i="37"/>
  <c r="M3786" i="37" s="1"/>
  <c r="P3788" i="37"/>
  <c r="P3787" i="37" s="1"/>
  <c r="P3786" i="37" s="1"/>
  <c r="P3795" i="37"/>
  <c r="P3794" i="37" s="1"/>
  <c r="P3793" i="37" s="1"/>
  <c r="M3701" i="37"/>
  <c r="J3699" i="37"/>
  <c r="M3724" i="37"/>
  <c r="M3723" i="37" s="1"/>
  <c r="P3725" i="37"/>
  <c r="P3724" i="37" s="1"/>
  <c r="P3723" i="37" s="1"/>
  <c r="M3757" i="37"/>
  <c r="J3756" i="37"/>
  <c r="J3755" i="37" s="1"/>
  <c r="J3787" i="37"/>
  <c r="J3786" i="37" s="1"/>
  <c r="M3784" i="37"/>
  <c r="J3794" i="37"/>
  <c r="J3793" i="37" s="1"/>
  <c r="P5" i="36"/>
  <c r="AG8" i="36"/>
  <c r="AC9" i="36"/>
  <c r="X8" i="36"/>
  <c r="AG14" i="36"/>
  <c r="AF13" i="36"/>
  <c r="AG38" i="36"/>
  <c r="AG37" i="36" s="1"/>
  <c r="AF37" i="36"/>
  <c r="M46" i="36"/>
  <c r="AG28" i="36"/>
  <c r="AG26" i="36" s="1"/>
  <c r="AF26" i="36"/>
  <c r="AG74" i="36"/>
  <c r="AC16" i="36"/>
  <c r="AG36" i="36"/>
  <c r="AG35" i="36" s="1"/>
  <c r="AF35" i="36"/>
  <c r="X84" i="36"/>
  <c r="AC84" i="36" s="1"/>
  <c r="AC11" i="36"/>
  <c r="W10" i="36"/>
  <c r="X11" i="36"/>
  <c r="AF15" i="36"/>
  <c r="AG16" i="36"/>
  <c r="X28" i="36"/>
  <c r="X26" i="36" s="1"/>
  <c r="W26" i="36"/>
  <c r="AC28" i="36"/>
  <c r="AC33" i="36"/>
  <c r="X31" i="36"/>
  <c r="AC31" i="36" s="1"/>
  <c r="AC37" i="36"/>
  <c r="AC42" i="36"/>
  <c r="X41" i="36"/>
  <c r="AC41" i="36" s="1"/>
  <c r="AG55" i="36"/>
  <c r="AF53" i="36"/>
  <c r="AG53" i="36" s="1"/>
  <c r="AD107" i="36"/>
  <c r="AG108" i="36"/>
  <c r="W109" i="36"/>
  <c r="X110" i="36"/>
  <c r="X109" i="36" s="1"/>
  <c r="AC8" i="36"/>
  <c r="AG9" i="36"/>
  <c r="AG18" i="36"/>
  <c r="AC19" i="36"/>
  <c r="AD23" i="36"/>
  <c r="AD15" i="36" s="1"/>
  <c r="AD6" i="36" s="1"/>
  <c r="X24" i="36"/>
  <c r="X23" i="36" s="1"/>
  <c r="X15" i="36" s="1"/>
  <c r="AG24" i="36"/>
  <c r="AG23" i="36" s="1"/>
  <c r="AC27" i="36"/>
  <c r="X29" i="36"/>
  <c r="AC29" i="36" s="1"/>
  <c r="AF33" i="36"/>
  <c r="X40" i="36"/>
  <c r="X39" i="36" s="1"/>
  <c r="W49" i="36"/>
  <c r="AF49" i="36"/>
  <c r="AG54" i="36"/>
  <c r="X56" i="36"/>
  <c r="X57" i="36"/>
  <c r="AC57" i="36" s="1"/>
  <c r="X58" i="36"/>
  <c r="AC58" i="36" s="1"/>
  <c r="AD66" i="36"/>
  <c r="AG66" i="36" s="1"/>
  <c r="AC67" i="36"/>
  <c r="X68" i="36"/>
  <c r="X66" i="36" s="1"/>
  <c r="X72" i="36"/>
  <c r="AC72" i="36" s="1"/>
  <c r="AG72" i="36"/>
  <c r="AD82" i="36"/>
  <c r="AG82" i="36" s="1"/>
  <c r="X83" i="36"/>
  <c r="X85" i="36"/>
  <c r="AC85" i="36" s="1"/>
  <c r="AD91" i="36"/>
  <c r="AC95" i="36"/>
  <c r="X95" i="36"/>
  <c r="W91" i="36"/>
  <c r="AC98" i="36"/>
  <c r="X98" i="36"/>
  <c r="W96" i="36"/>
  <c r="AD113" i="36"/>
  <c r="AG116" i="36"/>
  <c r="W113" i="36"/>
  <c r="X120" i="36"/>
  <c r="AC120" i="36" s="1"/>
  <c r="X137" i="36"/>
  <c r="AC137" i="36" s="1"/>
  <c r="W140" i="36"/>
  <c r="X141" i="36"/>
  <c r="AC141" i="36" s="1"/>
  <c r="AG158" i="36"/>
  <c r="AF157" i="36"/>
  <c r="AG157" i="36" s="1"/>
  <c r="X12" i="36"/>
  <c r="AC12" i="36" s="1"/>
  <c r="W23" i="36"/>
  <c r="AC23" i="36" s="1"/>
  <c r="W39" i="36"/>
  <c r="AF43" i="36"/>
  <c r="AG43" i="36" s="1"/>
  <c r="X54" i="36"/>
  <c r="X53" i="36" s="1"/>
  <c r="AC53" i="36" s="1"/>
  <c r="AC56" i="36"/>
  <c r="X59" i="36"/>
  <c r="AC59" i="36" s="1"/>
  <c r="W66" i="36"/>
  <c r="X69" i="36"/>
  <c r="AC69" i="36" s="1"/>
  <c r="W82" i="36"/>
  <c r="X86" i="36"/>
  <c r="AC86" i="36" s="1"/>
  <c r="AC89" i="36"/>
  <c r="AC90" i="36"/>
  <c r="AC92" i="36"/>
  <c r="AC94" i="36"/>
  <c r="AG96" i="36"/>
  <c r="AC97" i="36"/>
  <c r="AG107" i="36"/>
  <c r="AF113" i="36"/>
  <c r="AG113" i="36" s="1"/>
  <c r="AG132" i="36"/>
  <c r="AF129" i="36"/>
  <c r="AG129" i="36" s="1"/>
  <c r="AF166" i="36"/>
  <c r="AG166" i="36" s="1"/>
  <c r="AG167" i="36"/>
  <c r="AG91" i="36"/>
  <c r="X91" i="36"/>
  <c r="X96" i="36"/>
  <c r="AC102" i="36"/>
  <c r="AC107" i="36"/>
  <c r="AC115" i="36"/>
  <c r="X133" i="36"/>
  <c r="X129" i="36" s="1"/>
  <c r="W129" i="36"/>
  <c r="AC135" i="36"/>
  <c r="AD135" i="36"/>
  <c r="AF136" i="36"/>
  <c r="AF140" i="36"/>
  <c r="AG140" i="36" s="1"/>
  <c r="AG141" i="36"/>
  <c r="X146" i="36"/>
  <c r="AC146" i="36" s="1"/>
  <c r="W197" i="36"/>
  <c r="X244" i="36"/>
  <c r="X242" i="36" s="1"/>
  <c r="AG249" i="36"/>
  <c r="W252" i="36"/>
  <c r="U250" i="36"/>
  <c r="AC262" i="36"/>
  <c r="X262" i="36"/>
  <c r="W265" i="36"/>
  <c r="AC270" i="36"/>
  <c r="W269" i="36"/>
  <c r="X270" i="36"/>
  <c r="X273" i="36"/>
  <c r="AC273" i="36" s="1"/>
  <c r="W147" i="36"/>
  <c r="X152" i="36"/>
  <c r="X147" i="36" s="1"/>
  <c r="W161" i="36"/>
  <c r="X163" i="36"/>
  <c r="AC163" i="36" s="1"/>
  <c r="AG163" i="36"/>
  <c r="W164" i="36"/>
  <c r="X165" i="36"/>
  <c r="X164" i="36" s="1"/>
  <c r="X175" i="36"/>
  <c r="AC175" i="36" s="1"/>
  <c r="X176" i="36"/>
  <c r="AC176" i="36" s="1"/>
  <c r="X180" i="36"/>
  <c r="AC180" i="36" s="1"/>
  <c r="AC186" i="36"/>
  <c r="AG187" i="36"/>
  <c r="V195" i="36"/>
  <c r="V5" i="36" s="1"/>
  <c r="H196" i="36"/>
  <c r="H195" i="36" s="1"/>
  <c r="H5" i="36" s="1"/>
  <c r="X198" i="36"/>
  <c r="X197" i="36" s="1"/>
  <c r="AC199" i="36"/>
  <c r="X201" i="36"/>
  <c r="AC201" i="36" s="1"/>
  <c r="AC206" i="36"/>
  <c r="X210" i="36"/>
  <c r="X209" i="36" s="1"/>
  <c r="AC209" i="36" s="1"/>
  <c r="AC215" i="36"/>
  <c r="X220" i="36"/>
  <c r="AC220" i="36" s="1"/>
  <c r="AG223" i="36"/>
  <c r="X233" i="36"/>
  <c r="AC233" i="36" s="1"/>
  <c r="AC248" i="36"/>
  <c r="X248" i="36"/>
  <c r="AG250" i="36"/>
  <c r="X266" i="36"/>
  <c r="X265" i="36" s="1"/>
  <c r="AC274" i="36"/>
  <c r="X274" i="36"/>
  <c r="X291" i="36"/>
  <c r="Y291" i="36" s="1"/>
  <c r="X295" i="36"/>
  <c r="AC295" i="36" s="1"/>
  <c r="AC299" i="36"/>
  <c r="Y299" i="36"/>
  <c r="X299" i="36"/>
  <c r="Y303" i="36"/>
  <c r="X303" i="36"/>
  <c r="AC303" i="36" s="1"/>
  <c r="X308" i="36"/>
  <c r="Y308" i="36" s="1"/>
  <c r="X312" i="36"/>
  <c r="AC312" i="36" s="1"/>
  <c r="X116" i="36"/>
  <c r="X113" i="36" s="1"/>
  <c r="W167" i="36"/>
  <c r="Y175" i="36"/>
  <c r="Y176" i="36"/>
  <c r="AC178" i="36"/>
  <c r="X179" i="36"/>
  <c r="Y179" i="36" s="1"/>
  <c r="Y180" i="36"/>
  <c r="AC205" i="36"/>
  <c r="AC210" i="36"/>
  <c r="AC213" i="36"/>
  <c r="AD214" i="36"/>
  <c r="X216" i="36"/>
  <c r="X214" i="36" s="1"/>
  <c r="AC214" i="36" s="1"/>
  <c r="W230" i="36"/>
  <c r="X232" i="36"/>
  <c r="X247" i="36"/>
  <c r="AC247" i="36" s="1"/>
  <c r="AI269" i="36"/>
  <c r="AI264" i="36" s="1"/>
  <c r="AI249" i="36" s="1"/>
  <c r="AI5" i="36" s="1"/>
  <c r="U363" i="36"/>
  <c r="W365" i="36"/>
  <c r="AC177" i="36"/>
  <c r="AC190" i="36"/>
  <c r="N195" i="36"/>
  <c r="N5" i="36" s="1"/>
  <c r="AB196" i="36"/>
  <c r="AB195" i="36" s="1"/>
  <c r="AB5" i="36" s="1"/>
  <c r="AJ196" i="36"/>
  <c r="AJ195" i="36" s="1"/>
  <c r="AJ5" i="36" s="1"/>
  <c r="AF231" i="36"/>
  <c r="AD230" i="36"/>
  <c r="W242" i="36"/>
  <c r="AD242" i="36"/>
  <c r="AD241" i="36" s="1"/>
  <c r="AF243" i="36"/>
  <c r="X260" i="36"/>
  <c r="W259" i="36"/>
  <c r="AC280" i="36"/>
  <c r="X280" i="36"/>
  <c r="X293" i="36"/>
  <c r="Y293" i="36" s="1"/>
  <c r="AC297" i="36"/>
  <c r="X297" i="36"/>
  <c r="Y297" i="36" s="1"/>
  <c r="AC301" i="36"/>
  <c r="Y301" i="36"/>
  <c r="X301" i="36"/>
  <c r="X305" i="36"/>
  <c r="AC305" i="36" s="1"/>
  <c r="AC310" i="36"/>
  <c r="X310" i="36"/>
  <c r="Y310" i="36" s="1"/>
  <c r="AC314" i="36"/>
  <c r="Y314" i="36"/>
  <c r="X314" i="36"/>
  <c r="AC364" i="36"/>
  <c r="AC239" i="36"/>
  <c r="X239" i="36"/>
  <c r="H249" i="36"/>
  <c r="M249" i="36"/>
  <c r="M5" i="36" s="1"/>
  <c r="Q249" i="36"/>
  <c r="Q5" i="36" s="1"/>
  <c r="I264" i="36"/>
  <c r="I249" i="36" s="1"/>
  <c r="I5" i="36" s="1"/>
  <c r="X271" i="36"/>
  <c r="AC271" i="36" s="1"/>
  <c r="AC281" i="36"/>
  <c r="X281" i="36"/>
  <c r="X287" i="36"/>
  <c r="Y287" i="36" s="1"/>
  <c r="AC289" i="36"/>
  <c r="X289" i="36"/>
  <c r="AC385" i="36"/>
  <c r="AC374" i="36" s="1"/>
  <c r="X374" i="36"/>
  <c r="X283" i="36"/>
  <c r="AC283" i="36" s="1"/>
  <c r="AC287" i="36"/>
  <c r="Y292" i="36"/>
  <c r="Y300" i="36"/>
  <c r="X307" i="36"/>
  <c r="AC307" i="36" s="1"/>
  <c r="AC315" i="36"/>
  <c r="AC323" i="36"/>
  <c r="X323" i="36"/>
  <c r="AC284" i="36"/>
  <c r="Y286" i="36"/>
  <c r="X286" i="36"/>
  <c r="AC286" i="36" s="1"/>
  <c r="X288" i="36"/>
  <c r="AC288" i="36" s="1"/>
  <c r="X290" i="36"/>
  <c r="AC290" i="36" s="1"/>
  <c r="X292" i="36"/>
  <c r="AC292" i="36" s="1"/>
  <c r="X294" i="36"/>
  <c r="AC294" i="36" s="1"/>
  <c r="X296" i="36"/>
  <c r="AC296" i="36" s="1"/>
  <c r="X298" i="36"/>
  <c r="AC298" i="36" s="1"/>
  <c r="X300" i="36"/>
  <c r="AC300" i="36" s="1"/>
  <c r="X302" i="36"/>
  <c r="AC302" i="36" s="1"/>
  <c r="X304" i="36"/>
  <c r="AC304" i="36" s="1"/>
  <c r="AC306" i="36"/>
  <c r="Y306" i="36"/>
  <c r="X309" i="36"/>
  <c r="Y309" i="36" s="1"/>
  <c r="X311" i="36"/>
  <c r="Y311" i="36" s="1"/>
  <c r="X313" i="36"/>
  <c r="Y313" i="36" s="1"/>
  <c r="X315" i="36"/>
  <c r="AG363" i="36"/>
  <c r="C4" i="31"/>
  <c r="C5" i="30"/>
  <c r="D5" i="39" l="1"/>
  <c r="P3657" i="37"/>
  <c r="P3656" i="37" s="1"/>
  <c r="M3656" i="37"/>
  <c r="M3775" i="37"/>
  <c r="P3618" i="37"/>
  <c r="P3479" i="37"/>
  <c r="P3478" i="37" s="1"/>
  <c r="M3478" i="37"/>
  <c r="P3432" i="37"/>
  <c r="P3431" i="37" s="1"/>
  <c r="M3431" i="37"/>
  <c r="P3383" i="37"/>
  <c r="P3381" i="37" s="1"/>
  <c r="M3381" i="37"/>
  <c r="P3417" i="37"/>
  <c r="P3446" i="37"/>
  <c r="M3211" i="37"/>
  <c r="P2904" i="37"/>
  <c r="P2903" i="37" s="1"/>
  <c r="M2903" i="37"/>
  <c r="P2647" i="37"/>
  <c r="M2937" i="37"/>
  <c r="P1849" i="37"/>
  <c r="P1848" i="37" s="1"/>
  <c r="P1847" i="37" s="1"/>
  <c r="M1848" i="37"/>
  <c r="M1847" i="37" s="1"/>
  <c r="P2254" i="37"/>
  <c r="P1722" i="37"/>
  <c r="P1673" i="37" s="1"/>
  <c r="P1590" i="37"/>
  <c r="P1589" i="37" s="1"/>
  <c r="P1588" i="37" s="1"/>
  <c r="M1589" i="37"/>
  <c r="M1588" i="37" s="1"/>
  <c r="P1416" i="37"/>
  <c r="P1415" i="37" s="1"/>
  <c r="M1415" i="37"/>
  <c r="M1344" i="37"/>
  <c r="P3804" i="37"/>
  <c r="P3803" i="37" s="1"/>
  <c r="P3802" i="37" s="1"/>
  <c r="M3803" i="37"/>
  <c r="M3802" i="37" s="1"/>
  <c r="P1027" i="37"/>
  <c r="P1026" i="37" s="1"/>
  <c r="M1026" i="37"/>
  <c r="P1095" i="37"/>
  <c r="P1094" i="37" s="1"/>
  <c r="M1094" i="37"/>
  <c r="P991" i="37"/>
  <c r="P990" i="37" s="1"/>
  <c r="P989" i="37" s="1"/>
  <c r="M990" i="37"/>
  <c r="M989" i="37" s="1"/>
  <c r="P894" i="37"/>
  <c r="P893" i="37" s="1"/>
  <c r="M893" i="37"/>
  <c r="P888" i="37"/>
  <c r="P887" i="37" s="1"/>
  <c r="M887" i="37"/>
  <c r="M784" i="37"/>
  <c r="J616" i="37"/>
  <c r="J611" i="37" s="1"/>
  <c r="J609" i="37" s="1"/>
  <c r="P320" i="37"/>
  <c r="P318" i="37" s="1"/>
  <c r="P317" i="37" s="1"/>
  <c r="M318" i="37"/>
  <c r="M317" i="37" s="1"/>
  <c r="J6" i="37"/>
  <c r="M3369" i="37"/>
  <c r="M3308" i="37" s="1"/>
  <c r="J3496" i="37"/>
  <c r="M3389" i="37"/>
  <c r="P2793" i="37"/>
  <c r="P2549" i="37"/>
  <c r="P2548" i="37" s="1"/>
  <c r="M2548" i="37"/>
  <c r="M2344" i="37" s="1"/>
  <c r="P2121" i="37"/>
  <c r="M2254" i="37"/>
  <c r="P1405" i="37"/>
  <c r="P1404" i="37" s="1"/>
  <c r="P1343" i="37" s="1"/>
  <c r="M1404" i="37"/>
  <c r="P1466" i="37"/>
  <c r="P1465" i="37" s="1"/>
  <c r="P1464" i="37" s="1"/>
  <c r="M1465" i="37"/>
  <c r="M1464" i="37" s="1"/>
  <c r="I5" i="37"/>
  <c r="P621" i="37"/>
  <c r="P620" i="37" s="1"/>
  <c r="M620" i="37"/>
  <c r="P784" i="37"/>
  <c r="P618" i="37"/>
  <c r="P617" i="37" s="1"/>
  <c r="P616" i="37" s="1"/>
  <c r="P611" i="37" s="1"/>
  <c r="P609" i="37" s="1"/>
  <c r="M617" i="37"/>
  <c r="M616" i="37" s="1"/>
  <c r="P307" i="37"/>
  <c r="P305" i="37" s="1"/>
  <c r="P304" i="37" s="1"/>
  <c r="M305" i="37"/>
  <c r="M304" i="37" s="1"/>
  <c r="P258" i="37"/>
  <c r="P256" i="37" s="1"/>
  <c r="P255" i="37" s="1"/>
  <c r="M256" i="37"/>
  <c r="M255" i="37" s="1"/>
  <c r="P175" i="37"/>
  <c r="P174" i="37" s="1"/>
  <c r="P173" i="37" s="1"/>
  <c r="M174" i="37"/>
  <c r="M173" i="37" s="1"/>
  <c r="P3757" i="37"/>
  <c r="P3756" i="37" s="1"/>
  <c r="P3755" i="37" s="1"/>
  <c r="M3756" i="37"/>
  <c r="M3755" i="37" s="1"/>
  <c r="M3699" i="37"/>
  <c r="P3701" i="37"/>
  <c r="P3699" i="37" s="1"/>
  <c r="P3752" i="37"/>
  <c r="P3751" i="37" s="1"/>
  <c r="P3750" i="37" s="1"/>
  <c r="M3751" i="37"/>
  <c r="M3750" i="37" s="1"/>
  <c r="P3412" i="37"/>
  <c r="P3411" i="37" s="1"/>
  <c r="M3411" i="37"/>
  <c r="P3452" i="37"/>
  <c r="P3451" i="37" s="1"/>
  <c r="M3451" i="37"/>
  <c r="P3369" i="37"/>
  <c r="P3308" i="37" s="1"/>
  <c r="J3210" i="37"/>
  <c r="P3498" i="37"/>
  <c r="P3497" i="37" s="1"/>
  <c r="M3497" i="37"/>
  <c r="J2679" i="37"/>
  <c r="P2344" i="37"/>
  <c r="J2254" i="37"/>
  <c r="P2456" i="37"/>
  <c r="M2793" i="37"/>
  <c r="J2042" i="37"/>
  <c r="H5" i="37"/>
  <c r="J5" i="37" s="1"/>
  <c r="M5" i="37" s="1"/>
  <c r="P5" i="37" s="1"/>
  <c r="M2122" i="37"/>
  <c r="M2121" i="37" s="1"/>
  <c r="J2121" i="37"/>
  <c r="P1460" i="37"/>
  <c r="P1459" i="37" s="1"/>
  <c r="M1459" i="37"/>
  <c r="P2016" i="37"/>
  <c r="P2015" i="37" s="1"/>
  <c r="P1981" i="37" s="1"/>
  <c r="M2015" i="37"/>
  <c r="M1981" i="37" s="1"/>
  <c r="P3244" i="37"/>
  <c r="P3243" i="37" s="1"/>
  <c r="P3210" i="37" s="1"/>
  <c r="M3243" i="37"/>
  <c r="P943" i="37"/>
  <c r="P942" i="37" s="1"/>
  <c r="P941" i="37" s="1"/>
  <c r="M942" i="37"/>
  <c r="M941" i="37" s="1"/>
  <c r="P891" i="37"/>
  <c r="P890" i="37" s="1"/>
  <c r="M890" i="37"/>
  <c r="P783" i="37"/>
  <c r="P782" i="37" s="1"/>
  <c r="P781" i="37" s="1"/>
  <c r="M782" i="37"/>
  <c r="M781" i="37" s="1"/>
  <c r="J1343" i="37"/>
  <c r="P1110" i="37"/>
  <c r="P1109" i="37" s="1"/>
  <c r="M1109" i="37"/>
  <c r="P932" i="37"/>
  <c r="P931" i="37" s="1"/>
  <c r="M931" i="37"/>
  <c r="E5" i="37"/>
  <c r="U5" i="37"/>
  <c r="P938" i="37"/>
  <c r="P937" i="37" s="1"/>
  <c r="M937" i="37"/>
  <c r="M748" i="37"/>
  <c r="M677" i="37" s="1"/>
  <c r="J469" i="37"/>
  <c r="P228" i="37"/>
  <c r="P227" i="37" s="1"/>
  <c r="P226" i="37" s="1"/>
  <c r="M227" i="37"/>
  <c r="M226" i="37" s="1"/>
  <c r="P201" i="37"/>
  <c r="P199" i="37" s="1"/>
  <c r="P198" i="37" s="1"/>
  <c r="M199" i="37"/>
  <c r="M198" i="37" s="1"/>
  <c r="M389" i="37"/>
  <c r="P95" i="37"/>
  <c r="P3718" i="37"/>
  <c r="P3717" i="37" s="1"/>
  <c r="P3714" i="37" s="1"/>
  <c r="M3717" i="37"/>
  <c r="M3714" i="37" s="1"/>
  <c r="M3618" i="37"/>
  <c r="M3417" i="37"/>
  <c r="P3586" i="37"/>
  <c r="P3585" i="37" s="1"/>
  <c r="M3585" i="37"/>
  <c r="M3446" i="37"/>
  <c r="P2990" i="37"/>
  <c r="P2989" i="37" s="1"/>
  <c r="M2989" i="37"/>
  <c r="M2961" i="37" s="1"/>
  <c r="K5" i="37"/>
  <c r="P2961" i="37"/>
  <c r="M2647" i="37"/>
  <c r="M2680" i="37"/>
  <c r="M2679" i="37" s="1"/>
  <c r="P3087" i="37"/>
  <c r="P3085" i="37" s="1"/>
  <c r="P3084" i="37" s="1"/>
  <c r="M3085" i="37"/>
  <c r="M3084" i="37" s="1"/>
  <c r="P1636" i="37"/>
  <c r="P1635" i="37" s="1"/>
  <c r="M1751" i="37"/>
  <c r="M1673" i="37" s="1"/>
  <c r="M1636" i="37"/>
  <c r="M1635" i="37" s="1"/>
  <c r="M1888" i="37"/>
  <c r="M1887" i="37" s="1"/>
  <c r="J1588" i="37"/>
  <c r="J1557" i="37"/>
  <c r="P1542" i="37"/>
  <c r="P1541" i="37" s="1"/>
  <c r="P1540" i="37" s="1"/>
  <c r="M1541" i="37"/>
  <c r="M1540" i="37" s="1"/>
  <c r="M2083" i="37"/>
  <c r="M2042" i="37" s="1"/>
  <c r="J1025" i="37"/>
  <c r="P935" i="37"/>
  <c r="P934" i="37" s="1"/>
  <c r="M934" i="37"/>
  <c r="P897" i="37"/>
  <c r="P896" i="37" s="1"/>
  <c r="M896" i="37"/>
  <c r="J886" i="37"/>
  <c r="N5" i="37"/>
  <c r="P558" i="37"/>
  <c r="P557" i="37" s="1"/>
  <c r="M557" i="37"/>
  <c r="P556" i="37"/>
  <c r="P555" i="37" s="1"/>
  <c r="P469" i="37" s="1"/>
  <c r="M555" i="37"/>
  <c r="M469" i="37" s="1"/>
  <c r="P389" i="37"/>
  <c r="M95" i="37"/>
  <c r="M6" i="37" s="1"/>
  <c r="P6" i="37"/>
  <c r="AC311" i="36"/>
  <c r="Y304" i="36"/>
  <c r="Y288" i="36"/>
  <c r="AC313" i="36"/>
  <c r="AC309" i="36"/>
  <c r="Y302" i="36"/>
  <c r="Y298" i="36"/>
  <c r="Y294" i="36"/>
  <c r="Y290" i="36"/>
  <c r="AC293" i="36"/>
  <c r="X259" i="36"/>
  <c r="AC260" i="36"/>
  <c r="X365" i="36"/>
  <c r="X363" i="36" s="1"/>
  <c r="W363" i="36"/>
  <c r="X245" i="36"/>
  <c r="AC245" i="36" s="1"/>
  <c r="AD196" i="36"/>
  <c r="AD195" i="36" s="1"/>
  <c r="AG214" i="36"/>
  <c r="Y168" i="36"/>
  <c r="Y167" i="36" s="1"/>
  <c r="Y166" i="36" s="1"/>
  <c r="Y312" i="36"/>
  <c r="AC308" i="36"/>
  <c r="Y295" i="36"/>
  <c r="AC291" i="36"/>
  <c r="AC216" i="36"/>
  <c r="AC179" i="36"/>
  <c r="AC164" i="36"/>
  <c r="X269" i="36"/>
  <c r="W264" i="36"/>
  <c r="AC265" i="36"/>
  <c r="W250" i="36"/>
  <c r="AC252" i="36"/>
  <c r="X252" i="36"/>
  <c r="X250" i="36" s="1"/>
  <c r="AC198" i="36"/>
  <c r="X168" i="36"/>
  <c r="AC66" i="36"/>
  <c r="W65" i="36"/>
  <c r="AC96" i="36"/>
  <c r="X82" i="36"/>
  <c r="X65" i="36" s="1"/>
  <c r="AC49" i="36"/>
  <c r="X49" i="36"/>
  <c r="X48" i="36" s="1"/>
  <c r="X47" i="36" s="1"/>
  <c r="W48" i="36"/>
  <c r="AC110" i="36"/>
  <c r="X10" i="36"/>
  <c r="AC68" i="36"/>
  <c r="AC40" i="36"/>
  <c r="W15" i="36"/>
  <c r="AC15" i="36" s="1"/>
  <c r="AG13" i="36"/>
  <c r="AF7" i="36"/>
  <c r="AG243" i="36"/>
  <c r="AF242" i="36"/>
  <c r="AF230" i="36"/>
  <c r="AG231" i="36"/>
  <c r="X230" i="36"/>
  <c r="W166" i="36"/>
  <c r="AC232" i="36"/>
  <c r="AC147" i="36"/>
  <c r="AC269" i="36"/>
  <c r="X161" i="36"/>
  <c r="AC129" i="36"/>
  <c r="W30" i="36"/>
  <c r="AC39" i="36"/>
  <c r="AC113" i="36"/>
  <c r="AC165" i="36"/>
  <c r="AC116" i="36"/>
  <c r="AG15" i="36"/>
  <c r="AC10" i="36"/>
  <c r="Y296" i="36"/>
  <c r="Y269" i="36" s="1"/>
  <c r="Y264" i="36" s="1"/>
  <c r="Y249" i="36" s="1"/>
  <c r="AC230" i="36"/>
  <c r="X196" i="36"/>
  <c r="X195" i="36" s="1"/>
  <c r="X241" i="36"/>
  <c r="AG136" i="36"/>
  <c r="AF135" i="36"/>
  <c r="AG135" i="36" s="1"/>
  <c r="AG65" i="36" s="1"/>
  <c r="AC82" i="36"/>
  <c r="AD65" i="36"/>
  <c r="AD46" i="36" s="1"/>
  <c r="AD5" i="36" s="1"/>
  <c r="AG33" i="36"/>
  <c r="AG31" i="36" s="1"/>
  <c r="AG30" i="36" s="1"/>
  <c r="AF31" i="36"/>
  <c r="AF30" i="36" s="1"/>
  <c r="AC152" i="36"/>
  <c r="X30" i="36"/>
  <c r="AC26" i="36"/>
  <c r="AC54" i="36"/>
  <c r="W7" i="36"/>
  <c r="AF65" i="36"/>
  <c r="X7" i="36"/>
  <c r="AC259" i="36"/>
  <c r="AC242" i="36"/>
  <c r="W241" i="36"/>
  <c r="AC241" i="36" s="1"/>
  <c r="X264" i="36"/>
  <c r="AC161" i="36"/>
  <c r="AC266" i="36"/>
  <c r="U249" i="36"/>
  <c r="U5" i="36" s="1"/>
  <c r="AC244" i="36"/>
  <c r="W196" i="36"/>
  <c r="AC197" i="36"/>
  <c r="AC133" i="36"/>
  <c r="X140" i="36"/>
  <c r="AC140" i="36" s="1"/>
  <c r="AC91" i="36"/>
  <c r="AG49" i="36"/>
  <c r="AF48" i="36"/>
  <c r="AC109" i="36"/>
  <c r="AC83" i="36"/>
  <c r="AC24" i="36"/>
  <c r="AK395" i="8"/>
  <c r="AK397" i="8"/>
  <c r="AK17" i="8"/>
  <c r="AG392" i="8"/>
  <c r="AK170" i="8"/>
  <c r="AG391" i="8"/>
  <c r="M3496" i="37" l="1"/>
  <c r="P3496" i="37"/>
  <c r="M886" i="37"/>
  <c r="M1025" i="37"/>
  <c r="M1343" i="37"/>
  <c r="P886" i="37"/>
  <c r="P1025" i="37"/>
  <c r="M3210" i="37"/>
  <c r="AG230" i="36"/>
  <c r="AF196" i="36"/>
  <c r="AF6" i="36"/>
  <c r="AG7" i="36"/>
  <c r="X46" i="36"/>
  <c r="W6" i="36"/>
  <c r="AC7" i="36"/>
  <c r="AF241" i="36"/>
  <c r="AG241" i="36" s="1"/>
  <c r="AG242" i="36"/>
  <c r="AC65" i="36"/>
  <c r="X249" i="36"/>
  <c r="AC264" i="36"/>
  <c r="AF47" i="36"/>
  <c r="AG48" i="36"/>
  <c r="W195" i="36"/>
  <c r="AC195" i="36" s="1"/>
  <c r="AC196" i="36"/>
  <c r="AC30" i="36"/>
  <c r="Y5" i="36"/>
  <c r="AC363" i="36"/>
  <c r="X6" i="36"/>
  <c r="AC48" i="36"/>
  <c r="W47" i="36"/>
  <c r="X167" i="36"/>
  <c r="AC168" i="36"/>
  <c r="W249" i="36"/>
  <c r="AC249" i="36" s="1"/>
  <c r="AC250" i="36"/>
  <c r="AC365" i="36"/>
  <c r="AC419" i="8"/>
  <c r="AC418" i="8"/>
  <c r="AC417" i="8"/>
  <c r="AC416" i="8"/>
  <c r="X415" i="8"/>
  <c r="AC415" i="8" s="1"/>
  <c r="AC411" i="8"/>
  <c r="AC410" i="8"/>
  <c r="AC409" i="8"/>
  <c r="AC408" i="8"/>
  <c r="AC407" i="8"/>
  <c r="H407" i="8"/>
  <c r="AF399" i="8"/>
  <c r="X399" i="8"/>
  <c r="AC399" i="8" s="1"/>
  <c r="H399" i="8"/>
  <c r="AG390" i="8"/>
  <c r="X389" i="8"/>
  <c r="AC389" i="8" s="1"/>
  <c r="AC388" i="8"/>
  <c r="AG387" i="8"/>
  <c r="X387" i="8"/>
  <c r="AC387" i="8" s="1"/>
  <c r="AG386" i="8"/>
  <c r="X386" i="8"/>
  <c r="AC386" i="8" s="1"/>
  <c r="AF385" i="8"/>
  <c r="AG385" i="8" s="1"/>
  <c r="X385" i="8"/>
  <c r="AC384" i="8"/>
  <c r="AG383" i="8"/>
  <c r="AG382" i="8"/>
  <c r="X382" i="8"/>
  <c r="AC382" i="8" s="1"/>
  <c r="X381" i="8"/>
  <c r="AC381" i="8" s="1"/>
  <c r="AC380" i="8"/>
  <c r="AC379" i="8"/>
  <c r="AC378" i="8"/>
  <c r="AC377" i="8"/>
  <c r="AK374" i="8"/>
  <c r="AJ374" i="8"/>
  <c r="AE374" i="8"/>
  <c r="AD374" i="8"/>
  <c r="AB374" i="8"/>
  <c r="AA374" i="8"/>
  <c r="Z374" i="8"/>
  <c r="Y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G374" i="8"/>
  <c r="AG372" i="8"/>
  <c r="AG371" i="8"/>
  <c r="AG370" i="8"/>
  <c r="AG369" i="8"/>
  <c r="X369" i="8"/>
  <c r="AC369" i="8" s="1"/>
  <c r="V369" i="8"/>
  <c r="AG368" i="8"/>
  <c r="AG367" i="8"/>
  <c r="AG366" i="8"/>
  <c r="X366" i="8"/>
  <c r="AC366" i="8" s="1"/>
  <c r="V366" i="8"/>
  <c r="J366" i="8"/>
  <c r="AG365" i="8"/>
  <c r="V365" i="8"/>
  <c r="U365" i="8"/>
  <c r="U363" i="8" s="1"/>
  <c r="J365" i="8"/>
  <c r="AG364" i="8"/>
  <c r="X364" i="8"/>
  <c r="AC364" i="8" s="1"/>
  <c r="V364" i="8"/>
  <c r="AK363" i="8"/>
  <c r="AJ363" i="8"/>
  <c r="AI363" i="8"/>
  <c r="AF363" i="8"/>
  <c r="AE363" i="8"/>
  <c r="AD363" i="8"/>
  <c r="AB363" i="8"/>
  <c r="AA363" i="8"/>
  <c r="Z363" i="8"/>
  <c r="Y363" i="8"/>
  <c r="T363" i="8"/>
  <c r="S363" i="8"/>
  <c r="R363" i="8"/>
  <c r="Q363" i="8"/>
  <c r="P363" i="8"/>
  <c r="O363" i="8"/>
  <c r="N363" i="8"/>
  <c r="M363" i="8"/>
  <c r="L363" i="8"/>
  <c r="K363" i="8"/>
  <c r="I363" i="8"/>
  <c r="H363" i="8"/>
  <c r="G363" i="8"/>
  <c r="AK361" i="8"/>
  <c r="AJ361" i="8"/>
  <c r="AI361" i="8"/>
  <c r="AG360" i="8"/>
  <c r="AK359" i="8"/>
  <c r="AJ359" i="8"/>
  <c r="AI359" i="8"/>
  <c r="AG358" i="8"/>
  <c r="AG356" i="8"/>
  <c r="AG355" i="8"/>
  <c r="AG354" i="8"/>
  <c r="AG353" i="8"/>
  <c r="AG352" i="8"/>
  <c r="AG351" i="8"/>
  <c r="AG350" i="8"/>
  <c r="AG349" i="8"/>
  <c r="AG348" i="8"/>
  <c r="AG344" i="8"/>
  <c r="AG343" i="8"/>
  <c r="AF342" i="8"/>
  <c r="AG342" i="8" s="1"/>
  <c r="AE342" i="8"/>
  <c r="AE269" i="8" s="1"/>
  <c r="AG341" i="8"/>
  <c r="AG340" i="8"/>
  <c r="AG339" i="8"/>
  <c r="AF338" i="8"/>
  <c r="AG338" i="8" s="1"/>
  <c r="AG337" i="8"/>
  <c r="AF336" i="8"/>
  <c r="AG336" i="8" s="1"/>
  <c r="AK335" i="8"/>
  <c r="AJ335" i="8"/>
  <c r="AK334" i="8"/>
  <c r="AJ334" i="8"/>
  <c r="AK333" i="8"/>
  <c r="AJ333" i="8"/>
  <c r="AG331" i="8"/>
  <c r="AG330" i="8"/>
  <c r="W329" i="8"/>
  <c r="AC329" i="8" s="1"/>
  <c r="W328" i="8"/>
  <c r="AC328" i="8" s="1"/>
  <c r="W327" i="8"/>
  <c r="AC327" i="8" s="1"/>
  <c r="W326" i="8"/>
  <c r="X326" i="8" s="1"/>
  <c r="AC325" i="8"/>
  <c r="X324" i="8"/>
  <c r="AC324" i="8" s="1"/>
  <c r="W323" i="8"/>
  <c r="X323" i="8" s="1"/>
  <c r="AC323" i="8" s="1"/>
  <c r="W322" i="8"/>
  <c r="X322" i="8" s="1"/>
  <c r="X321" i="8"/>
  <c r="AC321" i="8" s="1"/>
  <c r="X320" i="8"/>
  <c r="AC320" i="8" s="1"/>
  <c r="X319" i="8"/>
  <c r="AC319" i="8" s="1"/>
  <c r="X318" i="8"/>
  <c r="AC318" i="8" s="1"/>
  <c r="AK317" i="8"/>
  <c r="AJ317" i="8"/>
  <c r="AI317" i="8"/>
  <c r="W317" i="8"/>
  <c r="AC317" i="8" s="1"/>
  <c r="AK316" i="8"/>
  <c r="AJ316" i="8"/>
  <c r="AI316" i="8"/>
  <c r="W316" i="8"/>
  <c r="X316" i="8" s="1"/>
  <c r="AC316" i="8" s="1"/>
  <c r="W315" i="8"/>
  <c r="W314" i="8"/>
  <c r="W313" i="8"/>
  <c r="W312" i="8"/>
  <c r="W311" i="8"/>
  <c r="W310" i="8"/>
  <c r="W309" i="8"/>
  <c r="W308" i="8"/>
  <c r="AG307" i="8"/>
  <c r="W307" i="8"/>
  <c r="W306" i="8"/>
  <c r="AG305" i="8"/>
  <c r="W305" i="8"/>
  <c r="W304" i="8"/>
  <c r="W303" i="8"/>
  <c r="W302" i="8"/>
  <c r="W301" i="8"/>
  <c r="W300" i="8"/>
  <c r="W299" i="8"/>
  <c r="W298" i="8"/>
  <c r="X298" i="8" s="1"/>
  <c r="Y298" i="8" s="1"/>
  <c r="W297" i="8"/>
  <c r="W296" i="8"/>
  <c r="W295" i="8"/>
  <c r="W294" i="8"/>
  <c r="W293" i="8"/>
  <c r="W292" i="8"/>
  <c r="X292" i="8" s="1"/>
  <c r="AC292" i="8" s="1"/>
  <c r="W291" i="8"/>
  <c r="W290" i="8"/>
  <c r="W289" i="8"/>
  <c r="W288" i="8"/>
  <c r="W287" i="8"/>
  <c r="W286" i="8"/>
  <c r="AG284" i="8"/>
  <c r="W284" i="8"/>
  <c r="X284" i="8" s="1"/>
  <c r="AC284" i="8" s="1"/>
  <c r="W283" i="8"/>
  <c r="W282" i="8"/>
  <c r="X282" i="8" s="1"/>
  <c r="AC282" i="8" s="1"/>
  <c r="AK281" i="8"/>
  <c r="AJ281" i="8"/>
  <c r="W281" i="8"/>
  <c r="AG280" i="8"/>
  <c r="W280" i="8"/>
  <c r="X280" i="8" s="1"/>
  <c r="W279" i="8"/>
  <c r="X279" i="8" s="1"/>
  <c r="AC279" i="8" s="1"/>
  <c r="W278" i="8"/>
  <c r="AG277" i="8"/>
  <c r="W277" i="8"/>
  <c r="X277" i="8" s="1"/>
  <c r="AC277" i="8" s="1"/>
  <c r="AG276" i="8"/>
  <c r="W276" i="8"/>
  <c r="AG275" i="8"/>
  <c r="W275" i="8"/>
  <c r="X275" i="8" s="1"/>
  <c r="AC275" i="8" s="1"/>
  <c r="W274" i="8"/>
  <c r="W273" i="8"/>
  <c r="X273" i="8" s="1"/>
  <c r="AC272" i="8"/>
  <c r="W271" i="8"/>
  <c r="X271" i="8" s="1"/>
  <c r="AC271" i="8" s="1"/>
  <c r="J271" i="8"/>
  <c r="J269" i="8" s="1"/>
  <c r="W270" i="8"/>
  <c r="AD269" i="8"/>
  <c r="AB269" i="8"/>
  <c r="AA269" i="8"/>
  <c r="Z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I269" i="8"/>
  <c r="H269" i="8"/>
  <c r="G269" i="8"/>
  <c r="X268" i="8"/>
  <c r="AC268" i="8" s="1"/>
  <c r="X267" i="8"/>
  <c r="AC267" i="8" s="1"/>
  <c r="W266" i="8"/>
  <c r="X266" i="8" s="1"/>
  <c r="AK265" i="8"/>
  <c r="AJ265" i="8"/>
  <c r="AI265" i="8"/>
  <c r="AF265" i="8"/>
  <c r="AE265" i="8"/>
  <c r="AD265" i="8"/>
  <c r="AB265" i="8"/>
  <c r="AA265" i="8"/>
  <c r="Z265" i="8"/>
  <c r="Y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AG263" i="8"/>
  <c r="AG262" i="8"/>
  <c r="V262" i="8"/>
  <c r="AG261" i="8"/>
  <c r="AG260" i="8"/>
  <c r="T260" i="8"/>
  <c r="W260" i="8" s="1"/>
  <c r="AK259" i="8"/>
  <c r="AJ259" i="8"/>
  <c r="AI259" i="8"/>
  <c r="AF259" i="8"/>
  <c r="AE259" i="8"/>
  <c r="AD259" i="8"/>
  <c r="AB259" i="8"/>
  <c r="AA259" i="8"/>
  <c r="Z259" i="8"/>
  <c r="Y259" i="8"/>
  <c r="U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AG258" i="8"/>
  <c r="X258" i="8"/>
  <c r="AC258" i="8" s="1"/>
  <c r="AG257" i="8"/>
  <c r="AG256" i="8"/>
  <c r="X256" i="8"/>
  <c r="AC256" i="8" s="1"/>
  <c r="T256" i="8"/>
  <c r="AG255" i="8"/>
  <c r="X255" i="8"/>
  <c r="AC255" i="8" s="1"/>
  <c r="V255" i="8"/>
  <c r="T255" i="8"/>
  <c r="AG254" i="8"/>
  <c r="X254" i="8"/>
  <c r="AC254" i="8" s="1"/>
  <c r="V254" i="8"/>
  <c r="U254" i="8"/>
  <c r="T254" i="8"/>
  <c r="AG253" i="8"/>
  <c r="X253" i="8"/>
  <c r="AC253" i="8" s="1"/>
  <c r="U253" i="8"/>
  <c r="AG252" i="8"/>
  <c r="V252" i="8"/>
  <c r="U252" i="8"/>
  <c r="J252" i="8"/>
  <c r="J250" i="8" s="1"/>
  <c r="I252" i="8"/>
  <c r="I250" i="8" s="1"/>
  <c r="H252" i="8"/>
  <c r="H250" i="8" s="1"/>
  <c r="AG251" i="8"/>
  <c r="X251" i="8"/>
  <c r="AC251" i="8" s="1"/>
  <c r="V251" i="8"/>
  <c r="AK250" i="8"/>
  <c r="AJ250" i="8"/>
  <c r="AI250" i="8"/>
  <c r="AF250" i="8"/>
  <c r="AE250" i="8"/>
  <c r="AD250" i="8"/>
  <c r="AB250" i="8"/>
  <c r="AA250" i="8"/>
  <c r="Z250" i="8"/>
  <c r="Y250" i="8"/>
  <c r="S250" i="8"/>
  <c r="R250" i="8"/>
  <c r="Q250" i="8"/>
  <c r="P250" i="8"/>
  <c r="O250" i="8"/>
  <c r="N250" i="8"/>
  <c r="M250" i="8"/>
  <c r="L250" i="8"/>
  <c r="K250" i="8"/>
  <c r="G250" i="8"/>
  <c r="G249" i="8"/>
  <c r="AG248" i="8"/>
  <c r="W248" i="8"/>
  <c r="X248" i="8" s="1"/>
  <c r="AD247" i="8"/>
  <c r="AG247" i="8" s="1"/>
  <c r="W247" i="8"/>
  <c r="AD246" i="8"/>
  <c r="AG246" i="8" s="1"/>
  <c r="W246" i="8"/>
  <c r="J246" i="8"/>
  <c r="AK245" i="8"/>
  <c r="AJ245" i="8"/>
  <c r="AI245" i="8"/>
  <c r="AF245" i="8"/>
  <c r="AE245" i="8"/>
  <c r="AB245" i="8"/>
  <c r="AA245" i="8"/>
  <c r="Z245" i="8"/>
  <c r="Y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I245" i="8"/>
  <c r="H245" i="8"/>
  <c r="J245" i="8" s="1"/>
  <c r="G245" i="8"/>
  <c r="AG244" i="8"/>
  <c r="W244" i="8"/>
  <c r="X244" i="8" s="1"/>
  <c r="AC244" i="8" s="1"/>
  <c r="AD243" i="8"/>
  <c r="AF243" i="8" s="1"/>
  <c r="W243" i="8"/>
  <c r="AK242" i="8"/>
  <c r="AJ242" i="8"/>
  <c r="AI242" i="8"/>
  <c r="AE242" i="8"/>
  <c r="AB242" i="8"/>
  <c r="AA242" i="8"/>
  <c r="Z242" i="8"/>
  <c r="Y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I241" i="8" s="1"/>
  <c r="H242" i="8"/>
  <c r="G242" i="8"/>
  <c r="G241" i="8" s="1"/>
  <c r="AG240" i="8"/>
  <c r="AG239" i="8"/>
  <c r="W239" i="8"/>
  <c r="AG238" i="8"/>
  <c r="W238" i="8"/>
  <c r="X238" i="8" s="1"/>
  <c r="AC238" i="8" s="1"/>
  <c r="AG237" i="8"/>
  <c r="W237" i="8"/>
  <c r="AF236" i="8"/>
  <c r="AG236" i="8" s="1"/>
  <c r="W236" i="8"/>
  <c r="X236" i="8" s="1"/>
  <c r="AF235" i="8"/>
  <c r="AG235" i="8" s="1"/>
  <c r="X235" i="8"/>
  <c r="AC235" i="8" s="1"/>
  <c r="J235" i="8"/>
  <c r="AF234" i="8"/>
  <c r="W234" i="8"/>
  <c r="J234" i="8"/>
  <c r="I234" i="8"/>
  <c r="I230" i="8" s="1"/>
  <c r="H234" i="8"/>
  <c r="AG233" i="8"/>
  <c r="W233" i="8"/>
  <c r="AG232" i="8"/>
  <c r="W232" i="8"/>
  <c r="AD231" i="8"/>
  <c r="AD230" i="8" s="1"/>
  <c r="W231" i="8"/>
  <c r="X231" i="8" s="1"/>
  <c r="AC231" i="8" s="1"/>
  <c r="J231" i="8"/>
  <c r="AK230" i="8"/>
  <c r="AJ230" i="8"/>
  <c r="AI230" i="8"/>
  <c r="AE230" i="8"/>
  <c r="AB230" i="8"/>
  <c r="AA230" i="8"/>
  <c r="Z230" i="8"/>
  <c r="Y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H230" i="8"/>
  <c r="G230" i="8"/>
  <c r="AG229" i="8"/>
  <c r="AG228" i="8"/>
  <c r="W228" i="8"/>
  <c r="AG227" i="8"/>
  <c r="W227" i="8"/>
  <c r="AG226" i="8"/>
  <c r="W226" i="8"/>
  <c r="AG225" i="8"/>
  <c r="W225" i="8"/>
  <c r="AG224" i="8"/>
  <c r="W224" i="8"/>
  <c r="AF223" i="8"/>
  <c r="W223" i="8"/>
  <c r="AG222" i="8"/>
  <c r="W222" i="8"/>
  <c r="X222" i="8" s="1"/>
  <c r="AC222" i="8" s="1"/>
  <c r="AD221" i="8"/>
  <c r="AG221" i="8" s="1"/>
  <c r="X221" i="8"/>
  <c r="AC221" i="8" s="1"/>
  <c r="AD220" i="8"/>
  <c r="AG220" i="8" s="1"/>
  <c r="W220" i="8"/>
  <c r="X220" i="8" s="1"/>
  <c r="AD219" i="8"/>
  <c r="AG219" i="8" s="1"/>
  <c r="W219" i="8"/>
  <c r="X219" i="8" s="1"/>
  <c r="AC219" i="8" s="1"/>
  <c r="AG218" i="8"/>
  <c r="W218" i="8"/>
  <c r="AG217" i="8"/>
  <c r="X217" i="8"/>
  <c r="AC217" i="8" s="1"/>
  <c r="AG216" i="8"/>
  <c r="W216" i="8"/>
  <c r="X216" i="8" s="1"/>
  <c r="AC216" i="8" s="1"/>
  <c r="AF215" i="8"/>
  <c r="AD215" i="8"/>
  <c r="X215" i="8"/>
  <c r="AK214" i="8"/>
  <c r="AJ214" i="8"/>
  <c r="AI214" i="8"/>
  <c r="AE214" i="8"/>
  <c r="AB214" i="8"/>
  <c r="AA214" i="8"/>
  <c r="Z214" i="8"/>
  <c r="Y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AG213" i="8"/>
  <c r="W213" i="8"/>
  <c r="W211" i="8" s="1"/>
  <c r="AF212" i="8"/>
  <c r="AG212" i="8" s="1"/>
  <c r="X212" i="8"/>
  <c r="AK211" i="8"/>
  <c r="AJ211" i="8"/>
  <c r="AI211" i="8"/>
  <c r="AE211" i="8"/>
  <c r="AD211" i="8"/>
  <c r="AB211" i="8"/>
  <c r="AA211" i="8"/>
  <c r="Z211" i="8"/>
  <c r="Y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AG210" i="8"/>
  <c r="W210" i="8"/>
  <c r="AK209" i="8"/>
  <c r="AJ209" i="8"/>
  <c r="AI209" i="8"/>
  <c r="AF209" i="8"/>
  <c r="AE209" i="8"/>
  <c r="AD209" i="8"/>
  <c r="AB209" i="8"/>
  <c r="AA209" i="8"/>
  <c r="Z209" i="8"/>
  <c r="Y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W208" i="8"/>
  <c r="AC207" i="8"/>
  <c r="AG206" i="8"/>
  <c r="W206" i="8"/>
  <c r="AG205" i="8"/>
  <c r="W205" i="8"/>
  <c r="W204" i="8" s="1"/>
  <c r="AK204" i="8"/>
  <c r="AJ204" i="8"/>
  <c r="AI204" i="8"/>
  <c r="AF204" i="8"/>
  <c r="AE204" i="8"/>
  <c r="AD204" i="8"/>
  <c r="AB204" i="8"/>
  <c r="AA204" i="8"/>
  <c r="Z204" i="8"/>
  <c r="Y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AF203" i="8"/>
  <c r="AG203" i="8" s="1"/>
  <c r="AG202" i="8" s="1"/>
  <c r="AK202" i="8"/>
  <c r="AJ202" i="8"/>
  <c r="AI202" i="8"/>
  <c r="AE202" i="8"/>
  <c r="AD202" i="8"/>
  <c r="AB202" i="8"/>
  <c r="AA202" i="8"/>
  <c r="Z202" i="8"/>
  <c r="AG201" i="8"/>
  <c r="W201" i="8"/>
  <c r="AD200" i="8"/>
  <c r="AG200" i="8" s="1"/>
  <c r="W200" i="8"/>
  <c r="X200" i="8" s="1"/>
  <c r="AC200" i="8" s="1"/>
  <c r="AD199" i="8"/>
  <c r="AG199" i="8" s="1"/>
  <c r="W199" i="8"/>
  <c r="X199" i="8" s="1"/>
  <c r="AC199" i="8" s="1"/>
  <c r="AD198" i="8"/>
  <c r="AG198" i="8" s="1"/>
  <c r="W198" i="8"/>
  <c r="AK197" i="8"/>
  <c r="AJ197" i="8"/>
  <c r="AI197" i="8"/>
  <c r="AF197" i="8"/>
  <c r="AE197" i="8"/>
  <c r="AB197" i="8"/>
  <c r="AA197" i="8"/>
  <c r="Z197" i="8"/>
  <c r="Y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H197" i="8"/>
  <c r="G197" i="8"/>
  <c r="G195" i="8"/>
  <c r="AG194" i="8"/>
  <c r="X194" i="8"/>
  <c r="AC194" i="8" s="1"/>
  <c r="J194" i="8"/>
  <c r="I194" i="8"/>
  <c r="H194" i="8"/>
  <c r="AG193" i="8"/>
  <c r="W193" i="8"/>
  <c r="X193" i="8" s="1"/>
  <c r="X192" i="8" s="1"/>
  <c r="AK192" i="8"/>
  <c r="AJ192" i="8"/>
  <c r="AI192" i="8"/>
  <c r="AF192" i="8"/>
  <c r="AE192" i="8"/>
  <c r="AD192" i="8"/>
  <c r="AB192" i="8"/>
  <c r="AA192" i="8"/>
  <c r="Z192" i="8"/>
  <c r="Y192" i="8"/>
  <c r="V192" i="8"/>
  <c r="U192" i="8"/>
  <c r="T192" i="8"/>
  <c r="S192" i="8"/>
  <c r="R192" i="8"/>
  <c r="Q192" i="8"/>
  <c r="O192" i="8"/>
  <c r="N192" i="8"/>
  <c r="M192" i="8"/>
  <c r="L192" i="8"/>
  <c r="K192" i="8"/>
  <c r="J192" i="8"/>
  <c r="I192" i="8"/>
  <c r="H192" i="8"/>
  <c r="G192" i="8"/>
  <c r="AF191" i="8"/>
  <c r="X191" i="8"/>
  <c r="J191" i="8"/>
  <c r="J190" i="8" s="1"/>
  <c r="H191" i="8"/>
  <c r="H190" i="8" s="1"/>
  <c r="AK190" i="8"/>
  <c r="AJ190" i="8"/>
  <c r="AI190" i="8"/>
  <c r="AE190" i="8"/>
  <c r="AD190" i="8"/>
  <c r="AB190" i="8"/>
  <c r="AA190" i="8"/>
  <c r="Z190" i="8"/>
  <c r="Y190" i="8"/>
  <c r="W190" i="8"/>
  <c r="V190" i="8"/>
  <c r="U190" i="8"/>
  <c r="T190" i="8"/>
  <c r="S190" i="8"/>
  <c r="R190" i="8"/>
  <c r="Q190" i="8"/>
  <c r="O190" i="8"/>
  <c r="N190" i="8"/>
  <c r="M190" i="8"/>
  <c r="L190" i="8"/>
  <c r="K190" i="8"/>
  <c r="I190" i="8"/>
  <c r="G190" i="8"/>
  <c r="AD189" i="8"/>
  <c r="AD187" i="8" s="1"/>
  <c r="W189" i="8"/>
  <c r="X189" i="8" s="1"/>
  <c r="AC189" i="8" s="1"/>
  <c r="J189" i="8"/>
  <c r="J187" i="8" s="1"/>
  <c r="I189" i="8"/>
  <c r="I187" i="8" s="1"/>
  <c r="H189" i="8"/>
  <c r="H187" i="8" s="1"/>
  <c r="AG188" i="8"/>
  <c r="X188" i="8"/>
  <c r="AK187" i="8"/>
  <c r="AJ187" i="8"/>
  <c r="AI187" i="8"/>
  <c r="AE187" i="8"/>
  <c r="AB187" i="8"/>
  <c r="AA187" i="8"/>
  <c r="Z187" i="8"/>
  <c r="Y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G187" i="8"/>
  <c r="AG186" i="8"/>
  <c r="X186" i="8"/>
  <c r="X185" i="8" s="1"/>
  <c r="AK185" i="8"/>
  <c r="AJ185" i="8"/>
  <c r="AI185" i="8"/>
  <c r="AF185" i="8"/>
  <c r="AE185" i="8"/>
  <c r="AD185" i="8"/>
  <c r="AB185" i="8"/>
  <c r="AA185" i="8"/>
  <c r="Z185" i="8"/>
  <c r="Y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AG183" i="8"/>
  <c r="AG182" i="8"/>
  <c r="AG181" i="8"/>
  <c r="W180" i="8"/>
  <c r="X180" i="8" s="1"/>
  <c r="AC180" i="8" s="1"/>
  <c r="W179" i="8"/>
  <c r="W178" i="8"/>
  <c r="W177" i="8"/>
  <c r="W176" i="8"/>
  <c r="X176" i="8" s="1"/>
  <c r="AC176" i="8" s="1"/>
  <c r="W175" i="8"/>
  <c r="X174" i="8"/>
  <c r="AC174" i="8" s="1"/>
  <c r="W173" i="8"/>
  <c r="X173" i="8" s="1"/>
  <c r="X172" i="8"/>
  <c r="AC172" i="8" s="1"/>
  <c r="J172" i="8"/>
  <c r="X171" i="8"/>
  <c r="AC171" i="8" s="1"/>
  <c r="U171" i="8"/>
  <c r="J171" i="8"/>
  <c r="AD170" i="8"/>
  <c r="AG170" i="8" s="1"/>
  <c r="X170" i="8"/>
  <c r="V170" i="8"/>
  <c r="V168" i="8" s="1"/>
  <c r="U170" i="8"/>
  <c r="T170" i="8"/>
  <c r="T168" i="8" s="1"/>
  <c r="S170" i="8"/>
  <c r="S168" i="8" s="1"/>
  <c r="R170" i="8"/>
  <c r="R168" i="8" s="1"/>
  <c r="Q170" i="8"/>
  <c r="Q168" i="8" s="1"/>
  <c r="I170" i="8"/>
  <c r="I168" i="8" s="1"/>
  <c r="H170" i="8"/>
  <c r="H168" i="8" s="1"/>
  <c r="W169" i="8"/>
  <c r="X169" i="8" s="1"/>
  <c r="Y169" i="8" s="1"/>
  <c r="AK168" i="8"/>
  <c r="AJ168" i="8"/>
  <c r="AI168" i="8"/>
  <c r="AF168" i="8"/>
  <c r="AE168" i="8"/>
  <c r="AD168" i="8"/>
  <c r="AB168" i="8"/>
  <c r="AA168" i="8"/>
  <c r="Z168" i="8"/>
  <c r="P168" i="8"/>
  <c r="O168" i="8"/>
  <c r="N168" i="8"/>
  <c r="M168" i="8"/>
  <c r="L168" i="8"/>
  <c r="K168" i="8"/>
  <c r="G168" i="8"/>
  <c r="AG165" i="8"/>
  <c r="W165" i="8"/>
  <c r="X165" i="8" s="1"/>
  <c r="X164" i="8" s="1"/>
  <c r="AK164" i="8"/>
  <c r="AJ164" i="8"/>
  <c r="AI164" i="8"/>
  <c r="AF164" i="8"/>
  <c r="AE164" i="8"/>
  <c r="AD164" i="8"/>
  <c r="Y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H164" i="8"/>
  <c r="G164" i="8"/>
  <c r="AD163" i="8"/>
  <c r="AF163" i="8" s="1"/>
  <c r="W163" i="8"/>
  <c r="AD162" i="8"/>
  <c r="AG162" i="8" s="1"/>
  <c r="W162" i="8"/>
  <c r="AK161" i="8"/>
  <c r="AJ161" i="8"/>
  <c r="AI161" i="8"/>
  <c r="AE161" i="8"/>
  <c r="AB161" i="8"/>
  <c r="AA161" i="8"/>
  <c r="Z161" i="8"/>
  <c r="Y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AF160" i="8"/>
  <c r="AG160" i="8" s="1"/>
  <c r="P160" i="8"/>
  <c r="W160" i="8" s="1"/>
  <c r="J160" i="8"/>
  <c r="I160" i="8"/>
  <c r="H160" i="8"/>
  <c r="AK159" i="8"/>
  <c r="AJ159" i="8"/>
  <c r="AI159" i="8"/>
  <c r="AD158" i="8"/>
  <c r="W158" i="8"/>
  <c r="AK157" i="8"/>
  <c r="AJ157" i="8"/>
  <c r="AI157" i="8"/>
  <c r="AE157" i="8"/>
  <c r="AB157" i="8"/>
  <c r="AA157" i="8"/>
  <c r="Z157" i="8"/>
  <c r="Y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AD156" i="8"/>
  <c r="AG156" i="8" s="1"/>
  <c r="W156" i="8"/>
  <c r="AD155" i="8"/>
  <c r="AG155" i="8" s="1"/>
  <c r="X155" i="8"/>
  <c r="AC155" i="8" s="1"/>
  <c r="AD154" i="8"/>
  <c r="AG154" i="8" s="1"/>
  <c r="W154" i="8"/>
  <c r="X154" i="8" s="1"/>
  <c r="AD153" i="8"/>
  <c r="AG153" i="8" s="1"/>
  <c r="W153" i="8"/>
  <c r="AD152" i="8"/>
  <c r="AG152" i="8" s="1"/>
  <c r="W152" i="8"/>
  <c r="X152" i="8" s="1"/>
  <c r="AC152" i="8" s="1"/>
  <c r="AD151" i="8"/>
  <c r="AG151" i="8" s="1"/>
  <c r="W151" i="8"/>
  <c r="X151" i="8" s="1"/>
  <c r="AG150" i="8"/>
  <c r="W150" i="8"/>
  <c r="X150" i="8" s="1"/>
  <c r="AC150" i="8" s="1"/>
  <c r="AD149" i="8"/>
  <c r="AG149" i="8" s="1"/>
  <c r="X149" i="8"/>
  <c r="AC149" i="8" s="1"/>
  <c r="J149" i="8"/>
  <c r="J147" i="8" s="1"/>
  <c r="I149" i="8"/>
  <c r="I147" i="8" s="1"/>
  <c r="H149" i="8"/>
  <c r="H147" i="8" s="1"/>
  <c r="AD148" i="8"/>
  <c r="AG148" i="8" s="1"/>
  <c r="W148" i="8"/>
  <c r="AK147" i="8"/>
  <c r="AJ147" i="8"/>
  <c r="AI147" i="8"/>
  <c r="AF147" i="8"/>
  <c r="AE147" i="8"/>
  <c r="AB147" i="8"/>
  <c r="AA147" i="8"/>
  <c r="Z147" i="8"/>
  <c r="Y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G147" i="8"/>
  <c r="AF146" i="8"/>
  <c r="AG146" i="8" s="1"/>
  <c r="W146" i="8"/>
  <c r="X146" i="8" s="1"/>
  <c r="AC146" i="8" s="1"/>
  <c r="AD145" i="8"/>
  <c r="AF145" i="8" s="1"/>
  <c r="AG145" i="8" s="1"/>
  <c r="W145" i="8"/>
  <c r="X145" i="8" s="1"/>
  <c r="AF144" i="8"/>
  <c r="AG144" i="8" s="1"/>
  <c r="W144" i="8"/>
  <c r="X144" i="8" s="1"/>
  <c r="AC144" i="8" s="1"/>
  <c r="AD143" i="8"/>
  <c r="AF143" i="8" s="1"/>
  <c r="AG143" i="8" s="1"/>
  <c r="W143" i="8"/>
  <c r="AF142" i="8"/>
  <c r="AG142" i="8" s="1"/>
  <c r="W142" i="8"/>
  <c r="AD141" i="8"/>
  <c r="W141" i="8"/>
  <c r="X141" i="8" s="1"/>
  <c r="AK140" i="8"/>
  <c r="AJ140" i="8"/>
  <c r="AI140" i="8"/>
  <c r="AE140" i="8"/>
  <c r="AB140" i="8"/>
  <c r="AA140" i="8"/>
  <c r="Z140" i="8"/>
  <c r="Y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AG139" i="8"/>
  <c r="W139" i="8"/>
  <c r="J139" i="8"/>
  <c r="J137" i="8" s="1"/>
  <c r="AG138" i="8"/>
  <c r="W138" i="8"/>
  <c r="X138" i="8" s="1"/>
  <c r="AK137" i="8"/>
  <c r="AJ137" i="8"/>
  <c r="AI137" i="8"/>
  <c r="AF137" i="8"/>
  <c r="AE137" i="8"/>
  <c r="AD137" i="8"/>
  <c r="AB137" i="8"/>
  <c r="AA137" i="8"/>
  <c r="Z137" i="8"/>
  <c r="Y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I137" i="8"/>
  <c r="H137" i="8"/>
  <c r="G137" i="8"/>
  <c r="AD136" i="8"/>
  <c r="AF136" i="8" s="1"/>
  <c r="AF135" i="8" s="1"/>
  <c r="W136" i="8"/>
  <c r="AK135" i="8"/>
  <c r="AJ135" i="8"/>
  <c r="AI135" i="8"/>
  <c r="AE135" i="8"/>
  <c r="AB135" i="8"/>
  <c r="AA135" i="8"/>
  <c r="Z135" i="8"/>
  <c r="Y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AD134" i="8"/>
  <c r="AG134" i="8" s="1"/>
  <c r="AD133" i="8"/>
  <c r="AG133" i="8" s="1"/>
  <c r="W133" i="8"/>
  <c r="X133" i="8" s="1"/>
  <c r="AC133" i="8" s="1"/>
  <c r="AD132" i="8"/>
  <c r="AF132" i="8" s="1"/>
  <c r="W132" i="8"/>
  <c r="AD131" i="8"/>
  <c r="AG131" i="8" s="1"/>
  <c r="X131" i="8"/>
  <c r="AC131" i="8" s="1"/>
  <c r="I131" i="8"/>
  <c r="I129" i="8" s="1"/>
  <c r="H131" i="8"/>
  <c r="H129" i="8" s="1"/>
  <c r="AG130" i="8"/>
  <c r="AK129" i="8"/>
  <c r="AJ129" i="8"/>
  <c r="AI129" i="8"/>
  <c r="AE129" i="8"/>
  <c r="AB129" i="8"/>
  <c r="AA129" i="8"/>
  <c r="Z129" i="8"/>
  <c r="Y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G129" i="8"/>
  <c r="AG128" i="8"/>
  <c r="AG127" i="8"/>
  <c r="AD126" i="8"/>
  <c r="AG126" i="8" s="1"/>
  <c r="W126" i="8"/>
  <c r="AD125" i="8"/>
  <c r="AF125" i="8" s="1"/>
  <c r="W125" i="8"/>
  <c r="X125" i="8" s="1"/>
  <c r="AC125" i="8" s="1"/>
  <c r="AD124" i="8"/>
  <c r="W124" i="8"/>
  <c r="AK123" i="8"/>
  <c r="AJ123" i="8"/>
  <c r="AI123" i="8"/>
  <c r="AE123" i="8"/>
  <c r="AB123" i="8"/>
  <c r="AA123" i="8"/>
  <c r="Z123" i="8"/>
  <c r="Y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AD120" i="8"/>
  <c r="AF120" i="8" s="1"/>
  <c r="AG120" i="8" s="1"/>
  <c r="W120" i="8"/>
  <c r="AD119" i="8"/>
  <c r="AG119" i="8" s="1"/>
  <c r="W119" i="8"/>
  <c r="AD118" i="8"/>
  <c r="AG118" i="8" s="1"/>
  <c r="X118" i="8"/>
  <c r="AC118" i="8" s="1"/>
  <c r="AD117" i="8"/>
  <c r="AG117" i="8" s="1"/>
  <c r="W117" i="8"/>
  <c r="X117" i="8" s="1"/>
  <c r="AC117" i="8" s="1"/>
  <c r="AD116" i="8"/>
  <c r="W116" i="8"/>
  <c r="X116" i="8" s="1"/>
  <c r="AD115" i="8"/>
  <c r="AF115" i="8" s="1"/>
  <c r="W115" i="8"/>
  <c r="AG114" i="8"/>
  <c r="X114" i="8"/>
  <c r="AC114" i="8" s="1"/>
  <c r="J114" i="8"/>
  <c r="J113" i="8" s="1"/>
  <c r="I114" i="8"/>
  <c r="I113" i="8" s="1"/>
  <c r="H114" i="8"/>
  <c r="H113" i="8" s="1"/>
  <c r="AK113" i="8"/>
  <c r="AJ113" i="8"/>
  <c r="AI113" i="8"/>
  <c r="AE113" i="8"/>
  <c r="AB113" i="8"/>
  <c r="AA113" i="8"/>
  <c r="Z113" i="8"/>
  <c r="Y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G113" i="8"/>
  <c r="AD112" i="8"/>
  <c r="AG112" i="8" s="1"/>
  <c r="W112" i="8"/>
  <c r="AD111" i="8"/>
  <c r="W111" i="8"/>
  <c r="X111" i="8" s="1"/>
  <c r="AC111" i="8" s="1"/>
  <c r="AD110" i="8"/>
  <c r="AG110" i="8" s="1"/>
  <c r="W110" i="8"/>
  <c r="AK109" i="8"/>
  <c r="AJ109" i="8"/>
  <c r="AI109" i="8"/>
  <c r="AF109" i="8"/>
  <c r="AE109" i="8"/>
  <c r="AB109" i="8"/>
  <c r="AA109" i="8"/>
  <c r="Z109" i="8"/>
  <c r="Y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AD108" i="8"/>
  <c r="AD107" i="8" s="1"/>
  <c r="W108" i="8"/>
  <c r="X108" i="8" s="1"/>
  <c r="AC108" i="8" s="1"/>
  <c r="AK107" i="8"/>
  <c r="AJ107" i="8"/>
  <c r="AI107" i="8"/>
  <c r="AF107" i="8"/>
  <c r="AE107" i="8"/>
  <c r="AB107" i="8"/>
  <c r="AA107" i="8"/>
  <c r="Z107" i="8"/>
  <c r="Y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AD106" i="8"/>
  <c r="AG106" i="8" s="1"/>
  <c r="W106" i="8"/>
  <c r="AK105" i="8"/>
  <c r="AJ105" i="8"/>
  <c r="AI105" i="8"/>
  <c r="AF105" i="8"/>
  <c r="AE105" i="8"/>
  <c r="AB105" i="8"/>
  <c r="AA105" i="8"/>
  <c r="Z105" i="8"/>
  <c r="Y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AD104" i="8"/>
  <c r="AG104" i="8" s="1"/>
  <c r="W104" i="8"/>
  <c r="W102" i="8" s="1"/>
  <c r="AD103" i="8"/>
  <c r="AG103" i="8" s="1"/>
  <c r="X103" i="8"/>
  <c r="AC103" i="8" s="1"/>
  <c r="I103" i="8"/>
  <c r="I102" i="8" s="1"/>
  <c r="H103" i="8"/>
  <c r="H102" i="8" s="1"/>
  <c r="AK102" i="8"/>
  <c r="AJ102" i="8"/>
  <c r="AI102" i="8"/>
  <c r="AF102" i="8"/>
  <c r="AE102" i="8"/>
  <c r="AB102" i="8"/>
  <c r="AA102" i="8"/>
  <c r="Z102" i="8"/>
  <c r="Y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G102" i="8"/>
  <c r="AD101" i="8"/>
  <c r="AG101" i="8" s="1"/>
  <c r="W101" i="8"/>
  <c r="X101" i="8" s="1"/>
  <c r="AC101" i="8" s="1"/>
  <c r="AD100" i="8"/>
  <c r="AG100" i="8" s="1"/>
  <c r="W100" i="8"/>
  <c r="AD99" i="8"/>
  <c r="AG99" i="8" s="1"/>
  <c r="X99" i="8"/>
  <c r="AC99" i="8" s="1"/>
  <c r="AD98" i="8"/>
  <c r="AG98" i="8" s="1"/>
  <c r="W98" i="8"/>
  <c r="AD97" i="8"/>
  <c r="AG97" i="8" s="1"/>
  <c r="W97" i="8"/>
  <c r="X97" i="8" s="1"/>
  <c r="AK96" i="8"/>
  <c r="AJ96" i="8"/>
  <c r="AI96" i="8"/>
  <c r="AF96" i="8"/>
  <c r="AE96" i="8"/>
  <c r="AB96" i="8"/>
  <c r="AA96" i="8"/>
  <c r="Z96" i="8"/>
  <c r="Y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AD95" i="8"/>
  <c r="AG95" i="8" s="1"/>
  <c r="W95" i="8"/>
  <c r="X95" i="8" s="1"/>
  <c r="AD94" i="8"/>
  <c r="AG94" i="8" s="1"/>
  <c r="W94" i="8"/>
  <c r="X94" i="8" s="1"/>
  <c r="AD93" i="8"/>
  <c r="W93" i="8"/>
  <c r="X93" i="8" s="1"/>
  <c r="AD92" i="8"/>
  <c r="AG92" i="8" s="1"/>
  <c r="W92" i="8"/>
  <c r="AK91" i="8"/>
  <c r="AJ91" i="8"/>
  <c r="AI91" i="8"/>
  <c r="AF91" i="8"/>
  <c r="AE91" i="8"/>
  <c r="AB91" i="8"/>
  <c r="AA91" i="8"/>
  <c r="Z91" i="8"/>
  <c r="Y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AD90" i="8"/>
  <c r="AG90" i="8" s="1"/>
  <c r="W90" i="8"/>
  <c r="X90" i="8" s="1"/>
  <c r="AC90" i="8" s="1"/>
  <c r="AD89" i="8"/>
  <c r="AG89" i="8" s="1"/>
  <c r="W89" i="8"/>
  <c r="X89" i="8" s="1"/>
  <c r="AD88" i="8"/>
  <c r="AG88" i="8" s="1"/>
  <c r="W88" i="8"/>
  <c r="AD87" i="8"/>
  <c r="AG87" i="8" s="1"/>
  <c r="W87" i="8"/>
  <c r="AD86" i="8"/>
  <c r="AG86" i="8" s="1"/>
  <c r="W86" i="8"/>
  <c r="AD85" i="8"/>
  <c r="AG85" i="8" s="1"/>
  <c r="W85" i="8"/>
  <c r="X85" i="8" s="1"/>
  <c r="AC85" i="8" s="1"/>
  <c r="AD84" i="8"/>
  <c r="AG84" i="8" s="1"/>
  <c r="V84" i="8"/>
  <c r="V82" i="8" s="1"/>
  <c r="U84" i="8"/>
  <c r="U82" i="8" s="1"/>
  <c r="T84" i="8"/>
  <c r="T82" i="8" s="1"/>
  <c r="S84" i="8"/>
  <c r="S82" i="8" s="1"/>
  <c r="R84" i="8"/>
  <c r="R82" i="8" s="1"/>
  <c r="Q84" i="8"/>
  <c r="Q82" i="8" s="1"/>
  <c r="AD83" i="8"/>
  <c r="W83" i="8"/>
  <c r="AK82" i="8"/>
  <c r="AJ82" i="8"/>
  <c r="AI82" i="8"/>
  <c r="AF82" i="8"/>
  <c r="AE82" i="8"/>
  <c r="AB82" i="8"/>
  <c r="AA82" i="8"/>
  <c r="Z82" i="8"/>
  <c r="Y82" i="8"/>
  <c r="P82" i="8"/>
  <c r="O82" i="8"/>
  <c r="N82" i="8"/>
  <c r="M82" i="8"/>
  <c r="L82" i="8"/>
  <c r="K82" i="8"/>
  <c r="J82" i="8"/>
  <c r="I82" i="8"/>
  <c r="H82" i="8"/>
  <c r="G82" i="8"/>
  <c r="AD79" i="8"/>
  <c r="AG79" i="8" s="1"/>
  <c r="X79" i="8"/>
  <c r="AC79" i="8" s="1"/>
  <c r="AD78" i="8"/>
  <c r="AF78" i="8" s="1"/>
  <c r="X78" i="8"/>
  <c r="AC78" i="8" s="1"/>
  <c r="AD77" i="8"/>
  <c r="AG77" i="8" s="1"/>
  <c r="X77" i="8"/>
  <c r="AC77" i="8" s="1"/>
  <c r="AD76" i="8"/>
  <c r="X76" i="8"/>
  <c r="AC76" i="8" s="1"/>
  <c r="AD75" i="8"/>
  <c r="AG75" i="8" s="1"/>
  <c r="X75" i="8"/>
  <c r="AK74" i="8"/>
  <c r="AJ74" i="8"/>
  <c r="AI74" i="8"/>
  <c r="AE74" i="8"/>
  <c r="AB74" i="8"/>
  <c r="AA74" i="8"/>
  <c r="Z74" i="8"/>
  <c r="Y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AD73" i="8"/>
  <c r="AG73" i="8" s="1"/>
  <c r="W73" i="8"/>
  <c r="AD72" i="8"/>
  <c r="AF72" i="8" s="1"/>
  <c r="W72" i="8"/>
  <c r="AD71" i="8"/>
  <c r="AG71" i="8" s="1"/>
  <c r="W71" i="8"/>
  <c r="AD70" i="8"/>
  <c r="AG70" i="8" s="1"/>
  <c r="W70" i="8"/>
  <c r="X70" i="8" s="1"/>
  <c r="AC70" i="8" s="1"/>
  <c r="AD69" i="8"/>
  <c r="AG69" i="8" s="1"/>
  <c r="W69" i="8"/>
  <c r="AD68" i="8"/>
  <c r="AG68" i="8" s="1"/>
  <c r="W68" i="8"/>
  <c r="X68" i="8" s="1"/>
  <c r="AC68" i="8" s="1"/>
  <c r="AD67" i="8"/>
  <c r="AG67" i="8" s="1"/>
  <c r="X67" i="8"/>
  <c r="AK66" i="8"/>
  <c r="AJ66" i="8"/>
  <c r="AI66" i="8"/>
  <c r="AE66" i="8"/>
  <c r="AB66" i="8"/>
  <c r="AA66" i="8"/>
  <c r="Z66" i="8"/>
  <c r="Y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AK63" i="8"/>
  <c r="AG62" i="8"/>
  <c r="W62" i="8"/>
  <c r="X62" i="8" s="1"/>
  <c r="AC62" i="8" s="1"/>
  <c r="AG61" i="8"/>
  <c r="W61" i="8"/>
  <c r="AG60" i="8"/>
  <c r="W60" i="8"/>
  <c r="AD59" i="8"/>
  <c r="AG59" i="8" s="1"/>
  <c r="W59" i="8"/>
  <c r="AD58" i="8"/>
  <c r="W58" i="8"/>
  <c r="X58" i="8" s="1"/>
  <c r="AC58" i="8" s="1"/>
  <c r="AG57" i="8"/>
  <c r="W57" i="8"/>
  <c r="AG56" i="8"/>
  <c r="W56" i="8"/>
  <c r="X56" i="8" s="1"/>
  <c r="AC56" i="8" s="1"/>
  <c r="AD55" i="8"/>
  <c r="AF55" i="8" s="1"/>
  <c r="W55" i="8"/>
  <c r="X55" i="8" s="1"/>
  <c r="AC55" i="8" s="1"/>
  <c r="AD54" i="8"/>
  <c r="AG54" i="8" s="1"/>
  <c r="W54" i="8"/>
  <c r="AK53" i="8"/>
  <c r="AJ53" i="8"/>
  <c r="AI53" i="8"/>
  <c r="AE53" i="8"/>
  <c r="AB53" i="8"/>
  <c r="AA53" i="8"/>
  <c r="Z53" i="8"/>
  <c r="Y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AD52" i="8"/>
  <c r="AG52" i="8" s="1"/>
  <c r="W52" i="8"/>
  <c r="AG51" i="8"/>
  <c r="W51" i="8"/>
  <c r="AD50" i="8"/>
  <c r="AF50" i="8" s="1"/>
  <c r="AG50" i="8" s="1"/>
  <c r="W50" i="8"/>
  <c r="X50" i="8" s="1"/>
  <c r="AC50" i="8" s="1"/>
  <c r="AD49" i="8"/>
  <c r="V49" i="8"/>
  <c r="V48" i="8" s="1"/>
  <c r="U49" i="8"/>
  <c r="U48" i="8" s="1"/>
  <c r="T49" i="8"/>
  <c r="T48" i="8" s="1"/>
  <c r="AK48" i="8"/>
  <c r="AJ48" i="8"/>
  <c r="AI48" i="8"/>
  <c r="AE48" i="8"/>
  <c r="AB48" i="8"/>
  <c r="AA48" i="8"/>
  <c r="Z48" i="8"/>
  <c r="Y48" i="8"/>
  <c r="S48" i="8"/>
  <c r="R48" i="8"/>
  <c r="Q48" i="8"/>
  <c r="P48" i="8"/>
  <c r="O48" i="8"/>
  <c r="N48" i="8"/>
  <c r="M48" i="8"/>
  <c r="L48" i="8"/>
  <c r="K48" i="8"/>
  <c r="K47" i="8" s="1"/>
  <c r="J48" i="8"/>
  <c r="I48" i="8"/>
  <c r="H48" i="8"/>
  <c r="G48" i="8"/>
  <c r="AG45" i="8"/>
  <c r="X45" i="8"/>
  <c r="X44" i="8" s="1"/>
  <c r="X43" i="8" s="1"/>
  <c r="AK44" i="8"/>
  <c r="AK43" i="8" s="1"/>
  <c r="AJ44" i="8"/>
  <c r="AJ43" i="8" s="1"/>
  <c r="AI44" i="8"/>
  <c r="AI43" i="8" s="1"/>
  <c r="AF44" i="8"/>
  <c r="AF43" i="8" s="1"/>
  <c r="AE44" i="8"/>
  <c r="AE43" i="8" s="1"/>
  <c r="AD44" i="8"/>
  <c r="AD43" i="8" s="1"/>
  <c r="Y44" i="8"/>
  <c r="Y43" i="8" s="1"/>
  <c r="W44" i="8"/>
  <c r="W43" i="8" s="1"/>
  <c r="V44" i="8"/>
  <c r="V43" i="8" s="1"/>
  <c r="U44" i="8"/>
  <c r="U43" i="8" s="1"/>
  <c r="T44" i="8"/>
  <c r="T43" i="8" s="1"/>
  <c r="S44" i="8"/>
  <c r="S43" i="8" s="1"/>
  <c r="R44" i="8"/>
  <c r="R43" i="8" s="1"/>
  <c r="Q44" i="8"/>
  <c r="Q43" i="8" s="1"/>
  <c r="P44" i="8"/>
  <c r="P43" i="8" s="1"/>
  <c r="O44" i="8"/>
  <c r="O43" i="8" s="1"/>
  <c r="N44" i="8"/>
  <c r="N43" i="8" s="1"/>
  <c r="M44" i="8"/>
  <c r="M43" i="8" s="1"/>
  <c r="L44" i="8"/>
  <c r="L43" i="8" s="1"/>
  <c r="K44" i="8"/>
  <c r="K43" i="8" s="1"/>
  <c r="J44" i="8"/>
  <c r="J43" i="8" s="1"/>
  <c r="I44" i="8"/>
  <c r="I43" i="8" s="1"/>
  <c r="H44" i="8"/>
  <c r="H43" i="8" s="1"/>
  <c r="G44" i="8"/>
  <c r="G43" i="8" s="1"/>
  <c r="Z43" i="8"/>
  <c r="W42" i="8"/>
  <c r="W41" i="8" s="1"/>
  <c r="AF41" i="8"/>
  <c r="AE41" i="8"/>
  <c r="AD41" i="8"/>
  <c r="AB41" i="8"/>
  <c r="AA41" i="8"/>
  <c r="Z41" i="8"/>
  <c r="Y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W40" i="8"/>
  <c r="AF39" i="8"/>
  <c r="AE39" i="8"/>
  <c r="AD39" i="8"/>
  <c r="AB39" i="8"/>
  <c r="AA39" i="8"/>
  <c r="Z39" i="8"/>
  <c r="Y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AD38" i="8"/>
  <c r="AD37" i="8" s="1"/>
  <c r="W38" i="8"/>
  <c r="AK37" i="8"/>
  <c r="AJ37" i="8"/>
  <c r="AI37" i="8"/>
  <c r="AE37" i="8"/>
  <c r="AB37" i="8"/>
  <c r="AA37" i="8"/>
  <c r="Z37" i="8"/>
  <c r="Y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AD36" i="8"/>
  <c r="AF36" i="8" s="1"/>
  <c r="W36" i="8"/>
  <c r="X36" i="8" s="1"/>
  <c r="AK35" i="8"/>
  <c r="AJ35" i="8"/>
  <c r="AI35" i="8"/>
  <c r="AE35" i="8"/>
  <c r="AB35" i="8"/>
  <c r="AA35" i="8"/>
  <c r="Z35" i="8"/>
  <c r="Y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AD34" i="8"/>
  <c r="AG34" i="8" s="1"/>
  <c r="W34" i="8"/>
  <c r="X34" i="8" s="1"/>
  <c r="AD33" i="8"/>
  <c r="AF33" i="8" s="1"/>
  <c r="AG33" i="8" s="1"/>
  <c r="W33" i="8"/>
  <c r="AD32" i="8"/>
  <c r="AF32" i="8" s="1"/>
  <c r="AG32" i="8" s="1"/>
  <c r="W32" i="8"/>
  <c r="X32" i="8" s="1"/>
  <c r="I32" i="8"/>
  <c r="I31" i="8" s="1"/>
  <c r="H32" i="8"/>
  <c r="H31" i="8" s="1"/>
  <c r="AK31" i="8"/>
  <c r="AJ31" i="8"/>
  <c r="AI31" i="8"/>
  <c r="AE31" i="8"/>
  <c r="AB31" i="8"/>
  <c r="AA31" i="8"/>
  <c r="Z31" i="8"/>
  <c r="Y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G31" i="8"/>
  <c r="AD29" i="8"/>
  <c r="AG29" i="8" s="1"/>
  <c r="W29" i="8"/>
  <c r="X29" i="8" s="1"/>
  <c r="AC29" i="8" s="1"/>
  <c r="AD28" i="8"/>
  <c r="AF28" i="8" s="1"/>
  <c r="AG28" i="8" s="1"/>
  <c r="V28" i="8"/>
  <c r="U28" i="8"/>
  <c r="U26" i="8" s="1"/>
  <c r="T28" i="8"/>
  <c r="T26" i="8" s="1"/>
  <c r="S28" i="8"/>
  <c r="S26" i="8" s="1"/>
  <c r="R28" i="8"/>
  <c r="R26" i="8" s="1"/>
  <c r="Q28" i="8"/>
  <c r="Q26" i="8" s="1"/>
  <c r="AD27" i="8"/>
  <c r="AG27" i="8" s="1"/>
  <c r="X27" i="8"/>
  <c r="AC27" i="8" s="1"/>
  <c r="AK26" i="8"/>
  <c r="AJ26" i="8"/>
  <c r="AI26" i="8"/>
  <c r="AE26" i="8"/>
  <c r="AB26" i="8"/>
  <c r="AA26" i="8"/>
  <c r="Z26" i="8"/>
  <c r="Y26" i="8"/>
  <c r="P26" i="8"/>
  <c r="O26" i="8"/>
  <c r="N26" i="8"/>
  <c r="M26" i="8"/>
  <c r="L26" i="8"/>
  <c r="K26" i="8"/>
  <c r="J26" i="8"/>
  <c r="I26" i="8"/>
  <c r="H26" i="8"/>
  <c r="G26" i="8"/>
  <c r="AD25" i="8"/>
  <c r="AG25" i="8" s="1"/>
  <c r="X25" i="8"/>
  <c r="AC25" i="8" s="1"/>
  <c r="AD24" i="8"/>
  <c r="AF24" i="8" s="1"/>
  <c r="AG24" i="8" s="1"/>
  <c r="W24" i="8"/>
  <c r="W23" i="8" s="1"/>
  <c r="AK23" i="8"/>
  <c r="AJ23" i="8"/>
  <c r="AI23" i="8"/>
  <c r="AE23" i="8"/>
  <c r="AB23" i="8"/>
  <c r="AA23" i="8"/>
  <c r="Z23" i="8"/>
  <c r="Y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AF22" i="8"/>
  <c r="AG22" i="8" s="1"/>
  <c r="AF21" i="8"/>
  <c r="AG21" i="8" s="1"/>
  <c r="AF20" i="8"/>
  <c r="AG20" i="8" s="1"/>
  <c r="X20" i="8"/>
  <c r="AC20" i="8" s="1"/>
  <c r="V20" i="8"/>
  <c r="U20" i="8"/>
  <c r="T20" i="8"/>
  <c r="S20" i="8"/>
  <c r="R20" i="8"/>
  <c r="Q20" i="8"/>
  <c r="AF19" i="8"/>
  <c r="AG19" i="8" s="1"/>
  <c r="W19" i="8"/>
  <c r="W16" i="8" s="1"/>
  <c r="V19" i="8"/>
  <c r="U19" i="8"/>
  <c r="T19" i="8"/>
  <c r="S19" i="8"/>
  <c r="R19" i="8"/>
  <c r="Q19" i="8"/>
  <c r="J19" i="8"/>
  <c r="I19" i="8"/>
  <c r="H19" i="8"/>
  <c r="H16" i="8" s="1"/>
  <c r="AF18" i="8"/>
  <c r="AG18" i="8" s="1"/>
  <c r="X18" i="8"/>
  <c r="AC18" i="8" s="1"/>
  <c r="V18" i="8"/>
  <c r="U18" i="8"/>
  <c r="T18" i="8"/>
  <c r="S18" i="8"/>
  <c r="R18" i="8"/>
  <c r="Q18" i="8"/>
  <c r="AF17" i="8"/>
  <c r="X17" i="8"/>
  <c r="AC17" i="8" s="1"/>
  <c r="V17" i="8"/>
  <c r="U17" i="8"/>
  <c r="T17" i="8"/>
  <c r="S17" i="8"/>
  <c r="R17" i="8"/>
  <c r="Q17" i="8"/>
  <c r="J17" i="8"/>
  <c r="AK16" i="8"/>
  <c r="AJ16" i="8"/>
  <c r="AJ15" i="8" s="1"/>
  <c r="AI16" i="8"/>
  <c r="AE16" i="8"/>
  <c r="AD16" i="8"/>
  <c r="AB16" i="8"/>
  <c r="AA16" i="8"/>
  <c r="Z16" i="8"/>
  <c r="Y16" i="8"/>
  <c r="P16" i="8"/>
  <c r="O16" i="8"/>
  <c r="N16" i="8"/>
  <c r="M16" i="8"/>
  <c r="L16" i="8"/>
  <c r="K16" i="8"/>
  <c r="I16" i="8"/>
  <c r="G16" i="8"/>
  <c r="AD14" i="8"/>
  <c r="AD13" i="8" s="1"/>
  <c r="W14" i="8"/>
  <c r="X14" i="8" s="1"/>
  <c r="X13" i="8" s="1"/>
  <c r="J14" i="8"/>
  <c r="J13" i="8" s="1"/>
  <c r="I14" i="8"/>
  <c r="H14" i="8"/>
  <c r="H13" i="8" s="1"/>
  <c r="AK13" i="8"/>
  <c r="AJ13" i="8"/>
  <c r="AI13" i="8"/>
  <c r="AE13" i="8"/>
  <c r="AB13" i="8"/>
  <c r="AA13" i="8"/>
  <c r="Z13" i="8"/>
  <c r="Y13" i="8"/>
  <c r="V13" i="8"/>
  <c r="U13" i="8"/>
  <c r="T13" i="8"/>
  <c r="S13" i="8"/>
  <c r="R13" i="8"/>
  <c r="Q13" i="8"/>
  <c r="P13" i="8"/>
  <c r="O13" i="8"/>
  <c r="N13" i="8"/>
  <c r="M13" i="8"/>
  <c r="L13" i="8"/>
  <c r="K13" i="8"/>
  <c r="G13" i="8"/>
  <c r="AD12" i="8"/>
  <c r="AG12" i="8" s="1"/>
  <c r="W12" i="8"/>
  <c r="X12" i="8" s="1"/>
  <c r="AC12" i="8" s="1"/>
  <c r="AD11" i="8"/>
  <c r="AG11" i="8" s="1"/>
  <c r="AK10" i="8"/>
  <c r="AJ10" i="8"/>
  <c r="AI10" i="8"/>
  <c r="AF10" i="8"/>
  <c r="AE10" i="8"/>
  <c r="AB10" i="8"/>
  <c r="AA10" i="8"/>
  <c r="Z10" i="8"/>
  <c r="Y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I7" i="8" s="1"/>
  <c r="H10" i="8"/>
  <c r="G10" i="8"/>
  <c r="AD9" i="8"/>
  <c r="AG9" i="8" s="1"/>
  <c r="W9" i="8"/>
  <c r="W8" i="8" s="1"/>
  <c r="AK8" i="8"/>
  <c r="AJ8" i="8"/>
  <c r="AI8" i="8"/>
  <c r="AF8" i="8"/>
  <c r="AE8" i="8"/>
  <c r="AB8" i="8"/>
  <c r="AA8" i="8"/>
  <c r="Z8" i="8"/>
  <c r="Y8" i="8"/>
  <c r="V8" i="8"/>
  <c r="U8" i="8"/>
  <c r="T8" i="8"/>
  <c r="S8" i="8"/>
  <c r="R8" i="8"/>
  <c r="Q8" i="8"/>
  <c r="P8" i="8"/>
  <c r="O8" i="8"/>
  <c r="N8" i="8"/>
  <c r="M8" i="8"/>
  <c r="L8" i="8"/>
  <c r="K8" i="8"/>
  <c r="J8" i="8"/>
  <c r="H8" i="8"/>
  <c r="G8" i="8"/>
  <c r="T5" i="7"/>
  <c r="T6" i="7"/>
  <c r="T7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4" i="7"/>
  <c r="X166" i="36" l="1"/>
  <c r="AC166" i="36" s="1"/>
  <c r="AC167" i="36"/>
  <c r="AG6" i="36"/>
  <c r="W46" i="36"/>
  <c r="AC47" i="36"/>
  <c r="AC6" i="36"/>
  <c r="W5" i="36"/>
  <c r="AF195" i="36"/>
  <c r="AG195" i="36" s="1"/>
  <c r="AG196" i="36"/>
  <c r="AF46" i="36"/>
  <c r="AF5" i="36" s="1"/>
  <c r="AG5" i="36" s="1"/>
  <c r="AG47" i="36"/>
  <c r="AG46" i="36" s="1"/>
  <c r="X5" i="36"/>
  <c r="AA15" i="8"/>
  <c r="I47" i="8"/>
  <c r="Q47" i="8"/>
  <c r="R241" i="8"/>
  <c r="W15" i="8"/>
  <c r="T259" i="8"/>
  <c r="H47" i="8"/>
  <c r="AD123" i="8"/>
  <c r="AI167" i="8"/>
  <c r="AI166" i="8" s="1"/>
  <c r="AF202" i="8"/>
  <c r="AF211" i="8"/>
  <c r="AG211" i="8" s="1"/>
  <c r="W129" i="8"/>
  <c r="AB15" i="8"/>
  <c r="J47" i="8"/>
  <c r="M47" i="8"/>
  <c r="P47" i="8"/>
  <c r="S47" i="8"/>
  <c r="AG43" i="8"/>
  <c r="AJ167" i="8"/>
  <c r="AJ166" i="8" s="1"/>
  <c r="AE241" i="8"/>
  <c r="AG363" i="8"/>
  <c r="H374" i="8"/>
  <c r="AK241" i="8"/>
  <c r="J16" i="8"/>
  <c r="J15" i="8" s="1"/>
  <c r="H30" i="8"/>
  <c r="W35" i="8"/>
  <c r="J230" i="8"/>
  <c r="J196" i="8" s="1"/>
  <c r="P241" i="8"/>
  <c r="Z241" i="8"/>
  <c r="AI241" i="8"/>
  <c r="AK15" i="8"/>
  <c r="O241" i="8"/>
  <c r="N15" i="8"/>
  <c r="AG107" i="8"/>
  <c r="W137" i="8"/>
  <c r="AJ241" i="8"/>
  <c r="X19" i="8"/>
  <c r="AC19" i="8" s="1"/>
  <c r="U47" i="8"/>
  <c r="AF269" i="8"/>
  <c r="AF264" i="8" s="1"/>
  <c r="AF249" i="8" s="1"/>
  <c r="K15" i="8"/>
  <c r="AK30" i="8"/>
  <c r="AA47" i="8"/>
  <c r="V47" i="8"/>
  <c r="G47" i="8"/>
  <c r="O47" i="8"/>
  <c r="W113" i="8"/>
  <c r="AG209" i="8"/>
  <c r="AB47" i="8"/>
  <c r="I264" i="8"/>
  <c r="Q264" i="8"/>
  <c r="Q249" i="8" s="1"/>
  <c r="J264" i="8"/>
  <c r="R7" i="8"/>
  <c r="J30" i="8"/>
  <c r="R30" i="8"/>
  <c r="AE47" i="8"/>
  <c r="Y65" i="8"/>
  <c r="K7" i="8"/>
  <c r="S7" i="8"/>
  <c r="K30" i="8"/>
  <c r="S30" i="8"/>
  <c r="AD31" i="8"/>
  <c r="S264" i="8"/>
  <c r="AD8" i="8"/>
  <c r="AG8" i="8" s="1"/>
  <c r="S167" i="8"/>
  <c r="S166" i="8" s="1"/>
  <c r="V196" i="8"/>
  <c r="AD23" i="8"/>
  <c r="R47" i="8"/>
  <c r="Y7" i="8"/>
  <c r="AI15" i="8"/>
  <c r="X115" i="8"/>
  <c r="AC115" i="8" s="1"/>
  <c r="AG124" i="8"/>
  <c r="U196" i="8"/>
  <c r="L15" i="8"/>
  <c r="AG23" i="8"/>
  <c r="Z65" i="8"/>
  <c r="W28" i="8"/>
  <c r="X28" i="8" s="1"/>
  <c r="X26" i="8" s="1"/>
  <c r="G167" i="8"/>
  <c r="L7" i="8"/>
  <c r="G6" i="8"/>
  <c r="AB196" i="8"/>
  <c r="AB195" i="8" s="1"/>
  <c r="Y241" i="8"/>
  <c r="X287" i="8"/>
  <c r="Y287" i="8" s="1"/>
  <c r="X9" i="8"/>
  <c r="X8" i="8" s="1"/>
  <c r="AC8" i="8" s="1"/>
  <c r="Q7" i="8"/>
  <c r="U16" i="8"/>
  <c r="U15" i="8" s="1"/>
  <c r="W49" i="8"/>
  <c r="W48" i="8" s="1"/>
  <c r="X205" i="8"/>
  <c r="AC280" i="8"/>
  <c r="X304" i="8"/>
  <c r="Y304" i="8" s="1"/>
  <c r="T7" i="8"/>
  <c r="AG108" i="8"/>
  <c r="AG137" i="8"/>
  <c r="AG26" i="8"/>
  <c r="U250" i="8"/>
  <c r="M264" i="8"/>
  <c r="U264" i="8"/>
  <c r="AD26" i="8"/>
  <c r="V30" i="8"/>
  <c r="AD105" i="8"/>
  <c r="T196" i="8"/>
  <c r="T241" i="8"/>
  <c r="J241" i="8"/>
  <c r="AA241" i="8"/>
  <c r="N264" i="8"/>
  <c r="N249" i="8" s="1"/>
  <c r="V264" i="8"/>
  <c r="AB264" i="8"/>
  <c r="AB249" i="8" s="1"/>
  <c r="AC34" i="8"/>
  <c r="M30" i="8"/>
  <c r="U30" i="8"/>
  <c r="AG44" i="8"/>
  <c r="N47" i="8"/>
  <c r="X107" i="8"/>
  <c r="H167" i="8"/>
  <c r="H166" i="8" s="1"/>
  <c r="AC185" i="8"/>
  <c r="R264" i="8"/>
  <c r="AC322" i="8"/>
  <c r="N30" i="8"/>
  <c r="W107" i="8"/>
  <c r="W109" i="8"/>
  <c r="AD161" i="8"/>
  <c r="AG192" i="8"/>
  <c r="L241" i="8"/>
  <c r="Q241" i="8"/>
  <c r="P7" i="8"/>
  <c r="W13" i="8"/>
  <c r="AC13" i="8" s="1"/>
  <c r="X24" i="8"/>
  <c r="X23" i="8" s="1"/>
  <c r="AC23" i="8" s="1"/>
  <c r="AF26" i="8"/>
  <c r="AJ30" i="8"/>
  <c r="AC138" i="8"/>
  <c r="G166" i="8"/>
  <c r="I196" i="8"/>
  <c r="I195" i="8" s="1"/>
  <c r="AD245" i="8"/>
  <c r="H264" i="8"/>
  <c r="H249" i="8" s="1"/>
  <c r="P264" i="8"/>
  <c r="P249" i="8" s="1"/>
  <c r="K264" i="8"/>
  <c r="K249" i="8" s="1"/>
  <c r="I167" i="8"/>
  <c r="I166" i="8" s="1"/>
  <c r="AK7" i="8"/>
  <c r="O30" i="8"/>
  <c r="AA30" i="8"/>
  <c r="T65" i="8"/>
  <c r="AE65" i="8"/>
  <c r="AE46" i="8" s="1"/>
  <c r="R65" i="8"/>
  <c r="AK65" i="8"/>
  <c r="AI65" i="8"/>
  <c r="K167" i="8"/>
  <c r="K166" i="8" s="1"/>
  <c r="W192" i="8"/>
  <c r="AC192" i="8" s="1"/>
  <c r="H241" i="8"/>
  <c r="AB241" i="8"/>
  <c r="AG259" i="8"/>
  <c r="Z264" i="8"/>
  <c r="Z249" i="8" s="1"/>
  <c r="H7" i="8"/>
  <c r="V16" i="8"/>
  <c r="V15" i="8" s="1"/>
  <c r="G30" i="8"/>
  <c r="AB30" i="8"/>
  <c r="AC97" i="8"/>
  <c r="X142" i="8"/>
  <c r="AC142" i="8" s="1"/>
  <c r="H196" i="8"/>
  <c r="Q196" i="8"/>
  <c r="Q195" i="8" s="1"/>
  <c r="AA196" i="8"/>
  <c r="AD197" i="8"/>
  <c r="AG197" i="8" s="1"/>
  <c r="P196" i="8"/>
  <c r="K241" i="8"/>
  <c r="S241" i="8"/>
  <c r="W252" i="8"/>
  <c r="W250" i="8" s="1"/>
  <c r="G264" i="8"/>
  <c r="O264" i="8"/>
  <c r="O249" i="8" s="1"/>
  <c r="W265" i="8"/>
  <c r="AA264" i="8"/>
  <c r="AA249" i="8" s="1"/>
  <c r="AC298" i="8"/>
  <c r="AJ269" i="8"/>
  <c r="AJ264" i="8" s="1"/>
  <c r="AJ249" i="8" s="1"/>
  <c r="G46" i="8"/>
  <c r="X289" i="8"/>
  <c r="AC289" i="8" s="1"/>
  <c r="X310" i="8"/>
  <c r="AC310" i="8" s="1"/>
  <c r="V363" i="8"/>
  <c r="U7" i="8"/>
  <c r="M15" i="8"/>
  <c r="X73" i="8"/>
  <c r="AC73" i="8" s="1"/>
  <c r="X126" i="8"/>
  <c r="AC126" i="8" s="1"/>
  <c r="V7" i="8"/>
  <c r="L47" i="8"/>
  <c r="AJ65" i="8"/>
  <c r="AC186" i="8"/>
  <c r="W187" i="8"/>
  <c r="L196" i="8"/>
  <c r="AF231" i="8"/>
  <c r="AG231" i="8" s="1"/>
  <c r="O7" i="8"/>
  <c r="Z7" i="8"/>
  <c r="O15" i="8"/>
  <c r="AD15" i="8"/>
  <c r="AE30" i="8"/>
  <c r="AC44" i="8"/>
  <c r="AC45" i="8"/>
  <c r="AD82" i="8"/>
  <c r="AG82" i="8" s="1"/>
  <c r="AC93" i="8"/>
  <c r="AC95" i="8"/>
  <c r="R167" i="8"/>
  <c r="R166" i="8" s="1"/>
  <c r="AC173" i="8"/>
  <c r="X178" i="8"/>
  <c r="AC178" i="8" s="1"/>
  <c r="N196" i="8"/>
  <c r="AC236" i="8"/>
  <c r="L264" i="8"/>
  <c r="L249" i="8" s="1"/>
  <c r="T264" i="8"/>
  <c r="AI269" i="8"/>
  <c r="AI264" i="8" s="1"/>
  <c r="AI249" i="8" s="1"/>
  <c r="X83" i="8"/>
  <c r="AC83" i="8" s="1"/>
  <c r="W123" i="8"/>
  <c r="X213" i="8"/>
  <c r="AC213" i="8" s="1"/>
  <c r="AC273" i="8"/>
  <c r="AE7" i="8"/>
  <c r="AI47" i="8"/>
  <c r="AG105" i="8"/>
  <c r="Q167" i="8"/>
  <c r="Q166" i="8" s="1"/>
  <c r="AI7" i="8"/>
  <c r="G15" i="8"/>
  <c r="AE15" i="8"/>
  <c r="AK47" i="8"/>
  <c r="AD91" i="8"/>
  <c r="AG91" i="8" s="1"/>
  <c r="S65" i="8"/>
  <c r="AD135" i="8"/>
  <c r="AG135" i="8" s="1"/>
  <c r="U168" i="8"/>
  <c r="U167" i="8" s="1"/>
  <c r="U166" i="8" s="1"/>
  <c r="M196" i="8"/>
  <c r="AD214" i="8"/>
  <c r="AG250" i="8"/>
  <c r="T250" i="8"/>
  <c r="AD264" i="8"/>
  <c r="AD249" i="8" s="1"/>
  <c r="J363" i="8"/>
  <c r="AK269" i="8"/>
  <c r="AK264" i="8" s="1"/>
  <c r="AK249" i="8" s="1"/>
  <c r="M7" i="8"/>
  <c r="M6" i="8" s="1"/>
  <c r="AA7" i="8"/>
  <c r="AA6" i="8" s="1"/>
  <c r="AF16" i="8"/>
  <c r="AG16" i="8" s="1"/>
  <c r="K196" i="8"/>
  <c r="N7" i="8"/>
  <c r="T47" i="8"/>
  <c r="I65" i="8"/>
  <c r="X104" i="8"/>
  <c r="X102" i="8" s="1"/>
  <c r="AC102" i="8" s="1"/>
  <c r="AG164" i="8"/>
  <c r="AK167" i="8"/>
  <c r="AK166" i="8" s="1"/>
  <c r="J7" i="8"/>
  <c r="AB7" i="8"/>
  <c r="AB6" i="8" s="1"/>
  <c r="AJ7" i="8"/>
  <c r="Z15" i="8"/>
  <c r="L30" i="8"/>
  <c r="T30" i="8"/>
  <c r="AD35" i="8"/>
  <c r="AD30" i="8" s="1"/>
  <c r="Y47" i="8"/>
  <c r="AD66" i="8"/>
  <c r="AC94" i="8"/>
  <c r="AD109" i="8"/>
  <c r="AG109" i="8" s="1"/>
  <c r="AD113" i="8"/>
  <c r="AD140" i="8"/>
  <c r="W164" i="8"/>
  <c r="AC164" i="8" s="1"/>
  <c r="Z167" i="8"/>
  <c r="Z166" i="8" s="1"/>
  <c r="T167" i="8"/>
  <c r="T166" i="8" s="1"/>
  <c r="P167" i="8"/>
  <c r="P166" i="8" s="1"/>
  <c r="AA167" i="8"/>
  <c r="AA166" i="8" s="1"/>
  <c r="AB167" i="8"/>
  <c r="AB166" i="8" s="1"/>
  <c r="Y196" i="8"/>
  <c r="R196" i="8"/>
  <c r="M249" i="8"/>
  <c r="AE264" i="8"/>
  <c r="AE249" i="8" s="1"/>
  <c r="W365" i="8"/>
  <c r="X35" i="8"/>
  <c r="AC36" i="8"/>
  <c r="AF74" i="8"/>
  <c r="AG78" i="8"/>
  <c r="Q16" i="8"/>
  <c r="Q15" i="8" s="1"/>
  <c r="AF31" i="8"/>
  <c r="M65" i="8"/>
  <c r="M46" i="8" s="1"/>
  <c r="W161" i="8"/>
  <c r="X233" i="8"/>
  <c r="AC233" i="8" s="1"/>
  <c r="W230" i="8"/>
  <c r="I15" i="8"/>
  <c r="AG17" i="8"/>
  <c r="X51" i="8"/>
  <c r="AC51" i="8" s="1"/>
  <c r="X60" i="8"/>
  <c r="AC60" i="8" s="1"/>
  <c r="X162" i="8"/>
  <c r="AC162" i="8" s="1"/>
  <c r="S16" i="8"/>
  <c r="S15" i="8" s="1"/>
  <c r="X33" i="8"/>
  <c r="AC33" i="8" s="1"/>
  <c r="G65" i="8"/>
  <c r="O65" i="8"/>
  <c r="O46" i="8" s="1"/>
  <c r="AG72" i="8"/>
  <c r="AF66" i="8"/>
  <c r="J65" i="8"/>
  <c r="J46" i="8" s="1"/>
  <c r="AA65" i="8"/>
  <c r="X87" i="8"/>
  <c r="AC87" i="8" s="1"/>
  <c r="AF113" i="8"/>
  <c r="X153" i="8"/>
  <c r="AC153" i="8" s="1"/>
  <c r="AC248" i="8"/>
  <c r="X299" i="8"/>
  <c r="AC299" i="8" s="1"/>
  <c r="AF374" i="8"/>
  <c r="AG374" i="8" s="1"/>
  <c r="AG399" i="8"/>
  <c r="AC32" i="8"/>
  <c r="X40" i="8"/>
  <c r="X39" i="8" s="1"/>
  <c r="W31" i="8"/>
  <c r="AG234" i="8"/>
  <c r="H15" i="8"/>
  <c r="AG31" i="8"/>
  <c r="AF123" i="8"/>
  <c r="AG123" i="8" s="1"/>
  <c r="AG125" i="8"/>
  <c r="V26" i="8"/>
  <c r="AI30" i="8"/>
  <c r="N65" i="8"/>
  <c r="X16" i="8"/>
  <c r="T16" i="8"/>
  <c r="T15" i="8" s="1"/>
  <c r="AJ47" i="8"/>
  <c r="AD48" i="8"/>
  <c r="AF49" i="8"/>
  <c r="AF53" i="8"/>
  <c r="AG55" i="8"/>
  <c r="K65" i="8"/>
  <c r="K46" i="8" s="1"/>
  <c r="AB65" i="8"/>
  <c r="X100" i="8"/>
  <c r="AC100" i="8" s="1"/>
  <c r="AD129" i="8"/>
  <c r="X143" i="8"/>
  <c r="X140" i="8" s="1"/>
  <c r="W140" i="8"/>
  <c r="AJ196" i="8"/>
  <c r="AJ195" i="8" s="1"/>
  <c r="AG204" i="8"/>
  <c r="AC215" i="8"/>
  <c r="X296" i="8"/>
  <c r="AC296" i="8" s="1"/>
  <c r="X300" i="8"/>
  <c r="AC300" i="8" s="1"/>
  <c r="P15" i="8"/>
  <c r="X42" i="8"/>
  <c r="X41" i="8" s="1"/>
  <c r="AC41" i="8" s="1"/>
  <c r="U65" i="8"/>
  <c r="U46" i="8" s="1"/>
  <c r="AG136" i="8"/>
  <c r="Q30" i="8"/>
  <c r="V65" i="8"/>
  <c r="AD96" i="8"/>
  <c r="AG96" i="8" s="1"/>
  <c r="AF190" i="8"/>
  <c r="AG190" i="8" s="1"/>
  <c r="AG191" i="8"/>
  <c r="Z30" i="8"/>
  <c r="Z47" i="8"/>
  <c r="AD53" i="8"/>
  <c r="AG58" i="8"/>
  <c r="X119" i="8"/>
  <c r="AC119" i="8" s="1"/>
  <c r="X160" i="8"/>
  <c r="AC160" i="8" s="1"/>
  <c r="AF161" i="8"/>
  <c r="AG163" i="8"/>
  <c r="AK196" i="8"/>
  <c r="AK195" i="8" s="1"/>
  <c r="X260" i="8"/>
  <c r="AC260" i="8" s="1"/>
  <c r="X270" i="8"/>
  <c r="AC270" i="8" s="1"/>
  <c r="W269" i="8"/>
  <c r="X252" i="8"/>
  <c r="X250" i="8" s="1"/>
  <c r="AC9" i="8"/>
  <c r="AF14" i="8"/>
  <c r="AG36" i="8"/>
  <c r="AG35" i="8" s="1"/>
  <c r="AF35" i="8"/>
  <c r="L65" i="8"/>
  <c r="L46" i="8" s="1"/>
  <c r="AC89" i="8"/>
  <c r="X179" i="8"/>
  <c r="AC179" i="8" s="1"/>
  <c r="P30" i="8"/>
  <c r="Q65" i="8"/>
  <c r="Q46" i="8" s="1"/>
  <c r="R16" i="8"/>
  <c r="R15" i="8" s="1"/>
  <c r="Y30" i="8"/>
  <c r="Y15" i="8"/>
  <c r="W11" i="8"/>
  <c r="AC14" i="8"/>
  <c r="AF23" i="8"/>
  <c r="I30" i="8"/>
  <c r="AF38" i="8"/>
  <c r="W39" i="8"/>
  <c r="AD74" i="8"/>
  <c r="AG93" i="8"/>
  <c r="X98" i="8"/>
  <c r="AC98" i="8" s="1"/>
  <c r="AC141" i="8"/>
  <c r="AD157" i="8"/>
  <c r="AF158" i="8"/>
  <c r="W91" i="8"/>
  <c r="AD167" i="8"/>
  <c r="AD166" i="8" s="1"/>
  <c r="AG168" i="8"/>
  <c r="X246" i="8"/>
  <c r="AC246" i="8" s="1"/>
  <c r="W245" i="8"/>
  <c r="V259" i="8"/>
  <c r="W262" i="8"/>
  <c r="X302" i="8"/>
  <c r="AC302" i="8" s="1"/>
  <c r="H65" i="8"/>
  <c r="H46" i="8" s="1"/>
  <c r="P65" i="8"/>
  <c r="AG76" i="8"/>
  <c r="W84" i="8"/>
  <c r="X92" i="8"/>
  <c r="X91" i="8" s="1"/>
  <c r="AF141" i="8"/>
  <c r="AC151" i="8"/>
  <c r="X156" i="8"/>
  <c r="AC156" i="8" s="1"/>
  <c r="AC212" i="8"/>
  <c r="AG223" i="8"/>
  <c r="AF214" i="8"/>
  <c r="X227" i="8"/>
  <c r="AC227" i="8" s="1"/>
  <c r="W242" i="8"/>
  <c r="X265" i="8"/>
  <c r="AC266" i="8"/>
  <c r="X288" i="8"/>
  <c r="AC288" i="8" s="1"/>
  <c r="Y292" i="8"/>
  <c r="V250" i="8"/>
  <c r="AD10" i="8"/>
  <c r="AG10" i="8" s="1"/>
  <c r="X69" i="8"/>
  <c r="W66" i="8"/>
  <c r="AG83" i="8"/>
  <c r="AD102" i="8"/>
  <c r="AG102" i="8" s="1"/>
  <c r="AG111" i="8"/>
  <c r="X132" i="8"/>
  <c r="X129" i="8" s="1"/>
  <c r="AC129" i="8" s="1"/>
  <c r="AG185" i="8"/>
  <c r="X243" i="8"/>
  <c r="X242" i="8" s="1"/>
  <c r="I249" i="8"/>
  <c r="O167" i="8"/>
  <c r="O166" i="8" s="1"/>
  <c r="X187" i="8"/>
  <c r="AC188" i="8"/>
  <c r="X38" i="8"/>
  <c r="X37" i="8" s="1"/>
  <c r="X52" i="8"/>
  <c r="AC52" i="8" s="1"/>
  <c r="X57" i="8"/>
  <c r="AC57" i="8" s="1"/>
  <c r="AC67" i="8"/>
  <c r="X86" i="8"/>
  <c r="AC86" i="8" s="1"/>
  <c r="X110" i="8"/>
  <c r="X112" i="8"/>
  <c r="AC112" i="8" s="1"/>
  <c r="AG115" i="8"/>
  <c r="X124" i="8"/>
  <c r="X148" i="8"/>
  <c r="W147" i="8"/>
  <c r="X177" i="8"/>
  <c r="AC177" i="8" s="1"/>
  <c r="W209" i="8"/>
  <c r="AG243" i="8"/>
  <c r="AF242" i="8"/>
  <c r="AG245" i="8"/>
  <c r="X311" i="8"/>
  <c r="Y311" i="8" s="1"/>
  <c r="W37" i="8"/>
  <c r="X72" i="8"/>
  <c r="AC72" i="8" s="1"/>
  <c r="X74" i="8"/>
  <c r="AC74" i="8" s="1"/>
  <c r="AC75" i="8"/>
  <c r="W105" i="8"/>
  <c r="X106" i="8"/>
  <c r="X105" i="8" s="1"/>
  <c r="AC116" i="8"/>
  <c r="AG132" i="8"/>
  <c r="AF129" i="8"/>
  <c r="W135" i="8"/>
  <c r="X136" i="8"/>
  <c r="X135" i="8" s="1"/>
  <c r="AC191" i="8"/>
  <c r="X190" i="8"/>
  <c r="AC190" i="8" s="1"/>
  <c r="X210" i="8"/>
  <c r="X209" i="8" s="1"/>
  <c r="X225" i="8"/>
  <c r="AC225" i="8" s="1"/>
  <c r="AD242" i="8"/>
  <c r="X308" i="8"/>
  <c r="Y308" i="8" s="1"/>
  <c r="X312" i="8"/>
  <c r="Y312" i="8" s="1"/>
  <c r="AC145" i="8"/>
  <c r="AC154" i="8"/>
  <c r="AE167" i="8"/>
  <c r="AE166" i="8" s="1"/>
  <c r="S196" i="8"/>
  <c r="S195" i="8" s="1"/>
  <c r="M241" i="8"/>
  <c r="U241" i="8"/>
  <c r="R249" i="8"/>
  <c r="X278" i="8"/>
  <c r="AC278" i="8" s="1"/>
  <c r="X305" i="8"/>
  <c r="AC305" i="8" s="1"/>
  <c r="X374" i="8"/>
  <c r="AC385" i="8"/>
  <c r="AC374" i="8" s="1"/>
  <c r="X54" i="8"/>
  <c r="AC54" i="8" s="1"/>
  <c r="X59" i="8"/>
  <c r="AC59" i="8" s="1"/>
  <c r="X139" i="8"/>
  <c r="X137" i="8" s="1"/>
  <c r="AC137" i="8" s="1"/>
  <c r="L167" i="8"/>
  <c r="L166" i="8" s="1"/>
  <c r="V167" i="8"/>
  <c r="V166" i="8" s="1"/>
  <c r="AF189" i="8"/>
  <c r="X201" i="8"/>
  <c r="AC201" i="8" s="1"/>
  <c r="X208" i="8"/>
  <c r="AC208" i="8" s="1"/>
  <c r="AI196" i="8"/>
  <c r="AI195" i="8" s="1"/>
  <c r="AG215" i="8"/>
  <c r="N241" i="8"/>
  <c r="V241" i="8"/>
  <c r="S249" i="8"/>
  <c r="X286" i="8"/>
  <c r="Y286" i="8" s="1"/>
  <c r="X293" i="8"/>
  <c r="Y293" i="8" s="1"/>
  <c r="X314" i="8"/>
  <c r="AC314" i="8" s="1"/>
  <c r="W53" i="8"/>
  <c r="X61" i="8"/>
  <c r="AC61" i="8" s="1"/>
  <c r="X71" i="8"/>
  <c r="AC71" i="8" s="1"/>
  <c r="X88" i="8"/>
  <c r="AC88" i="8" s="1"/>
  <c r="W96" i="8"/>
  <c r="AG116" i="8"/>
  <c r="X120" i="8"/>
  <c r="AC120" i="8" s="1"/>
  <c r="X158" i="8"/>
  <c r="X157" i="8" s="1"/>
  <c r="AC165" i="8"/>
  <c r="M167" i="8"/>
  <c r="M166" i="8" s="1"/>
  <c r="W168" i="8"/>
  <c r="X175" i="8"/>
  <c r="X223" i="8"/>
  <c r="AC223" i="8" s="1"/>
  <c r="T249" i="8"/>
  <c r="X276" i="8"/>
  <c r="AC276" i="8" s="1"/>
  <c r="X306" i="8"/>
  <c r="Y306" i="8" s="1"/>
  <c r="W157" i="8"/>
  <c r="X163" i="8"/>
  <c r="AC163" i="8" s="1"/>
  <c r="N167" i="8"/>
  <c r="N166" i="8" s="1"/>
  <c r="J170" i="8"/>
  <c r="J168" i="8" s="1"/>
  <c r="J167" i="8" s="1"/>
  <c r="J166" i="8" s="1"/>
  <c r="AC170" i="8"/>
  <c r="AC193" i="8"/>
  <c r="Z196" i="8"/>
  <c r="Z195" i="8" s="1"/>
  <c r="AC205" i="8"/>
  <c r="W214" i="8"/>
  <c r="X290" i="8"/>
  <c r="AC290" i="8" s="1"/>
  <c r="X295" i="8"/>
  <c r="Y295" i="8" s="1"/>
  <c r="X303" i="8"/>
  <c r="AC303" i="8" s="1"/>
  <c r="X315" i="8"/>
  <c r="AC315" i="8" s="1"/>
  <c r="AD147" i="8"/>
  <c r="AG147" i="8" s="1"/>
  <c r="Y180" i="8"/>
  <c r="X198" i="8"/>
  <c r="X206" i="8"/>
  <c r="AC206" i="8" s="1"/>
  <c r="X218" i="8"/>
  <c r="AC218" i="8" s="1"/>
  <c r="AC220" i="8"/>
  <c r="X224" i="8"/>
  <c r="AC224" i="8" s="1"/>
  <c r="X226" i="8"/>
  <c r="AC226" i="8" s="1"/>
  <c r="X228" i="8"/>
  <c r="AC228" i="8" s="1"/>
  <c r="X232" i="8"/>
  <c r="AC232" i="8" s="1"/>
  <c r="X237" i="8"/>
  <c r="AC237" i="8" s="1"/>
  <c r="X239" i="8"/>
  <c r="AC239" i="8" s="1"/>
  <c r="X247" i="8"/>
  <c r="AC247" i="8" s="1"/>
  <c r="X274" i="8"/>
  <c r="AC274" i="8" s="1"/>
  <c r="X281" i="8"/>
  <c r="AC281" i="8" s="1"/>
  <c r="X283" i="8"/>
  <c r="AC283" i="8" s="1"/>
  <c r="X294" i="8"/>
  <c r="AC294" i="8" s="1"/>
  <c r="X297" i="8"/>
  <c r="AC297" i="8" s="1"/>
  <c r="X309" i="8"/>
  <c r="Y309" i="8" s="1"/>
  <c r="O196" i="8"/>
  <c r="W197" i="8"/>
  <c r="AE196" i="8"/>
  <c r="AE195" i="8" s="1"/>
  <c r="X291" i="8"/>
  <c r="AC291" i="8" s="1"/>
  <c r="AC326" i="8"/>
  <c r="AC169" i="8"/>
  <c r="Y176" i="8"/>
  <c r="G196" i="8"/>
  <c r="X234" i="8"/>
  <c r="AC234" i="8" s="1"/>
  <c r="X301" i="8"/>
  <c r="AC301" i="8" s="1"/>
  <c r="X307" i="8"/>
  <c r="AC307" i="8" s="1"/>
  <c r="X313" i="8"/>
  <c r="Y313" i="8" s="1"/>
  <c r="O195" i="8" l="1"/>
  <c r="P46" i="8"/>
  <c r="R6" i="8"/>
  <c r="W26" i="8"/>
  <c r="AC26" i="8" s="1"/>
  <c r="R195" i="8"/>
  <c r="P195" i="8"/>
  <c r="R46" i="8"/>
  <c r="J195" i="8"/>
  <c r="Z46" i="8"/>
  <c r="J6" i="8"/>
  <c r="I46" i="8"/>
  <c r="AG269" i="8"/>
  <c r="K6" i="8"/>
  <c r="AC39" i="8"/>
  <c r="Y46" i="8"/>
  <c r="G5" i="8"/>
  <c r="Q6" i="8"/>
  <c r="Q5" i="8" s="1"/>
  <c r="S46" i="8"/>
  <c r="N195" i="8"/>
  <c r="X211" i="8"/>
  <c r="AC211" i="8" s="1"/>
  <c r="AJ6" i="8"/>
  <c r="N6" i="8"/>
  <c r="M195" i="8"/>
  <c r="AA46" i="8"/>
  <c r="AC35" i="8"/>
  <c r="AC187" i="8"/>
  <c r="AF230" i="8"/>
  <c r="AG230" i="8" s="1"/>
  <c r="AK6" i="8"/>
  <c r="AC104" i="8"/>
  <c r="AG113" i="8"/>
  <c r="L195" i="8"/>
  <c r="T6" i="8"/>
  <c r="Y178" i="8"/>
  <c r="Y314" i="8"/>
  <c r="H195" i="8"/>
  <c r="W264" i="8"/>
  <c r="J249" i="8"/>
  <c r="I6" i="8"/>
  <c r="I5" i="8" s="1"/>
  <c r="AG249" i="8"/>
  <c r="AI46" i="8"/>
  <c r="X96" i="8"/>
  <c r="Y6" i="8"/>
  <c r="AC107" i="8"/>
  <c r="AD196" i="8"/>
  <c r="AD195" i="8" s="1"/>
  <c r="AB46" i="8"/>
  <c r="AB5" i="8" s="1"/>
  <c r="V46" i="8"/>
  <c r="AC139" i="8"/>
  <c r="AG214" i="8"/>
  <c r="N46" i="8"/>
  <c r="L6" i="8"/>
  <c r="L5" i="8" s="1"/>
  <c r="U195" i="8"/>
  <c r="AF15" i="8"/>
  <c r="AG15" i="8" s="1"/>
  <c r="U6" i="8"/>
  <c r="AC311" i="8"/>
  <c r="AG161" i="8"/>
  <c r="S6" i="8"/>
  <c r="Y310" i="8"/>
  <c r="K195" i="8"/>
  <c r="K5" i="8" s="1"/>
  <c r="AC304" i="8"/>
  <c r="X168" i="8"/>
  <c r="X167" i="8" s="1"/>
  <c r="X166" i="8" s="1"/>
  <c r="AC312" i="8"/>
  <c r="Y300" i="8"/>
  <c r="V6" i="8"/>
  <c r="AE6" i="8"/>
  <c r="AE5" i="8" s="1"/>
  <c r="Y294" i="8"/>
  <c r="U249" i="8"/>
  <c r="V195" i="8"/>
  <c r="AD241" i="8"/>
  <c r="T195" i="8"/>
  <c r="AG129" i="8"/>
  <c r="AA195" i="8"/>
  <c r="X49" i="8"/>
  <c r="AC49" i="8" s="1"/>
  <c r="Y179" i="8"/>
  <c r="W363" i="8"/>
  <c r="AC24" i="8"/>
  <c r="X197" i="8"/>
  <c r="AC197" i="8" s="1"/>
  <c r="AG264" i="8"/>
  <c r="Y175" i="8"/>
  <c r="X66" i="8"/>
  <c r="X365" i="8"/>
  <c r="X363" i="8" s="1"/>
  <c r="Y195" i="8"/>
  <c r="AK46" i="8"/>
  <c r="AC175" i="8"/>
  <c r="X123" i="8"/>
  <c r="AC123" i="8" s="1"/>
  <c r="AD7" i="8"/>
  <c r="AD6" i="8" s="1"/>
  <c r="T46" i="8"/>
  <c r="AC287" i="8"/>
  <c r="Y302" i="8"/>
  <c r="AC91" i="8"/>
  <c r="H6" i="8"/>
  <c r="H5" i="8" s="1"/>
  <c r="O6" i="8"/>
  <c r="O5" i="8" s="1"/>
  <c r="AC308" i="8"/>
  <c r="Y288" i="8"/>
  <c r="AJ46" i="8"/>
  <c r="AC295" i="8"/>
  <c r="AC96" i="8"/>
  <c r="X109" i="8"/>
  <c r="AC109" i="8" s="1"/>
  <c r="AC252" i="8"/>
  <c r="AC132" i="8"/>
  <c r="AC38" i="8"/>
  <c r="AI6" i="8"/>
  <c r="AC136" i="8"/>
  <c r="AC37" i="8"/>
  <c r="AD65" i="8"/>
  <c r="V249" i="8"/>
  <c r="AC42" i="8"/>
  <c r="AC143" i="8"/>
  <c r="AC293" i="8"/>
  <c r="X147" i="8"/>
  <c r="AC147" i="8" s="1"/>
  <c r="AC158" i="8"/>
  <c r="Z6" i="8"/>
  <c r="Z5" i="8" s="1"/>
  <c r="AC140" i="8"/>
  <c r="X31" i="8"/>
  <c r="X30" i="8" s="1"/>
  <c r="AF187" i="8"/>
  <c r="AG189" i="8"/>
  <c r="Y291" i="8"/>
  <c r="X262" i="8"/>
  <c r="AC262" i="8" s="1"/>
  <c r="X15" i="8"/>
  <c r="AC15" i="8" s="1"/>
  <c r="AC16" i="8"/>
  <c r="AC306" i="8"/>
  <c r="X214" i="8"/>
  <c r="AC214" i="8" s="1"/>
  <c r="M5" i="8"/>
  <c r="AC28" i="8"/>
  <c r="Y297" i="8"/>
  <c r="AC148" i="8"/>
  <c r="AC105" i="8"/>
  <c r="AC66" i="8"/>
  <c r="AG38" i="8"/>
  <c r="AG37" i="8" s="1"/>
  <c r="AG30" i="8" s="1"/>
  <c r="AF37" i="8"/>
  <c r="AF30" i="8" s="1"/>
  <c r="X48" i="8"/>
  <c r="AF13" i="8"/>
  <c r="AG14" i="8"/>
  <c r="AC124" i="8"/>
  <c r="AF196" i="8"/>
  <c r="AG49" i="8"/>
  <c r="AF48" i="8"/>
  <c r="Y299" i="8"/>
  <c r="AG158" i="8"/>
  <c r="AF157" i="8"/>
  <c r="AG157" i="8" s="1"/>
  <c r="X259" i="8"/>
  <c r="Y301" i="8"/>
  <c r="AC168" i="8"/>
  <c r="W167" i="8"/>
  <c r="Y303" i="8"/>
  <c r="AC286" i="8"/>
  <c r="X84" i="8"/>
  <c r="X82" i="8" s="1"/>
  <c r="W82" i="8"/>
  <c r="W30" i="8"/>
  <c r="AG74" i="8"/>
  <c r="AF241" i="8"/>
  <c r="AG242" i="8"/>
  <c r="AC265" i="8"/>
  <c r="Y296" i="8"/>
  <c r="AC313" i="8"/>
  <c r="X230" i="8"/>
  <c r="AC230" i="8" s="1"/>
  <c r="Y290" i="8"/>
  <c r="AC106" i="8"/>
  <c r="AC209" i="8"/>
  <c r="Y177" i="8"/>
  <c r="X245" i="8"/>
  <c r="X241" i="8" s="1"/>
  <c r="X113" i="8"/>
  <c r="AC113" i="8" s="1"/>
  <c r="AD47" i="8"/>
  <c r="AG141" i="8"/>
  <c r="AF140" i="8"/>
  <c r="AG140" i="8" s="1"/>
  <c r="AC92" i="8"/>
  <c r="AC309" i="8"/>
  <c r="W196" i="8"/>
  <c r="X204" i="8"/>
  <c r="AC204" i="8" s="1"/>
  <c r="AC135" i="8"/>
  <c r="AC210" i="8"/>
  <c r="AC69" i="8"/>
  <c r="W241" i="8"/>
  <c r="AC242" i="8"/>
  <c r="AC250" i="8"/>
  <c r="X269" i="8"/>
  <c r="AC269" i="8" s="1"/>
  <c r="AC40" i="8"/>
  <c r="W10" i="8"/>
  <c r="X11" i="8"/>
  <c r="X10" i="8" s="1"/>
  <c r="X7" i="8" s="1"/>
  <c r="R5" i="8"/>
  <c r="AG53" i="8"/>
  <c r="AC157" i="8"/>
  <c r="X53" i="8"/>
  <c r="AC53" i="8" s="1"/>
  <c r="AC243" i="8"/>
  <c r="AC198" i="8"/>
  <c r="W259" i="8"/>
  <c r="AC259" i="8" s="1"/>
  <c r="P6" i="8"/>
  <c r="P5" i="8" s="1"/>
  <c r="W47" i="8"/>
  <c r="AG66" i="8"/>
  <c r="X161" i="8"/>
  <c r="AC161" i="8" s="1"/>
  <c r="AC110" i="8"/>
  <c r="AA5" i="8" l="1"/>
  <c r="N5" i="8"/>
  <c r="J5" i="8"/>
  <c r="U5" i="8"/>
  <c r="AJ5" i="8"/>
  <c r="S5" i="8"/>
  <c r="Y168" i="8"/>
  <c r="Y167" i="8" s="1"/>
  <c r="Y166" i="8" s="1"/>
  <c r="AI5" i="8"/>
  <c r="AC31" i="8"/>
  <c r="AC82" i="8"/>
  <c r="T5" i="8"/>
  <c r="V5" i="8"/>
  <c r="AC30" i="8"/>
  <c r="AK5" i="8"/>
  <c r="AC363" i="8"/>
  <c r="X6" i="8"/>
  <c r="AG241" i="8"/>
  <c r="AC365" i="8"/>
  <c r="AD46" i="8"/>
  <c r="AD5" i="8" s="1"/>
  <c r="AC245" i="8"/>
  <c r="X196" i="8"/>
  <c r="X195" i="8" s="1"/>
  <c r="X65" i="8"/>
  <c r="X264" i="8"/>
  <c r="Y269" i="8"/>
  <c r="Y264" i="8" s="1"/>
  <c r="Y249" i="8" s="1"/>
  <c r="W249" i="8"/>
  <c r="AC167" i="8"/>
  <c r="W166" i="8"/>
  <c r="AC166" i="8" s="1"/>
  <c r="AG48" i="8"/>
  <c r="AF47" i="8"/>
  <c r="W195" i="8"/>
  <c r="AF195" i="8"/>
  <c r="AG195" i="8" s="1"/>
  <c r="AG196" i="8"/>
  <c r="AG187" i="8"/>
  <c r="AF167" i="8"/>
  <c r="AC10" i="8"/>
  <c r="W7" i="8"/>
  <c r="AC241" i="8"/>
  <c r="AC84" i="8"/>
  <c r="AG65" i="8"/>
  <c r="AC11" i="8"/>
  <c r="W65" i="8"/>
  <c r="AF65" i="8"/>
  <c r="AG13" i="8"/>
  <c r="AF7" i="8"/>
  <c r="X47" i="8"/>
  <c r="AC47" i="8" s="1"/>
  <c r="AC48" i="8"/>
  <c r="L259" i="7"/>
  <c r="L260" i="7" s="1"/>
  <c r="J255" i="7"/>
  <c r="I255" i="7"/>
  <c r="G255" i="7"/>
  <c r="J254" i="7"/>
  <c r="G254" i="7"/>
  <c r="N253" i="7"/>
  <c r="J253" i="7"/>
  <c r="I253" i="7"/>
  <c r="G253" i="7"/>
  <c r="J252" i="7"/>
  <c r="I252" i="7"/>
  <c r="G252" i="7"/>
  <c r="J251" i="7"/>
  <c r="I251" i="7"/>
  <c r="G251" i="7"/>
  <c r="Q250" i="7"/>
  <c r="P250" i="7"/>
  <c r="O250" i="7"/>
  <c r="H250" i="7"/>
  <c r="E250" i="7"/>
  <c r="D250" i="7"/>
  <c r="J249" i="7"/>
  <c r="I249" i="7"/>
  <c r="G249" i="7"/>
  <c r="D249" i="7"/>
  <c r="J248" i="7"/>
  <c r="I248" i="7"/>
  <c r="G248" i="7"/>
  <c r="D248" i="7"/>
  <c r="J247" i="7"/>
  <c r="I247" i="7"/>
  <c r="G247" i="7"/>
  <c r="D247" i="7"/>
  <c r="J246" i="7"/>
  <c r="I246" i="7"/>
  <c r="G246" i="7"/>
  <c r="D246" i="7"/>
  <c r="J245" i="7"/>
  <c r="I245" i="7"/>
  <c r="G245" i="7"/>
  <c r="D245" i="7"/>
  <c r="G244" i="7"/>
  <c r="K244" i="7" s="1"/>
  <c r="N244" i="7" s="1"/>
  <c r="R244" i="7" s="1"/>
  <c r="J243" i="7"/>
  <c r="I243" i="7"/>
  <c r="G243" i="7"/>
  <c r="D243" i="7"/>
  <c r="J242" i="7"/>
  <c r="I242" i="7"/>
  <c r="G242" i="7"/>
  <c r="D242" i="7"/>
  <c r="J241" i="7"/>
  <c r="I241" i="7"/>
  <c r="G241" i="7"/>
  <c r="D241" i="7"/>
  <c r="J240" i="7"/>
  <c r="I240" i="7"/>
  <c r="G240" i="7"/>
  <c r="D240" i="7"/>
  <c r="J239" i="7"/>
  <c r="I239" i="7"/>
  <c r="G239" i="7"/>
  <c r="D239" i="7"/>
  <c r="J236" i="7"/>
  <c r="I236" i="7"/>
  <c r="G236" i="7"/>
  <c r="D236" i="7"/>
  <c r="J235" i="7"/>
  <c r="G235" i="7"/>
  <c r="D235" i="7"/>
  <c r="I234" i="7"/>
  <c r="G234" i="7"/>
  <c r="J234" i="7" s="1"/>
  <c r="D234" i="7"/>
  <c r="G233" i="7"/>
  <c r="K233" i="7" s="1"/>
  <c r="D233" i="7"/>
  <c r="J232" i="7"/>
  <c r="G232" i="7"/>
  <c r="D232" i="7"/>
  <c r="J231" i="7"/>
  <c r="G231" i="7"/>
  <c r="D231" i="7"/>
  <c r="G230" i="7"/>
  <c r="K230" i="7" s="1"/>
  <c r="D230" i="7"/>
  <c r="J229" i="7"/>
  <c r="I229" i="7"/>
  <c r="G229" i="7"/>
  <c r="D229" i="7"/>
  <c r="J228" i="7"/>
  <c r="I228" i="7"/>
  <c r="G228" i="7"/>
  <c r="D228" i="7"/>
  <c r="J227" i="7"/>
  <c r="I227" i="7"/>
  <c r="G227" i="7"/>
  <c r="D227" i="7"/>
  <c r="J226" i="7"/>
  <c r="I226" i="7"/>
  <c r="G226" i="7"/>
  <c r="D226" i="7"/>
  <c r="J225" i="7"/>
  <c r="I225" i="7"/>
  <c r="G225" i="7"/>
  <c r="D225" i="7"/>
  <c r="J224" i="7"/>
  <c r="I224" i="7"/>
  <c r="G224" i="7"/>
  <c r="D224" i="7"/>
  <c r="I223" i="7"/>
  <c r="G223" i="7"/>
  <c r="J223" i="7" s="1"/>
  <c r="D223" i="7"/>
  <c r="I222" i="7"/>
  <c r="G222" i="7"/>
  <c r="J222" i="7" s="1"/>
  <c r="D222" i="7"/>
  <c r="I221" i="7"/>
  <c r="G221" i="7"/>
  <c r="J221" i="7" s="1"/>
  <c r="D221" i="7"/>
  <c r="J220" i="7"/>
  <c r="I220" i="7"/>
  <c r="G220" i="7"/>
  <c r="D220" i="7"/>
  <c r="I219" i="7"/>
  <c r="G219" i="7"/>
  <c r="J219" i="7" s="1"/>
  <c r="D219" i="7"/>
  <c r="J218" i="7"/>
  <c r="I218" i="7"/>
  <c r="G218" i="7"/>
  <c r="D218" i="7"/>
  <c r="J217" i="7"/>
  <c r="I217" i="7"/>
  <c r="G217" i="7"/>
  <c r="D217" i="7"/>
  <c r="J216" i="7"/>
  <c r="I216" i="7"/>
  <c r="G216" i="7"/>
  <c r="D216" i="7"/>
  <c r="J215" i="7"/>
  <c r="I215" i="7"/>
  <c r="G215" i="7"/>
  <c r="D215" i="7"/>
  <c r="I214" i="7"/>
  <c r="G214" i="7"/>
  <c r="J214" i="7" s="1"/>
  <c r="D214" i="7"/>
  <c r="I213" i="7"/>
  <c r="G213" i="7"/>
  <c r="J213" i="7" s="1"/>
  <c r="D213" i="7"/>
  <c r="J212" i="7"/>
  <c r="I212" i="7"/>
  <c r="G212" i="7"/>
  <c r="D212" i="7"/>
  <c r="J211" i="7"/>
  <c r="I211" i="7"/>
  <c r="G211" i="7"/>
  <c r="D211" i="7"/>
  <c r="J210" i="7"/>
  <c r="I210" i="7"/>
  <c r="G210" i="7"/>
  <c r="D210" i="7"/>
  <c r="I209" i="7"/>
  <c r="G209" i="7"/>
  <c r="D209" i="7"/>
  <c r="I208" i="7"/>
  <c r="G208" i="7"/>
  <c r="D208" i="7"/>
  <c r="I207" i="7"/>
  <c r="G207" i="7"/>
  <c r="J207" i="7" s="1"/>
  <c r="D207" i="7"/>
  <c r="J206" i="7"/>
  <c r="G206" i="7"/>
  <c r="D206" i="7"/>
  <c r="G205" i="7"/>
  <c r="K205" i="7" s="1"/>
  <c r="D205" i="7"/>
  <c r="G204" i="7"/>
  <c r="K204" i="7" s="1"/>
  <c r="D204" i="7"/>
  <c r="J203" i="7"/>
  <c r="I203" i="7"/>
  <c r="G203" i="7"/>
  <c r="D203" i="7"/>
  <c r="I202" i="7"/>
  <c r="G202" i="7"/>
  <c r="D202" i="7"/>
  <c r="G201" i="7"/>
  <c r="K201" i="7" s="1"/>
  <c r="D201" i="7"/>
  <c r="G200" i="7"/>
  <c r="K200" i="7" s="1"/>
  <c r="D200" i="7"/>
  <c r="J199" i="7"/>
  <c r="G199" i="7"/>
  <c r="D199" i="7"/>
  <c r="G198" i="7"/>
  <c r="K198" i="7" s="1"/>
  <c r="D198" i="7"/>
  <c r="R197" i="7"/>
  <c r="J197" i="7"/>
  <c r="I197" i="7"/>
  <c r="G197" i="7"/>
  <c r="D197" i="7"/>
  <c r="R196" i="7"/>
  <c r="J196" i="7"/>
  <c r="I196" i="7"/>
  <c r="G196" i="7"/>
  <c r="D196" i="7"/>
  <c r="I195" i="7"/>
  <c r="G195" i="7"/>
  <c r="D195" i="7"/>
  <c r="J194" i="7"/>
  <c r="I194" i="7"/>
  <c r="G194" i="7"/>
  <c r="D194" i="7"/>
  <c r="I193" i="7"/>
  <c r="G193" i="7"/>
  <c r="D193" i="7"/>
  <c r="I192" i="7"/>
  <c r="G192" i="7"/>
  <c r="D192" i="7"/>
  <c r="I191" i="7"/>
  <c r="G191" i="7"/>
  <c r="D191" i="7"/>
  <c r="J190" i="7"/>
  <c r="I190" i="7"/>
  <c r="G190" i="7"/>
  <c r="D190" i="7"/>
  <c r="I189" i="7"/>
  <c r="G189" i="7"/>
  <c r="D189" i="7"/>
  <c r="J188" i="7"/>
  <c r="I188" i="7"/>
  <c r="G188" i="7"/>
  <c r="D188" i="7"/>
  <c r="I187" i="7"/>
  <c r="G187" i="7"/>
  <c r="D187" i="7"/>
  <c r="J186" i="7"/>
  <c r="I186" i="7"/>
  <c r="G186" i="7"/>
  <c r="D186" i="7"/>
  <c r="J185" i="7"/>
  <c r="I185" i="7"/>
  <c r="G185" i="7"/>
  <c r="D185" i="7"/>
  <c r="J184" i="7"/>
  <c r="I184" i="7"/>
  <c r="G184" i="7"/>
  <c r="D184" i="7"/>
  <c r="J183" i="7"/>
  <c r="I183" i="7"/>
  <c r="G183" i="7"/>
  <c r="D183" i="7"/>
  <c r="G182" i="7"/>
  <c r="K182" i="7" s="1"/>
  <c r="N182" i="7" s="1"/>
  <c r="R182" i="7" s="1"/>
  <c r="D182" i="7"/>
  <c r="J181" i="7"/>
  <c r="I181" i="7"/>
  <c r="G181" i="7"/>
  <c r="D181" i="7"/>
  <c r="J180" i="7"/>
  <c r="I180" i="7"/>
  <c r="G180" i="7"/>
  <c r="D180" i="7"/>
  <c r="R179" i="7"/>
  <c r="G179" i="7"/>
  <c r="K179" i="7" s="1"/>
  <c r="N179" i="7" s="1"/>
  <c r="D179" i="7"/>
  <c r="J178" i="7"/>
  <c r="I178" i="7"/>
  <c r="G178" i="7"/>
  <c r="D178" i="7"/>
  <c r="G177" i="7"/>
  <c r="K177" i="7" s="1"/>
  <c r="N177" i="7" s="1"/>
  <c r="D177" i="7"/>
  <c r="J176" i="7"/>
  <c r="I176" i="7"/>
  <c r="G176" i="7"/>
  <c r="D176" i="7"/>
  <c r="J175" i="7"/>
  <c r="I175" i="7"/>
  <c r="G175" i="7"/>
  <c r="D175" i="7"/>
  <c r="J174" i="7"/>
  <c r="I174" i="7"/>
  <c r="G174" i="7"/>
  <c r="D174" i="7"/>
  <c r="G173" i="7"/>
  <c r="K173" i="7" s="1"/>
  <c r="N173" i="7" s="1"/>
  <c r="R173" i="7" s="1"/>
  <c r="D173" i="7"/>
  <c r="G172" i="7"/>
  <c r="D172" i="7"/>
  <c r="Q171" i="7"/>
  <c r="P171" i="7"/>
  <c r="O171" i="7"/>
  <c r="H171" i="7"/>
  <c r="E171" i="7"/>
  <c r="J170" i="7"/>
  <c r="I170" i="7"/>
  <c r="G170" i="7"/>
  <c r="D170" i="7"/>
  <c r="J169" i="7"/>
  <c r="I169" i="7"/>
  <c r="G169" i="7"/>
  <c r="D169" i="7"/>
  <c r="J168" i="7"/>
  <c r="I168" i="7"/>
  <c r="G168" i="7"/>
  <c r="D168" i="7"/>
  <c r="J167" i="7"/>
  <c r="I167" i="7"/>
  <c r="G167" i="7"/>
  <c r="D167" i="7"/>
  <c r="J166" i="7"/>
  <c r="I166" i="7"/>
  <c r="G166" i="7"/>
  <c r="D166" i="7"/>
  <c r="J165" i="7"/>
  <c r="I165" i="7"/>
  <c r="G165" i="7"/>
  <c r="D165" i="7"/>
  <c r="J164" i="7"/>
  <c r="I164" i="7"/>
  <c r="G164" i="7"/>
  <c r="D164" i="7"/>
  <c r="J163" i="7"/>
  <c r="I163" i="7"/>
  <c r="G163" i="7"/>
  <c r="D163" i="7"/>
  <c r="J162" i="7"/>
  <c r="I162" i="7"/>
  <c r="G162" i="7"/>
  <c r="D162" i="7"/>
  <c r="J161" i="7"/>
  <c r="I161" i="7"/>
  <c r="G161" i="7"/>
  <c r="D161" i="7"/>
  <c r="J160" i="7"/>
  <c r="I160" i="7"/>
  <c r="G160" i="7"/>
  <c r="D160" i="7"/>
  <c r="J159" i="7"/>
  <c r="I159" i="7"/>
  <c r="G159" i="7"/>
  <c r="D159" i="7"/>
  <c r="J158" i="7"/>
  <c r="I158" i="7"/>
  <c r="G158" i="7"/>
  <c r="D158" i="7"/>
  <c r="I157" i="7"/>
  <c r="G157" i="7"/>
  <c r="D157" i="7"/>
  <c r="J156" i="7"/>
  <c r="I156" i="7"/>
  <c r="G156" i="7"/>
  <c r="D156" i="7"/>
  <c r="J155" i="7"/>
  <c r="I155" i="7"/>
  <c r="G155" i="7"/>
  <c r="D155" i="7"/>
  <c r="G154" i="7"/>
  <c r="K154" i="7" s="1"/>
  <c r="N154" i="7" s="1"/>
  <c r="R154" i="7" s="1"/>
  <c r="D154" i="7"/>
  <c r="J153" i="7"/>
  <c r="I153" i="7"/>
  <c r="G153" i="7"/>
  <c r="D153" i="7"/>
  <c r="J152" i="7"/>
  <c r="I152" i="7"/>
  <c r="G152" i="7"/>
  <c r="D152" i="7"/>
  <c r="J151" i="7"/>
  <c r="I151" i="7"/>
  <c r="G151" i="7"/>
  <c r="D151" i="7"/>
  <c r="J150" i="7"/>
  <c r="I150" i="7"/>
  <c r="G150" i="7"/>
  <c r="D150" i="7"/>
  <c r="J149" i="7"/>
  <c r="I149" i="7"/>
  <c r="G149" i="7"/>
  <c r="D149" i="7"/>
  <c r="J148" i="7"/>
  <c r="I148" i="7"/>
  <c r="G148" i="7"/>
  <c r="D148" i="7"/>
  <c r="J147" i="7"/>
  <c r="I147" i="7"/>
  <c r="G147" i="7"/>
  <c r="D147" i="7"/>
  <c r="J146" i="7"/>
  <c r="I146" i="7"/>
  <c r="G146" i="7"/>
  <c r="D146" i="7"/>
  <c r="J145" i="7"/>
  <c r="I145" i="7"/>
  <c r="G145" i="7"/>
  <c r="D145" i="7"/>
  <c r="J144" i="7"/>
  <c r="I144" i="7"/>
  <c r="G144" i="7"/>
  <c r="D144" i="7"/>
  <c r="J143" i="7"/>
  <c r="I143" i="7"/>
  <c r="G143" i="7"/>
  <c r="D143" i="7"/>
  <c r="J142" i="7"/>
  <c r="I142" i="7"/>
  <c r="G142" i="7"/>
  <c r="D142" i="7"/>
  <c r="J141" i="7"/>
  <c r="I141" i="7"/>
  <c r="G141" i="7"/>
  <c r="D141" i="7"/>
  <c r="G140" i="7"/>
  <c r="K140" i="7" s="1"/>
  <c r="N140" i="7" s="1"/>
  <c r="R140" i="7" s="1"/>
  <c r="D140" i="7"/>
  <c r="I139" i="7"/>
  <c r="G139" i="7"/>
  <c r="D139" i="7"/>
  <c r="J138" i="7"/>
  <c r="I138" i="7"/>
  <c r="G138" i="7"/>
  <c r="D138" i="7"/>
  <c r="J137" i="7"/>
  <c r="I137" i="7"/>
  <c r="G137" i="7"/>
  <c r="D137" i="7"/>
  <c r="J136" i="7"/>
  <c r="I136" i="7"/>
  <c r="G136" i="7"/>
  <c r="D136" i="7"/>
  <c r="J135" i="7"/>
  <c r="I135" i="7"/>
  <c r="G135" i="7"/>
  <c r="D135" i="7"/>
  <c r="J134" i="7"/>
  <c r="I134" i="7"/>
  <c r="G134" i="7"/>
  <c r="D134" i="7"/>
  <c r="J133" i="7"/>
  <c r="I133" i="7"/>
  <c r="G133" i="7"/>
  <c r="D133" i="7"/>
  <c r="Q132" i="7"/>
  <c r="P132" i="7"/>
  <c r="O132" i="7"/>
  <c r="H132" i="7"/>
  <c r="E132" i="7"/>
  <c r="J131" i="7"/>
  <c r="I131" i="7"/>
  <c r="G131" i="7"/>
  <c r="D131" i="7"/>
  <c r="J130" i="7"/>
  <c r="I130" i="7"/>
  <c r="G130" i="7"/>
  <c r="D130" i="7"/>
  <c r="I129" i="7"/>
  <c r="G129" i="7"/>
  <c r="D129" i="7"/>
  <c r="J128" i="7"/>
  <c r="I128" i="7"/>
  <c r="G128" i="7"/>
  <c r="D128" i="7"/>
  <c r="J127" i="7"/>
  <c r="I127" i="7"/>
  <c r="G127" i="7"/>
  <c r="D127" i="7"/>
  <c r="J126" i="7"/>
  <c r="I126" i="7"/>
  <c r="G126" i="7"/>
  <c r="D126" i="7"/>
  <c r="J125" i="7"/>
  <c r="I125" i="7"/>
  <c r="G125" i="7"/>
  <c r="D125" i="7"/>
  <c r="J124" i="7"/>
  <c r="I124" i="7"/>
  <c r="G124" i="7"/>
  <c r="D124" i="7"/>
  <c r="G123" i="7"/>
  <c r="K123" i="7" s="1"/>
  <c r="N123" i="7" s="1"/>
  <c r="D123" i="7"/>
  <c r="G122" i="7"/>
  <c r="K122" i="7" s="1"/>
  <c r="N122" i="7" s="1"/>
  <c r="D122" i="7"/>
  <c r="G121" i="7"/>
  <c r="K121" i="7" s="1"/>
  <c r="N121" i="7" s="1"/>
  <c r="D121" i="7"/>
  <c r="G120" i="7"/>
  <c r="K120" i="7" s="1"/>
  <c r="N120" i="7" s="1"/>
  <c r="D120" i="7"/>
  <c r="J119" i="7"/>
  <c r="I119" i="7"/>
  <c r="G119" i="7"/>
  <c r="D119" i="7"/>
  <c r="J118" i="7"/>
  <c r="I118" i="7"/>
  <c r="G118" i="7"/>
  <c r="D118" i="7"/>
  <c r="Q117" i="7"/>
  <c r="P117" i="7"/>
  <c r="O117" i="7"/>
  <c r="H117" i="7"/>
  <c r="E117" i="7"/>
  <c r="G116" i="7"/>
  <c r="K116" i="7" s="1"/>
  <c r="N116" i="7" s="1"/>
  <c r="D116" i="7"/>
  <c r="J115" i="7"/>
  <c r="I115" i="7"/>
  <c r="G115" i="7"/>
  <c r="D115" i="7"/>
  <c r="J114" i="7"/>
  <c r="I114" i="7"/>
  <c r="G114" i="7"/>
  <c r="D114" i="7"/>
  <c r="R113" i="7"/>
  <c r="J113" i="7"/>
  <c r="G113" i="7"/>
  <c r="D113" i="7"/>
  <c r="J112" i="7"/>
  <c r="I112" i="7"/>
  <c r="G112" i="7"/>
  <c r="D112" i="7"/>
  <c r="J111" i="7"/>
  <c r="I111" i="7"/>
  <c r="G111" i="7"/>
  <c r="D111" i="7"/>
  <c r="J110" i="7"/>
  <c r="I110" i="7"/>
  <c r="G110" i="7"/>
  <c r="D110" i="7"/>
  <c r="J109" i="7"/>
  <c r="I109" i="7"/>
  <c r="G109" i="7"/>
  <c r="D109" i="7"/>
  <c r="J108" i="7"/>
  <c r="I108" i="7"/>
  <c r="G108" i="7"/>
  <c r="D108" i="7"/>
  <c r="J107" i="7"/>
  <c r="I107" i="7"/>
  <c r="G107" i="7"/>
  <c r="D107" i="7"/>
  <c r="J106" i="7"/>
  <c r="I106" i="7"/>
  <c r="G106" i="7"/>
  <c r="D106" i="7"/>
  <c r="J105" i="7"/>
  <c r="I105" i="7"/>
  <c r="G105" i="7"/>
  <c r="D105" i="7"/>
  <c r="J104" i="7"/>
  <c r="I104" i="7"/>
  <c r="G104" i="7"/>
  <c r="D104" i="7"/>
  <c r="J103" i="7"/>
  <c r="I103" i="7"/>
  <c r="G103" i="7"/>
  <c r="D103" i="7"/>
  <c r="J102" i="7"/>
  <c r="I102" i="7"/>
  <c r="G102" i="7"/>
  <c r="D102" i="7"/>
  <c r="J101" i="7"/>
  <c r="I101" i="7"/>
  <c r="G101" i="7"/>
  <c r="D101" i="7"/>
  <c r="J100" i="7"/>
  <c r="I100" i="7"/>
  <c r="G100" i="7"/>
  <c r="D100" i="7"/>
  <c r="J99" i="7"/>
  <c r="I99" i="7"/>
  <c r="G99" i="7"/>
  <c r="D99" i="7"/>
  <c r="J98" i="7"/>
  <c r="I98" i="7"/>
  <c r="G98" i="7"/>
  <c r="D98" i="7"/>
  <c r="J97" i="7"/>
  <c r="I97" i="7"/>
  <c r="G97" i="7"/>
  <c r="D97" i="7"/>
  <c r="J96" i="7"/>
  <c r="I96" i="7"/>
  <c r="G96" i="7"/>
  <c r="D96" i="7"/>
  <c r="J95" i="7"/>
  <c r="I95" i="7"/>
  <c r="G95" i="7"/>
  <c r="D95" i="7"/>
  <c r="J94" i="7"/>
  <c r="I94" i="7"/>
  <c r="G94" i="7"/>
  <c r="D94" i="7"/>
  <c r="J93" i="7"/>
  <c r="I93" i="7"/>
  <c r="G93" i="7"/>
  <c r="D93" i="7"/>
  <c r="J92" i="7"/>
  <c r="I92" i="7"/>
  <c r="G92" i="7"/>
  <c r="D92" i="7"/>
  <c r="G91" i="7"/>
  <c r="K91" i="7" s="1"/>
  <c r="N91" i="7" s="1"/>
  <c r="R91" i="7" s="1"/>
  <c r="D91" i="7"/>
  <c r="J90" i="7"/>
  <c r="I90" i="7"/>
  <c r="G90" i="7"/>
  <c r="D90" i="7"/>
  <c r="J89" i="7"/>
  <c r="I89" i="7"/>
  <c r="G89" i="7"/>
  <c r="D89" i="7"/>
  <c r="J88" i="7"/>
  <c r="I88" i="7"/>
  <c r="G88" i="7"/>
  <c r="D88" i="7"/>
  <c r="J87" i="7"/>
  <c r="I87" i="7"/>
  <c r="G87" i="7"/>
  <c r="D87" i="7"/>
  <c r="J86" i="7"/>
  <c r="I86" i="7"/>
  <c r="G86" i="7"/>
  <c r="D86" i="7"/>
  <c r="J85" i="7"/>
  <c r="I85" i="7"/>
  <c r="G85" i="7"/>
  <c r="D85" i="7"/>
  <c r="G84" i="7"/>
  <c r="K84" i="7" s="1"/>
  <c r="N84" i="7" s="1"/>
  <c r="R84" i="7" s="1"/>
  <c r="D84" i="7"/>
  <c r="J83" i="7"/>
  <c r="I83" i="7"/>
  <c r="G83" i="7"/>
  <c r="D83" i="7"/>
  <c r="J82" i="7"/>
  <c r="I82" i="7"/>
  <c r="G82" i="7"/>
  <c r="D82" i="7"/>
  <c r="J81" i="7"/>
  <c r="I81" i="7"/>
  <c r="G81" i="7"/>
  <c r="D81" i="7"/>
  <c r="J80" i="7"/>
  <c r="I80" i="7"/>
  <c r="G80" i="7"/>
  <c r="D80" i="7"/>
  <c r="J79" i="7"/>
  <c r="I79" i="7"/>
  <c r="G79" i="7"/>
  <c r="D79" i="7"/>
  <c r="J78" i="7"/>
  <c r="I78" i="7"/>
  <c r="G78" i="7"/>
  <c r="D78" i="7"/>
  <c r="J77" i="7"/>
  <c r="I77" i="7"/>
  <c r="G77" i="7"/>
  <c r="D77" i="7"/>
  <c r="J76" i="7"/>
  <c r="I76" i="7"/>
  <c r="G76" i="7"/>
  <c r="D76" i="7"/>
  <c r="J75" i="7"/>
  <c r="I75" i="7"/>
  <c r="G75" i="7"/>
  <c r="D75" i="7"/>
  <c r="J74" i="7"/>
  <c r="I74" i="7"/>
  <c r="G74" i="7"/>
  <c r="D74" i="7"/>
  <c r="J73" i="7"/>
  <c r="I73" i="7"/>
  <c r="G73" i="7"/>
  <c r="D73" i="7"/>
  <c r="J72" i="7"/>
  <c r="I72" i="7"/>
  <c r="G72" i="7"/>
  <c r="D72" i="7"/>
  <c r="J71" i="7"/>
  <c r="I71" i="7"/>
  <c r="G71" i="7"/>
  <c r="D71" i="7"/>
  <c r="J70" i="7"/>
  <c r="I70" i="7"/>
  <c r="G70" i="7"/>
  <c r="D70" i="7"/>
  <c r="J69" i="7"/>
  <c r="I69" i="7"/>
  <c r="G69" i="7"/>
  <c r="D69" i="7"/>
  <c r="J68" i="7"/>
  <c r="I68" i="7"/>
  <c r="G68" i="7"/>
  <c r="D68" i="7"/>
  <c r="J67" i="7"/>
  <c r="I67" i="7"/>
  <c r="G67" i="7"/>
  <c r="D67" i="7"/>
  <c r="J66" i="7"/>
  <c r="I66" i="7"/>
  <c r="G66" i="7"/>
  <c r="D66" i="7"/>
  <c r="J65" i="7"/>
  <c r="I65" i="7"/>
  <c r="G65" i="7"/>
  <c r="D65" i="7"/>
  <c r="J64" i="7"/>
  <c r="I64" i="7"/>
  <c r="G64" i="7"/>
  <c r="D64" i="7"/>
  <c r="G63" i="7"/>
  <c r="K63" i="7" s="1"/>
  <c r="N63" i="7" s="1"/>
  <c r="R63" i="7" s="1"/>
  <c r="D63" i="7"/>
  <c r="J62" i="7"/>
  <c r="I62" i="7"/>
  <c r="G62" i="7"/>
  <c r="D62" i="7"/>
  <c r="J61" i="7"/>
  <c r="I61" i="7"/>
  <c r="G61" i="7"/>
  <c r="D61" i="7"/>
  <c r="J60" i="7"/>
  <c r="I60" i="7"/>
  <c r="G60" i="7"/>
  <c r="D60" i="7"/>
  <c r="J59" i="7"/>
  <c r="I59" i="7"/>
  <c r="G59" i="7"/>
  <c r="D59" i="7"/>
  <c r="J58" i="7"/>
  <c r="I58" i="7"/>
  <c r="G58" i="7"/>
  <c r="D58" i="7"/>
  <c r="J57" i="7"/>
  <c r="I57" i="7"/>
  <c r="G57" i="7"/>
  <c r="D57" i="7"/>
  <c r="J56" i="7"/>
  <c r="I56" i="7"/>
  <c r="G56" i="7"/>
  <c r="D56" i="7"/>
  <c r="J55" i="7"/>
  <c r="I55" i="7"/>
  <c r="G55" i="7"/>
  <c r="D55" i="7"/>
  <c r="J54" i="7"/>
  <c r="I54" i="7"/>
  <c r="G54" i="7"/>
  <c r="D54" i="7"/>
  <c r="J53" i="7"/>
  <c r="I53" i="7"/>
  <c r="G53" i="7"/>
  <c r="D53" i="7"/>
  <c r="J52" i="7"/>
  <c r="I52" i="7"/>
  <c r="G52" i="7"/>
  <c r="D52" i="7"/>
  <c r="J51" i="7"/>
  <c r="I51" i="7"/>
  <c r="G51" i="7"/>
  <c r="D51" i="7"/>
  <c r="J50" i="7"/>
  <c r="I50" i="7"/>
  <c r="G50" i="7"/>
  <c r="D50" i="7"/>
  <c r="J49" i="7"/>
  <c r="I49" i="7"/>
  <c r="G49" i="7"/>
  <c r="D49" i="7"/>
  <c r="J48" i="7"/>
  <c r="I48" i="7"/>
  <c r="G48" i="7"/>
  <c r="D48" i="7"/>
  <c r="J47" i="7"/>
  <c r="I47" i="7"/>
  <c r="G47" i="7"/>
  <c r="D47" i="7"/>
  <c r="J46" i="7"/>
  <c r="I46" i="7"/>
  <c r="G46" i="7"/>
  <c r="D46" i="7"/>
  <c r="G45" i="7"/>
  <c r="K45" i="7" s="1"/>
  <c r="N45" i="7" s="1"/>
  <c r="R45" i="7" s="1"/>
  <c r="D45" i="7"/>
  <c r="J44" i="7"/>
  <c r="I44" i="7"/>
  <c r="G44" i="7"/>
  <c r="D44" i="7"/>
  <c r="G43" i="7"/>
  <c r="K43" i="7" s="1"/>
  <c r="N43" i="7" s="1"/>
  <c r="R43" i="7" s="1"/>
  <c r="D43" i="7"/>
  <c r="J42" i="7"/>
  <c r="I42" i="7"/>
  <c r="G42" i="7"/>
  <c r="D42" i="7"/>
  <c r="G41" i="7"/>
  <c r="K41" i="7" s="1"/>
  <c r="N41" i="7" s="1"/>
  <c r="R41" i="7" s="1"/>
  <c r="D41" i="7"/>
  <c r="G40" i="7"/>
  <c r="K40" i="7" s="1"/>
  <c r="N40" i="7" s="1"/>
  <c r="D40" i="7"/>
  <c r="J39" i="7"/>
  <c r="I39" i="7"/>
  <c r="G39" i="7"/>
  <c r="D39" i="7"/>
  <c r="J38" i="7"/>
  <c r="I38" i="7"/>
  <c r="G38" i="7"/>
  <c r="D38" i="7"/>
  <c r="Q37" i="7"/>
  <c r="J37" i="7"/>
  <c r="I37" i="7"/>
  <c r="G37" i="7"/>
  <c r="D37" i="7"/>
  <c r="Q36" i="7"/>
  <c r="J36" i="7"/>
  <c r="I36" i="7"/>
  <c r="G36" i="7"/>
  <c r="D36" i="7"/>
  <c r="Q35" i="7"/>
  <c r="J35" i="7"/>
  <c r="I35" i="7"/>
  <c r="G35" i="7"/>
  <c r="D35" i="7"/>
  <c r="Q34" i="7"/>
  <c r="J34" i="7"/>
  <c r="I34" i="7"/>
  <c r="G34" i="7"/>
  <c r="D34" i="7"/>
  <c r="J33" i="7"/>
  <c r="I33" i="7"/>
  <c r="G33" i="7"/>
  <c r="D33" i="7"/>
  <c r="G32" i="7"/>
  <c r="K32" i="7" s="1"/>
  <c r="N32" i="7" s="1"/>
  <c r="D32" i="7"/>
  <c r="G31" i="7"/>
  <c r="D31" i="7"/>
  <c r="P30" i="7"/>
  <c r="O30" i="7"/>
  <c r="H30" i="7"/>
  <c r="E30" i="7"/>
  <c r="G29" i="7"/>
  <c r="K29" i="7" s="1"/>
  <c r="N29" i="7" s="1"/>
  <c r="J28" i="7"/>
  <c r="I28" i="7"/>
  <c r="H28" i="7"/>
  <c r="G28" i="7"/>
  <c r="J27" i="7"/>
  <c r="I27" i="7"/>
  <c r="H27" i="7"/>
  <c r="G27" i="7"/>
  <c r="R26" i="7"/>
  <c r="Q26" i="7"/>
  <c r="P26" i="7"/>
  <c r="O26" i="7"/>
  <c r="E26" i="7"/>
  <c r="D26" i="7"/>
  <c r="G25" i="7"/>
  <c r="K25" i="7" s="1"/>
  <c r="N25" i="7" s="1"/>
  <c r="G24" i="7"/>
  <c r="K24" i="7" s="1"/>
  <c r="N24" i="7" s="1"/>
  <c r="J23" i="7"/>
  <c r="I23" i="7"/>
  <c r="G23" i="7"/>
  <c r="J22" i="7"/>
  <c r="I22" i="7"/>
  <c r="G22" i="7"/>
  <c r="J21" i="7"/>
  <c r="I21" i="7"/>
  <c r="G21" i="7"/>
  <c r="J20" i="7"/>
  <c r="I20" i="7"/>
  <c r="G20" i="7"/>
  <c r="J19" i="7"/>
  <c r="I19" i="7"/>
  <c r="G19" i="7"/>
  <c r="J18" i="7"/>
  <c r="I18" i="7"/>
  <c r="G18" i="7"/>
  <c r="J17" i="7"/>
  <c r="I17" i="7"/>
  <c r="G17" i="7"/>
  <c r="J16" i="7"/>
  <c r="I16" i="7"/>
  <c r="G16" i="7"/>
  <c r="J15" i="7"/>
  <c r="I15" i="7"/>
  <c r="G15" i="7"/>
  <c r="J14" i="7"/>
  <c r="I14" i="7"/>
  <c r="G14" i="7"/>
  <c r="G13" i="7"/>
  <c r="K13" i="7" s="1"/>
  <c r="N13" i="7" s="1"/>
  <c r="G12" i="7"/>
  <c r="K12" i="7" s="1"/>
  <c r="N12" i="7" s="1"/>
  <c r="R11" i="7"/>
  <c r="T11" i="7" s="1"/>
  <c r="J11" i="7"/>
  <c r="I11" i="7"/>
  <c r="G11" i="7"/>
  <c r="R10" i="7"/>
  <c r="T10" i="7" s="1"/>
  <c r="J10" i="7"/>
  <c r="I10" i="7"/>
  <c r="G10" i="7"/>
  <c r="R9" i="7"/>
  <c r="T9" i="7" s="1"/>
  <c r="J9" i="7"/>
  <c r="I9" i="7"/>
  <c r="G9" i="7"/>
  <c r="V8" i="7"/>
  <c r="R8" i="7"/>
  <c r="J8" i="7"/>
  <c r="I8" i="7"/>
  <c r="G8" i="7"/>
  <c r="J7" i="7"/>
  <c r="I7" i="7"/>
  <c r="G7" i="7"/>
  <c r="G6" i="7"/>
  <c r="K6" i="7" s="1"/>
  <c r="N6" i="7" s="1"/>
  <c r="G5" i="7"/>
  <c r="J4" i="7"/>
  <c r="I4" i="7"/>
  <c r="H4" i="7"/>
  <c r="H3" i="7" s="1"/>
  <c r="G4" i="7"/>
  <c r="Q3" i="7"/>
  <c r="P3" i="7"/>
  <c r="O3" i="7"/>
  <c r="E3" i="7"/>
  <c r="D3" i="7"/>
  <c r="Y5" i="8" l="1"/>
  <c r="I26" i="7"/>
  <c r="J26" i="7"/>
  <c r="K113" i="7"/>
  <c r="N113" i="7" s="1"/>
  <c r="T143" i="7"/>
  <c r="K36" i="7"/>
  <c r="N36" i="7" s="1"/>
  <c r="R36" i="7" s="1"/>
  <c r="K67" i="7"/>
  <c r="N67" i="7" s="1"/>
  <c r="R67" i="7" s="1"/>
  <c r="K68" i="7"/>
  <c r="N68" i="7" s="1"/>
  <c r="R68" i="7" s="1"/>
  <c r="K69" i="7"/>
  <c r="N69" i="7" s="1"/>
  <c r="R69" i="7" s="1"/>
  <c r="K80" i="7"/>
  <c r="N80" i="7" s="1"/>
  <c r="R80" i="7" s="1"/>
  <c r="K81" i="7"/>
  <c r="N81" i="7" s="1"/>
  <c r="R81" i="7" s="1"/>
  <c r="K82" i="7"/>
  <c r="N82" i="7" s="1"/>
  <c r="R82" i="7" s="1"/>
  <c r="K83" i="7"/>
  <c r="N83" i="7" s="1"/>
  <c r="R83" i="7" s="1"/>
  <c r="K92" i="7"/>
  <c r="N92" i="7" s="1"/>
  <c r="R92" i="7" s="1"/>
  <c r="K93" i="7"/>
  <c r="N93" i="7" s="1"/>
  <c r="K94" i="7"/>
  <c r="N94" i="7" s="1"/>
  <c r="R94" i="7" s="1"/>
  <c r="K106" i="7"/>
  <c r="N106" i="7" s="1"/>
  <c r="K107" i="7"/>
  <c r="N107" i="7" s="1"/>
  <c r="R107" i="7" s="1"/>
  <c r="K108" i="7"/>
  <c r="N108" i="7" s="1"/>
  <c r="R108" i="7" s="1"/>
  <c r="K109" i="7"/>
  <c r="N109" i="7" s="1"/>
  <c r="K110" i="7"/>
  <c r="N110" i="7" s="1"/>
  <c r="R110" i="7" s="1"/>
  <c r="K111" i="7"/>
  <c r="N111" i="7" s="1"/>
  <c r="R111" i="7" s="1"/>
  <c r="G26" i="7"/>
  <c r="R3" i="7"/>
  <c r="T8" i="7"/>
  <c r="AC196" i="8"/>
  <c r="AC264" i="8"/>
  <c r="X249" i="8"/>
  <c r="AC249" i="8" s="1"/>
  <c r="AC65" i="8"/>
  <c r="X46" i="8"/>
  <c r="AC195" i="8"/>
  <c r="AC7" i="8"/>
  <c r="W6" i="8"/>
  <c r="AF46" i="8"/>
  <c r="AG47" i="8"/>
  <c r="AG46" i="8" s="1"/>
  <c r="AG167" i="8"/>
  <c r="AF166" i="8"/>
  <c r="AG166" i="8" s="1"/>
  <c r="AF6" i="8"/>
  <c r="AG7" i="8"/>
  <c r="W46" i="8"/>
  <c r="K19" i="7"/>
  <c r="N19" i="7" s="1"/>
  <c r="K20" i="7"/>
  <c r="N20" i="7" s="1"/>
  <c r="K15" i="7"/>
  <c r="N15" i="7" s="1"/>
  <c r="K181" i="7"/>
  <c r="N181" i="7" s="1"/>
  <c r="K236" i="7"/>
  <c r="N236" i="7" s="1"/>
  <c r="R236" i="7" s="1"/>
  <c r="K184" i="7"/>
  <c r="N184" i="7" s="1"/>
  <c r="R184" i="7" s="1"/>
  <c r="K193" i="7"/>
  <c r="N193" i="7" s="1"/>
  <c r="K183" i="7"/>
  <c r="N183" i="7" s="1"/>
  <c r="K56" i="7"/>
  <c r="N56" i="7" s="1"/>
  <c r="R56" i="7" s="1"/>
  <c r="K194" i="7"/>
  <c r="N194" i="7" s="1"/>
  <c r="K227" i="7"/>
  <c r="N227" i="7" s="1"/>
  <c r="K222" i="7"/>
  <c r="N222" i="7" s="1"/>
  <c r="K190" i="7"/>
  <c r="N190" i="7" s="1"/>
  <c r="K199" i="7"/>
  <c r="K202" i="7"/>
  <c r="K211" i="7"/>
  <c r="N211" i="7" s="1"/>
  <c r="R211" i="7" s="1"/>
  <c r="K220" i="7"/>
  <c r="N220" i="7" s="1"/>
  <c r="K195" i="7"/>
  <c r="K197" i="7"/>
  <c r="K218" i="7"/>
  <c r="N218" i="7" s="1"/>
  <c r="K226" i="7"/>
  <c r="N226" i="7" s="1"/>
  <c r="I132" i="7"/>
  <c r="K148" i="7"/>
  <c r="N148" i="7" s="1"/>
  <c r="R148" i="7" s="1"/>
  <c r="G117" i="7"/>
  <c r="K59" i="7"/>
  <c r="N59" i="7" s="1"/>
  <c r="R59" i="7" s="1"/>
  <c r="K46" i="7"/>
  <c r="N46" i="7" s="1"/>
  <c r="K53" i="7"/>
  <c r="N53" i="7" s="1"/>
  <c r="R53" i="7" s="1"/>
  <c r="K16" i="7"/>
  <c r="N16" i="7" s="1"/>
  <c r="K48" i="7"/>
  <c r="N48" i="7" s="1"/>
  <c r="R48" i="7" s="1"/>
  <c r="K98" i="7"/>
  <c r="N98" i="7" s="1"/>
  <c r="R98" i="7" s="1"/>
  <c r="K155" i="7"/>
  <c r="N155" i="7" s="1"/>
  <c r="R155" i="7" s="1"/>
  <c r="K163" i="7"/>
  <c r="N163" i="7" s="1"/>
  <c r="R163" i="7" s="1"/>
  <c r="K185" i="7"/>
  <c r="N185" i="7" s="1"/>
  <c r="K187" i="7"/>
  <c r="N187" i="7" s="1"/>
  <c r="K214" i="7"/>
  <c r="N214" i="7" s="1"/>
  <c r="K234" i="7"/>
  <c r="N234" i="7" s="1"/>
  <c r="K242" i="7"/>
  <c r="N242" i="7" s="1"/>
  <c r="R242" i="7" s="1"/>
  <c r="K114" i="7"/>
  <c r="N114" i="7" s="1"/>
  <c r="R114" i="7" s="1"/>
  <c r="K126" i="7"/>
  <c r="N126" i="7" s="1"/>
  <c r="R126" i="7" s="1"/>
  <c r="K196" i="7"/>
  <c r="K209" i="7"/>
  <c r="K224" i="7"/>
  <c r="N224" i="7" s="1"/>
  <c r="K65" i="7"/>
  <c r="N65" i="7" s="1"/>
  <c r="R65" i="7" s="1"/>
  <c r="K72" i="7"/>
  <c r="N72" i="7" s="1"/>
  <c r="R72" i="7" s="1"/>
  <c r="K17" i="7"/>
  <c r="N17" i="7" s="1"/>
  <c r="K7" i="7"/>
  <c r="N7" i="7" s="1"/>
  <c r="K10" i="7"/>
  <c r="N10" i="7" s="1"/>
  <c r="K14" i="7"/>
  <c r="N14" i="7" s="1"/>
  <c r="K35" i="7"/>
  <c r="N35" i="7" s="1"/>
  <c r="R35" i="7" s="1"/>
  <c r="K50" i="7"/>
  <c r="N50" i="7" s="1"/>
  <c r="R50" i="7" s="1"/>
  <c r="K52" i="7"/>
  <c r="N52" i="7" s="1"/>
  <c r="R52" i="7" s="1"/>
  <c r="K62" i="7"/>
  <c r="N62" i="7" s="1"/>
  <c r="R62" i="7" s="1"/>
  <c r="K76" i="7"/>
  <c r="N76" i="7" s="1"/>
  <c r="R76" i="7" s="1"/>
  <c r="K78" i="7"/>
  <c r="N78" i="7" s="1"/>
  <c r="R78" i="7" s="1"/>
  <c r="K100" i="7"/>
  <c r="N100" i="7" s="1"/>
  <c r="R100" i="7" s="1"/>
  <c r="K103" i="7"/>
  <c r="N103" i="7" s="1"/>
  <c r="R103" i="7" s="1"/>
  <c r="K105" i="7"/>
  <c r="N105" i="7" s="1"/>
  <c r="R105" i="7" s="1"/>
  <c r="K119" i="7"/>
  <c r="N119" i="7" s="1"/>
  <c r="R119" i="7" s="1"/>
  <c r="K124" i="7"/>
  <c r="N124" i="7" s="1"/>
  <c r="R124" i="7" s="1"/>
  <c r="K130" i="7"/>
  <c r="N130" i="7" s="1"/>
  <c r="K131" i="7"/>
  <c r="N131" i="7" s="1"/>
  <c r="R131" i="7" s="1"/>
  <c r="K145" i="7"/>
  <c r="N145" i="7" s="1"/>
  <c r="R145" i="7" s="1"/>
  <c r="K167" i="7"/>
  <c r="N167" i="7" s="1"/>
  <c r="R167" i="7" s="1"/>
  <c r="K169" i="7"/>
  <c r="N169" i="7" s="1"/>
  <c r="R169" i="7" s="1"/>
  <c r="K170" i="7"/>
  <c r="N170" i="7" s="1"/>
  <c r="R170" i="7" s="1"/>
  <c r="K216" i="7"/>
  <c r="N216" i="7" s="1"/>
  <c r="K228" i="7"/>
  <c r="N228" i="7" s="1"/>
  <c r="K232" i="7"/>
  <c r="K235" i="7"/>
  <c r="K253" i="7"/>
  <c r="K254" i="7"/>
  <c r="N254" i="7" s="1"/>
  <c r="R254" i="7" s="1"/>
  <c r="K42" i="7"/>
  <c r="N42" i="7" s="1"/>
  <c r="K8" i="7"/>
  <c r="N8" i="7" s="1"/>
  <c r="W8" i="7" s="1"/>
  <c r="K33" i="7"/>
  <c r="N33" i="7" s="1"/>
  <c r="K86" i="7"/>
  <c r="N86" i="7" s="1"/>
  <c r="R86" i="7" s="1"/>
  <c r="K87" i="7"/>
  <c r="N87" i="7" s="1"/>
  <c r="R87" i="7" s="1"/>
  <c r="K88" i="7"/>
  <c r="N88" i="7" s="1"/>
  <c r="K89" i="7"/>
  <c r="N89" i="7" s="1"/>
  <c r="R89" i="7" s="1"/>
  <c r="K129" i="7"/>
  <c r="N129" i="7" s="1"/>
  <c r="K133" i="7"/>
  <c r="N133" i="7" s="1"/>
  <c r="R133" i="7" s="1"/>
  <c r="K134" i="7"/>
  <c r="N134" i="7" s="1"/>
  <c r="R134" i="7" s="1"/>
  <c r="K136" i="7"/>
  <c r="N136" i="7" s="1"/>
  <c r="R136" i="7" s="1"/>
  <c r="K139" i="7"/>
  <c r="N139" i="7" s="1"/>
  <c r="K165" i="7"/>
  <c r="N165" i="7" s="1"/>
  <c r="R165" i="7" s="1"/>
  <c r="K174" i="7"/>
  <c r="N174" i="7" s="1"/>
  <c r="R174" i="7" s="1"/>
  <c r="K175" i="7"/>
  <c r="N175" i="7" s="1"/>
  <c r="R175" i="7" s="1"/>
  <c r="K176" i="7"/>
  <c r="N176" i="7" s="1"/>
  <c r="R176" i="7" s="1"/>
  <c r="K203" i="7"/>
  <c r="K206" i="7"/>
  <c r="K212" i="7"/>
  <c r="N212" i="7" s="1"/>
  <c r="R212" i="7" s="1"/>
  <c r="K246" i="7"/>
  <c r="N246" i="7" s="1"/>
  <c r="R246" i="7" s="1"/>
  <c r="K247" i="7"/>
  <c r="N247" i="7" s="1"/>
  <c r="R247" i="7" s="1"/>
  <c r="K248" i="7"/>
  <c r="N248" i="7" s="1"/>
  <c r="R248" i="7" s="1"/>
  <c r="K252" i="7"/>
  <c r="N252" i="7" s="1"/>
  <c r="H26" i="7"/>
  <c r="H256" i="7" s="1"/>
  <c r="K66" i="7"/>
  <c r="N66" i="7" s="1"/>
  <c r="R66" i="7" s="1"/>
  <c r="K74" i="7"/>
  <c r="N74" i="7" s="1"/>
  <c r="R74" i="7" s="1"/>
  <c r="K77" i="7"/>
  <c r="N77" i="7" s="1"/>
  <c r="R77" i="7" s="1"/>
  <c r="K79" i="7"/>
  <c r="N79" i="7" s="1"/>
  <c r="R79" i="7" s="1"/>
  <c r="K85" i="7"/>
  <c r="N85" i="7" s="1"/>
  <c r="R85" i="7" s="1"/>
  <c r="K118" i="7"/>
  <c r="N118" i="7" s="1"/>
  <c r="G132" i="7"/>
  <c r="K147" i="7"/>
  <c r="N147" i="7" s="1"/>
  <c r="R147" i="7" s="1"/>
  <c r="K149" i="7"/>
  <c r="N149" i="7" s="1"/>
  <c r="R149" i="7" s="1"/>
  <c r="K151" i="7"/>
  <c r="N151" i="7" s="1"/>
  <c r="R151" i="7" s="1"/>
  <c r="K153" i="7"/>
  <c r="N153" i="7" s="1"/>
  <c r="R153" i="7" s="1"/>
  <c r="K168" i="7"/>
  <c r="N168" i="7" s="1"/>
  <c r="R168" i="7" s="1"/>
  <c r="I171" i="7"/>
  <c r="K208" i="7"/>
  <c r="N208" i="7" s="1"/>
  <c r="K215" i="7"/>
  <c r="N215" i="7" s="1"/>
  <c r="K229" i="7"/>
  <c r="N229" i="7" s="1"/>
  <c r="K245" i="7"/>
  <c r="N245" i="7" s="1"/>
  <c r="R245" i="7" s="1"/>
  <c r="D30" i="7"/>
  <c r="J30" i="7"/>
  <c r="K39" i="7"/>
  <c r="N39" i="7" s="1"/>
  <c r="K44" i="7"/>
  <c r="N44" i="7" s="1"/>
  <c r="R44" i="7" s="1"/>
  <c r="K54" i="7"/>
  <c r="N54" i="7" s="1"/>
  <c r="R54" i="7" s="1"/>
  <c r="K57" i="7"/>
  <c r="N57" i="7" s="1"/>
  <c r="K70" i="7"/>
  <c r="N70" i="7" s="1"/>
  <c r="K71" i="7"/>
  <c r="N71" i="7" s="1"/>
  <c r="R71" i="7" s="1"/>
  <c r="K90" i="7"/>
  <c r="N90" i="7" s="1"/>
  <c r="R90" i="7" s="1"/>
  <c r="K95" i="7"/>
  <c r="N95" i="7" s="1"/>
  <c r="R95" i="7" s="1"/>
  <c r="K96" i="7"/>
  <c r="N96" i="7" s="1"/>
  <c r="R96" i="7" s="1"/>
  <c r="K97" i="7"/>
  <c r="N97" i="7" s="1"/>
  <c r="R97" i="7" s="1"/>
  <c r="K112" i="7"/>
  <c r="N112" i="7" s="1"/>
  <c r="R112" i="7" s="1"/>
  <c r="K125" i="7"/>
  <c r="N125" i="7" s="1"/>
  <c r="K127" i="7"/>
  <c r="N127" i="7" s="1"/>
  <c r="K128" i="7"/>
  <c r="N128" i="7" s="1"/>
  <c r="R128" i="7" s="1"/>
  <c r="K135" i="7"/>
  <c r="N135" i="7" s="1"/>
  <c r="R135" i="7" s="1"/>
  <c r="K137" i="7"/>
  <c r="N137" i="7" s="1"/>
  <c r="K138" i="7"/>
  <c r="N138" i="7" s="1"/>
  <c r="K161" i="7"/>
  <c r="N161" i="7" s="1"/>
  <c r="K162" i="7"/>
  <c r="N162" i="7" s="1"/>
  <c r="R162" i="7" s="1"/>
  <c r="K178" i="7"/>
  <c r="N178" i="7" s="1"/>
  <c r="K191" i="7"/>
  <c r="N191" i="7" s="1"/>
  <c r="J192" i="7"/>
  <c r="K192" i="7" s="1"/>
  <c r="N192" i="7" s="1"/>
  <c r="K207" i="7"/>
  <c r="N207" i="7" s="1"/>
  <c r="K217" i="7"/>
  <c r="N217" i="7" s="1"/>
  <c r="K239" i="7"/>
  <c r="N239" i="7" s="1"/>
  <c r="R239" i="7" s="1"/>
  <c r="K241" i="7"/>
  <c r="N241" i="7" s="1"/>
  <c r="R241" i="7" s="1"/>
  <c r="K249" i="7"/>
  <c r="N249" i="7" s="1"/>
  <c r="R249" i="7" s="1"/>
  <c r="K251" i="7"/>
  <c r="I250" i="7"/>
  <c r="I3" i="7"/>
  <c r="J3" i="7"/>
  <c r="K9" i="7"/>
  <c r="N9" i="7" s="1"/>
  <c r="K18" i="7"/>
  <c r="N18" i="7" s="1"/>
  <c r="K21" i="7"/>
  <c r="N21" i="7" s="1"/>
  <c r="K23" i="7"/>
  <c r="N23" i="7" s="1"/>
  <c r="I30" i="7"/>
  <c r="K49" i="7"/>
  <c r="N49" i="7" s="1"/>
  <c r="R49" i="7" s="1"/>
  <c r="K4" i="7"/>
  <c r="N4" i="7" s="1"/>
  <c r="G3" i="7"/>
  <c r="K11" i="7"/>
  <c r="N11" i="7" s="1"/>
  <c r="K22" i="7"/>
  <c r="N22" i="7" s="1"/>
  <c r="K27" i="7"/>
  <c r="N27" i="7" s="1"/>
  <c r="K28" i="7"/>
  <c r="N28" i="7" s="1"/>
  <c r="K51" i="7"/>
  <c r="N51" i="7" s="1"/>
  <c r="R51" i="7" s="1"/>
  <c r="K60" i="7"/>
  <c r="N60" i="7" s="1"/>
  <c r="R60" i="7" s="1"/>
  <c r="K64" i="7"/>
  <c r="N64" i="7" s="1"/>
  <c r="R64" i="7" s="1"/>
  <c r="K73" i="7"/>
  <c r="N73" i="7" s="1"/>
  <c r="R73" i="7" s="1"/>
  <c r="K75" i="7"/>
  <c r="N75" i="7" s="1"/>
  <c r="R75" i="7" s="1"/>
  <c r="K99" i="7"/>
  <c r="N99" i="7" s="1"/>
  <c r="R99" i="7" s="1"/>
  <c r="K101" i="7"/>
  <c r="N101" i="7" s="1"/>
  <c r="K102" i="7"/>
  <c r="N102" i="7" s="1"/>
  <c r="R102" i="7" s="1"/>
  <c r="K104" i="7"/>
  <c r="N104" i="7" s="1"/>
  <c r="R104" i="7" s="1"/>
  <c r="K115" i="7"/>
  <c r="N115" i="7" s="1"/>
  <c r="R115" i="7" s="1"/>
  <c r="D117" i="7"/>
  <c r="J117" i="7"/>
  <c r="D132" i="7"/>
  <c r="J132" i="7"/>
  <c r="K141" i="7"/>
  <c r="N141" i="7" s="1"/>
  <c r="R141" i="7" s="1"/>
  <c r="K143" i="7"/>
  <c r="N143" i="7" s="1"/>
  <c r="K146" i="7"/>
  <c r="N146" i="7" s="1"/>
  <c r="R146" i="7" s="1"/>
  <c r="K157" i="7"/>
  <c r="N157" i="7" s="1"/>
  <c r="K158" i="7"/>
  <c r="N158" i="7" s="1"/>
  <c r="K159" i="7"/>
  <c r="N159" i="7" s="1"/>
  <c r="K160" i="7"/>
  <c r="N160" i="7" s="1"/>
  <c r="T160" i="7" s="1"/>
  <c r="U160" i="7" s="1"/>
  <c r="V160" i="7" s="1"/>
  <c r="K164" i="7"/>
  <c r="N164" i="7" s="1"/>
  <c r="R164" i="7" s="1"/>
  <c r="D171" i="7"/>
  <c r="K186" i="7"/>
  <c r="N186" i="7" s="1"/>
  <c r="R186" i="7" s="1"/>
  <c r="K188" i="7"/>
  <c r="N188" i="7" s="1"/>
  <c r="K189" i="7"/>
  <c r="N189" i="7" s="1"/>
  <c r="K210" i="7"/>
  <c r="N210" i="7" s="1"/>
  <c r="R210" i="7" s="1"/>
  <c r="K225" i="7"/>
  <c r="N225" i="7" s="1"/>
  <c r="K231" i="7"/>
  <c r="K240" i="7"/>
  <c r="N240" i="7" s="1"/>
  <c r="R240" i="7" s="1"/>
  <c r="K243" i="7"/>
  <c r="N243" i="7" s="1"/>
  <c r="R243" i="7" s="1"/>
  <c r="J250" i="7"/>
  <c r="K255" i="7"/>
  <c r="N255" i="7" s="1"/>
  <c r="R255" i="7" s="1"/>
  <c r="K5" i="7"/>
  <c r="N5" i="7" s="1"/>
  <c r="K31" i="7"/>
  <c r="G30" i="7"/>
  <c r="K34" i="7"/>
  <c r="N34" i="7" s="1"/>
  <c r="R34" i="7" s="1"/>
  <c r="K47" i="7"/>
  <c r="N47" i="7" s="1"/>
  <c r="R47" i="7" s="1"/>
  <c r="K58" i="7"/>
  <c r="N58" i="7" s="1"/>
  <c r="R58" i="7" s="1"/>
  <c r="O259" i="7"/>
  <c r="O260" i="7" s="1"/>
  <c r="K37" i="7"/>
  <c r="N37" i="7" s="1"/>
  <c r="R37" i="7" s="1"/>
  <c r="Q30" i="7"/>
  <c r="Q256" i="7" s="1"/>
  <c r="K38" i="7"/>
  <c r="N38" i="7" s="1"/>
  <c r="R38" i="7" s="1"/>
  <c r="K55" i="7"/>
  <c r="N55" i="7" s="1"/>
  <c r="R55" i="7" s="1"/>
  <c r="K61" i="7"/>
  <c r="N61" i="7" s="1"/>
  <c r="R61" i="7" s="1"/>
  <c r="K144" i="7"/>
  <c r="N144" i="7" s="1"/>
  <c r="R144" i="7" s="1"/>
  <c r="K152" i="7"/>
  <c r="N152" i="7" s="1"/>
  <c r="R152" i="7" s="1"/>
  <c r="K156" i="7"/>
  <c r="N156" i="7" s="1"/>
  <c r="K219" i="7"/>
  <c r="N219" i="7" s="1"/>
  <c r="K221" i="7"/>
  <c r="N221" i="7" s="1"/>
  <c r="K223" i="7"/>
  <c r="N223" i="7" s="1"/>
  <c r="K142" i="7"/>
  <c r="N142" i="7" s="1"/>
  <c r="R142" i="7" s="1"/>
  <c r="K150" i="7"/>
  <c r="N150" i="7" s="1"/>
  <c r="R150" i="7" s="1"/>
  <c r="P256" i="7"/>
  <c r="P259" i="7" s="1"/>
  <c r="P260" i="7" s="1"/>
  <c r="I117" i="7"/>
  <c r="K166" i="7"/>
  <c r="N166" i="7" s="1"/>
  <c r="K180" i="7"/>
  <c r="N180" i="7" s="1"/>
  <c r="R180" i="7" s="1"/>
  <c r="K213" i="7"/>
  <c r="N213" i="7" s="1"/>
  <c r="E256" i="7"/>
  <c r="K172" i="7"/>
  <c r="G171" i="7"/>
  <c r="G250" i="7"/>
  <c r="X5" i="8" l="1"/>
  <c r="AC6" i="8"/>
  <c r="W5" i="8"/>
  <c r="AF5" i="8"/>
  <c r="AG5" i="8" s="1"/>
  <c r="AG6" i="8"/>
  <c r="I256" i="7"/>
  <c r="K117" i="7"/>
  <c r="R117" i="7"/>
  <c r="K26" i="7"/>
  <c r="J171" i="7"/>
  <c r="J256" i="7" s="1"/>
  <c r="D256" i="7"/>
  <c r="K250" i="7"/>
  <c r="N26" i="7"/>
  <c r="N251" i="7"/>
  <c r="N250" i="7" s="1"/>
  <c r="N117" i="7"/>
  <c r="N132" i="7"/>
  <c r="N3" i="7"/>
  <c r="N172" i="7"/>
  <c r="K171" i="7"/>
  <c r="K30" i="7"/>
  <c r="N31" i="7"/>
  <c r="G256" i="7"/>
  <c r="K132" i="7"/>
  <c r="R132" i="7"/>
  <c r="K3" i="7"/>
  <c r="R251" i="7" l="1"/>
  <c r="R250" i="7" s="1"/>
  <c r="R31" i="7"/>
  <c r="R30" i="7" s="1"/>
  <c r="N30" i="7"/>
  <c r="K256" i="7"/>
  <c r="K259" i="7" s="1"/>
  <c r="K260" i="7" s="1"/>
  <c r="R172" i="7"/>
  <c r="N171" i="7"/>
  <c r="R171" i="7" l="1"/>
  <c r="N256" i="7"/>
  <c r="R256" i="7" l="1"/>
  <c r="C5" i="18" l="1"/>
  <c r="C151" i="18" l="1"/>
  <c r="C67" i="17"/>
  <c r="C4" i="14"/>
  <c r="C215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PC66</author>
    <author>Usuario</author>
  </authors>
  <commentList>
    <comment ref="F171" authorId="0" shapeId="0" xr:uid="{F1EBAA41-4FD2-43D1-8533-91A634E15AF9}">
      <text>
        <r>
          <rPr>
            <b/>
            <sz val="9"/>
            <color indexed="81"/>
            <rFont val="Tahoma"/>
            <family val="2"/>
          </rPr>
          <t>PC66:</t>
        </r>
        <r>
          <rPr>
            <sz val="9"/>
            <color indexed="81"/>
            <rFont val="Tahoma"/>
            <family val="2"/>
          </rPr>
          <t xml:space="preserve">
No van </t>
        </r>
      </text>
    </comment>
    <comment ref="AH374" authorId="1" shapeId="0" xr:uid="{5326DC42-5205-4EFB-9E0C-60D09E1F83E7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Captura el Total de la cuenta, para ajustar el techo presupuestal, motivo por el cual no se encuentra formulada la celda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PC66</author>
    <author>Usuario</author>
  </authors>
  <commentList>
    <comment ref="F171" authorId="0" shapeId="0" xr:uid="{E3BB5754-F411-45CF-AEF0-882BCD2333D3}">
      <text>
        <r>
          <rPr>
            <b/>
            <sz val="9"/>
            <color indexed="81"/>
            <rFont val="Tahoma"/>
            <family val="2"/>
          </rPr>
          <t>PC66:</t>
        </r>
        <r>
          <rPr>
            <sz val="9"/>
            <color indexed="81"/>
            <rFont val="Tahoma"/>
            <family val="2"/>
          </rPr>
          <t xml:space="preserve">
No van </t>
        </r>
      </text>
    </comment>
    <comment ref="AI374" authorId="1" shapeId="0" xr:uid="{1A04BDB0-E99A-497C-A99B-C5840F1D36CF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Captura el Total de la cuenta, para ajustar el techo presupuestal, motivo por el cual no se encuentra formulada la celda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Raul</author>
  </authors>
  <commentList>
    <comment ref="H2" authorId="0" shapeId="0" xr:uid="{550ACCE9-F8D9-40E2-94A2-A7BAC22A0368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octubre</t>
        </r>
      </text>
    </comment>
    <comment ref="C4" authorId="0" shapeId="0" xr:uid="{0ADEA72D-1B44-43E5-9E0D-D4C0020C9471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DEBE SER EL 5%</t>
        </r>
      </text>
    </comment>
    <comment ref="R95" authorId="0" shapeId="0" xr:uid="{6C1C8CEE-80B8-41A2-800D-036EAD47025A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Valorar si se incluye en propuesta</t>
        </r>
      </text>
    </comment>
    <comment ref="R155" authorId="0" shapeId="0" xr:uid="{1E93DC84-7B3E-4B9D-8947-F46271BC5735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Se movieron de clasificador</t>
        </r>
      </text>
    </comment>
    <comment ref="R179" authorId="0" shapeId="0" xr:uid="{EA7DBBF3-5629-40FB-92B2-BC09AC1B8CAC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Se movio de clasificador</t>
        </r>
      </text>
    </comment>
    <comment ref="F190" authorId="0" shapeId="0" xr:uid="{508F1DED-53F7-43D8-9445-770749AF047D}">
      <text>
        <r>
          <rPr>
            <b/>
            <sz val="9"/>
            <color indexed="81"/>
            <rFont val="Tahoma"/>
            <family val="2"/>
          </rPr>
          <t>Raul:</t>
        </r>
        <r>
          <rPr>
            <sz val="9"/>
            <color indexed="81"/>
            <rFont val="Tahoma"/>
            <family val="2"/>
          </rPr>
          <t xml:space="preserve">
Se confirma con Luis Ivan que el ingreso ya no llegará</t>
        </r>
      </text>
    </comment>
  </commentList>
</comments>
</file>

<file path=xl/sharedStrings.xml><?xml version="1.0" encoding="utf-8"?>
<sst xmlns="http://schemas.openxmlformats.org/spreadsheetml/2006/main" count="7394" uniqueCount="1900">
  <si>
    <t>DENOMINACIÓN</t>
  </si>
  <si>
    <t>TOTAL</t>
  </si>
  <si>
    <t>31111-0101</t>
  </si>
  <si>
    <t>PRESIDENCIA</t>
  </si>
  <si>
    <t>DIFERENCIA</t>
  </si>
  <si>
    <t>O0036</t>
  </si>
  <si>
    <t>Sueldos Base</t>
  </si>
  <si>
    <t>IMPUESTOS</t>
  </si>
  <si>
    <t>Sueldos de confianza</t>
  </si>
  <si>
    <t>Prima Vacacional</t>
  </si>
  <si>
    <t>DERECHOS</t>
  </si>
  <si>
    <t>Gratificación de fin de año</t>
  </si>
  <si>
    <t>PRODUCTOS</t>
  </si>
  <si>
    <t>Aportaciones IMSS</t>
  </si>
  <si>
    <t>APROVECHAMIENTOS</t>
  </si>
  <si>
    <t>Aportaciones INFONAVIT</t>
  </si>
  <si>
    <t>Ahorro para el retiro</t>
  </si>
  <si>
    <t>REMANENTES</t>
  </si>
  <si>
    <t>Cuotas para el fondo de ahorro</t>
  </si>
  <si>
    <t xml:space="preserve">Prestaciones establecidas por condiciones generales de trabajo </t>
  </si>
  <si>
    <t>Otras prestaciones</t>
  </si>
  <si>
    <t>DESCRIPCIÓN</t>
  </si>
  <si>
    <t>Materiales y útiles de oficina</t>
  </si>
  <si>
    <t>SERVICIOS PERSONALES</t>
  </si>
  <si>
    <t>Materiales y útiles de impresión y reproducción</t>
  </si>
  <si>
    <t>Material impreso e información digital</t>
  </si>
  <si>
    <t>Combustibles, lubricantes y aditivos para vehículos terrestres, aéreos, marítimos, lacustres y fluviales asignados a servidores públicos</t>
  </si>
  <si>
    <t>Vestuario y uniformes</t>
  </si>
  <si>
    <t>Servicio telefonía celular</t>
  </si>
  <si>
    <t>Impresiones de documentos oficiales para la prestación de servicios públicos, identificación, formatos administrativos y fiscales, formas valoradas, certificados y títulos</t>
  </si>
  <si>
    <t>Mantenimiento y conservación de vehículos terrestres, aéreos, marítimos, lacustres y fluviales</t>
  </si>
  <si>
    <t>Gastos de orden social y cultural</t>
  </si>
  <si>
    <t xml:space="preserve">Gastos de las oficinas de servidores públicos superiores y mandos medios </t>
  </si>
  <si>
    <t>Otros impuestos y derechos</t>
  </si>
  <si>
    <t>Gastos relacionados con actividades culturales, deportivas y de ayuda extraordinaria</t>
  </si>
  <si>
    <t>Muebles de oficina y estantería</t>
  </si>
  <si>
    <t>Computadoras y equipo periférico</t>
  </si>
  <si>
    <t>O0037</t>
  </si>
  <si>
    <t>Prestaciones de retiro</t>
  </si>
  <si>
    <t>Equipos menores de oficina</t>
  </si>
  <si>
    <t>Productos alimenticios para el personal en las instalaciones de las dependencias y entidades</t>
  </si>
  <si>
    <t xml:space="preserve">Materiales diversos </t>
  </si>
  <si>
    <t>Pasajes aéreos nacionales para servidores públicos en el desempeño de comisiones y funciones oficiales</t>
  </si>
  <si>
    <t>Pasajes aéreos internacionales para servidores públicos en el desempeño de comisiones y funciones oficiales</t>
  </si>
  <si>
    <t>Viáticos nacionales para servidores públicos en el desempeño de funciones oficiales</t>
  </si>
  <si>
    <t>Otros servicios de traslado y hospedaje</t>
  </si>
  <si>
    <t>O0038</t>
  </si>
  <si>
    <t>Servicio de energía eléctrica</t>
  </si>
  <si>
    <t>Servicio telefonía tradicional</t>
  </si>
  <si>
    <t>Conservación y mantenimiento de inmuebles</t>
  </si>
  <si>
    <t>Pasajes terrestres nacionales para servidores públicos en el desempeño de comisiones y funciones oficiales</t>
  </si>
  <si>
    <t>O0040</t>
  </si>
  <si>
    <t>SERVICIOS GENERALES</t>
  </si>
  <si>
    <t>Honorarios asimilados</t>
  </si>
  <si>
    <t>31111-0102</t>
  </si>
  <si>
    <t>O0001</t>
  </si>
  <si>
    <t>31111-0145</t>
  </si>
  <si>
    <t>UNIDAD MUNICIPAL DE ACCESO A LA INFORMACIÓN</t>
  </si>
  <si>
    <t>O0058</t>
  </si>
  <si>
    <t>Material de limpieza</t>
  </si>
  <si>
    <t>Herramientas menores</t>
  </si>
  <si>
    <t>Servicio de agua</t>
  </si>
  <si>
    <t xml:space="preserve">Servicio postal </t>
  </si>
  <si>
    <t>Servicios de procesos, técnica y en tecnologías de la información</t>
  </si>
  <si>
    <t xml:space="preserve">Servicios de vigilancia </t>
  </si>
  <si>
    <t>Instalación, reparación y mantenimiento de maquinaria, otros equipos y herramienta</t>
  </si>
  <si>
    <t xml:space="preserve">Difusión e información de mensajes y actividades gubernamentales </t>
  </si>
  <si>
    <t>TRANSFERENCIAS, ASIGNACIONES, SUBSIDIOS Y OTRAS AYUDAS</t>
  </si>
  <si>
    <t>Software</t>
  </si>
  <si>
    <t>Otros mobiliarios y equipos de administración</t>
  </si>
  <si>
    <t>BIENES MUEBLES, INMUEBLES E INTANGIBLES</t>
  </si>
  <si>
    <t>Equipo de audio y de video</t>
  </si>
  <si>
    <t>Otros servicios de información</t>
  </si>
  <si>
    <t>INVERSIÓN PÚBLICA</t>
  </si>
  <si>
    <t>DEUDA PÚBLICA</t>
  </si>
  <si>
    <t>Amortización de la deuda interna con instituciones de crédito</t>
  </si>
  <si>
    <t>Intereses de la deuda interna con instituciones de crédito</t>
  </si>
  <si>
    <t>TOTAL EGRESOS</t>
  </si>
  <si>
    <t>APROBADO</t>
  </si>
  <si>
    <t>Refacciones y accesorios menores de equipo de cómputo y tecnologías de la información</t>
  </si>
  <si>
    <t>Viáticos en el extranjero para servidores públicos en el desempeño de comisiones y funciones oficiales</t>
  </si>
  <si>
    <t>Camaras fotograficas y de video</t>
  </si>
  <si>
    <t>31111-0161</t>
  </si>
  <si>
    <t>31111-0162</t>
  </si>
  <si>
    <t>31111-0163</t>
  </si>
  <si>
    <t>31111-0164</t>
  </si>
  <si>
    <t>31111-0165</t>
  </si>
  <si>
    <t>31111-0166</t>
  </si>
  <si>
    <t>31111-0167</t>
  </si>
  <si>
    <t>31111-0168</t>
  </si>
  <si>
    <t>31111-0169</t>
  </si>
  <si>
    <t>31111-0170</t>
  </si>
  <si>
    <t>31111-0171</t>
  </si>
  <si>
    <t>31111-0172</t>
  </si>
  <si>
    <t>31111-0173</t>
  </si>
  <si>
    <t>31111-0174</t>
  </si>
  <si>
    <t>31111-0201</t>
  </si>
  <si>
    <t>K0002</t>
  </si>
  <si>
    <t>Servicios de redes</t>
  </si>
  <si>
    <t>Arrendamiento de edificios y locales</t>
  </si>
  <si>
    <t>Fletes y maniobras</t>
  </si>
  <si>
    <t>Congresos y convenciones</t>
  </si>
  <si>
    <t>Subsidios a la distribución</t>
  </si>
  <si>
    <t>Subsidios para inversión</t>
  </si>
  <si>
    <t>K0003</t>
  </si>
  <si>
    <t>Equipo de comunicación y telecomunicacion</t>
  </si>
  <si>
    <t>31111-0301</t>
  </si>
  <si>
    <t>DESARROLLO SOCIAL</t>
  </si>
  <si>
    <t>S0025</t>
  </si>
  <si>
    <t>S0055</t>
  </si>
  <si>
    <t xml:space="preserve">Otros productos </t>
  </si>
  <si>
    <t>Materiales de construcción de concreto</t>
  </si>
  <si>
    <t xml:space="preserve">Otros equipos </t>
  </si>
  <si>
    <t>O0005</t>
  </si>
  <si>
    <t>Utensilios para el servicio de alimentación</t>
  </si>
  <si>
    <t>Material eléctrico y electrónico</t>
  </si>
  <si>
    <t>Gas natural L.P</t>
  </si>
  <si>
    <t>Servicios legales</t>
  </si>
  <si>
    <t>Servicios profesionales, científicos y técnicos integrales</t>
  </si>
  <si>
    <t>Almacenaje, envase y embalaje</t>
  </si>
  <si>
    <t>Instalación, reparación y mantenimiento  de mobiliario y equipo de administración</t>
  </si>
  <si>
    <t>Instalación, reparación y mantenimiento de bienes informáticos</t>
  </si>
  <si>
    <t xml:space="preserve">Otros gastos por responsabilidades </t>
  </si>
  <si>
    <t>Automóviles y camiones</t>
  </si>
  <si>
    <t>Sistemas de aire acondicionado, calefacción y de refrigeración industrial y comercial</t>
  </si>
  <si>
    <t>S0012</t>
  </si>
  <si>
    <t>Transferencias, asignaciones, subsidios y otras ayudas</t>
  </si>
  <si>
    <t>31111-0302</t>
  </si>
  <si>
    <t>COORD. DE PARTICIPACIÓN CIUDADANA</t>
  </si>
  <si>
    <t>E0008</t>
  </si>
  <si>
    <t>Materiales de construcción minerales no metálicos</t>
  </si>
  <si>
    <t>Servicio de gas</t>
  </si>
  <si>
    <t>31111-0303</t>
  </si>
  <si>
    <t>COORD. DE EDUCACIÓN</t>
  </si>
  <si>
    <t>Ayudas sociales a instituciones de enseñanza</t>
  </si>
  <si>
    <t>S0210</t>
  </si>
  <si>
    <t>Becas</t>
  </si>
  <si>
    <t>S0211</t>
  </si>
  <si>
    <t>S0212</t>
  </si>
  <si>
    <t>E0016</t>
  </si>
  <si>
    <t>Servicios de jardinería y fumigación</t>
  </si>
  <si>
    <t>O0015</t>
  </si>
  <si>
    <t>31111-0304</t>
  </si>
  <si>
    <t>COORD. DE SALUD</t>
  </si>
  <si>
    <t>E0017</t>
  </si>
  <si>
    <t>Medicinas y productos farmacéuticos</t>
  </si>
  <si>
    <t>Combustibles, lubricantes y aditivos para maquinaria, equipo de producción y servicios administrativos</t>
  </si>
  <si>
    <t>Plaguicidas y pesticidas</t>
  </si>
  <si>
    <t>Materiales, accesorios y suministros médicos</t>
  </si>
  <si>
    <t>Prendas de seguridad</t>
  </si>
  <si>
    <t>Refacciones y accesorios menores de quipo e instrumental médico y de laboratorio</t>
  </si>
  <si>
    <t>E0018</t>
  </si>
  <si>
    <t>Productos alimenticios para animales</t>
  </si>
  <si>
    <t>Servicios de limpieza y manejo de desechos</t>
  </si>
  <si>
    <t>31111-0305</t>
  </si>
  <si>
    <t>COORD. DE DESARROLLO RURAL</t>
  </si>
  <si>
    <t>O0020</t>
  </si>
  <si>
    <t>Servicios de telecomunicaciones y satélites</t>
  </si>
  <si>
    <t>S0269</t>
  </si>
  <si>
    <t>S0070</t>
  </si>
  <si>
    <t>S0071</t>
  </si>
  <si>
    <t>S0073</t>
  </si>
  <si>
    <t>S0074</t>
  </si>
  <si>
    <t>PROGRAMA MI RIEGO PRODUCTIVO</t>
  </si>
  <si>
    <t>U0156</t>
  </si>
  <si>
    <t xml:space="preserve">PROG. RECONVENCIÓN PRODUCTIVA </t>
  </si>
  <si>
    <t>U0267</t>
  </si>
  <si>
    <t>31111-0307</t>
  </si>
  <si>
    <t>COORD. ADMINISTRATIVA</t>
  </si>
  <si>
    <t>O0035</t>
  </si>
  <si>
    <t>Equipos menores de tecnologías de la información y comunicaciones</t>
  </si>
  <si>
    <t>Servicios de consultoría administrativa</t>
  </si>
  <si>
    <t>POR MI CAMPO AGREGO VALOR (TRANSFORMACIÓN )</t>
  </si>
  <si>
    <t>S0076</t>
  </si>
  <si>
    <t>Materiales y útiles de enseñanza</t>
  </si>
  <si>
    <t>31111-0401</t>
  </si>
  <si>
    <t>COMUNICACIÓN E IMAGEN</t>
  </si>
  <si>
    <t>F0040</t>
  </si>
  <si>
    <t>Servicio de creación y difusión de contenido exclusivamente a través de Internet</t>
  </si>
  <si>
    <t>31111-0402</t>
  </si>
  <si>
    <t>EVENTOS ESPECIALES</t>
  </si>
  <si>
    <t>F0041</t>
  </si>
  <si>
    <t>Prima Dominical</t>
  </si>
  <si>
    <t>Remuneraciones por horas extraordinarias</t>
  </si>
  <si>
    <t>Asignaciones adicionales al sueldo</t>
  </si>
  <si>
    <t>31111-0501</t>
  </si>
  <si>
    <t>SRIA. DEL H. AYUNTAMIENTO</t>
  </si>
  <si>
    <t>P0042</t>
  </si>
  <si>
    <t>Impresión y elaboración de publicaciones oficiales y de información en general para difusión</t>
  </si>
  <si>
    <t>R0043</t>
  </si>
  <si>
    <t>Servicios de diseño, arquitectura, ingeniería y actividades relacionadas</t>
  </si>
  <si>
    <t>E0045</t>
  </si>
  <si>
    <t>O0059</t>
  </si>
  <si>
    <t>E0159</t>
  </si>
  <si>
    <t>Mantenimiento de pozos y equipo de bombeo</t>
  </si>
  <si>
    <t>31111-0502</t>
  </si>
  <si>
    <t>E0046</t>
  </si>
  <si>
    <t>Otros servicios relacionados</t>
  </si>
  <si>
    <t>Penas, multas, accesorios y actualizaciones</t>
  </si>
  <si>
    <t>Terrenos</t>
  </si>
  <si>
    <t>31111-0503</t>
  </si>
  <si>
    <t>VENTANILLA DE RELACIONES EXTERIORES</t>
  </si>
  <si>
    <t>E0048</t>
  </si>
  <si>
    <t>Materiales para el registro e identificación de personas</t>
  </si>
  <si>
    <t>Arrendamiento de mobiliario y equipo de administración</t>
  </si>
  <si>
    <t>Servicios de recaudación, traslado y custodia de valores</t>
  </si>
  <si>
    <t>31111-0505</t>
  </si>
  <si>
    <t>JUZGADOS ADMINISTRATIVOS</t>
  </si>
  <si>
    <t>E0052</t>
  </si>
  <si>
    <t>31111-0510</t>
  </si>
  <si>
    <t>DIR. DE MOVILIDAD Y TRANSPORTE</t>
  </si>
  <si>
    <t>P0287</t>
  </si>
  <si>
    <t>Subsidios a la prestación de servicios públicos</t>
  </si>
  <si>
    <t>31111-0601</t>
  </si>
  <si>
    <t>O0060</t>
  </si>
  <si>
    <t>Compensaciones por servicios</t>
  </si>
  <si>
    <t>Seguros</t>
  </si>
  <si>
    <t>Previsiones de carácter laboral</t>
  </si>
  <si>
    <t xml:space="preserve">Estímulos por productividad y eficiencia </t>
  </si>
  <si>
    <t xml:space="preserve">Servicios de capacitación </t>
  </si>
  <si>
    <t>Seguros de responsabilidad patrimonial y fianzas</t>
  </si>
  <si>
    <t>Seguro de bienes patrimoniales</t>
  </si>
  <si>
    <t>E0019</t>
  </si>
  <si>
    <t>E0020</t>
  </si>
  <si>
    <t>U0135</t>
  </si>
  <si>
    <t>Donativos a instituciones sin fines de lucro</t>
  </si>
  <si>
    <t>31111-0602</t>
  </si>
  <si>
    <t>MANTENIMIENTO DE EDIFICIOS PÚBLICOS</t>
  </si>
  <si>
    <t>O0062</t>
  </si>
  <si>
    <t>31111-0603</t>
  </si>
  <si>
    <t>RECURSOS HUMANOS</t>
  </si>
  <si>
    <t>O0063</t>
  </si>
  <si>
    <t>Remuneraciones para eventuales</t>
  </si>
  <si>
    <t>Liquidaciones por indemnizaciones y por sueldos y salarios caídos</t>
  </si>
  <si>
    <t>Impuestos sobre nóminas</t>
  </si>
  <si>
    <t>Subsidios sindicato</t>
  </si>
  <si>
    <t>Instrumentos médicos</t>
  </si>
  <si>
    <t>31111-0604</t>
  </si>
  <si>
    <t>JUBILADOS</t>
  </si>
  <si>
    <t>J0068</t>
  </si>
  <si>
    <t>Pensiones</t>
  </si>
  <si>
    <t>31111-0605</t>
  </si>
  <si>
    <t>O0069</t>
  </si>
  <si>
    <t>Premios, recompensas, pensiones de gracia y pensión recreativa estudiantil</t>
  </si>
  <si>
    <t>31111-0606</t>
  </si>
  <si>
    <t>INNOVACIÓN GUBERNAMENTAL</t>
  </si>
  <si>
    <t>E0292</t>
  </si>
  <si>
    <t>O0070</t>
  </si>
  <si>
    <t>31111-0701</t>
  </si>
  <si>
    <t>TESORERÍA</t>
  </si>
  <si>
    <t>Licencias informaticas e intelectuales</t>
  </si>
  <si>
    <t>O0072</t>
  </si>
  <si>
    <t>Servicios financieros y bancarios</t>
  </si>
  <si>
    <t>R0137</t>
  </si>
  <si>
    <t>31111-0702</t>
  </si>
  <si>
    <t>DIR. DE CONTABILIDAD Y PRESUPUESTO</t>
  </si>
  <si>
    <t>M0073</t>
  </si>
  <si>
    <t>Servicios de procesamiento de información</t>
  </si>
  <si>
    <t>31111-0703</t>
  </si>
  <si>
    <t>INGRESOS</t>
  </si>
  <si>
    <t>O0074</t>
  </si>
  <si>
    <t>Servicios de cobranza, investigación crediticia y similar</t>
  </si>
  <si>
    <t>O0267</t>
  </si>
  <si>
    <t>E0289</t>
  </si>
  <si>
    <t>31111-0704</t>
  </si>
  <si>
    <t>IMPUESTO INMOBILIARIO</t>
  </si>
  <si>
    <t>E0075</t>
  </si>
  <si>
    <t>31111-0705</t>
  </si>
  <si>
    <t>CATASTRO</t>
  </si>
  <si>
    <t>O0076</t>
  </si>
  <si>
    <t>31111-0706</t>
  </si>
  <si>
    <t>COMPRAS</t>
  </si>
  <si>
    <t>O0078</t>
  </si>
  <si>
    <t>31111-0708</t>
  </si>
  <si>
    <t>DIR. DE SISTEMAS</t>
  </si>
  <si>
    <t>O0084</t>
  </si>
  <si>
    <t>Arrendamiento de activos intangibles</t>
  </si>
  <si>
    <t>O0085</t>
  </si>
  <si>
    <t>Servicios de acceso de internet</t>
  </si>
  <si>
    <t>Equipo de generación y distribución de energía eléctrica</t>
  </si>
  <si>
    <t>31111-0709</t>
  </si>
  <si>
    <t>CONTROL PATRIMONIAL</t>
  </si>
  <si>
    <t>O0087</t>
  </si>
  <si>
    <t>O0086</t>
  </si>
  <si>
    <t>31111-0801</t>
  </si>
  <si>
    <t>O0090</t>
  </si>
  <si>
    <t>O0091</t>
  </si>
  <si>
    <t>O0092</t>
  </si>
  <si>
    <t>31111-0901</t>
  </si>
  <si>
    <t>DIR. DE OBRAS PÚBLICAS</t>
  </si>
  <si>
    <t>E0095</t>
  </si>
  <si>
    <t>Materiales de construcción de madera</t>
  </si>
  <si>
    <t xml:space="preserve">Materiales complementarios </t>
  </si>
  <si>
    <t xml:space="preserve">Arrendamiento de maquinaria y equipo </t>
  </si>
  <si>
    <t>O0093</t>
  </si>
  <si>
    <t>O0094</t>
  </si>
  <si>
    <t>31111-1001</t>
  </si>
  <si>
    <t>DESARROLLO URBANO</t>
  </si>
  <si>
    <t>E0097</t>
  </si>
  <si>
    <t>E0098</t>
  </si>
  <si>
    <t>E0101</t>
  </si>
  <si>
    <t>31111-1101</t>
  </si>
  <si>
    <t>SERVICIOS MUNICIPALES</t>
  </si>
  <si>
    <t>E0110</t>
  </si>
  <si>
    <t>E0111</t>
  </si>
  <si>
    <t>E0113</t>
  </si>
  <si>
    <t>E0108</t>
  </si>
  <si>
    <t>Alumbrado público</t>
  </si>
  <si>
    <t>E0104</t>
  </si>
  <si>
    <t>E0106</t>
  </si>
  <si>
    <t>Fertilizantes y abonos</t>
  </si>
  <si>
    <t>Maquinaria y equipo agropecuario</t>
  </si>
  <si>
    <t>E0107</t>
  </si>
  <si>
    <t>E0109</t>
  </si>
  <si>
    <t>31111-1200</t>
  </si>
  <si>
    <t>E0044</t>
  </si>
  <si>
    <t>O0220</t>
  </si>
  <si>
    <t>E0274</t>
  </si>
  <si>
    <t>O0221</t>
  </si>
  <si>
    <t>31111-1201</t>
  </si>
  <si>
    <t>DIR. GENERAL DE POLICÍA MUNICIPAL</t>
  </si>
  <si>
    <t>E0116</t>
  </si>
  <si>
    <t>Despensas</t>
  </si>
  <si>
    <t>Productos alimenticios para  los efectivos que participen en programas de seguridad pública</t>
  </si>
  <si>
    <t xml:space="preserve">Combustibles, lubricantes y aditivos para vehículos destinados a la ejecución de programas de seguridad pública </t>
  </si>
  <si>
    <t>Prendas de protección personal</t>
  </si>
  <si>
    <t>Reparación y mantenimiento de equipo de defensa y seguridad</t>
  </si>
  <si>
    <t xml:space="preserve">Gastos de seguridad pública </t>
  </si>
  <si>
    <t>Sentencias y resoluciones judiciales</t>
  </si>
  <si>
    <t>O0117</t>
  </si>
  <si>
    <t>Artículos deportivos</t>
  </si>
  <si>
    <t>31111-1202</t>
  </si>
  <si>
    <t>E0054</t>
  </si>
  <si>
    <t>Material para señalética</t>
  </si>
  <si>
    <t>E0055</t>
  </si>
  <si>
    <t>Material para semaforización</t>
  </si>
  <si>
    <t>E0056</t>
  </si>
  <si>
    <t>31111-1203</t>
  </si>
  <si>
    <t>DIR. DEL INSTITUTO PARA LA FORMACIÓN POLICIAL</t>
  </si>
  <si>
    <t>R0057</t>
  </si>
  <si>
    <t>31111-1204</t>
  </si>
  <si>
    <t>DIR. DE PROTECCIÓN CIVIL Y BOMBEROS</t>
  </si>
  <si>
    <t>E0050</t>
  </si>
  <si>
    <t>Blancos y otros productos textiles, excepto prendas de vestir</t>
  </si>
  <si>
    <t>Transferencias para bienes muebles, inmuebles e intangibles</t>
  </si>
  <si>
    <t>Ayudas por desastres naturales y otros siniestros</t>
  </si>
  <si>
    <t>31111-1205</t>
  </si>
  <si>
    <t>DIR. DE FISCALIZACIÓN</t>
  </si>
  <si>
    <t>E0080</t>
  </si>
  <si>
    <t>E0081</t>
  </si>
  <si>
    <t>E0082</t>
  </si>
  <si>
    <t>E0083</t>
  </si>
  <si>
    <t>31111-1301</t>
  </si>
  <si>
    <t>Edificación no habitacional</t>
  </si>
  <si>
    <t>R0138</t>
  </si>
  <si>
    <t>Edificación habitacional</t>
  </si>
  <si>
    <t>División de terrenos y construcción de obras de urbanización</t>
  </si>
  <si>
    <t>R0139</t>
  </si>
  <si>
    <t>R0140</t>
  </si>
  <si>
    <t>R0141</t>
  </si>
  <si>
    <t>R0180</t>
  </si>
  <si>
    <t>S0046</t>
  </si>
  <si>
    <t>S0066</t>
  </si>
  <si>
    <t>PROG. CEAG</t>
  </si>
  <si>
    <t>U0269</t>
  </si>
  <si>
    <t>31111-1501</t>
  </si>
  <si>
    <t>DIR. DE MEDIO AMBIENTE</t>
  </si>
  <si>
    <t>E0305</t>
  </si>
  <si>
    <t>E0307</t>
  </si>
  <si>
    <t>Materiales, accesorios y suministros de laboratorio</t>
  </si>
  <si>
    <t>E0309</t>
  </si>
  <si>
    <t xml:space="preserve">Material agropecuario </t>
  </si>
  <si>
    <t>E0310</t>
  </si>
  <si>
    <t>E0311</t>
  </si>
  <si>
    <t>31120-8201</t>
  </si>
  <si>
    <t>SISTEMA MUNICIPAL DIF</t>
  </si>
  <si>
    <t>U0232</t>
  </si>
  <si>
    <t>Transferencias para servicios personales</t>
  </si>
  <si>
    <t>Transferencias para materiales y suministros</t>
  </si>
  <si>
    <t>Transferencias para servicios básicos</t>
  </si>
  <si>
    <t>31120-8301</t>
  </si>
  <si>
    <t>U0236</t>
  </si>
  <si>
    <t>31120-8401</t>
  </si>
  <si>
    <t>U0127</t>
  </si>
  <si>
    <t>INSTITUTO MUNICIPAL DE ARTE Y CULTURA</t>
  </si>
  <si>
    <t>31120-8501</t>
  </si>
  <si>
    <t>PATRONATO DE LA FERIA</t>
  </si>
  <si>
    <t>U0275</t>
  </si>
  <si>
    <t>31120-8601</t>
  </si>
  <si>
    <t>U0241</t>
  </si>
  <si>
    <t>31120-8801</t>
  </si>
  <si>
    <t>U0249</t>
  </si>
  <si>
    <t>31120-8901</t>
  </si>
  <si>
    <t>INSTITUTO MUNICIPAL DE LA MUJER CELAYENSE</t>
  </si>
  <si>
    <t>U0253</t>
  </si>
  <si>
    <t>31120-9001</t>
  </si>
  <si>
    <t>PATRONATO PARQUE XOCHIPILLI</t>
  </si>
  <si>
    <t>U0134</t>
  </si>
  <si>
    <t>31120-9101</t>
  </si>
  <si>
    <t>CONSEJO DE TURISMO DE CELAYA</t>
  </si>
  <si>
    <t>U0129</t>
  </si>
  <si>
    <t>U0130</t>
  </si>
  <si>
    <t>31120-9201</t>
  </si>
  <si>
    <t>INSTITUTO MUNICIPAL DE LA JUVENTUD</t>
  </si>
  <si>
    <t>U0132</t>
  </si>
  <si>
    <t>31120-9301</t>
  </si>
  <si>
    <t>JUNTA MUNICIPAL DE AGUA POTABLE Y ALCANTARILLADO</t>
  </si>
  <si>
    <t>U0301</t>
  </si>
  <si>
    <t>31120-9401</t>
  </si>
  <si>
    <t>INSTITUTO MUNICIPAL PARA LA INCLUSIÓN Y ATENCIÓN DE PERSONAS CON DISCAPACIDAD</t>
  </si>
  <si>
    <t>U0140</t>
  </si>
  <si>
    <t>MUNICIPIO DE CELAYA GUANAJUATO</t>
  </si>
  <si>
    <t xml:space="preserve">ESTADO ANALÍTICO DE INGRESOS </t>
  </si>
  <si>
    <t>RUBRO</t>
  </si>
  <si>
    <t>TIPO</t>
  </si>
  <si>
    <t>CLASE</t>
  </si>
  <si>
    <t>CONCEPTO</t>
  </si>
  <si>
    <t>CRI</t>
  </si>
  <si>
    <t>RECAUDADO ENE-ABRIL 2021</t>
  </si>
  <si>
    <t>F.F</t>
  </si>
  <si>
    <t>EJERCIDO 2020</t>
  </si>
  <si>
    <t>PROYECCIÓN DE CIERRE 2021</t>
  </si>
  <si>
    <t>PROYECCIÓN 2022</t>
  </si>
  <si>
    <t>1</t>
  </si>
  <si>
    <t>IMPUESTOS SOBRE LOS INGRESOS</t>
  </si>
  <si>
    <t>IMPUESTO SOBRE JUEGOS Y APUESTAS PERMITIDAS</t>
  </si>
  <si>
    <t>IMPUESTO DEL 5% SOBRE JUEGOS Y APUESTAS PERMITIDAS</t>
  </si>
  <si>
    <t>IMPUESTO SOBRE DIVERSIONES Y ESPECTÁCULOS PÚBLICOS</t>
  </si>
  <si>
    <t>IMPUESTO DEL 6% SOBRE DIVERSIONES Y ESPECTÁCULOS PÚBLICOS</t>
  </si>
  <si>
    <t>IMPUESTO DEL 8% SOBRE DIVERSIONES Y ESPECTÁCULOS PÚBLICOS</t>
  </si>
  <si>
    <t>IMPUESTO SOBRE RIFAS, SORTEOS, LOTERÍAS Y CONCURSOS</t>
  </si>
  <si>
    <t>IMPUESTO DEL 5% SOBRE RIFAS, SORTEOS, LOTERÍAS Y CONCURSOS</t>
  </si>
  <si>
    <t>2</t>
  </si>
  <si>
    <t>IMPUESTOS SOBRE EL PATRIMONIO</t>
  </si>
  <si>
    <t>IMPUESTO PREDIAL</t>
  </si>
  <si>
    <t xml:space="preserve">PREDIAL URBANO CORRIENTE </t>
  </si>
  <si>
    <t xml:space="preserve">PREDIAL RUSTICO CORRIENTE </t>
  </si>
  <si>
    <t xml:space="preserve">PREDIAL URBANO REZAGO </t>
  </si>
  <si>
    <t xml:space="preserve">PREDIAL RUSTICO REZAGO </t>
  </si>
  <si>
    <t>ACTUALIZACIONES DE IMPUESTOS</t>
  </si>
  <si>
    <t>CUOTA DE ORGANISMO AGRICOLA</t>
  </si>
  <si>
    <t>IMPUESTO SOBRE DIVISIÓN Y LOTIFICACIÓN DE INMUEBLES</t>
  </si>
  <si>
    <t>DIVISIÓN Y LOTIFICACIÓN</t>
  </si>
  <si>
    <t xml:space="preserve">DIVISIÓN RÉGIMEN EN CONDOMINIO </t>
  </si>
  <si>
    <t>IMPUESTOS SOBRE LA PRODUCCIÓN, EL CONSUMO Y LAS TRANSACCIONES</t>
  </si>
  <si>
    <t>EXPLOTACIÓN DE MÁRMOLES, CANTERAS, PIZARRAS, BASALTOS, CAL, ENTRE OTRAS</t>
  </si>
  <si>
    <t>IMPUESTO SOBRE ADQUISICIÓN DE BIENES INMUEBLES</t>
  </si>
  <si>
    <t>IMPUESTO DE FRACCIONAMIENTOS</t>
  </si>
  <si>
    <t>ACCESORIOS DE IMPUESTOS</t>
  </si>
  <si>
    <t>RECARGOS</t>
  </si>
  <si>
    <t>RECARGOS DE IMPUESTO PREDIAL</t>
  </si>
  <si>
    <t xml:space="preserve">RECARGOS ADQUISICIÓN DE BIENES INMUEBLES </t>
  </si>
  <si>
    <t>RECARGOS SOBRE SALDOS INSOLUTOS</t>
  </si>
  <si>
    <t>MULTAS</t>
  </si>
  <si>
    <t>MULTAS DE IMPUESTO INMOBILIARIO</t>
  </si>
  <si>
    <t>HONORARIOS</t>
  </si>
  <si>
    <t>HONORARIOS DE EJECUCIÓN</t>
  </si>
  <si>
    <t>ACTUALIZACIONES</t>
  </si>
  <si>
    <t>ACTUALIZACIÓN DE IMPUESTOS</t>
  </si>
  <si>
    <t xml:space="preserve">CUOTAS   </t>
  </si>
  <si>
    <t>UNIÓN AGRÍCOLA DEL ESTADO</t>
  </si>
  <si>
    <t>3</t>
  </si>
  <si>
    <t/>
  </si>
  <si>
    <t>CONTRIBUCIONES DE MEJORAS</t>
  </si>
  <si>
    <t xml:space="preserve">CONTRIBUCIONES DE MEJORAS </t>
  </si>
  <si>
    <t>BENEFICIARIOS AÑOS ANTERIORES</t>
  </si>
  <si>
    <t>4</t>
  </si>
  <si>
    <t>DERECHOS POR EL USO, GOCE, APROVECHAMIENTO O EXPLOTACIÓN DE BIENES DE DOMINIO PÚBLICO</t>
  </si>
  <si>
    <t>OCUPACIÓN, USO Y APROVECHAMIENTO DE LOS BIENES DE DOMINIO PÚBLICO DEL  MUNICIPIO</t>
  </si>
  <si>
    <t xml:space="preserve">PLAZA VENTA AMBULANTE </t>
  </si>
  <si>
    <t xml:space="preserve">EXPEDICIÓN LICENCIAS DE AMBULANTE </t>
  </si>
  <si>
    <t xml:space="preserve">OCUPACIÓN VÍA PÚBLICA CASETAS </t>
  </si>
  <si>
    <t xml:space="preserve">PERMISO CIERRE DE CALLES </t>
  </si>
  <si>
    <t>EXPLOTACIÓN, USO  DE BIENES MUEBLES O INMUEBLES PROPIEDAD DEL MUNICIPIO</t>
  </si>
  <si>
    <t xml:space="preserve">MERCADO 5 DE FEBRERO </t>
  </si>
  <si>
    <t xml:space="preserve">MERCADO BENITO JUAREZ </t>
  </si>
  <si>
    <t xml:space="preserve">MERCADO HIDALGO </t>
  </si>
  <si>
    <t xml:space="preserve">MERCADO MORELOS </t>
  </si>
  <si>
    <t xml:space="preserve">MERCADO SAN JUAN DE LA VEGA </t>
  </si>
  <si>
    <t xml:space="preserve">USO Y ARRENDAMIENTO </t>
  </si>
  <si>
    <t xml:space="preserve">PARQUE BICENTENARIO </t>
  </si>
  <si>
    <t xml:space="preserve">TARIMAS </t>
  </si>
  <si>
    <t xml:space="preserve">MAMPARAS </t>
  </si>
  <si>
    <t>COMERCIO AMBULANTE</t>
  </si>
  <si>
    <t>DERECHOS POR PRESTACIÓN DE SERVICIOS</t>
  </si>
  <si>
    <t>POR SERVICIOS DE LIMPIA</t>
  </si>
  <si>
    <t xml:space="preserve">SERVICIO ESPECIAL DE RECOLECCIÓN </t>
  </si>
  <si>
    <t xml:space="preserve">ACCESO AL RELLENO SANITARIO </t>
  </si>
  <si>
    <t xml:space="preserve">LIMPIEZA DE LOTES BALDÍOS </t>
  </si>
  <si>
    <t xml:space="preserve">PLANTA SEPARADORA TINAJITAS </t>
  </si>
  <si>
    <t xml:space="preserve">TALA O PODA DE ARBOLES </t>
  </si>
  <si>
    <t xml:space="preserve">SERVICIO DE PIPAS DE AGUA </t>
  </si>
  <si>
    <t xml:space="preserve">PERMISO PARA RECOLECCIÓN RESIDUOS SOLIDOS </t>
  </si>
  <si>
    <t>POR SERVICIOS DE PANTEONES</t>
  </si>
  <si>
    <t xml:space="preserve">INHUMACIONES Y EXHUMACIONES </t>
  </si>
  <si>
    <t xml:space="preserve">TRASLADO DE CADÁVERES </t>
  </si>
  <si>
    <t xml:space="preserve">VENTA DE GAVETAS </t>
  </si>
  <si>
    <t xml:space="preserve">DERECHO DE CREMACIONES </t>
  </si>
  <si>
    <t xml:space="preserve">PLACAS Y MONUMENTOS </t>
  </si>
  <si>
    <t>VENTA DE ESPACIOS</t>
  </si>
  <si>
    <t>PERMISOS Y SERVICIOS DE CONSTRUCCION</t>
  </si>
  <si>
    <t>POR SERVICIOS DE RASTRO</t>
  </si>
  <si>
    <t xml:space="preserve">GANADO VACUNO </t>
  </si>
  <si>
    <t xml:space="preserve">GANADO PORCINO </t>
  </si>
  <si>
    <t xml:space="preserve">GANADO OVICAPRINO </t>
  </si>
  <si>
    <t xml:space="preserve">CONDUCCIÓN </t>
  </si>
  <si>
    <t xml:space="preserve">REFRIGERACIÓN </t>
  </si>
  <si>
    <t xml:space="preserve">OTROS SERVICIOS DEL RASTRO </t>
  </si>
  <si>
    <t xml:space="preserve">PESAJE DE CANAL DE RES </t>
  </si>
  <si>
    <t xml:space="preserve">PESAJE DE CANAL DE CERDO </t>
  </si>
  <si>
    <t>POR SERVICIOS DE SEGURIDAD PÚBLICA</t>
  </si>
  <si>
    <t xml:space="preserve">POLICÍA AUXILIAR </t>
  </si>
  <si>
    <t xml:space="preserve">SERVICIO PARTICULAR DE VIGILANCIA </t>
  </si>
  <si>
    <t xml:space="preserve">DICTAMEN DE VIABILIDAD DE SEGURIDAD PUBLICA </t>
  </si>
  <si>
    <t xml:space="preserve">PERMISO PARA PROTECCIÓN DE EVENTOS </t>
  </si>
  <si>
    <t>POR SERVICIOS DE TRANSPORTE PÚBLICO</t>
  </si>
  <si>
    <t xml:space="preserve">RENOVACIÓN DE CONCESIONES </t>
  </si>
  <si>
    <t xml:space="preserve">REVISTA MECÁNICA </t>
  </si>
  <si>
    <t xml:space="preserve">PERMISO P/CIRCULACIÓN DE TRANSPORTISTA </t>
  </si>
  <si>
    <t xml:space="preserve">EXPEDICIÓN , RENOVACIÓN O REPOSICIÓN DE CEDULA </t>
  </si>
  <si>
    <t>TRÁMITES DE TRANSPORTE PÚBLICO</t>
  </si>
  <si>
    <t>POR SERVICIOS DE TRÁNSITO Y VIALIDAD</t>
  </si>
  <si>
    <t xml:space="preserve">EXPEDICIÓN DE CONSTANCIA DE NO INFRACCIÓN </t>
  </si>
  <si>
    <t xml:space="preserve">MANIOBRAS DE CARGA Y DESCARGA </t>
  </si>
  <si>
    <t>POR SERVICIOS DE ESTACIONAMIENTO</t>
  </si>
  <si>
    <t xml:space="preserve">CONCESIÓN PARQUE MORELOS </t>
  </si>
  <si>
    <t>POR SERVICIOS DE SALUD</t>
  </si>
  <si>
    <t xml:space="preserve">CENTRO DE CONTROL ANIMAL </t>
  </si>
  <si>
    <t>POR SERVICIOS DE PROTECCIÓN CIVIL</t>
  </si>
  <si>
    <t xml:space="preserve">INSPECCIÓN DE INMUEBLES </t>
  </si>
  <si>
    <t xml:space="preserve">REVISIÓN DE INSTALACIONES EN EVENTOS </t>
  </si>
  <si>
    <t xml:space="preserve">EXPEDICIÓN DE DICTAMEN DE VERIFICACIÓN </t>
  </si>
  <si>
    <t>POR SERVICIOS DE OBRA PÚBLICA Y DESARROLLO URBANO</t>
  </si>
  <si>
    <t xml:space="preserve">OBRA NUEVA </t>
  </si>
  <si>
    <t xml:space="preserve">AMPLIACIÓN, REPARACIÓN Y REGULARIZACIÓN </t>
  </si>
  <si>
    <t xml:space="preserve">ALINEAMIENTO Y NUMERO OFICIAL </t>
  </si>
  <si>
    <t xml:space="preserve">USO DE SUELO </t>
  </si>
  <si>
    <t xml:space="preserve">OCUPACIÓN DE LA VÍA PUBLICA </t>
  </si>
  <si>
    <t xml:space="preserve">PRORROGA Y TERMINACIÓN DE OBRA </t>
  </si>
  <si>
    <t>AMPLIACION Y OBRA NUEVA</t>
  </si>
  <si>
    <t>REPARACION Y REGULARIZACION</t>
  </si>
  <si>
    <t>POR SERVICIOS CATASTRALES Y PRÁCTICAS DE AVALÚOS</t>
  </si>
  <si>
    <t xml:space="preserve">ASIGNACIÓN CLAVE CATASTRAL </t>
  </si>
  <si>
    <t xml:space="preserve">DERECHOS DE VALUACIÓN </t>
  </si>
  <si>
    <t xml:space="preserve">HONORARIOS DE VALUACIÓN </t>
  </si>
  <si>
    <t>IDENTIFICACION DE INMUEBLES REGISTRADOS EN CATASTRO</t>
  </si>
  <si>
    <t>ACTUALIZACION DE DERECHOS DE SERVICIOS CATASTRALES</t>
  </si>
  <si>
    <t>POR SERVICIOS EN MATERIA DE FRACCIONAMIENTOS Y CONDOMINIOS</t>
  </si>
  <si>
    <t xml:space="preserve">IDENT INM REG CATA </t>
  </si>
  <si>
    <t xml:space="preserve">DERECHOS DE FRACCIONAMIENTOS </t>
  </si>
  <si>
    <t xml:space="preserve">SUPERVISIÓN DE FRACCIONAMIENTO </t>
  </si>
  <si>
    <t>DIVISIÓN Y RELOTIFICACIÓN</t>
  </si>
  <si>
    <t>ACTUALIZACION SERV FRACCIONAMIENTOS</t>
  </si>
  <si>
    <t>POR LA EXPEDICIÓN DE LICENCIAS O PERMISOS PARA EL ESTABLECIMIENTO DE ANUNCIOS</t>
  </si>
  <si>
    <t xml:space="preserve">ANUNCIOS </t>
  </si>
  <si>
    <t>POR LA EXPEDICIÓN DE PERMISOS EVENTUALES PARA LA VENTA DE BEBIDAS ALCOHÓLICAS</t>
  </si>
  <si>
    <t xml:space="preserve">PERMISO PARA VENTA DE BEBIDAS ALCOHÓLICAS </t>
  </si>
  <si>
    <t xml:space="preserve">AMPLIACIÓN DE HORARIO </t>
  </si>
  <si>
    <t>POR SERVICIOS EN MATERIA AMBIENTAL</t>
  </si>
  <si>
    <t xml:space="preserve">MANIFESTACIÓN DE IMPACTO AMBIENTAL </t>
  </si>
  <si>
    <t>PERMISO EN MATERIA AMBIENTAL</t>
  </si>
  <si>
    <t xml:space="preserve">PERMISO P/ESTABL.MEDIO AMBIENTE </t>
  </si>
  <si>
    <t xml:space="preserve">PERMISO PERIFONEO </t>
  </si>
  <si>
    <t>CAPACITACIÓN EN MATERIA AMBIENTAL</t>
  </si>
  <si>
    <t>VIVERO PLANTAS NATIVAS</t>
  </si>
  <si>
    <t>POR LA EXPEDICIÓN DE DOCUMENTOS, TALES COMO: CONSTANCIAS, CERTIFICADOS, CERTIFICACIONES, CARTAS, ENTRE OTROS.</t>
  </si>
  <si>
    <t xml:space="preserve">OTRAS CERTIFICACIONES </t>
  </si>
  <si>
    <t xml:space="preserve">CERTIFICACIONES DE DESARROLLO URBANO </t>
  </si>
  <si>
    <t xml:space="preserve">CERTIFICACIONES DE POLICÍA </t>
  </si>
  <si>
    <t xml:space="preserve">CERTIFICACIONES DE NO ADEUDO </t>
  </si>
  <si>
    <t xml:space="preserve">OTROS CERTIFICADOS DE IMPUESTOS INMOBILIARIOS </t>
  </si>
  <si>
    <t xml:space="preserve">CARTAS Y CERTIFICACIONES SRIA.H.AYUNTAMIENTO </t>
  </si>
  <si>
    <t xml:space="preserve">CERTIFICACIONES DE MEDIO AMBIENTE </t>
  </si>
  <si>
    <t>CERTIFICACIONES DE CLAVE CATASTRAL</t>
  </si>
  <si>
    <t>CONSTANCIA DE NO INFRACCIÓN MOVILIDAD</t>
  </si>
  <si>
    <t>POR PAGO DE CONCESIÓN, TRASPASO, CAMBIOS DE GIROS EN LOS MERCADOS PÚBLICOS MUNICIPALES</t>
  </si>
  <si>
    <t xml:space="preserve">TRASPASO DE LOCALES </t>
  </si>
  <si>
    <t>POR SERVICIOS DE ALUMBRADO PÚBLICO</t>
  </si>
  <si>
    <t xml:space="preserve">POR SERVICIOS DE ASISTENCIA SOCIAL </t>
  </si>
  <si>
    <t>CENTROS CASSA</t>
  </si>
  <si>
    <t>INCAPACIDADES</t>
  </si>
  <si>
    <t>ACCESORIOS DE DERECHOS</t>
  </si>
  <si>
    <t>ACTUALIZACIÓN DE DERECHOS</t>
  </si>
  <si>
    <t>5</t>
  </si>
  <si>
    <t>CAPITALES Y VALORES</t>
  </si>
  <si>
    <t>INTERESES LIBRE DISPOSICIÓN</t>
  </si>
  <si>
    <t>INT. LIBRE DISPOSICIÓN</t>
  </si>
  <si>
    <t>INT. FORTAMUN 2020</t>
  </si>
  <si>
    <t>INT. FAISM 2020</t>
  </si>
  <si>
    <t>INT. PARTICIPACIONES 2020</t>
  </si>
  <si>
    <t xml:space="preserve">INTERESES FIDEICOMISO </t>
  </si>
  <si>
    <t>INT.BAJ FORTAMUN 2017</t>
  </si>
  <si>
    <t>INT.BAJ FAISM 2017</t>
  </si>
  <si>
    <t xml:space="preserve">INT. IMPULSO </t>
  </si>
  <si>
    <t>INT.BAJ FORTAMUN 2018</t>
  </si>
  <si>
    <t>INT.BAJ FAISM 2018</t>
  </si>
  <si>
    <t>PARTICIPACIONES 2018</t>
  </si>
  <si>
    <t>INT. BAJIO FORTAMUN 2021</t>
  </si>
  <si>
    <t>INT. BAJIO FAISM 2021</t>
  </si>
  <si>
    <t>INT. PARTICIPACIONES 2021</t>
  </si>
  <si>
    <t xml:space="preserve">INT. PARTICIPACIONES </t>
  </si>
  <si>
    <t>FORMAS VALORADAS</t>
  </si>
  <si>
    <t xml:space="preserve">VENTA DE FORMAS OFICIALES </t>
  </si>
  <si>
    <t>POR SERVICIOS EN MATERIA DE ACCESO A LA INFORMACIÓN PÚBLICA</t>
  </si>
  <si>
    <t xml:space="preserve">ACCESO A LA INFORMACIÓN PUBLICA </t>
  </si>
  <si>
    <t>EXPEDICIÓN DE PLANOS</t>
  </si>
  <si>
    <t>ENAJENACIÓN DE BIENES MUEBLES</t>
  </si>
  <si>
    <t>VENTA DE BIENES MUNICIPALES EN DESUSO</t>
  </si>
  <si>
    <t>ENAJENACIÓN DE BIENES INMUEBLES</t>
  </si>
  <si>
    <t>VENTA DE BIENES INMUEBLES</t>
  </si>
  <si>
    <t>OTROS PRODUCTOS</t>
  </si>
  <si>
    <t>6</t>
  </si>
  <si>
    <t>BASES PARA LICITACIÓN Y MOVIMIENTOS PADRONES MUNICIPALES</t>
  </si>
  <si>
    <t xml:space="preserve">LICITACIONES DE COMPRAS </t>
  </si>
  <si>
    <t>LICITACIONES DE OBRAS</t>
  </si>
  <si>
    <t xml:space="preserve">REGISTRO AL PADRÓN DE PROVEEDORES </t>
  </si>
  <si>
    <t>FOTOCREDENCIALIZACIÓN</t>
  </si>
  <si>
    <t>POR ARRASTRE Y PENSION DE VEHICULOS INFRACCIONADOS</t>
  </si>
  <si>
    <t>DONATIVOS</t>
  </si>
  <si>
    <t>DONACIONES EN EFECTIVO</t>
  </si>
  <si>
    <t>DONACIONES EN ESPECIE</t>
  </si>
  <si>
    <r>
      <t xml:space="preserve">DONACIONES EN ESPECIE  </t>
    </r>
    <r>
      <rPr>
        <b/>
        <sz val="10"/>
        <color theme="1"/>
        <rFont val="Arial"/>
        <family val="2"/>
      </rPr>
      <t>( F.F. 2610120)</t>
    </r>
  </si>
  <si>
    <t xml:space="preserve">DONACIONES MEDIO AMBIENTE </t>
  </si>
  <si>
    <t xml:space="preserve">INDEMNIZACIONES </t>
  </si>
  <si>
    <t>DAÑOS A PROPIEDAD MUNICIPAL</t>
  </si>
  <si>
    <t>SANCIONES</t>
  </si>
  <si>
    <t>PENALIZACIÓN DE OBRA PÚBLICA</t>
  </si>
  <si>
    <t>PENALIZACIÓN A PROVEEDORES</t>
  </si>
  <si>
    <t xml:space="preserve">MULTAS DE TRÁNSITO Y POLICIA VIALIDAD </t>
  </si>
  <si>
    <t xml:space="preserve">MULTAS DE VERIFICACIÓN VEHICULAR </t>
  </si>
  <si>
    <t xml:space="preserve">MULTAS DE POLICÍA </t>
  </si>
  <si>
    <t xml:space="preserve">MULTAS DE SERVICIOS MUNICIPALES </t>
  </si>
  <si>
    <t>MULTAS DE FISCALIZACIÓN ( COMERCIO )</t>
  </si>
  <si>
    <t xml:space="preserve">MULTAS DE DESARROLLO URBANO </t>
  </si>
  <si>
    <t xml:space="preserve">MULTAS DE CINTURÓN DE SEGURIDAD </t>
  </si>
  <si>
    <t>MULTAS MEDIO AMBIENTE</t>
  </si>
  <si>
    <t xml:space="preserve">MULTAS DE ALCOHOLES </t>
  </si>
  <si>
    <t xml:space="preserve">MULTAS DE MOVILIDAD Y TRANSPORTE PUBLICO </t>
  </si>
  <si>
    <t xml:space="preserve">MULTAS DE PROTECCIÓN CIVIL </t>
  </si>
  <si>
    <t xml:space="preserve">MULTAS CENTRO CONTROL ANIMAL </t>
  </si>
  <si>
    <t>MULTAS ESTATALES NO FISCALES</t>
  </si>
  <si>
    <t>MULTAS FEDERALES NO FISCALES</t>
  </si>
  <si>
    <t>ACTUALIZACIONES DE APROVECHAMIENTOS</t>
  </si>
  <si>
    <t>OTROS APROVECHAMIENTOS</t>
  </si>
  <si>
    <t>OTROS INGRESOS</t>
  </si>
  <si>
    <t>REINTEGROS DE OBRAS</t>
  </si>
  <si>
    <t>HONORARIOS DE EJECUCIÓN DE OBRAS</t>
  </si>
  <si>
    <t>EXPEDICIÓN DE LICENCIAS DE CONDUCIR</t>
  </si>
  <si>
    <t>RECUPERACIÓN DE SEGUROS</t>
  </si>
  <si>
    <t>TRÁMITE DE PASAPORTE</t>
  </si>
  <si>
    <t>FOTOGRAFÍAS DE PASAPORTE</t>
  </si>
  <si>
    <t>COPIAS FOTOSTÁTICAS</t>
  </si>
  <si>
    <t>OTROS SERVICIOS DE PASAPORTE</t>
  </si>
  <si>
    <t>ACCESORIOS DE APROVECHAMIENTOS</t>
  </si>
  <si>
    <t xml:space="preserve">RECARGOS MULTAS </t>
  </si>
  <si>
    <t>RECARGOS DE OBRAS POR COOPERACIÓN</t>
  </si>
  <si>
    <t>GASTOS DE EJECUCIÓN</t>
  </si>
  <si>
    <t xml:space="preserve">GASTOS DE EJECUCIÓN DE MULTAS </t>
  </si>
  <si>
    <t>GASTOS DE EJECUCIÓN DE MULTAS FEDERALES</t>
  </si>
  <si>
    <t>ACTUALIZACIÓN DE APROVECHAMIENTOS</t>
  </si>
  <si>
    <t>PARTICIPACIONES, APORTACIONES, CONVENIOS, INCENTIVOS DERIVADOS DE LA COLABORACIÓN FISCAL Y FONDOS DISTINTOS DE APORTACIONES</t>
  </si>
  <si>
    <t>PARTICIPACIONES</t>
  </si>
  <si>
    <t>FONDO GENERAL DE PARTICIPACIONES</t>
  </si>
  <si>
    <t>FONDO DE FOMENTO MUNICIPAL</t>
  </si>
  <si>
    <t>FONDO DE FISCALIZACIÓN Y RECAUDACIÓN</t>
  </si>
  <si>
    <t>IMPUESTO ESPECIAL SOBRE PRODUCCIÓN Y SERVICIOS</t>
  </si>
  <si>
    <t>GASOLINAS Y DIÉSEL</t>
  </si>
  <si>
    <t>FONDO DEL IMPUESTO SOBRE LA RENTA</t>
  </si>
  <si>
    <t>FONDO DE ESTABILIZACIÓN (FEIEF)</t>
  </si>
  <si>
    <t>ISR ENAJENACIÓN BIENES INMUEBLES</t>
  </si>
  <si>
    <t>APORTACIONES</t>
  </si>
  <si>
    <t>FONDO PARA LA INFRAESTRUCTURA SOCIAL MUNICIPAL (FAISM)</t>
  </si>
  <si>
    <t>INTERESES  FAISM</t>
  </si>
  <si>
    <t>FONDO DE APORTACIONES PARA EL FORTALECIMIENTOS DE LOS MUNICIPIOS  (FORTAMUN)</t>
  </si>
  <si>
    <t>INTERESES  FORTAMUN</t>
  </si>
  <si>
    <t>CONVENIOS</t>
  </si>
  <si>
    <t>CONVENIOS CON LA FEDERACIÓN</t>
  </si>
  <si>
    <t>PROGRAMA DE SEGURIDAD</t>
  </si>
  <si>
    <t>APOYOS EXTRAORDINARIOS</t>
  </si>
  <si>
    <t>FONDO METROPOLITANO</t>
  </si>
  <si>
    <t>CONVENIOS CON GOBIERNO DEL ESTADO</t>
  </si>
  <si>
    <t>INCENTIVOS MULTAS ESTATALES NO FISCALES</t>
  </si>
  <si>
    <t>RÉGIMEN DE INCORPORACIÓN FISCAL</t>
  </si>
  <si>
    <t>PROGRAMAS VARIOS 2018</t>
  </si>
  <si>
    <t>MI PATIO PRODUCTIVO</t>
  </si>
  <si>
    <t>PROGRAMA TECNOCAMPO GUANAJUATO</t>
  </si>
  <si>
    <t>PROG. FORTALECIMIENTO PRODUCCIÓN GANADERA</t>
  </si>
  <si>
    <t>PROG. SANIDAD VEGETAL MASAGRO</t>
  </si>
  <si>
    <t>PROGRAMA SERVICIOS DE CALIDAD</t>
  </si>
  <si>
    <t>PROG. APOYO MYPIMES</t>
  </si>
  <si>
    <t>CODE</t>
  </si>
  <si>
    <t>ALIANZA PARA EL CAMPO</t>
  </si>
  <si>
    <t>PROG. SMAOT</t>
  </si>
  <si>
    <t>PROG. INSUMOS AGRÍCOLAS</t>
  </si>
  <si>
    <t xml:space="preserve">PROG.CAPTEMOS AGUA </t>
  </si>
  <si>
    <t xml:space="preserve"> </t>
  </si>
  <si>
    <t xml:space="preserve">PROG.CON CAM RURAL </t>
  </si>
  <si>
    <t xml:space="preserve">PROGRAMA  SERV CALIDAD </t>
  </si>
  <si>
    <t>PROG. CONSTRUCCION PLUVIAL CANAL</t>
  </si>
  <si>
    <t xml:space="preserve">PROG.VIVEW MEJOR </t>
  </si>
  <si>
    <t>PROG.PIESCC</t>
  </si>
  <si>
    <t>PROG.PSBMC</t>
  </si>
  <si>
    <t>PROG.FOAM</t>
  </si>
  <si>
    <t xml:space="preserve">PROG.GTO ME MUEVE </t>
  </si>
  <si>
    <t>PROG.PISBCC</t>
  </si>
  <si>
    <t>PROG.PIECIS XOCHIPILLI</t>
  </si>
  <si>
    <t>PROG.MI GAN PROD</t>
  </si>
  <si>
    <t xml:space="preserve">APORT. EST ITS </t>
  </si>
  <si>
    <t xml:space="preserve">PROG.ESTATAL </t>
  </si>
  <si>
    <t xml:space="preserve">PROG.LIMP FORT LAJA </t>
  </si>
  <si>
    <t xml:space="preserve">PROG.FEST ENTRE ARTE </t>
  </si>
  <si>
    <t>PROG. CONGRESO</t>
  </si>
  <si>
    <t>INFRAESTRUCTURA SEG P</t>
  </si>
  <si>
    <t>CEAG POTA ELEC POZ</t>
  </si>
  <si>
    <t xml:space="preserve">PROGRAMA PEMC  </t>
  </si>
  <si>
    <t>PROG SERVICIOS BASICO</t>
  </si>
  <si>
    <t>PROGRAMA PVEMC</t>
  </si>
  <si>
    <t>PROG.PAICE 2019</t>
  </si>
  <si>
    <t>CAP.OPERADOR DE T</t>
  </si>
  <si>
    <t>PROG. APOYOS SE</t>
  </si>
  <si>
    <t>PROG.PINTA ENTORNO</t>
  </si>
  <si>
    <t>SDAYR 2019</t>
  </si>
  <si>
    <t xml:space="preserve">APOR EST PISBCC </t>
  </si>
  <si>
    <t>APORT EST LIM DRENAJE</t>
  </si>
  <si>
    <t>APOYOS ESTATAL PARA SEGURIDAD</t>
  </si>
  <si>
    <t>ACCIONES SEDESHU 2020</t>
  </si>
  <si>
    <t>ACCIONES CEAG 2020</t>
  </si>
  <si>
    <t>ACCIONES SDAYR 2020  CAMINOS RURALES</t>
  </si>
  <si>
    <t>ACCIONES SDAYR 2020  CAMINOS SACACOSECHAS</t>
  </si>
  <si>
    <t>ACCIONES SDAYR 2020  BORDOS</t>
  </si>
  <si>
    <t>CONVENIO SEDESHU PROG. PSBGTO   2020</t>
  </si>
  <si>
    <t>CONVENIO SEDESHU PROG. PSBMC     2020</t>
  </si>
  <si>
    <t>CONVENIO SEDESHU PROG. PVIMEI       2020 (MEJ. VIVIENDA)</t>
  </si>
  <si>
    <t xml:space="preserve">CONVENIO SEDESHU PROG. PEMC 2020 </t>
  </si>
  <si>
    <t xml:space="preserve">CONVENIO SEDESHU PROG. PVIEMC 2020 </t>
  </si>
  <si>
    <t>PROG. SUSTITUCIÓN DE LUMINARIAS SEGUNDA ETAPA</t>
  </si>
  <si>
    <t>PROG.PVEMC (SEDESHU)</t>
  </si>
  <si>
    <t>PROG INFRAESTRUCTURA CIS 2020</t>
  </si>
  <si>
    <t>PROG EQUIPAMIENTO CIS 2020</t>
  </si>
  <si>
    <t>PROG. SMAOT FOAM 22</t>
  </si>
  <si>
    <t>PROG. MI RIEGO PRODUCTIVO</t>
  </si>
  <si>
    <t xml:space="preserve">FIDEICOMISO BIR </t>
  </si>
  <si>
    <t>PROG. VIVE MEJOR</t>
  </si>
  <si>
    <t>PROG. PISBCC</t>
  </si>
  <si>
    <t>PROG. CENTROS DE IMPULSO SOCIAL</t>
  </si>
  <si>
    <t>PROG. PSBGTO</t>
  </si>
  <si>
    <t>PROG. PSBMC</t>
  </si>
  <si>
    <t>PROG. CONECTANDO MI CAMINO BORDOS</t>
  </si>
  <si>
    <t>PROG. GTO. ME MUEVE</t>
  </si>
  <si>
    <t>PROG. DESARROLLO ECONOMICO</t>
  </si>
  <si>
    <t>PROG. SDAYR SACACOSECHAS</t>
  </si>
  <si>
    <t>PROG. SDAYR CAMINOS RURALES</t>
  </si>
  <si>
    <t>PROG. INFRAESTRUCTURA PVMI</t>
  </si>
  <si>
    <t>SDAYR 2020 CAM.RU</t>
  </si>
  <si>
    <t>SDAYR 2020 CAM.SA</t>
  </si>
  <si>
    <t>CODE 2020</t>
  </si>
  <si>
    <t>PEMC 2020</t>
  </si>
  <si>
    <t>PROG. EMBELLECIENDO MI COLONIA</t>
  </si>
  <si>
    <t>SEDES COLECTOR DISTRUBUIDOR VIAL CELANESE</t>
  </si>
  <si>
    <t>SFIyA   APORT.  ADQ. PIANO TEATRO DE LA CIUDAD</t>
  </si>
  <si>
    <t>SEDES APORT. ADQ. SOFTWARE TU EMPRESA SI</t>
  </si>
  <si>
    <t>SEDES APORT.  OPERACIÓN CAE</t>
  </si>
  <si>
    <t>SEDES APORT.  PROG. PIEC</t>
  </si>
  <si>
    <t>APOYO EXTRAORDIARIO SFIyA</t>
  </si>
  <si>
    <t>Cambiar nombre a CRI</t>
  </si>
  <si>
    <t>SECTUR  ESCULTURA FRANCISCO VILLA</t>
  </si>
  <si>
    <t>SEDES ALUMBRADO</t>
  </si>
  <si>
    <t>APORT. JUMAPA COLECTOR  DISTRIBUIDOR CELANESE</t>
  </si>
  <si>
    <t>CONVENIOS CON MUNICIPIOS</t>
  </si>
  <si>
    <t>BENEF PROG AÑO ANTERIORES</t>
  </si>
  <si>
    <t>CONVENIOS CON BENEFICIARIOS</t>
  </si>
  <si>
    <t>BENEF. PROG. SOCIALES</t>
  </si>
  <si>
    <t>INCENTIVOS DERIVADOS DE LA COLABORACIÓN FISCAL</t>
  </si>
  <si>
    <t>TENENCIA O USO DE VEHÍCULOS</t>
  </si>
  <si>
    <t>FONDO DE COMPENSACIÓN ISAN</t>
  </si>
  <si>
    <t>IMPUESTO SOBRE AUTOMÓVILES NUEVOS</t>
  </si>
  <si>
    <t>ALCOHOLES</t>
  </si>
  <si>
    <t>IMPUESTO VENTA FINAL BEBIDAS ALCOHOLICAS</t>
  </si>
  <si>
    <t>IEPS GASOLINAS Y DIESEL</t>
  </si>
  <si>
    <t>IMPUESTO POR SERVICIOS DE HOSPEDAJE</t>
  </si>
  <si>
    <t>INGRESOS DERIV. DE FINANCIAMIENTO</t>
  </si>
  <si>
    <t>010101</t>
  </si>
  <si>
    <t xml:space="preserve">ANTICIPO PARTICIPACIONES </t>
  </si>
  <si>
    <t>REMANENTE</t>
  </si>
  <si>
    <t xml:space="preserve">REMANENTE FEDERAL </t>
  </si>
  <si>
    <t xml:space="preserve">REMANENTE ESTATAL </t>
  </si>
  <si>
    <t>080401</t>
  </si>
  <si>
    <t>REMANENTE ESTATAL CONVENIOS MACRO GEG</t>
  </si>
  <si>
    <t xml:space="preserve">REM, CUENTA PUBLICA </t>
  </si>
  <si>
    <t>080801</t>
  </si>
  <si>
    <t>REM. TEJ. SOC.</t>
  </si>
  <si>
    <t>081003</t>
  </si>
  <si>
    <t>Obra Pública 2022</t>
  </si>
  <si>
    <t>Prestamo feria</t>
  </si>
  <si>
    <t>Prog. Gobierno</t>
  </si>
  <si>
    <t>Acond. Deportiva Jacarandas</t>
  </si>
  <si>
    <t>Remod. Edif. Serv. Mpales.</t>
  </si>
  <si>
    <t>Mecánica Teatral (Teatro Urbano)</t>
  </si>
  <si>
    <t>Uniformes, Vehículos TyV</t>
  </si>
  <si>
    <t>Emulsión Modificatorios</t>
  </si>
  <si>
    <t>Colector Celanese</t>
  </si>
  <si>
    <t>Obras Drenaje Celanese</t>
  </si>
  <si>
    <t>Obras PGO 2021</t>
  </si>
  <si>
    <t>Obras Remanentes 2020</t>
  </si>
  <si>
    <t>Obras Remanentes 2019</t>
  </si>
  <si>
    <t>Obras Remanentes 2018</t>
  </si>
  <si>
    <t>Obras Remanentes 2017</t>
  </si>
  <si>
    <t>Obras Remanentes 2016</t>
  </si>
  <si>
    <t xml:space="preserve">REM, DEUDA PUBLICA </t>
  </si>
  <si>
    <t>REM, ESTATAL</t>
  </si>
  <si>
    <t>Luminarias S.Economía</t>
  </si>
  <si>
    <t>PEMC Deuda</t>
  </si>
  <si>
    <t>GTO me Mueve Deuda</t>
  </si>
  <si>
    <t>081009</t>
  </si>
  <si>
    <t>REM, FEDERAL</t>
  </si>
  <si>
    <t>REM, FAISM</t>
  </si>
  <si>
    <t>REM, FORTAMUN</t>
  </si>
  <si>
    <t>REM,MUNICIPAL</t>
  </si>
  <si>
    <t>DEPENDENCIAS</t>
  </si>
  <si>
    <t>CRI - COG</t>
  </si>
  <si>
    <t>Cierre 2020</t>
  </si>
  <si>
    <t>Aprobado 2021</t>
  </si>
  <si>
    <t>Modificado 2021</t>
  </si>
  <si>
    <t>Enero-Octubre</t>
  </si>
  <si>
    <t>Proyección Octubre</t>
  </si>
  <si>
    <t>Proyección Noviembre</t>
  </si>
  <si>
    <t>Proyección Diciembre</t>
  </si>
  <si>
    <t>Proyección de cierre 2021</t>
  </si>
  <si>
    <t>INCREMENTO</t>
  </si>
  <si>
    <t>INFLACIÓN</t>
  </si>
  <si>
    <t>Por Ejecut</t>
  </si>
  <si>
    <t>Proyección 2022</t>
  </si>
  <si>
    <t>Proyección B 2022</t>
  </si>
  <si>
    <t>FUENTE DE FINANCIAMIENTO</t>
  </si>
  <si>
    <t>*   10 Impuestos</t>
  </si>
  <si>
    <t>ART. 10</t>
  </si>
  <si>
    <t>Impuestos</t>
  </si>
  <si>
    <t xml:space="preserve">    110101  Imp 8% s/juegos y</t>
  </si>
  <si>
    <t>MUNICIPAL</t>
  </si>
  <si>
    <t>ART. 11</t>
  </si>
  <si>
    <t xml:space="preserve">    110201  Imp 6% div y espec</t>
  </si>
  <si>
    <t xml:space="preserve">    110202  Imp 8% div y espec</t>
  </si>
  <si>
    <t>ART. 12</t>
  </si>
  <si>
    <t xml:space="preserve">    110301  Imp 5% rifas,sorte</t>
  </si>
  <si>
    <t xml:space="preserve">    120101  Predial urbano cor</t>
  </si>
  <si>
    <t xml:space="preserve">    120102  Predial rustico co</t>
  </si>
  <si>
    <t xml:space="preserve">    120103  Predial urb. rezag</t>
  </si>
  <si>
    <t xml:space="preserve">    120104  Predial rust rezag</t>
  </si>
  <si>
    <t xml:space="preserve">    120105  Actualiz. Impuesto</t>
  </si>
  <si>
    <t xml:space="preserve">    120106  Cuota Org.Agricola</t>
  </si>
  <si>
    <t xml:space="preserve">    120201  Div. y lotificació</t>
  </si>
  <si>
    <t xml:space="preserve">    120202  Div. Reg condomini</t>
  </si>
  <si>
    <t xml:space="preserve">    130101  Explotación mármol</t>
  </si>
  <si>
    <t xml:space="preserve">    130201  Impuesto sobre ABI</t>
  </si>
  <si>
    <t xml:space="preserve">    130301  Im de fraccionam.</t>
  </si>
  <si>
    <t xml:space="preserve">    170101  Recargos imp predi</t>
  </si>
  <si>
    <t xml:space="preserve">    170102  Recargos ABI</t>
  </si>
  <si>
    <t xml:space="preserve">    170103  Recargos saldos in</t>
  </si>
  <si>
    <t xml:space="preserve">    170201  Multas inmobiliari</t>
  </si>
  <si>
    <t xml:space="preserve">    170301  Honorarios ejecuci</t>
  </si>
  <si>
    <t xml:space="preserve">    170401  Actualiz. impuesto</t>
  </si>
  <si>
    <t xml:space="preserve">    170501  Cuota Org.Agricola</t>
  </si>
  <si>
    <t>*   30 Contribuciones de</t>
  </si>
  <si>
    <t>Contribuciones</t>
  </si>
  <si>
    <t xml:space="preserve">    310201  BENEF. OBRAS RURAL</t>
  </si>
  <si>
    <t xml:space="preserve">    390101  Benef Años Anterio</t>
  </si>
  <si>
    <t xml:space="preserve">    310101  Benef Años Anterio</t>
  </si>
  <si>
    <t>*   40 Derechos</t>
  </si>
  <si>
    <t>Derechos</t>
  </si>
  <si>
    <t xml:space="preserve">    410101  Plaza vta ambulant</t>
  </si>
  <si>
    <t xml:space="preserve">    410102  Exped lic ambulant</t>
  </si>
  <si>
    <t xml:space="preserve">    410104  Permiso cierre cal</t>
  </si>
  <si>
    <t xml:space="preserve">    410201  Mercado 5 de feb</t>
  </si>
  <si>
    <t xml:space="preserve">    410202  Mdo Benito Juarez</t>
  </si>
  <si>
    <t xml:space="preserve">    410203  Mercado Hidalgo</t>
  </si>
  <si>
    <t xml:space="preserve">    410204  Mercado Morelos</t>
  </si>
  <si>
    <t xml:space="preserve">    410205  Mdo San Juan Vega</t>
  </si>
  <si>
    <t xml:space="preserve">    410206  Uso y arrendamient</t>
  </si>
  <si>
    <t xml:space="preserve">    410207  Parque bicentenari</t>
  </si>
  <si>
    <t xml:space="preserve">    410208  Tarimas</t>
  </si>
  <si>
    <t xml:space="preserve">    410209  Mamparas</t>
  </si>
  <si>
    <t xml:space="preserve">    430101  Serv especial de r</t>
  </si>
  <si>
    <t xml:space="preserve">    430102  Acceso al relleno</t>
  </si>
  <si>
    <t xml:space="preserve">    430103  Limpieza de lotes</t>
  </si>
  <si>
    <t xml:space="preserve">    430104  Planta separadora</t>
  </si>
  <si>
    <t xml:space="preserve">    430105  Tala o poda de arb</t>
  </si>
  <si>
    <t xml:space="preserve">    430106  Servicio de pipas</t>
  </si>
  <si>
    <t xml:space="preserve">    430107  Perm recol residuo</t>
  </si>
  <si>
    <t xml:space="preserve">    430201  Inhumaciones y exh</t>
  </si>
  <si>
    <t xml:space="preserve">    430202  Traslado de cadave</t>
  </si>
  <si>
    <t xml:space="preserve">    430203  Venta de gavetas</t>
  </si>
  <si>
    <t xml:space="preserve">    430204  Derecho de cremaci</t>
  </si>
  <si>
    <t xml:space="preserve">    430205  Placas y monumento</t>
  </si>
  <si>
    <t xml:space="preserve">    430301  Ganado vacuno</t>
  </si>
  <si>
    <t xml:space="preserve">    430302  Ganado porcino</t>
  </si>
  <si>
    <t xml:space="preserve">    430303  Ganado ovicaprino</t>
  </si>
  <si>
    <t xml:space="preserve">                          -  </t>
  </si>
  <si>
    <t xml:space="preserve">    430304  Conduccion</t>
  </si>
  <si>
    <t xml:space="preserve">    430305  Refrigeracion</t>
  </si>
  <si>
    <t xml:space="preserve">    430306  Otros serv rastro</t>
  </si>
  <si>
    <t xml:space="preserve">    430307  Pesaje canal de re</t>
  </si>
  <si>
    <t xml:space="preserve">    430308  Pesaje canal  cerd</t>
  </si>
  <si>
    <t xml:space="preserve">    430401  Policia auxiliar</t>
  </si>
  <si>
    <t xml:space="preserve">    430402  Serv part de vig</t>
  </si>
  <si>
    <t>POR CANTIDAD DE SERVICIO</t>
  </si>
  <si>
    <t xml:space="preserve">    430403  Dict viabil.seg pu</t>
  </si>
  <si>
    <t xml:space="preserve">    430404  Perm prot eventos</t>
  </si>
  <si>
    <t xml:space="preserve">    430501  Renov concesiones</t>
  </si>
  <si>
    <t xml:space="preserve">    430502  Revista mecanica</t>
  </si>
  <si>
    <t xml:space="preserve">    430503  Perm p/circul tran</t>
  </si>
  <si>
    <t xml:space="preserve">    430504  Exp,ren o rep cedu</t>
  </si>
  <si>
    <t xml:space="preserve">    430505  Tramites trans pub</t>
  </si>
  <si>
    <t xml:space="preserve">    430601  Exp const de no in</t>
  </si>
  <si>
    <t xml:space="preserve">    430602  Maniobr carga y de</t>
  </si>
  <si>
    <t xml:space="preserve">    430701  Conces parque More</t>
  </si>
  <si>
    <t xml:space="preserve">    430801  Centro ctrl animal</t>
  </si>
  <si>
    <t xml:space="preserve">    430901  Inspeccion de inm.</t>
  </si>
  <si>
    <t xml:space="preserve">    430902  Rev inst en evento</t>
  </si>
  <si>
    <t xml:space="preserve">    430903  Exp dict verif</t>
  </si>
  <si>
    <t xml:space="preserve">    431002  Obra nueva</t>
  </si>
  <si>
    <t xml:space="preserve">    431003  Ampl, rep y regula</t>
  </si>
  <si>
    <t xml:space="preserve">    431004  Alineamiento num o</t>
  </si>
  <si>
    <t xml:space="preserve">    431005  Uso de suelo</t>
  </si>
  <si>
    <t xml:space="preserve">    431006  Ocup via publica</t>
  </si>
  <si>
    <t xml:space="preserve">    431007  Prorroga term obra</t>
  </si>
  <si>
    <t xml:space="preserve">    431101  Asig clave catastr</t>
  </si>
  <si>
    <t xml:space="preserve">    431102  Derechos d valuaci</t>
  </si>
  <si>
    <t xml:space="preserve">    431103  Hon de valuacion</t>
  </si>
  <si>
    <t xml:space="preserve">    431104  Ident inm reg cata</t>
  </si>
  <si>
    <t xml:space="preserve">    431105  Act der serv catas</t>
  </si>
  <si>
    <t xml:space="preserve">    431201  Derechos de fracc</t>
  </si>
  <si>
    <t xml:space="preserve">    431202  Superv. de fracc</t>
  </si>
  <si>
    <t xml:space="preserve">    431203  División y relotif</t>
  </si>
  <si>
    <t xml:space="preserve">    431204  Act serv fracc</t>
  </si>
  <si>
    <t xml:space="preserve">    431301  Anuncios</t>
  </si>
  <si>
    <t xml:space="preserve">    431401  Perm p/vta beb alc</t>
  </si>
  <si>
    <t xml:space="preserve">    431402  Ampl de horario</t>
  </si>
  <si>
    <t xml:space="preserve">    431501  Manif impacto amb</t>
  </si>
  <si>
    <t xml:space="preserve">    431502  Perm en materia am</t>
  </si>
  <si>
    <t xml:space="preserve">    431503  Perm estab medio a</t>
  </si>
  <si>
    <t xml:space="preserve">    431504  Permiso perifoneo</t>
  </si>
  <si>
    <t xml:space="preserve">    431505  Capac en materia a</t>
  </si>
  <si>
    <t xml:space="preserve">    431506  Viv plantas nativa</t>
  </si>
  <si>
    <t xml:space="preserve">    431601  Otras certif</t>
  </si>
  <si>
    <t xml:space="preserve">    431602  Certific. des urba</t>
  </si>
  <si>
    <t xml:space="preserve">    431603  Certif.policia</t>
  </si>
  <si>
    <t xml:space="preserve">    431604  Certif de no adeud</t>
  </si>
  <si>
    <t xml:space="preserve">    431605  Otros certif predi</t>
  </si>
  <si>
    <t xml:space="preserve">    431606  Cartas y cert Ayun</t>
  </si>
  <si>
    <t xml:space="preserve">    431607  Certif  medio amb</t>
  </si>
  <si>
    <t xml:space="preserve">    431608  Certif cve catastr</t>
  </si>
  <si>
    <t xml:space="preserve">    431609  Const de no infr m</t>
  </si>
  <si>
    <t xml:space="preserve">    431701  Traspaso de locale</t>
  </si>
  <si>
    <t xml:space="preserve">    431801  Por servi alumb pú</t>
  </si>
  <si>
    <t xml:space="preserve">    432101  Centros CASSA</t>
  </si>
  <si>
    <t xml:space="preserve">    432102  Incapacidades</t>
  </si>
  <si>
    <t xml:space="preserve">    450301  Actualiz. derechos</t>
  </si>
  <si>
    <t>*   50 Productos</t>
  </si>
  <si>
    <t>Productos</t>
  </si>
  <si>
    <t xml:space="preserve">    510101  Intereses libre di</t>
  </si>
  <si>
    <t xml:space="preserve">    510106  Int FORTAMUN 2021</t>
  </si>
  <si>
    <t>RAMO 33 INTERESES</t>
  </si>
  <si>
    <t xml:space="preserve">    510102  Int FORTAMUN 2020</t>
  </si>
  <si>
    <t xml:space="preserve">    510103  Int.Bajio FAISM 20</t>
  </si>
  <si>
    <t xml:space="preserve">    510104  Participaciones 20</t>
  </si>
  <si>
    <t xml:space="preserve">    510105  InteresesFideicomi</t>
  </si>
  <si>
    <t xml:space="preserve">    510107  Int.Bajio FAISM 20</t>
  </si>
  <si>
    <t xml:space="preserve">    510108  Int Participac 202</t>
  </si>
  <si>
    <t xml:space="preserve">    510301  Vta formas oficial</t>
  </si>
  <si>
    <t xml:space="preserve">    510501  Acceso inform. pub</t>
  </si>
  <si>
    <t xml:space="preserve">    510502  Expedición de plan</t>
  </si>
  <si>
    <t xml:space="preserve">    510601  Vta bien mun desus</t>
  </si>
  <si>
    <t xml:space="preserve">    510701  Vta de bien inm mu</t>
  </si>
  <si>
    <t xml:space="preserve">    510901  Otros productos</t>
  </si>
  <si>
    <t>*   60 Aprovechamientos</t>
  </si>
  <si>
    <t>Aprovechamientos</t>
  </si>
  <si>
    <t xml:space="preserve">    610101  Licitacion  compra</t>
  </si>
  <si>
    <t xml:space="preserve">    610102  Licitacion de obra</t>
  </si>
  <si>
    <t xml:space="preserve">    610103  Reg padron proveed</t>
  </si>
  <si>
    <t xml:space="preserve">    610104  Fotocredencializ.</t>
  </si>
  <si>
    <t xml:space="preserve">    610201  Por arrastre y pen</t>
  </si>
  <si>
    <t xml:space="preserve">    610301  Donaciones efectiv</t>
  </si>
  <si>
    <t xml:space="preserve">    610302  Donaciones especie</t>
  </si>
  <si>
    <t xml:space="preserve">    610401  Daños propiedad mu</t>
  </si>
  <si>
    <t xml:space="preserve">    610501  Penali obra públic</t>
  </si>
  <si>
    <t xml:space="preserve">    610502  Penali a proveedor</t>
  </si>
  <si>
    <t xml:space="preserve">    610601  Multas transp y vi</t>
  </si>
  <si>
    <t xml:space="preserve">    610602  Multas de verif ve</t>
  </si>
  <si>
    <t xml:space="preserve">    610603  Multas de policia</t>
  </si>
  <si>
    <t xml:space="preserve">    610604  Multas de serv mun</t>
  </si>
  <si>
    <t xml:space="preserve">    610605  Multas de comercio</t>
  </si>
  <si>
    <t xml:space="preserve">    610606  Multas de Des.Urba</t>
  </si>
  <si>
    <t xml:space="preserve">    610607  Multas cinturon se</t>
  </si>
  <si>
    <t xml:space="preserve">    610608  Multas medio ambie</t>
  </si>
  <si>
    <t xml:space="preserve">    610609  Multas de alcohole</t>
  </si>
  <si>
    <t xml:space="preserve">    610610  Multa mov y tran p</t>
  </si>
  <si>
    <t xml:space="preserve">    610611  Multas prot civil</t>
  </si>
  <si>
    <t xml:space="preserve">    610613  Multas est no fisc</t>
  </si>
  <si>
    <t xml:space="preserve">    610614  Multas fed no fisc</t>
  </si>
  <si>
    <t xml:space="preserve">    610615  Actualización apro</t>
  </si>
  <si>
    <t xml:space="preserve">    610701  Otros ingresos</t>
  </si>
  <si>
    <t xml:space="preserve">    610702  Reintegros de obra</t>
  </si>
  <si>
    <t xml:space="preserve">    610703  Hon ejecución obra</t>
  </si>
  <si>
    <t xml:space="preserve">    610704  Exp de lic conduci</t>
  </si>
  <si>
    <t xml:space="preserve">    610705  Recup de seguros</t>
  </si>
  <si>
    <t xml:space="preserve">    610706  Trámite de pasapor</t>
  </si>
  <si>
    <t xml:space="preserve">    610707  Foto de pasaporte</t>
  </si>
  <si>
    <t xml:space="preserve">    610708  Copias fotostática</t>
  </si>
  <si>
    <t xml:space="preserve">    610709  Otros serv pasapor</t>
  </si>
  <si>
    <t xml:space="preserve">    610801  REINTEGRO DE OBRAS</t>
  </si>
  <si>
    <t xml:space="preserve">    630101  Recargos multas</t>
  </si>
  <si>
    <t xml:space="preserve">    630102  Recargos obras</t>
  </si>
  <si>
    <t xml:space="preserve">    630201  Gtos ejec multas</t>
  </si>
  <si>
    <t xml:space="preserve">    630202  Gtos ejec multas f</t>
  </si>
  <si>
    <t>*   80 Participaciones y</t>
  </si>
  <si>
    <t>Participaciones</t>
  </si>
  <si>
    <t xml:space="preserve">    810101  Fdo gral participa</t>
  </si>
  <si>
    <t>RAMO 28</t>
  </si>
  <si>
    <t xml:space="preserve">    810201  Fdo fomento mun</t>
  </si>
  <si>
    <t xml:space="preserve">    810301  Fdo fiscaliz recau</t>
  </si>
  <si>
    <t xml:space="preserve">    810401  IEPS</t>
  </si>
  <si>
    <t xml:space="preserve">    810501  Gasolinas y diésel</t>
  </si>
  <si>
    <t xml:space="preserve">    810601  Fondo de ISR</t>
  </si>
  <si>
    <t xml:space="preserve">    810701  FONDO ESTABILIZACI</t>
  </si>
  <si>
    <t>FEIEF</t>
  </si>
  <si>
    <t xml:space="preserve">    810801  ISR enaj.bienes in</t>
  </si>
  <si>
    <t xml:space="preserve">    820101  Fdo aport FAISM</t>
  </si>
  <si>
    <t>RAMO 33</t>
  </si>
  <si>
    <t xml:space="preserve">    820102  INTERESES FAISM</t>
  </si>
  <si>
    <t xml:space="preserve">    820201  Fondo aport FORTAM</t>
  </si>
  <si>
    <t xml:space="preserve">    820202  INTERESES FORTAMUN</t>
  </si>
  <si>
    <t xml:space="preserve">    830101  Prog de seguridad</t>
  </si>
  <si>
    <t>FEDERAL</t>
  </si>
  <si>
    <t xml:space="preserve">    830301  Inc mult est no fi</t>
  </si>
  <si>
    <t>INCENTIVOS</t>
  </si>
  <si>
    <t xml:space="preserve">    830302  Conv de colab RIF</t>
  </si>
  <si>
    <t xml:space="preserve">    830305  Mi patio productiv</t>
  </si>
  <si>
    <t>ESTATALES</t>
  </si>
  <si>
    <t xml:space="preserve">    830306  Prog Tecnocampo Gt</t>
  </si>
  <si>
    <t xml:space="preserve">    830307  Prog. Reconv produ</t>
  </si>
  <si>
    <t xml:space="preserve">    830310  Prog serv de calid</t>
  </si>
  <si>
    <t xml:space="preserve">    830312  Programa SMAOT</t>
  </si>
  <si>
    <t xml:space="preserve">    830313  PEMC</t>
  </si>
  <si>
    <t xml:space="preserve">    830314  PVEMC</t>
  </si>
  <si>
    <t xml:space="preserve">    830315  Const Can Plu Des</t>
  </si>
  <si>
    <t xml:space="preserve">    830316  Apoyo estatal p/se</t>
  </si>
  <si>
    <t xml:space="preserve">    830317  Acc. SEDESHU 2020</t>
  </si>
  <si>
    <t xml:space="preserve">    830318  Acciones CEAG 2020</t>
  </si>
  <si>
    <t xml:space="preserve">    830319  Acciones SDAYR 202</t>
  </si>
  <si>
    <t xml:space="preserve">    830320  ALIANZA PARA CAMPO</t>
  </si>
  <si>
    <t xml:space="preserve">    830321  SEDESHU  PSBGTO 20</t>
  </si>
  <si>
    <t xml:space="preserve">    830322  SEDESHU PSBMC 2020</t>
  </si>
  <si>
    <t xml:space="preserve">    830323  SEDESHU PVIMEI 202</t>
  </si>
  <si>
    <t xml:space="preserve">    830324  SUSTIT. LUMINARIAS</t>
  </si>
  <si>
    <t xml:space="preserve">    830325  PROG.PVEMC (SEDESH</t>
  </si>
  <si>
    <t xml:space="preserve">    830326  Prog Infraestruc C</t>
  </si>
  <si>
    <t xml:space="preserve">    830327  Prog Equipamient C</t>
  </si>
  <si>
    <t xml:space="preserve">    830328  Prog. SMAOT FOAM</t>
  </si>
  <si>
    <t xml:space="preserve">    830329  Prog. Mi riego pro</t>
  </si>
  <si>
    <t xml:space="preserve">    830330  Fideicomiso BIR</t>
  </si>
  <si>
    <t xml:space="preserve">    830331  Prog. Vive mejor</t>
  </si>
  <si>
    <t xml:space="preserve">    830332  Prog. PISBCC</t>
  </si>
  <si>
    <t xml:space="preserve">    830333  Prog. Centro imp s</t>
  </si>
  <si>
    <t xml:space="preserve">    830334  PROG. PSBGTO</t>
  </si>
  <si>
    <t xml:space="preserve">    830335  PROG. PSBMC</t>
  </si>
  <si>
    <t xml:space="preserve">    830336  PROG.CONEC.MI CAMI</t>
  </si>
  <si>
    <t xml:space="preserve">    830337  PROG. GTO. ME MUEV</t>
  </si>
  <si>
    <t xml:space="preserve">    830338  PROG.DESARROLLO EC</t>
  </si>
  <si>
    <t xml:space="preserve">    830339  PROG.SDAYR SACACOS</t>
  </si>
  <si>
    <t xml:space="preserve">    830340  PROG SDAYR CAM RUR</t>
  </si>
  <si>
    <t xml:space="preserve">    830341  PROG. CEAG</t>
  </si>
  <si>
    <t xml:space="preserve">    830342  PROG.INFRAESTR. PV</t>
  </si>
  <si>
    <t xml:space="preserve">    830343  APORT EST ADQ PIAN</t>
  </si>
  <si>
    <t xml:space="preserve">    830344  SED COL DIS VIAL C</t>
  </si>
  <si>
    <t xml:space="preserve">    830345  SED APO ADQ SOFTWA</t>
  </si>
  <si>
    <t xml:space="preserve">    830346  SEDES APORT OPE CA</t>
  </si>
  <si>
    <t xml:space="preserve">    830347  SEDES APOR CONV CC</t>
  </si>
  <si>
    <t xml:space="preserve">    830348  SECTUR ESC FCO.VIL</t>
  </si>
  <si>
    <t xml:space="preserve">    830349  AP JUMAPA COL DIS</t>
  </si>
  <si>
    <t xml:space="preserve">    830350  SEDES Alumbrado</t>
  </si>
  <si>
    <t xml:space="preserve">    830390  SDAYR 2020 CAM. RU</t>
  </si>
  <si>
    <t>DEUDA</t>
  </si>
  <si>
    <t xml:space="preserve">    830391  SDAYR 2020 CAM. SA</t>
  </si>
  <si>
    <t xml:space="preserve">    830392  CODE  2020</t>
  </si>
  <si>
    <t xml:space="preserve">    830393  PEMC 2020</t>
  </si>
  <si>
    <t xml:space="preserve">    830394  PROG.EMB.MI COLONI</t>
  </si>
  <si>
    <t xml:space="preserve">    830501  Benef prog año 202</t>
  </si>
  <si>
    <t xml:space="preserve">    830502  Benef años anterio</t>
  </si>
  <si>
    <t>Insumos Agricolas</t>
  </si>
  <si>
    <t>Trabajemos Juntos</t>
  </si>
  <si>
    <t xml:space="preserve">    830901  Benef Prog Soc</t>
  </si>
  <si>
    <t xml:space="preserve">    840101  Tenencia uso vehíc</t>
  </si>
  <si>
    <t xml:space="preserve">    840201  Fondo de comp ISAN</t>
  </si>
  <si>
    <t xml:space="preserve">    840301  Impto autos nuevos</t>
  </si>
  <si>
    <t xml:space="preserve">    840401  ISR enaj bienes in</t>
  </si>
  <si>
    <t xml:space="preserve">    840501  Alcoholes</t>
  </si>
  <si>
    <t xml:space="preserve">    840601  Imp vta fin  beb a</t>
  </si>
  <si>
    <t xml:space="preserve">    840801  MULTAS EST.NO FISC</t>
  </si>
  <si>
    <t xml:space="preserve">    840802  MULTAS FED NO FISC</t>
  </si>
  <si>
    <t xml:space="preserve">    840901  IEPS gaso y diesel</t>
  </si>
  <si>
    <t xml:space="preserve">    841001  Imp Serv Hospedaje</t>
  </si>
  <si>
    <t>*   00 Ingresos deriv de</t>
  </si>
  <si>
    <t>Remanentes</t>
  </si>
  <si>
    <t xml:space="preserve">    080302  REMANENTE FEDERAL</t>
  </si>
  <si>
    <t xml:space="preserve">    080401  REMANENTE ESTATAL</t>
  </si>
  <si>
    <t xml:space="preserve">    080801  REMA. CUENTA PÚBLI</t>
  </si>
  <si>
    <t xml:space="preserve">    081003  REMANENTE FEDERAL</t>
  </si>
  <si>
    <t xml:space="preserve">    081009  REMANENTE FEDERAL</t>
  </si>
  <si>
    <t>**  Rubros de Ingreso</t>
  </si>
  <si>
    <t>OFICIALÍA MAYOR</t>
  </si>
  <si>
    <t>E0010</t>
  </si>
  <si>
    <t>E0021</t>
  </si>
  <si>
    <t>E0022</t>
  </si>
  <si>
    <t>E0009</t>
  </si>
  <si>
    <t>E0023</t>
  </si>
  <si>
    <t>E0024</t>
  </si>
  <si>
    <t>S0301</t>
  </si>
  <si>
    <t>E0011</t>
  </si>
  <si>
    <t>F</t>
  </si>
  <si>
    <t>PRESUPUESTO</t>
  </si>
  <si>
    <t>DESARROLLO ECONÓMICO</t>
  </si>
  <si>
    <t>DIR. JURÍDICA</t>
  </si>
  <si>
    <t>SECRETARÍA DE SEGURIDAD CIUDADANA</t>
  </si>
  <si>
    <t>COORD. DE SERVICIO SOCIAL</t>
  </si>
  <si>
    <t>CONTRALORÍA</t>
  </si>
  <si>
    <t>DIR. GENERAL DE TRÁNSITO Y POLICÍA VIAL</t>
  </si>
  <si>
    <t>OBRA PÚBLICA</t>
  </si>
  <si>
    <t>SISTEMA DE CULTURA FÍSICA Y DEPORTE DEL MUNICIPIO DE CELAYA</t>
  </si>
  <si>
    <t>SÍNDICOS Y REGIDORES</t>
  </si>
  <si>
    <t>INSTITUTO MUNICIPAL DE INVESTIGACIÓN, PLANEACIÓN Y ESTADÍSTICA</t>
  </si>
  <si>
    <t>Materiales de construcción de cal y yeso</t>
  </si>
  <si>
    <t>Refacciones y accesorios menores de edificios</t>
  </si>
  <si>
    <t>Transfernecias para inversión pública</t>
  </si>
  <si>
    <t>PARTIDA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</si>
  <si>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</si>
  <si>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</si>
  <si>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</si>
  <si>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</si>
  <si>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</si>
  <si>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</si>
  <si>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</si>
  <si>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</si>
  <si>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MEATERIALES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</si>
  <si>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</si>
  <si>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</si>
  <si>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</si>
  <si>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</si>
  <si>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</si>
  <si>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</si>
  <si>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</si>
  <si>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</si>
  <si>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</si>
  <si>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</si>
  <si>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</si>
  <si>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</si>
  <si>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</si>
  <si>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</si>
  <si>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</si>
  <si>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INTERNAS Y ASIGNACIONES AL SECTOR PÚBLICO</t>
  </si>
  <si>
    <t>SUBSIDIOS Y SUBVENCIONES</t>
  </si>
  <si>
    <t>AYUDAS SOCIALES</t>
  </si>
  <si>
    <t>PENSIONES Y JUBILACIONES</t>
  </si>
  <si>
    <t>MOBILIARIO Y EQUIPO DE ADMINISTRACIÓN</t>
  </si>
  <si>
    <t>MOBILIARIO Y EQUIPO EDUCACIONAL Y RECREATIVO</t>
  </si>
  <si>
    <t>EQUIPO E INSTRUMENTAL MEDICO Y DE LABORATORIO</t>
  </si>
  <si>
    <t>VEHÍCULOS Y EQUIPO DE TRANSPORTE</t>
  </si>
  <si>
    <t>MAQUINARIA, OTROS EQUIPOS Y HERRAMIENTAS</t>
  </si>
  <si>
    <t>BIENES INMUEBLES</t>
  </si>
  <si>
    <t>ACTIVOS INTANGIBLES</t>
  </si>
  <si>
    <t>OBRA PÚBLICA EN BIENES DE DOMINIO PÚBLICO</t>
  </si>
  <si>
    <t>OBRA PÚBLICA EN BIENES PROPIOS</t>
  </si>
  <si>
    <t>AMORTIZACIÓN DE LA DEUDA PÚBLICA</t>
  </si>
  <si>
    <t>INTERESES DE LA DEUDA PÚBLICA</t>
  </si>
  <si>
    <t>FINALIDAD-FUNCIÓN-SUBFUNCIÓN</t>
  </si>
  <si>
    <t>PRESUPUESTO APROBADO</t>
  </si>
  <si>
    <t>GOBIERNO</t>
  </si>
  <si>
    <t>1.1.</t>
  </si>
  <si>
    <t>LEGISLACIÓN</t>
  </si>
  <si>
    <t>1.1.2</t>
  </si>
  <si>
    <t>Fiscalización</t>
  </si>
  <si>
    <t>1.2.</t>
  </si>
  <si>
    <t>JUSTICIA</t>
  </si>
  <si>
    <t>1.2.1</t>
  </si>
  <si>
    <t>Impartición de Justicia</t>
  </si>
  <si>
    <t>1.2.2</t>
  </si>
  <si>
    <t>Procuración de Justicia</t>
  </si>
  <si>
    <t>1.3.</t>
  </si>
  <si>
    <t>COORDINACIÓN DE LA POLÍTICA DE GOBIERNO</t>
  </si>
  <si>
    <t>1.3.1</t>
  </si>
  <si>
    <t>Presidencia / Gubernatura</t>
  </si>
  <si>
    <t>1.3.2</t>
  </si>
  <si>
    <t>Política Interior</t>
  </si>
  <si>
    <t>1.3.3</t>
  </si>
  <si>
    <t>Preservación y Cuidado del Patrimonio Público</t>
  </si>
  <si>
    <t>1.3.5</t>
  </si>
  <si>
    <t>Asuntos Jurídicos</t>
  </si>
  <si>
    <t>1.4.</t>
  </si>
  <si>
    <t>RELACIONES EXTERIORES</t>
  </si>
  <si>
    <t>1.4.1</t>
  </si>
  <si>
    <t>Relaciones Exteriores</t>
  </si>
  <si>
    <t>1.5.</t>
  </si>
  <si>
    <t>ASUNTOS FINANCIEROS Y HACENDARIOS</t>
  </si>
  <si>
    <t>1.5.2</t>
  </si>
  <si>
    <t>Asuntos Hacendarios</t>
  </si>
  <si>
    <t>1.7.</t>
  </si>
  <si>
    <t>ASUNTOS DE ORDEN PÚBLICO Y DE SEGURIDAD INTERIOR</t>
  </si>
  <si>
    <t>1.7.1</t>
  </si>
  <si>
    <t>Policía</t>
  </si>
  <si>
    <t>1.7.2</t>
  </si>
  <si>
    <t>Protección Civil</t>
  </si>
  <si>
    <t>1.7.3</t>
  </si>
  <si>
    <t>Otros Asuntos de Orden Público y Seguridad</t>
  </si>
  <si>
    <t>1.8.</t>
  </si>
  <si>
    <t>1.8.2</t>
  </si>
  <si>
    <t>Servicios Estadísticos</t>
  </si>
  <si>
    <t>1.8.3</t>
  </si>
  <si>
    <t>Servicios de Comunicación y Medios</t>
  </si>
  <si>
    <t>1.8.4</t>
  </si>
  <si>
    <t>Acceso a la Información Pública Gubernamental</t>
  </si>
  <si>
    <t>1.8.5</t>
  </si>
  <si>
    <t>Otros</t>
  </si>
  <si>
    <t>2.1.</t>
  </si>
  <si>
    <t>PROTECCIÓN AMBIENTAL</t>
  </si>
  <si>
    <t>2.1.1</t>
  </si>
  <si>
    <t>Ordenación de Desechos</t>
  </si>
  <si>
    <t>2.1.3</t>
  </si>
  <si>
    <t>Ordenación de Aguas Residuales, Drenaje y Alcantarillado</t>
  </si>
  <si>
    <t>2.1.4</t>
  </si>
  <si>
    <t>Reducción de la Contaminación</t>
  </si>
  <si>
    <t>2.1.6</t>
  </si>
  <si>
    <t>Otros de Protección Ambiental</t>
  </si>
  <si>
    <t>2.2.</t>
  </si>
  <si>
    <t>VIVIENDA Y SERVICIOS A LA COMUNIDAD</t>
  </si>
  <si>
    <t>2.2.1</t>
  </si>
  <si>
    <t>Urbanización</t>
  </si>
  <si>
    <t>2.2.2</t>
  </si>
  <si>
    <t>Desarrollo Comunitario</t>
  </si>
  <si>
    <t>2.2.3</t>
  </si>
  <si>
    <t>Abastecimiento de Agua</t>
  </si>
  <si>
    <t>2.2.4</t>
  </si>
  <si>
    <t>Alumbrado Público</t>
  </si>
  <si>
    <t>2.2.5</t>
  </si>
  <si>
    <t>Vivienda</t>
  </si>
  <si>
    <t>2.2.6</t>
  </si>
  <si>
    <t>Servicios Comunales</t>
  </si>
  <si>
    <t>2.3.</t>
  </si>
  <si>
    <t>SALUD</t>
  </si>
  <si>
    <t>2.3.1</t>
  </si>
  <si>
    <t>Prestación de Servicios de Salud a la Comunidad</t>
  </si>
  <si>
    <t>2.4.</t>
  </si>
  <si>
    <t>RECREACIÓN, CULTURA Y OTRAS MANIFESTACIONES SOCIALES</t>
  </si>
  <si>
    <t>2.4.1</t>
  </si>
  <si>
    <t>Deporte y Recreación</t>
  </si>
  <si>
    <t>2.4.2</t>
  </si>
  <si>
    <t>Cultura</t>
  </si>
  <si>
    <t>2.5.</t>
  </si>
  <si>
    <t>EDUCACIÓN</t>
  </si>
  <si>
    <t>2.5.6</t>
  </si>
  <si>
    <t>Otros Servicios Educativos y Actividades Inherentes</t>
  </si>
  <si>
    <t>2.6.</t>
  </si>
  <si>
    <t>PROTECCIÓN SOCIAL</t>
  </si>
  <si>
    <t>2.6.1</t>
  </si>
  <si>
    <t>Enfermedad e Incapacidad</t>
  </si>
  <si>
    <t>2.6.3</t>
  </si>
  <si>
    <t>Familia e Hijos</t>
  </si>
  <si>
    <t>2.7.</t>
  </si>
  <si>
    <t>OTROS ASUNTOS SOCIALES</t>
  </si>
  <si>
    <t>2.7.1</t>
  </si>
  <si>
    <t>Otros Asuntos Sociales</t>
  </si>
  <si>
    <t>3.1.</t>
  </si>
  <si>
    <t>ASUNTOS ECONÓMICOS, COMERCIALES Y LABORALES EN GENERAL</t>
  </si>
  <si>
    <t>3.1.1</t>
  </si>
  <si>
    <t>Asuntos Económicos y Comerciales en General</t>
  </si>
  <si>
    <t>3.5.</t>
  </si>
  <si>
    <t>TRANSPORTE</t>
  </si>
  <si>
    <t>3.5.6</t>
  </si>
  <si>
    <t>Otros Relacionados con Transporte</t>
  </si>
  <si>
    <t>3.6.</t>
  </si>
  <si>
    <t>COMUNICACIONES</t>
  </si>
  <si>
    <t>3.6.1</t>
  </si>
  <si>
    <t>Comunicaciones</t>
  </si>
  <si>
    <t>3.7.</t>
  </si>
  <si>
    <t>TURISMO</t>
  </si>
  <si>
    <t>3.7.1</t>
  </si>
  <si>
    <t>Turismo</t>
  </si>
  <si>
    <t>OTRAS NO CLASIFICADAS EN FUNCIONES ANTERIORES</t>
  </si>
  <si>
    <t>4.1.</t>
  </si>
  <si>
    <t>TRANSACCIONES DE LA DEUDA PUBLICA / COSTO FINANCIERO DE LA DEUDA</t>
  </si>
  <si>
    <t>4.1.1</t>
  </si>
  <si>
    <t>Deuda Pública Interna</t>
  </si>
  <si>
    <t>Presupuesto aprobado</t>
  </si>
  <si>
    <t>Subsidios: Sector Social y Privado o Entidades Federativas y Municipios</t>
  </si>
  <si>
    <t>S</t>
  </si>
  <si>
    <t>Sujetos a Reglas de Operación</t>
  </si>
  <si>
    <t>U</t>
  </si>
  <si>
    <t>Otros subsidios</t>
  </si>
  <si>
    <t>E</t>
  </si>
  <si>
    <t>Prestación de Servicios Públicos</t>
  </si>
  <si>
    <t>P</t>
  </si>
  <si>
    <t>Planeación, seguimiento y evaluación de políticas públicas</t>
  </si>
  <si>
    <t>Promoción y fomento</t>
  </si>
  <si>
    <t>R</t>
  </si>
  <si>
    <t>Específicos</t>
  </si>
  <si>
    <t>K</t>
  </si>
  <si>
    <t>Proyectos de Inversión</t>
  </si>
  <si>
    <t>DESEMPEÑO DE LAS FUNCIONES</t>
  </si>
  <si>
    <t>Administrativos y de apoyo</t>
  </si>
  <si>
    <t>M</t>
  </si>
  <si>
    <t>Apoyo al proceso presupuestario y para mejorar la eficiencia institucional</t>
  </si>
  <si>
    <t>Apoyo a la función pública y al mejoramiento de la gestión</t>
  </si>
  <si>
    <t>O</t>
  </si>
  <si>
    <t>OBLIGACIONES</t>
  </si>
  <si>
    <t>J</t>
  </si>
  <si>
    <t>Pensiones y jubilaciones</t>
  </si>
  <si>
    <t>Total presupuesto de egresos</t>
  </si>
  <si>
    <t>SÍNDICO MARÍA SALUD GARCÍA RODRÍGUEZ</t>
  </si>
  <si>
    <t>SÍNDICO CARLOS ALBERTO RUIZ LEÓN</t>
  </si>
  <si>
    <t>REGIDORA MARIA CRISTINA VILLALOBOS HERMOSILLO</t>
  </si>
  <si>
    <t>REGIDOR MICHEL ANGEL MARTINEZ ORLANZZINI</t>
  </si>
  <si>
    <t>REGIDORA MA. ISABEL HERREJON ARREDONDO</t>
  </si>
  <si>
    <t>REGIDORA RAQUEL TREJO GRANADOS</t>
  </si>
  <si>
    <t>REGIDOR ALDO SAHIB VELÁSQUEZ VELÁZQUEZ</t>
  </si>
  <si>
    <t>REGIDORA CATALINA PUGA RESILLAS</t>
  </si>
  <si>
    <t>REGIDORA MARIA ELOISA CHOLICO TORRES</t>
  </si>
  <si>
    <t>REGIDORA MA. DE SAN JUAN ESPINOZA BOLAÑOS</t>
  </si>
  <si>
    <t>REGIDOR JOSE AGUSTIN GASPAR AGUADO</t>
  </si>
  <si>
    <t>REGIDORA CLAUDIA ALEJANDRA SALAZAR HURTADO</t>
  </si>
  <si>
    <t>REGIDORA ROSALINDA DÍAZ LÓPEZ</t>
  </si>
  <si>
    <t>REGIDORA BLANCA ELENA GONZÁLEZ ZAVALA</t>
  </si>
  <si>
    <t>INSTITUTO MUNICIPAL DE VIVIENDA</t>
  </si>
  <si>
    <t>2.3.2</t>
  </si>
  <si>
    <t>Prestación de servicios de Salud a la Persona</t>
  </si>
  <si>
    <t>S0081</t>
  </si>
  <si>
    <t>S0080</t>
  </si>
  <si>
    <t>MATERIALES Y SUMINISTROS</t>
  </si>
  <si>
    <t>Construcción de obras para el abastecimiento de agua, petróleo, gas, electricidad y telecomunicaciones</t>
  </si>
  <si>
    <t>PUESTO</t>
  </si>
  <si>
    <t>SECRETARIO DE SEGURIDAD CIUDADANA NIVEL 1</t>
  </si>
  <si>
    <t>BOMBERO NIVEL 1</t>
  </si>
  <si>
    <t>BOMBERO NIVEL 2</t>
  </si>
  <si>
    <t>BOMBERO NIVEL 3</t>
  </si>
  <si>
    <t>TESORERO NIVEL 1</t>
  </si>
  <si>
    <t>SECRETARIA A NIVEL 4</t>
  </si>
  <si>
    <t>DIRECTOR GENERAL NIVEL 1</t>
  </si>
  <si>
    <t>JEFATURA A NIVEL 3</t>
  </si>
  <si>
    <t>AUDITOR NIVEL 1</t>
  </si>
  <si>
    <t>SUBDIRECTOR GENERAL NIVEL 2</t>
  </si>
  <si>
    <t>ENCARGADO A NIVEL 2</t>
  </si>
  <si>
    <t>AUXILIAR A NIVEL 1</t>
  </si>
  <si>
    <t>AUXILIAR A NIVEL 3</t>
  </si>
  <si>
    <t>JEFATURA B NIVEL 3</t>
  </si>
  <si>
    <t>JEFATURA B NIVEL 2</t>
  </si>
  <si>
    <t>JEFATURA A NIVEL 5</t>
  </si>
  <si>
    <t>JEFATURA B NIVEL 1</t>
  </si>
  <si>
    <t>COORDINADOR B NIVEL 5</t>
  </si>
  <si>
    <t>AUXILIAR C NIVEL 1</t>
  </si>
  <si>
    <t>COORDINADOR B NIVEL 4</t>
  </si>
  <si>
    <t>COORDINADOR A NIVEL 5</t>
  </si>
  <si>
    <t>AUXILIAR A NIVEL 2</t>
  </si>
  <si>
    <t>ENCARGADO A NIVEL 4</t>
  </si>
  <si>
    <t>JEFATURA B NIVEL 4</t>
  </si>
  <si>
    <t>ENCARGADO B NIVEL 2</t>
  </si>
  <si>
    <t>PROMOTOR NIVEL 1</t>
  </si>
  <si>
    <t>COORDINADOR A NIVEL 1</t>
  </si>
  <si>
    <t>SECRETARIA A NIVEL 3</t>
  </si>
  <si>
    <t>PROMOTOR NIVEL 2</t>
  </si>
  <si>
    <t>AUXILIAR A NIVEL 5</t>
  </si>
  <si>
    <t>JEFATURA C NIVEL 3</t>
  </si>
  <si>
    <t>ENCARGADO B NIVEL 3</t>
  </si>
  <si>
    <t>PROMOTOR NIVEL 4</t>
  </si>
  <si>
    <t>COORDINADOR A NIVEL 2</t>
  </si>
  <si>
    <t>AUXILIAR B NIVEL 2</t>
  </si>
  <si>
    <t>AUXILIAR C NIVEL 3</t>
  </si>
  <si>
    <t>SECRETARIA B NIVEL 2</t>
  </si>
  <si>
    <t>AUXILIAR B NIVEL 3</t>
  </si>
  <si>
    <t>ENCARGADO B NIVEL 1</t>
  </si>
  <si>
    <t>AUXILIAR B NIVEL 1</t>
  </si>
  <si>
    <t>AUXILIAR B NIVEL 4</t>
  </si>
  <si>
    <t>ENCARGADO C NIVEL 1</t>
  </si>
  <si>
    <t>ENCARGADO A NIVEL 3</t>
  </si>
  <si>
    <t>SECRETARIA B NIVEL 3</t>
  </si>
  <si>
    <t>AUXILIAR A NIVEL 4</t>
  </si>
  <si>
    <t>SECRETARIA B NIVEL 4</t>
  </si>
  <si>
    <t>AUXILIAR B NIVEL 5</t>
  </si>
  <si>
    <t>SECRETARIA A NIVEL 5</t>
  </si>
  <si>
    <t>INTENDENTE NIVEL 1</t>
  </si>
  <si>
    <t>AYUDANTE NIVEL 1</t>
  </si>
  <si>
    <t>AYUDANTE NIVEL 2</t>
  </si>
  <si>
    <t>AYUDANTE NIVEL 4</t>
  </si>
  <si>
    <t>OFICIAL DE CUADRILLA NIVEL 1</t>
  </si>
  <si>
    <t>VELADOR NIVEL 3</t>
  </si>
  <si>
    <t>PEON NIVEL 2</t>
  </si>
  <si>
    <t>ENCARGADO B NIVEL 4</t>
  </si>
  <si>
    <t>AUXILIAR C NIVEL 2</t>
  </si>
  <si>
    <t>JEFATURA A NIVEL 2</t>
  </si>
  <si>
    <t>INSPECTOR NIVEL 3</t>
  </si>
  <si>
    <t>JEFATURA C NIVEL 2</t>
  </si>
  <si>
    <t>JEFATURA B NIVEL 5</t>
  </si>
  <si>
    <t>TOPOGRAFO NIVEL 4</t>
  </si>
  <si>
    <t>SUPERVISOR NIVEL 2</t>
  </si>
  <si>
    <t>COORDINADOR B NIVEL 1</t>
  </si>
  <si>
    <t>PEON NIVEL 1</t>
  </si>
  <si>
    <t>VELADOR NIVEL 1</t>
  </si>
  <si>
    <t>ENCARGADO C NIVEL 3</t>
  </si>
  <si>
    <t>JARDINERO NIVEL 1</t>
  </si>
  <si>
    <t>JARDINERO NIVEL 2</t>
  </si>
  <si>
    <t>ANALISTA NIVEL 1</t>
  </si>
  <si>
    <t>SUBDIRECTOR GENERAL NIVEL 1</t>
  </si>
  <si>
    <t>COORDINADOR B NIVEL 3</t>
  </si>
  <si>
    <t>JEFATURA A NIVEL 4</t>
  </si>
  <si>
    <t>SUPERINTENDENTE NIVEL 2</t>
  </si>
  <si>
    <t>JEFATURA A NIVEL 1</t>
  </si>
  <si>
    <t>ENCARGADO A NIVEL 5</t>
  </si>
  <si>
    <t>SUPERINTENDENTE NIVEL 4</t>
  </si>
  <si>
    <t>SECRETARIA B NIVEL 1</t>
  </si>
  <si>
    <t>ARCHIVISTA NIVEL 1</t>
  </si>
  <si>
    <t>TOPOGRAFO NIVEL 1</t>
  </si>
  <si>
    <t>CHOFER NIVEL 3</t>
  </si>
  <si>
    <t>OPERADOR DE MAQUINARIA O BARREDORA NIVEL 1</t>
  </si>
  <si>
    <t>VELADOR NIVEL 4</t>
  </si>
  <si>
    <t>OFICIAL DE CUADRILLA NIVEL 2</t>
  </si>
  <si>
    <t>CHOFER NIVEL 1</t>
  </si>
  <si>
    <t>ENCARGADO B NIVEL 5</t>
  </si>
  <si>
    <t>COORDINADOR A NIVEL 4</t>
  </si>
  <si>
    <t>BIBLIOTECARIO NIVEL 2</t>
  </si>
  <si>
    <t>AUXILIAR C NIVEL 5</t>
  </si>
  <si>
    <t>SECRETARIA C NIVEL 2</t>
  </si>
  <si>
    <t>ENCARGADO C NIVEL 2</t>
  </si>
  <si>
    <t>COORDINADOR A NIVEL 3</t>
  </si>
  <si>
    <t>SECRETARIA B NIVEL 5</t>
  </si>
  <si>
    <t>VELADOR NIVEL 2</t>
  </si>
  <si>
    <t>CHOFER FUNCIONARIOS NIVEL 1</t>
  </si>
  <si>
    <t>PRESIDENTE MUNICIPAL NIVEL 1</t>
  </si>
  <si>
    <t>CRONISTA NIVEL 1</t>
  </si>
  <si>
    <t>ENCARGADO A NIVEL 1</t>
  </si>
  <si>
    <t>MATANCERO NIVEL 1</t>
  </si>
  <si>
    <t>INSPECTOR NIVEL 1</t>
  </si>
  <si>
    <t>ADMINISTRADOR NIVEL 2</t>
  </si>
  <si>
    <t>VETERINARIO NIVEL 1</t>
  </si>
  <si>
    <t>INSPECTOR NIVEL 4</t>
  </si>
  <si>
    <t>COORDINADOR B NIVEL 2</t>
  </si>
  <si>
    <t>AUXILIAR C NIVEL 4</t>
  </si>
  <si>
    <t>AYUDANTE NIVEL 3</t>
  </si>
  <si>
    <t>CHOFER NIVEL 2</t>
  </si>
  <si>
    <t>OPERADOR DE MAQUINARIA O BARREDORA NIVEL 3</t>
  </si>
  <si>
    <t>ENCARGADO C NIVEL 4</t>
  </si>
  <si>
    <t>INTENDENTE NIVEL 3</t>
  </si>
  <si>
    <t>SOLDADOR NIVEL 1</t>
  </si>
  <si>
    <t>JARDINERO NIVEL 3</t>
  </si>
  <si>
    <t>AYUDANTE NIVEL 5</t>
  </si>
  <si>
    <t>ELECTRICISTA NIVEL 1</t>
  </si>
  <si>
    <t>PANTEONERO NIVEL 2</t>
  </si>
  <si>
    <t>PANTEONERO NIVEL 3</t>
  </si>
  <si>
    <t>OPERADOR DE MAQUINARIA O BARREDORA NIVEL 2</t>
  </si>
  <si>
    <t>SUPERVISOR NIVEL 3</t>
  </si>
  <si>
    <t>ABOGADO NIVEL 5</t>
  </si>
  <si>
    <t>SINDICO NIVEL 1</t>
  </si>
  <si>
    <t>REGIDOR NIVEL 1</t>
  </si>
  <si>
    <t>SECRETARIA A NIVEL 1</t>
  </si>
  <si>
    <t>OFICIAL CALIFICADOR NIVEL 1</t>
  </si>
  <si>
    <t>SUBOFICIAL NIVEL 1</t>
  </si>
  <si>
    <t>COMISARIO NIVEL 1</t>
  </si>
  <si>
    <t>OFICIAL NIVEL 1</t>
  </si>
  <si>
    <t>MEDICO NIVEL 1</t>
  </si>
  <si>
    <t>PRIMER COMANDANTE DE VIALIDAD NIVEL 1</t>
  </si>
  <si>
    <t>AGENTE DE VIALIDAD NIVEL 1</t>
  </si>
  <si>
    <t>OFICIAL DE VIALIDAD NIVEL 2</t>
  </si>
  <si>
    <t>SEGUNDO COMANDANTE DE VIALIDAD NIVEL 1</t>
  </si>
  <si>
    <t>OFICIAL DE VIALIDAD NIVEL 1</t>
  </si>
  <si>
    <t>JEFATURA C NIVEL 1</t>
  </si>
  <si>
    <t>INSPECTOR NIVEL 2</t>
  </si>
  <si>
    <t>CHOFER FUNCIONARIOS NIVEL 5</t>
  </si>
  <si>
    <t>SECRETARIO DEL H.AYUNTAMIENTO NIVEL 1</t>
  </si>
  <si>
    <t>DELEGADO NIVEL 2</t>
  </si>
  <si>
    <t>DELEGADO NIVEL 1</t>
  </si>
  <si>
    <t>SUBDELEGADO NIVEL 1</t>
  </si>
  <si>
    <t>ABOGADO NIVEL 1</t>
  </si>
  <si>
    <t>ABOGADO NIVEL 3</t>
  </si>
  <si>
    <t>ABOGADO NIVEL 2</t>
  </si>
  <si>
    <t>ADMINISTRADOR NIVEL 1</t>
  </si>
  <si>
    <t>ADMINISTRADOR NIVEL 5</t>
  </si>
  <si>
    <t>SECRETARIA C NIVEL 4</t>
  </si>
  <si>
    <t>SECRETARIA C NIVEL 1</t>
  </si>
  <si>
    <t>PANTEONERO NIVEL 1</t>
  </si>
  <si>
    <t>ALBAÑIL NIVEL 1</t>
  </si>
  <si>
    <t>CAJERO NIVEL 5</t>
  </si>
  <si>
    <t>CAJERO NIVEL 2</t>
  </si>
  <si>
    <t>CAJERO NIVEL 1</t>
  </si>
  <si>
    <t>RECAUDADOR NIVEL 1</t>
  </si>
  <si>
    <t>CAJERO NIVEL 3</t>
  </si>
  <si>
    <t>NOTIFICADOR NIVEL 1</t>
  </si>
  <si>
    <t>VALUADOR NIVEL 1</t>
  </si>
  <si>
    <t>PROGRAMADOR NIVEL 1</t>
  </si>
  <si>
    <t>-</t>
  </si>
  <si>
    <t>A DESTAJO</t>
  </si>
  <si>
    <t>CLASIFICADOR POR OBJETO DEL GASTO</t>
  </si>
  <si>
    <t>PRESUPUESTO DE EGRESOS PARA EL EJERCICIO FISCAL 2022</t>
  </si>
  <si>
    <t>CALISIFICACIÓN ADMINISTRATIVA</t>
  </si>
  <si>
    <t>PREUSPUESTO APROBADO</t>
  </si>
  <si>
    <t>CLASIFICACIÓN FUNCIONAL DEL GASTO</t>
  </si>
  <si>
    <t>CLASIFICACIÓN POR TIPO DE GASTO</t>
  </si>
  <si>
    <t>Gasto corriente</t>
  </si>
  <si>
    <t>Gasto de capital</t>
  </si>
  <si>
    <t>Amortización de la deuda y Disminución de pasivos</t>
  </si>
  <si>
    <t>TRANSFERENCIAS, SUBSIDIOS Y OTRAS AYUDAS</t>
  </si>
  <si>
    <t>MATERIALES  Y SUMINISTROS</t>
  </si>
  <si>
    <t>PRIORIDADES DEL GASTO</t>
  </si>
  <si>
    <t>PRIORIDAD</t>
  </si>
  <si>
    <t>Programas Presupuestarios</t>
  </si>
  <si>
    <t>PROGRAMAS Y PROYECTOS</t>
  </si>
  <si>
    <t>REMUNERACIÓN</t>
  </si>
  <si>
    <t>COORDINADOR DE ÁREA NIVEL 3</t>
  </si>
  <si>
    <t>DIRECTOR DE ÁREA NIVEL 3</t>
  </si>
  <si>
    <t>DIRECTOR DE ÁREA NIVEL 4</t>
  </si>
  <si>
    <t>DIRECTOR DE ÁREA NIVEL 1</t>
  </si>
  <si>
    <t>SUBDIRECTOR DE ÁREA NIVEL 1</t>
  </si>
  <si>
    <t>ESPECIALISTA TÉCNICO NIVEL 1</t>
  </si>
  <si>
    <t>POLICÍA 1o. NIVEL 1</t>
  </si>
  <si>
    <t>POLICÍA 2o. NIVEL 1</t>
  </si>
  <si>
    <t>POLICÍA 3o. NIVEL 1</t>
  </si>
  <si>
    <t>POLICÍA JEFE UNIDAD DE ANALISIS NIVEL 1</t>
  </si>
  <si>
    <t>POLICÍA JEFE UNIDAD DE REACCION NIVEL 1</t>
  </si>
  <si>
    <t>POLICÍA NIVEL 1</t>
  </si>
  <si>
    <t>POLICÍA UNIDAD DE ANALISIS NIVEL 1</t>
  </si>
  <si>
    <t>POLICÍA UNIDAD DE REACCION NIVEL 1</t>
  </si>
  <si>
    <t>COORDINADOR DE ÁREA NIVEL 2</t>
  </si>
  <si>
    <t>SUBDIRECTOR DE ÁREA NIVEL 2</t>
  </si>
  <si>
    <t xml:space="preserve">PROG.  MI COLONIA A COLOR  </t>
  </si>
  <si>
    <t>PROG. APOYO DE INTEGRACIÓN SOCIAL</t>
  </si>
  <si>
    <t xml:space="preserve">PROG. GTO. ME MUEVE </t>
  </si>
  <si>
    <t>PROGRAMA DE MEJORAMIENTO DE ESPÁCIOS PÚBLICOS</t>
  </si>
  <si>
    <t xml:space="preserve">INSUMOS AGRÍCOLAS </t>
  </si>
  <si>
    <t>PROGRAMA ESTATAL TECNOCAMPO GUANAJUATO</t>
  </si>
  <si>
    <t>APOYO AL EMPRENDEDOR MUNICIPAL</t>
  </si>
  <si>
    <t>PROGRAMA DESARROLLO ECONOMICO</t>
  </si>
  <si>
    <t>LIMPIEZA DE DRENES Y DESASOLVE (LA BEGOÑA)</t>
  </si>
  <si>
    <t>PROG. INTERNET PARA MI COMUNIDAD</t>
  </si>
  <si>
    <t>PROGRAMA ESTIMULO A LA EDUCACIÓN PRIMARIA (SB)</t>
  </si>
  <si>
    <t>PROGRAMA ALCALDE EN TU ESCUELA</t>
  </si>
  <si>
    <t>PROGRAMA APOYOS POR CONVENIO INSTITUCIONES DE ENSEÑANZA</t>
  </si>
  <si>
    <t>PROG. DE CAPACITACIÓN AL CAMPO</t>
  </si>
  <si>
    <t>PROG. DE APOYO E INTEGRACIÓN SOCIAL</t>
  </si>
  <si>
    <t>APORT. CONSEJO DE TURISMO DE CELAYA FONDOS MIXTOS</t>
  </si>
  <si>
    <t>PATRONATO DEL PARQUE XOCHIPILLI</t>
  </si>
  <si>
    <t>SUBSIDIOS</t>
  </si>
  <si>
    <t>COORD. DE SERVICIOS MÉDICOS Y DISCAPACIDAD</t>
  </si>
  <si>
    <t>DIR. GENERAL D.I.F</t>
  </si>
  <si>
    <t>DIR. GENERAL SIDEC</t>
  </si>
  <si>
    <t>SERVICIOS ADMINISTRATIVOS</t>
  </si>
  <si>
    <t>DIR. GENERAL</t>
  </si>
  <si>
    <t>PROG MI PATIO PRODUCTIVO</t>
  </si>
  <si>
    <t xml:space="preserve">PROGRAMA INFRAESTRUCTURA </t>
  </si>
  <si>
    <t>ATENCIÓN CIUDADANA</t>
  </si>
  <si>
    <t>CINE EN TU BARRIO</t>
  </si>
  <si>
    <t>PROG. REHABILITACIÓN, MTTO DE ÁREAS Y ENTORNOS URBANOS</t>
  </si>
  <si>
    <t>PROG. CINE EN TU COMUNIDAD</t>
  </si>
  <si>
    <t>CENTROS CASA</t>
  </si>
  <si>
    <t>ADMINISTRACIÓN INTERNA SALUD</t>
  </si>
  <si>
    <t>PREVENCIÓN Y CONTROL DE RABIA</t>
  </si>
  <si>
    <t>PROG. CONTROL Y FOMENTO SANITARIO</t>
  </si>
  <si>
    <t>TEATRO DE LA CIUDAD</t>
  </si>
  <si>
    <t>PROG. DE CLORACIÓN DEL AGUA</t>
  </si>
  <si>
    <t>PROG. CAMPAÑAS DE SALUD</t>
  </si>
  <si>
    <t>PROG. SANEAMIENTO BÁSICO Y SALUD ESCOLAR</t>
  </si>
  <si>
    <t>PROG. VECTORES (DENGUE)</t>
  </si>
  <si>
    <t>JUECES CALIFICADORES</t>
  </si>
  <si>
    <t>PROGRAMA SERVICIO MILITAR NACIONAL</t>
  </si>
  <si>
    <t>CONTRATOS, TITULACIÓN Y ATENCIÓN A PROCESOS LEGALES</t>
  </si>
  <si>
    <t>PASAPORTES Y ASUNTOS CONSULARES</t>
  </si>
  <si>
    <t>PREVENCIÓN, MITIGACIÓN DE RIESGOS Y CONTROL DE INCENDIOS</t>
  </si>
  <si>
    <t>JUSTICIA EXPEDITA</t>
  </si>
  <si>
    <t>SERVICIO DE LICENCIAS E INFRACCIONES</t>
  </si>
  <si>
    <t xml:space="preserve">PROG. OPERATIVO DE TRANSPORTE, VIALIDAD </t>
  </si>
  <si>
    <t>SERVICIO ADMINISTRATIVO</t>
  </si>
  <si>
    <t>ADMINISTRACIÓN INMOBILIARIA</t>
  </si>
  <si>
    <t>COMERCIO EN LA VÍA PÚBLICA</t>
  </si>
  <si>
    <t>MERCADOS Y TIANGUIS</t>
  </si>
  <si>
    <t>ESTABLECIMIENTOS COMERCIALES Y DE SERVICIOS C/VTA DE BEBIDAS ALCOHÓLICAS</t>
  </si>
  <si>
    <t>GASTOS ADMINISTRATIVOS</t>
  </si>
  <si>
    <t>SUPERINTENDENCIA DE MANTENIMIENTO</t>
  </si>
  <si>
    <t>DIR. DE CONTROL DEL DESARROLLO</t>
  </si>
  <si>
    <t>DIR. DE FRACCIONAMIENTOS</t>
  </si>
  <si>
    <t>ADMINISTRACIÓN</t>
  </si>
  <si>
    <t>CELAYA NUEVA IMAGEN</t>
  </si>
  <si>
    <t>RASTRO MUNICIPAL</t>
  </si>
  <si>
    <t>CELAYA ILUMINADA</t>
  </si>
  <si>
    <t>PANTEONES PÚBLICOS MUNICIPALES</t>
  </si>
  <si>
    <t>ASEO ADMINISTRATIVO</t>
  </si>
  <si>
    <t>PROG. RECOLECCIÓN DE RESIDUOS SÓLIDOS URBANOS</t>
  </si>
  <si>
    <t>PROG.TRATAMIENTO Y DISPOSICIÓN DE RESIDUOS SÓLIDOS</t>
  </si>
  <si>
    <t>PROGRAMA OPERATIVO</t>
  </si>
  <si>
    <t>COORDINACIÓN DE AGUA POTABLE Y ALCANTARILLADO</t>
  </si>
  <si>
    <t>PROGRAMA C-4</t>
  </si>
  <si>
    <t>MERCADO SAN JUAN DE LA VEGA</t>
  </si>
  <si>
    <t xml:space="preserve">PROGRAMA SERVICIOS DE CALIDAD  </t>
  </si>
  <si>
    <t>UNIDAD ADMINISTRATIVA</t>
  </si>
  <si>
    <t>UNIDAD DE PREVENCIÓN Y CONTROL AMBIENTAL</t>
  </si>
  <si>
    <t>UNIDAD DE RECURSOS NATURALES Y ORDENAMIENTO ECOLÓGICO</t>
  </si>
  <si>
    <t>PROYECTOS SMAOT</t>
  </si>
  <si>
    <t xml:space="preserve">CENTRO DE ASISTENCIA ANIMAL </t>
  </si>
  <si>
    <t>PROG. ADMINISTRATIVO SECRETARÍA DEL AYUNTAMIENTO</t>
  </si>
  <si>
    <t>COORDINACIÓN OPERATIVA</t>
  </si>
  <si>
    <t>COMUNICACIÓN SOCIAL</t>
  </si>
  <si>
    <t>RELACIONES PÚBLICAS</t>
  </si>
  <si>
    <t>COORDINACIÓN DE DELEGADOS</t>
  </si>
  <si>
    <t>CARRERA TÉCNICA</t>
  </si>
  <si>
    <t>OBRA PÚBLICA RECURSO DE LIBRE DISPOSICIÓN</t>
  </si>
  <si>
    <t>OBRA PÚBLICA RECURSO FAISM</t>
  </si>
  <si>
    <t>OBRA PÚBLICA RECURSO FORTAMUN</t>
  </si>
  <si>
    <t>REMANENTE LD. PGO 2021</t>
  </si>
  <si>
    <t xml:space="preserve">REMANENTE RECURSO DE LIBRE DISPOSICIÓN  </t>
  </si>
  <si>
    <t>PROGRAMA ATRACCIÓN DE INVERSIONES</t>
  </si>
  <si>
    <t>MIPYMES Y MEJORA REGULATORIA</t>
  </si>
  <si>
    <t>CONTABILIDAD Y  PRESUPUESTO</t>
  </si>
  <si>
    <t>GASTOS OPERATIVOS</t>
  </si>
  <si>
    <t>GESTIÓN CIUDADANA</t>
  </si>
  <si>
    <t>ATENCIONES DEL PRESIDENTE</t>
  </si>
  <si>
    <t>MÓDULO DE ATENCIÓN PERSONALIZADA</t>
  </si>
  <si>
    <t>CRÓNICA MUNICIPAL</t>
  </si>
  <si>
    <t>DIFUSIÓN DE LA UNIDAD DE ACCESO</t>
  </si>
  <si>
    <t>COORDINACIÓN DE ARCHIVOS</t>
  </si>
  <si>
    <t>ADMINISTRACIÓN DE LA OFICIALÍA</t>
  </si>
  <si>
    <t>MANTENIMIENTO DE BIENES MUEBLES Y ESTACIONAMIENTO</t>
  </si>
  <si>
    <t>ADMINISTRACIÓN DE RECURSOS HUMANOS</t>
  </si>
  <si>
    <t>SERVICIO SOCIAL Y PRÁCTICAS PROFESIONALES</t>
  </si>
  <si>
    <t>ADMINISTRACIÓN DE LA HACIENDA PÚBLICA</t>
  </si>
  <si>
    <t>RECAUDACIÓN DE INGRESOS MUNICIPALES</t>
  </si>
  <si>
    <t>PROGRAMA GEOMÁTICA, PROCESAMIENTO Y ACTUALIZACIÓN</t>
  </si>
  <si>
    <t>ACT. PADRÓN DE PROVEEDORES, EMISIÓN DE ÓRDENES DE COMPRA</t>
  </si>
  <si>
    <t>PROG. DE DESARROLLO INFORMÁTICO</t>
  </si>
  <si>
    <t>REDES Y TELECOMUNICACIONES</t>
  </si>
  <si>
    <t>CONTROL DE ALMACÉN</t>
  </si>
  <si>
    <t>BIENES MUEBLES E INMUEBLES</t>
  </si>
  <si>
    <t>AUDITORÍAS</t>
  </si>
  <si>
    <t>ASUNTOS JURÍDICOS</t>
  </si>
  <si>
    <t>PROGRAMA ANUAL DE OBRAS Y CONTROL ADMINISTRATIVO</t>
  </si>
  <si>
    <t xml:space="preserve">CONTROL TÉCNICO Y SUPERVISIÓN </t>
  </si>
  <si>
    <t>PROFESIONALIZACIÓN DEL POLICÍA</t>
  </si>
  <si>
    <t>PARQUE BICENTENARIO</t>
  </si>
  <si>
    <t>PROG DE SEGURIDAD PÚBLICA CON UNA VISIÓN CIUDADANA</t>
  </si>
  <si>
    <t>EJECUCIÓN Y SEGUIMIENTO</t>
  </si>
  <si>
    <t>PRESUPUESTO DE INGRESOS Y EGRESOS PARA EL EJERCICIO FISCAL 2022</t>
  </si>
  <si>
    <t>COG/CRI</t>
  </si>
  <si>
    <t>APROBADO 2020</t>
  </si>
  <si>
    <t xml:space="preserve">PRESUPUESTO </t>
  </si>
  <si>
    <t>CONTRIBUCIÓN DE MEJORAS POR OBRAS PÚBLICAS</t>
  </si>
  <si>
    <t>PARTICIPACIONES Y APORTACIONES</t>
  </si>
  <si>
    <t>TOTAL INGRESOS</t>
  </si>
  <si>
    <t>E G R E S O S</t>
  </si>
  <si>
    <t>Otros convenios</t>
  </si>
  <si>
    <t xml:space="preserve">Gastos derivados del proceso de transición  </t>
  </si>
  <si>
    <t>RESUMEN INGRESOS-EGRESOS</t>
  </si>
  <si>
    <t>MUNICIPIO DE CELAYA, GTO.</t>
  </si>
  <si>
    <t>PRESUPUESTO   DE   INGRESOS   Y   EGRESOS   PARA   EL   EJERCICIO   FISCAL   2022</t>
  </si>
  <si>
    <t xml:space="preserve">ANALÍTICO   DE    INGRESOS </t>
  </si>
  <si>
    <t>TOTAL  DE  INGRESOS   ESTIMADOS</t>
  </si>
  <si>
    <t>INGRESOS DERIVADOS DE FINANCIAMIENTO</t>
  </si>
  <si>
    <t>ANALÍTICO DE EGRESOS</t>
  </si>
  <si>
    <t>C.A/C.P/COG</t>
  </si>
  <si>
    <t>2019 CIERRE DE EJERCICIO</t>
  </si>
  <si>
    <t>TERCERA MODIFICACIÓN</t>
  </si>
  <si>
    <t>PRESUPUESTO AL CIERRE DE EJERCICIO</t>
  </si>
  <si>
    <t>PRESUPUESTO 2021 AL 28 FEBRERO</t>
  </si>
  <si>
    <t>AUMENTO</t>
  </si>
  <si>
    <t>DISMINUCIÓN</t>
  </si>
  <si>
    <t>REMANENTES 2021</t>
  </si>
  <si>
    <t>APROBADO PRIMERA MODIFICACIÓN</t>
  </si>
  <si>
    <t>SEGUNDA MODIFICACIÓN</t>
  </si>
  <si>
    <t>DEV+PAG A SEPTIEMBRE</t>
  </si>
  <si>
    <t>ANTEPROYECTO DEL PRESUPUESTO 2022</t>
  </si>
  <si>
    <t xml:space="preserve"> -   </t>
  </si>
  <si>
    <t>O0039</t>
  </si>
  <si>
    <t>GESTIÓN FINANCIERA</t>
  </si>
  <si>
    <t xml:space="preserve">Computadoras y equipo periferico </t>
  </si>
  <si>
    <t xml:space="preserve">Refacciones  y accesorios  menores de equipo  de computo y tecnologias de la informacion </t>
  </si>
  <si>
    <t>31111-0147</t>
  </si>
  <si>
    <t>LIC. JORGE ARMENGOL DURÁN</t>
  </si>
  <si>
    <t>31111-0148</t>
  </si>
  <si>
    <t>LIC. ADRIANA JOSEFINA AUDELO ARANA</t>
  </si>
  <si>
    <t>31111-0149</t>
  </si>
  <si>
    <t>C. CARLOS RIVAS AGUILAR</t>
  </si>
  <si>
    <t>Computadoras y equipo periferico</t>
  </si>
  <si>
    <t>31111-0150</t>
  </si>
  <si>
    <t>C. MARTHA ANGÉLICA RAMÍREZ BARBA</t>
  </si>
  <si>
    <t>31111-0151</t>
  </si>
  <si>
    <t>LIC. ALDO SAHIB VELÁSQUEZ VELÁZQUEZ / SERGIO ISMAEL RUÍZ LÓPEZ</t>
  </si>
  <si>
    <t>materiales y utiles de impresión</t>
  </si>
  <si>
    <t>31111-0152</t>
  </si>
  <si>
    <t>C. REBECA LOMELÍ VELASCO</t>
  </si>
  <si>
    <t>31111-0153</t>
  </si>
  <si>
    <t>LIC. EZEQUIEL MANCERA MARTÍNEZ</t>
  </si>
  <si>
    <t>31111-0154</t>
  </si>
  <si>
    <t>LIC. JUAN CARLOS OLIVEROS SÁNCHEZ</t>
  </si>
  <si>
    <t>31111-0155</t>
  </si>
  <si>
    <t>LIC. URIEL AGUSTÍN PINEDA SOTO</t>
  </si>
  <si>
    <t>31111-0156</t>
  </si>
  <si>
    <t>LIC. BARBARA VARELA ROSALES / MA DE SAN JUAN ESPINOSA BOLAÑOS</t>
  </si>
  <si>
    <t>31111-0157</t>
  </si>
  <si>
    <t>LIC. JOSE LUIS ALVAREZ ALFARO</t>
  </si>
  <si>
    <t>31111-0158</t>
  </si>
  <si>
    <t>LIC. MARÍA DE LA SALUD GARCÍA RODRÍGUEZ / MARGARITA VIVIANA RODRÍGUEZ GONZÁLEZ</t>
  </si>
  <si>
    <t>31111-0159</t>
  </si>
  <si>
    <t>L.E. MAURICIO HERNÁNDEZ MENDOZA</t>
  </si>
  <si>
    <t>31111-0160</t>
  </si>
  <si>
    <t>LIC. MÓNICA DELGADO DELGADO</t>
  </si>
  <si>
    <t>Refacciones de equipo de computo</t>
  </si>
  <si>
    <t>Material estadístico y geográfico</t>
  </si>
  <si>
    <t>servicio de telefonía celular</t>
  </si>
  <si>
    <t>Exposiciones</t>
  </si>
  <si>
    <t>materiales y utiles de oficina</t>
  </si>
  <si>
    <t>S0044</t>
  </si>
  <si>
    <t>PROG. DESASOLVE DE CANALES Y DRENES</t>
  </si>
  <si>
    <t>Material de Limpieza</t>
  </si>
  <si>
    <t>Otros equipos</t>
  </si>
  <si>
    <t>Servicio de jardineria y fúmigación</t>
  </si>
  <si>
    <t>Muebles de oficina y estanterías</t>
  </si>
  <si>
    <t xml:space="preserve">Aparatos Electricos de uso domestico </t>
  </si>
  <si>
    <t xml:space="preserve">Herramientas y maquinaria-herramienta </t>
  </si>
  <si>
    <t>S0072</t>
  </si>
  <si>
    <t>PROG. DE APOYO GRUPOS VULNERABLES DE ORDEN SOCIAL Y CULTURAL</t>
  </si>
  <si>
    <t>Otros productos</t>
  </si>
  <si>
    <t>Materiales diversos</t>
  </si>
  <si>
    <t>Materiales de construccion de cal y yeso</t>
  </si>
  <si>
    <t>Refacciones y accesorios de equipo educacional y recreativo</t>
  </si>
  <si>
    <t>Mobiliario y equipo para comercio y servicios</t>
  </si>
  <si>
    <t xml:space="preserve">Maquinaria y Equipo Industrial </t>
  </si>
  <si>
    <t xml:space="preserve">Equipo de Comunicación y Telecomunicación </t>
  </si>
  <si>
    <t>Aparatos eléctricos de uso doméstico</t>
  </si>
  <si>
    <t>Herramientas y maquinas -herramienta</t>
  </si>
  <si>
    <t>Audio y Video</t>
  </si>
  <si>
    <t>S0209</t>
  </si>
  <si>
    <t>PROGRAMA ESCUELA DIGNA</t>
  </si>
  <si>
    <t xml:space="preserve">Gatos relacionados con actividades culturales,deportivas y de ayuda extraordinaria </t>
  </si>
  <si>
    <t>Equipo para uso médico, dental y para laboratorio</t>
  </si>
  <si>
    <t>Otros Impuestos y Derechos</t>
  </si>
  <si>
    <t>Otro equipo de transporte</t>
  </si>
  <si>
    <t xml:space="preserve">Equipos menores de oficina </t>
  </si>
  <si>
    <t>S0058</t>
  </si>
  <si>
    <t xml:space="preserve">PROG. MI GANADO PRODUCTIVO </t>
  </si>
  <si>
    <t>Gastos relacionados con actividades culturales, deportivas y de ayuda extraordinaria (INSUMOS MOCHILAS ASPERSONAS)</t>
  </si>
  <si>
    <t>Gastos relacionados con actividades culturales, deportivas y de ayuda extraordinaria (SEMILLA DE MAIZ BLANCO, PAQUETE TECNOLOGICO)</t>
  </si>
  <si>
    <t>Gastos relacionados con actividades culturales, deportivas y de ayuda extraordinaria (SEMILLA DE MAIZ AMARILLO, PAQUETE TECNOLOGICO)</t>
  </si>
  <si>
    <t xml:space="preserve">PROG. MI PATIO PRODUCTIVO   </t>
  </si>
  <si>
    <t>Gastos relacionados con actividades culturales, deportivas y de ayuda extraordinaria (BORREGAS)</t>
  </si>
  <si>
    <t>Gastos relacionados con actividades culturales, deportivas y de ayuda extraordinaria (CABRAS)</t>
  </si>
  <si>
    <t>Gastos relacionados con actividades culturales, deportivas y de ayuda extraordinaria (TORTILLADORAS ECOLOGICAS)</t>
  </si>
  <si>
    <t>Gastos relacionados con actividades culturales, deportivas y de ayuda extraordinaria (MOLINOS FORRAJEROS)</t>
  </si>
  <si>
    <t xml:space="preserve">BORDERIA </t>
  </si>
  <si>
    <t>PROG.  TRABAJEMOS JUNTOS</t>
  </si>
  <si>
    <t>31111-0308</t>
  </si>
  <si>
    <t>COORD. DE EXTENSIONISMO</t>
  </si>
  <si>
    <t>PROG. SANIDAD VEGETAL</t>
  </si>
  <si>
    <t xml:space="preserve"> INSUMOS AGRICOLAS </t>
  </si>
  <si>
    <t>U0270</t>
  </si>
  <si>
    <t>PROGRAMA DE IMPULSOS SOCIAL</t>
  </si>
  <si>
    <t>O0262</t>
  </si>
  <si>
    <t xml:space="preserve">Servicio de acceso de internet, redes y procesamiento de información </t>
  </si>
  <si>
    <t>Servicios de creatividad, preproducción y producción de publicidad, excepto Internet</t>
  </si>
  <si>
    <t>Otros Equipos de Transporte</t>
  </si>
  <si>
    <t>Otros mobiliarios y equipos de ADMINISTRACIÓN</t>
  </si>
  <si>
    <t>Servicio de limpieza y manejo de desechos</t>
  </si>
  <si>
    <t xml:space="preserve">Servicios de Capacitacion </t>
  </si>
  <si>
    <t>Automoviles y Camiones</t>
  </si>
  <si>
    <t>Gas Natural L.P.</t>
  </si>
  <si>
    <t>Refacciones y accesorios menores de equipo de transporte</t>
  </si>
  <si>
    <t>Medios magneticos y opticos</t>
  </si>
  <si>
    <t>ESTRUCTURA CENTRALIZADA COMISIONADA A BIBLIOTECAS.</t>
  </si>
  <si>
    <t>Otro mobiliario y equipo educacional y recreativo</t>
  </si>
  <si>
    <t>Servicio telefonia tradicional</t>
  </si>
  <si>
    <t>Otros equipos de Transporte</t>
  </si>
  <si>
    <t>E0162</t>
  </si>
  <si>
    <t>GASTOS DE TRANSICION</t>
  </si>
  <si>
    <t>S0299</t>
  </si>
  <si>
    <t>PROGRAMA PRODIM</t>
  </si>
  <si>
    <t>Sistema de aires acondicionados, calefación y de refrigeración industrial y comercial.</t>
  </si>
  <si>
    <t>Materieles complementarios</t>
  </si>
  <si>
    <t>Impresión y elaboración de publicaciones oficiales</t>
  </si>
  <si>
    <t>otros mobiliarios y equipo de administracion</t>
  </si>
  <si>
    <t>otros equipos de trasnporte</t>
  </si>
  <si>
    <t>Prendas de Seguridad personal</t>
  </si>
  <si>
    <t>Contratación de otros servicios</t>
  </si>
  <si>
    <t>materiales para el registro e identifiacion de personas</t>
  </si>
  <si>
    <t>Prendas de Seguridad</t>
  </si>
  <si>
    <t>Herramientas Menores</t>
  </si>
  <si>
    <t>refacciones y accesorios menores de edificios</t>
  </si>
  <si>
    <t>Equipo de Comunicación  y Telecomunicacion</t>
  </si>
  <si>
    <t>Patentes</t>
  </si>
  <si>
    <t xml:space="preserve">Arrendamiento de equipo y bienes informáticos </t>
  </si>
  <si>
    <t>Gastos de las oficinas de servidores públicos superiores y mandos medios</t>
  </si>
  <si>
    <t>Accesorios de iluminación</t>
  </si>
  <si>
    <t>Computadoras y Equipo Periferico</t>
  </si>
  <si>
    <t>Accesorios y Refacciones de Equipo de Computo</t>
  </si>
  <si>
    <t>Material Electrico y Electronico</t>
  </si>
  <si>
    <t xml:space="preserve">Instalacion de material electrico </t>
  </si>
  <si>
    <t>Herramienta menores</t>
  </si>
  <si>
    <t xml:space="preserve">Refacciones y accesorios menores de edificios </t>
  </si>
  <si>
    <t>Instalacion, reparacion y mantenimiento de mobiliario y equipo administrativo</t>
  </si>
  <si>
    <t>Servicio de mensajeria</t>
  </si>
  <si>
    <t>Materila de Limpieza</t>
  </si>
  <si>
    <t>Sustancias químicas</t>
  </si>
  <si>
    <t>Carrocerías y remolques</t>
  </si>
  <si>
    <t>Maquinaria y equipo de construcción</t>
  </si>
  <si>
    <t>Servicio de Consultoria</t>
  </si>
  <si>
    <t xml:space="preserve">Muebles de oficina y estantería </t>
  </si>
  <si>
    <t>Computadoras y equipos periféricos</t>
  </si>
  <si>
    <t xml:space="preserve">software </t>
  </si>
  <si>
    <t>Otros equipos de transporte</t>
  </si>
  <si>
    <t>materiles y utiles de impresión y reproduccion</t>
  </si>
  <si>
    <t>Prendas de proteccion personal</t>
  </si>
  <si>
    <t>Muebles de oficina y estanteria</t>
  </si>
  <si>
    <t>Capacitación de los servidores públicos</t>
  </si>
  <si>
    <t>Servicio Agua</t>
  </si>
  <si>
    <t>Alimentos Centro de Detencion Municipal</t>
  </si>
  <si>
    <t>Instalación, Reparación, Mantenimiento de Maquinaria,otros equipos y herramienta</t>
  </si>
  <si>
    <t>Servicios de procasamiento de Información</t>
  </si>
  <si>
    <t>Materiales y utiles de enseñanza</t>
  </si>
  <si>
    <t>Productos alimenticios para  los efectivos que participen en programas de seguridad pùblica</t>
  </si>
  <si>
    <t xml:space="preserve">Contratación de otros servicios </t>
  </si>
  <si>
    <t>Arrendamiento de vehículos terrestres, aéreos, marítimos, lacustres y fluviales para la ejecución de programas de seguridad pública y nacional</t>
  </si>
  <si>
    <t>Servicios de Jardineria y Fumigación</t>
  </si>
  <si>
    <t>Gastos de Seguridad  Pùblica</t>
  </si>
  <si>
    <t>Sentencias y Resoluciones judiciales</t>
  </si>
  <si>
    <t>Materiales y utiles de impresión y reproducción.</t>
  </si>
  <si>
    <t>materiales y utiles de enseñanza</t>
  </si>
  <si>
    <t>Productos textiles</t>
  </si>
  <si>
    <t>Materiales de seguridad pública</t>
  </si>
  <si>
    <t>Refacciones y accesorios menores de equipo de computo y tecnologias de la informacion</t>
  </si>
  <si>
    <t>Seguro de Bienes Patrimoniales</t>
  </si>
  <si>
    <t>adaptacion de inmuebles</t>
  </si>
  <si>
    <t>Equipo de defensa y de seguridad</t>
  </si>
  <si>
    <t>E0118</t>
  </si>
  <si>
    <t>EQUIPAMIENTO Y TEGNOLOGÍA</t>
  </si>
  <si>
    <t>O0119</t>
  </si>
  <si>
    <t>PROG. FORTASEG</t>
  </si>
  <si>
    <t xml:space="preserve">Estímulos al personal operativo </t>
  </si>
  <si>
    <t xml:space="preserve">Prendas de protección para seguridad pública </t>
  </si>
  <si>
    <t>Servicios de investigación de desarrollo</t>
  </si>
  <si>
    <t>Conservación y Mtto de Inmuebles</t>
  </si>
  <si>
    <t>Muebles de Oficina y Estantería</t>
  </si>
  <si>
    <t>Sistemas de Aire Acondicionado, Calefacción y de Refrigeración Industrial y Comercial</t>
  </si>
  <si>
    <t>Material de construccion de concreto</t>
  </si>
  <si>
    <t>Prendas de Protección Personal</t>
  </si>
  <si>
    <t>Materiales y utiles de impresion</t>
  </si>
  <si>
    <t>Materiales y utiles de tecnologias de la información comunicaciones</t>
  </si>
  <si>
    <t>Refacciones y accesorios menores</t>
  </si>
  <si>
    <t>Instalación reparación y mantenimiento de bienes informaticos</t>
  </si>
  <si>
    <t>Difusion</t>
  </si>
  <si>
    <t xml:space="preserve">Software </t>
  </si>
  <si>
    <t>Equipo de audio y video</t>
  </si>
  <si>
    <t>PROGRAMA VIVO LOS ESPACIOS EN MI COLONIA (PVEMC)</t>
  </si>
  <si>
    <t>Transferencia para inversión pública</t>
  </si>
  <si>
    <t>Construcción de obras para el abastecimiento de agua, petróleo, gas, electricidad y telecomunicaciones
telecomunicaciones</t>
  </si>
  <si>
    <t>S0030</t>
  </si>
  <si>
    <t xml:space="preserve">PROG. PSBGTO  </t>
  </si>
  <si>
    <t>S0031</t>
  </si>
  <si>
    <t xml:space="preserve">PROG. PSBMC </t>
  </si>
  <si>
    <t>S0037</t>
  </si>
  <si>
    <t>PROG. PARA LA RECONSTRUCCIÓN  DEL TEJIDO SOCIAL</t>
  </si>
  <si>
    <t>S0041</t>
  </si>
  <si>
    <t>PROG. DE DESARROLLO REGIONAL</t>
  </si>
  <si>
    <t>S0043</t>
  </si>
  <si>
    <t xml:space="preserve">PROG. CONECTANDO MI CAMINO </t>
  </si>
  <si>
    <t>S0059</t>
  </si>
  <si>
    <t xml:space="preserve">PIESCC  </t>
  </si>
  <si>
    <t>S0063</t>
  </si>
  <si>
    <t>PIECIS</t>
  </si>
  <si>
    <t>S0064</t>
  </si>
  <si>
    <t xml:space="preserve">SEDESHU </t>
  </si>
  <si>
    <t>S0065</t>
  </si>
  <si>
    <t>PROGRAMA LIMPIEZA Y REFORZAMIENTO</t>
  </si>
  <si>
    <t>S0067</t>
  </si>
  <si>
    <t>PROG.VIVO LOS ESPACIOS EN MI COLONIA</t>
  </si>
  <si>
    <t>S0069</t>
  </si>
  <si>
    <t>PAICE FEDERAL</t>
  </si>
  <si>
    <t>S0075</t>
  </si>
  <si>
    <t>PROGRAMA AL CAMPO</t>
  </si>
  <si>
    <t>PROGRAMA DESARROLLO ECONÓMICO</t>
  </si>
  <si>
    <t>S0077</t>
  </si>
  <si>
    <t>PROGRAMA SDAYR</t>
  </si>
  <si>
    <t>S0079</t>
  </si>
  <si>
    <t>U0189</t>
  </si>
  <si>
    <t>APORTACIÓN ESTATAL SIDEC</t>
  </si>
  <si>
    <t>U0271</t>
  </si>
  <si>
    <t>U0272</t>
  </si>
  <si>
    <t>APORTACIÓN  SECTUR</t>
  </si>
  <si>
    <t>Servicios de capacitacion</t>
  </si>
  <si>
    <t>Instalacion,reparacion y mantenimiento de maquinaria,otros equipos y herramienta</t>
  </si>
  <si>
    <t>Viaticos nacionales</t>
  </si>
  <si>
    <t>E0308</t>
  </si>
  <si>
    <t>UNIDAD DE PLANEACIÓN Y GESTIÓN</t>
  </si>
  <si>
    <t>Otros Equipos</t>
  </si>
  <si>
    <t>Insumos textiles</t>
  </si>
  <si>
    <t>Estructuras y manufacturas</t>
  </si>
  <si>
    <t>Servicios integrales</t>
  </si>
  <si>
    <t>Instalación, reparación y mantenimiento  de mobiliario y equipo educativo y recreativo</t>
  </si>
  <si>
    <t>Transferencias para servicios generales</t>
  </si>
  <si>
    <t>MUNICIPIO   DE  CELAYA  GUANAJUATO</t>
  </si>
  <si>
    <t>FONDO DE APORTACIONES PARA FONDO DE APORTACIONES PARA EL FORTALECIMIENTO DE LOS MUNICIPIOS Y DE LAS DEMARCACIONES TERRITORIALES DEL DISTRITO FEDERAL (FORTAMUN)</t>
  </si>
  <si>
    <t>%</t>
  </si>
  <si>
    <t>FONDO DE APORTACIONES PARA LA INFRAESTRUCTURA SOCIAL MUNICIPAL (FAISM)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</si>
</sst>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* #,##0_-;\-* #,##0_-;_-* &quot;-&quot;??_-;_-@_-"/>
    <numFmt numFmtId="166" formatCode="\-#,##0.00;#,##0.00"/>
    <numFmt numFmtId="167" formatCode="#,##0.00_ ;\-#,##0.00\ "/>
    <numFmt numFmtId="168" formatCode="00"/>
    <numFmt numFmtId="169" formatCode="#,##0_ ;\-#,##0\ "/>
    <numFmt numFmtId="170" formatCode="_-* #,##0.0000000_-;\-* #,##0.0000000_-;_-* &quot;-&quot;??_-;_-@_-"/>
    <numFmt numFmtId="171" formatCode="_-* #,##0.000_-;\-* #,##0.000_-;_-* &quot;-&quot;??_-;_-@_-"/>
    <numFmt numFmtId="172" formatCode="_-* #,##0.00_-;\-* #,##0.00_-;_-* &quot;-&quot;??_-;_-@"/>
    <numFmt numFmtId="173" formatCode="_(* #,##0.00_);_(* \(#,##0.00\);_(* &quot;-&quot;??_);_(@_)"/>
    <numFmt numFmtId="174" formatCode="_-* #,##0_-;\-* #,##0_-;_-* &quot;-&quot;??_-;_-@"/>
    <numFmt numFmtId="175" formatCode="_-* #,##0.00000_-;\-* #,##0.00000_-;_-* &quot;-&quot;??_-;_-@"/>
    <numFmt numFmtId="176" formatCode="_-* #,##0.0_-;\-* #,##0.0_-;_-* &quot;-&quot;??_-;_-@"/>
  </numFmts>
  <fonts count="76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0"/>
      <color rgb="FF002060"/>
      <name val="Arial"/>
      <family val="2"/>
    </font>
    <font>
      <sz val="10"/>
      <color rgb="FFFF0000"/>
      <name val="Arial"/>
      <family val="2"/>
    </font>
    <font>
      <sz val="10"/>
      <color rgb="FF002060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4" tint="-0.499984740745262"/>
      <name val="Arial"/>
      <family val="2"/>
    </font>
    <font>
      <b/>
      <sz val="10"/>
      <color theme="3"/>
      <name val="Arial"/>
      <family val="2"/>
    </font>
    <font>
      <sz val="11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70C0"/>
      <name val="Arial"/>
      <family val="2"/>
    </font>
    <font>
      <b/>
      <sz val="10"/>
      <color theme="2" tint="-0.749992370372631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sz val="11"/>
      <color theme="1"/>
      <name val="Arial"/>
      <family val="2"/>
    </font>
    <font>
      <sz val="11"/>
      <color theme="1"/>
      <name val="Arial"/>
    </font>
    <font>
      <b/>
      <sz val="11"/>
      <color theme="1" tint="0.249977111117893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8"/>
      <name val="Calibri"/>
      <family val="2"/>
      <scheme val="major"/>
    </font>
    <font>
      <b/>
      <sz val="11"/>
      <color theme="0"/>
      <name val="Calibri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7"/>
      <name val="Arial"/>
      <family val="2"/>
    </font>
    <font>
      <b/>
      <sz val="11"/>
      <color theme="1"/>
      <name val="Calibri"/>
      <family val="2"/>
    </font>
    <font>
      <b/>
      <sz val="11"/>
      <color theme="2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ajor"/>
    </font>
    <font>
      <u/>
      <sz val="11"/>
      <name val="Arial"/>
      <family val="2"/>
    </font>
    <font>
      <u/>
      <sz val="11"/>
      <name val="Calibri"/>
      <family val="2"/>
    </font>
    <font>
      <sz val="11"/>
      <color theme="0"/>
      <name val="Arial"/>
      <family val="2"/>
    </font>
    <font>
      <sz val="11"/>
      <color rgb="FF000000"/>
      <name val="Roboto"/>
    </font>
    <font>
      <b/>
      <sz val="11"/>
      <color theme="1"/>
      <name val="Calibri"/>
      <family val="2"/>
      <scheme val="major"/>
    </font>
  </fonts>
  <fills count="45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-0.49803155613879818"/>
        </stop>
        <stop position="0.5">
          <color theme="4"/>
        </stop>
        <stop position="1">
          <color theme="4" tint="-0.49803155613879818"/>
        </stop>
      </gradient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65911"/>
        <bgColor indexed="64"/>
      </patternFill>
    </fill>
    <fill>
      <gradientFill degree="90">
        <stop position="0">
          <color theme="4" tint="-0.49803155613879818"/>
        </stop>
        <stop position="1">
          <color theme="4"/>
        </stop>
      </gradientFill>
    </fill>
    <fill>
      <gradientFill degree="45">
        <stop position="0">
          <color theme="4" tint="-0.25098422193060094"/>
        </stop>
        <stop position="0.5">
          <color theme="4"/>
        </stop>
        <stop position="1">
          <color theme="4" tint="-0.25098422193060094"/>
        </stop>
      </gradientFill>
    </fill>
    <fill>
      <patternFill patternType="solid">
        <fgColor theme="0"/>
        <bgColor rgb="FFECECEC"/>
      </patternFill>
    </fill>
    <fill>
      <patternFill patternType="solid">
        <fgColor theme="0"/>
        <bgColor rgb="FFC5E0B3"/>
      </patternFill>
    </fill>
    <fill>
      <patternFill patternType="solid">
        <fgColor rgb="FFFFFF00"/>
        <bgColor rgb="FFC5E0B3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theme="8"/>
      </patternFill>
    </fill>
    <fill>
      <patternFill patternType="solid">
        <fgColor theme="4" tint="0.59999389629810485"/>
        <bgColor rgb="FF1F38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rgb="FF1F3864"/>
      </patternFill>
    </fill>
    <fill>
      <patternFill patternType="solid">
        <fgColor theme="4" tint="0.39997558519241921"/>
        <bgColor rgb="FF8EAADB"/>
      </patternFill>
    </fill>
    <fill>
      <patternFill patternType="solid">
        <fgColor rgb="FF8EAADB"/>
        <bgColor rgb="FF8EAADB"/>
      </patternFill>
    </fill>
    <fill>
      <patternFill patternType="solid">
        <fgColor rgb="FFFFFFFF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5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499984740745262"/>
      </left>
      <right style="thin">
        <color theme="4" tint="-0.249977111117893"/>
      </right>
      <top style="thin">
        <color theme="4" tint="-0.499984740745262"/>
      </top>
      <bottom style="thin">
        <color theme="4" tint="-0.249977111117893"/>
      </bottom>
      <diagonal/>
    </border>
    <border>
      <left/>
      <right style="thin">
        <color theme="4" tint="-0.499984740745262"/>
      </right>
      <top/>
      <bottom style="thin">
        <color theme="4" tint="-0.249977111117893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249977111117893"/>
      </left>
      <right style="thin">
        <color theme="4" tint="-0.499984740745262"/>
      </right>
      <top style="thin">
        <color theme="4" tint="-0.24997711111789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24997711111789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249977111117893"/>
      </right>
      <top style="thin">
        <color theme="4" tint="-0.249977111117893"/>
      </top>
      <bottom style="thin">
        <color theme="4" tint="-0.499984740745262"/>
      </bottom>
      <diagonal/>
    </border>
    <border>
      <left style="thin">
        <color theme="4" tint="-0.24997711111789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24997711111789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249977111117893"/>
      </left>
      <right style="thin">
        <color theme="4" tint="-0.499984740745262"/>
      </right>
      <top style="thin">
        <color theme="4" tint="-0.499984740745262"/>
      </top>
      <bottom style="thin">
        <color theme="4" tint="-0.24997711111789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249977111117893"/>
      </right>
      <top style="thin">
        <color theme="4" tint="-0.499984740745262"/>
      </top>
      <bottom style="thin">
        <color theme="4" tint="-0.499984740745262"/>
      </bottom>
      <diagonal/>
    </border>
  </borders>
  <cellStyleXfs count="53">
    <xf numFmtId="0" fontId="0" fillId="0" borderId="0"/>
    <xf numFmtId="43" fontId="14" fillId="0" borderId="0" applyFont="0" applyFill="0" applyBorder="0" applyAlignment="0" applyProtection="0"/>
    <xf numFmtId="0" fontId="17" fillId="0" borderId="1"/>
    <xf numFmtId="0" fontId="11" fillId="0" borderId="1"/>
    <xf numFmtId="43" fontId="11" fillId="0" borderId="1" applyFont="0" applyFill="0" applyBorder="0" applyAlignment="0" applyProtection="0"/>
    <xf numFmtId="9" fontId="11" fillId="0" borderId="1" applyFont="0" applyFill="0" applyBorder="0" applyAlignment="0" applyProtection="0"/>
    <xf numFmtId="0" fontId="10" fillId="0" borderId="1"/>
    <xf numFmtId="43" fontId="10" fillId="0" borderId="1" applyFont="0" applyFill="0" applyBorder="0" applyAlignment="0" applyProtection="0"/>
    <xf numFmtId="0" fontId="9" fillId="0" borderId="1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0" fontId="17" fillId="0" borderId="1"/>
    <xf numFmtId="0" fontId="8" fillId="0" borderId="1"/>
    <xf numFmtId="43" fontId="8" fillId="0" borderId="1" applyFont="0" applyFill="0" applyBorder="0" applyAlignment="0" applyProtection="0"/>
    <xf numFmtId="43" fontId="8" fillId="0" borderId="1" applyFont="0" applyFill="0" applyBorder="0" applyAlignment="0" applyProtection="0"/>
    <xf numFmtId="43" fontId="48" fillId="0" borderId="1" applyFont="0" applyFill="0" applyBorder="0" applyAlignment="0" applyProtection="0"/>
    <xf numFmtId="0" fontId="7" fillId="0" borderId="1"/>
    <xf numFmtId="43" fontId="7" fillId="0" borderId="1" applyFont="0" applyFill="0" applyBorder="0" applyAlignment="0" applyProtection="0"/>
    <xf numFmtId="0" fontId="6" fillId="0" borderId="1"/>
    <xf numFmtId="0" fontId="5" fillId="0" borderId="1"/>
    <xf numFmtId="43" fontId="5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49" fillId="0" borderId="1" applyFont="0" applyFill="0" applyBorder="0" applyAlignment="0" applyProtection="0"/>
    <xf numFmtId="43" fontId="5" fillId="0" borderId="1" applyFont="0" applyFill="0" applyBorder="0" applyAlignment="0" applyProtection="0"/>
    <xf numFmtId="0" fontId="4" fillId="0" borderId="1"/>
    <xf numFmtId="0" fontId="52" fillId="0" borderId="1" applyNumberFormat="0" applyFill="0" applyBorder="0" applyAlignment="0" applyProtection="0"/>
    <xf numFmtId="43" fontId="4" fillId="0" borderId="1" applyFont="0" applyFill="0" applyBorder="0" applyAlignment="0" applyProtection="0"/>
    <xf numFmtId="0" fontId="53" fillId="0" borderId="1"/>
    <xf numFmtId="164" fontId="54" fillId="0" borderId="1" applyFont="0" applyFill="0" applyBorder="0" applyAlignment="0" applyProtection="0"/>
    <xf numFmtId="164" fontId="4" fillId="0" borderId="1" applyFont="0" applyFill="0" applyBorder="0" applyAlignment="0" applyProtection="0"/>
    <xf numFmtId="9" fontId="4" fillId="0" borderId="1" applyFont="0" applyFill="0" applyBorder="0" applyAlignment="0" applyProtection="0"/>
    <xf numFmtId="9" fontId="4" fillId="0" borderId="1" applyFont="0" applyFill="0" applyBorder="0" applyAlignment="0" applyProtection="0"/>
    <xf numFmtId="43" fontId="17" fillId="0" borderId="1" applyFont="0" applyFill="0" applyBorder="0" applyAlignment="0" applyProtection="0"/>
    <xf numFmtId="43" fontId="4" fillId="0" borderId="1" applyFont="0" applyFill="0" applyBorder="0" applyAlignment="0" applyProtection="0"/>
    <xf numFmtId="0" fontId="3" fillId="0" borderId="1"/>
    <xf numFmtId="43" fontId="3" fillId="0" borderId="1" applyFont="0" applyFill="0" applyBorder="0" applyAlignment="0" applyProtection="0"/>
    <xf numFmtId="164" fontId="3" fillId="0" borderId="1" applyFont="0" applyFill="0" applyBorder="0" applyAlignment="0" applyProtection="0"/>
    <xf numFmtId="164" fontId="3" fillId="0" borderId="1" applyFont="0" applyFill="0" applyBorder="0" applyAlignment="0" applyProtection="0"/>
    <xf numFmtId="43" fontId="17" fillId="0" borderId="1" applyFont="0" applyFill="0" applyBorder="0" applyAlignment="0" applyProtection="0"/>
    <xf numFmtId="9" fontId="3" fillId="0" borderId="1" applyFont="0" applyFill="0" applyBorder="0" applyAlignment="0" applyProtection="0"/>
    <xf numFmtId="164" fontId="54" fillId="0" borderId="1" applyFont="0" applyFill="0" applyBorder="0" applyAlignment="0" applyProtection="0"/>
    <xf numFmtId="9" fontId="3" fillId="0" borderId="1" applyFont="0" applyFill="0" applyBorder="0" applyAlignment="0" applyProtection="0"/>
    <xf numFmtId="43" fontId="3" fillId="0" borderId="1" applyFont="0" applyFill="0" applyBorder="0" applyAlignment="0" applyProtection="0"/>
    <xf numFmtId="164" fontId="3" fillId="0" borderId="1" applyFont="0" applyFill="0" applyBorder="0" applyAlignment="0" applyProtection="0"/>
    <xf numFmtId="0" fontId="2" fillId="0" borderId="1"/>
    <xf numFmtId="43" fontId="2" fillId="0" borderId="1" applyFont="0" applyFill="0" applyBorder="0" applyAlignment="0" applyProtection="0"/>
    <xf numFmtId="0" fontId="17" fillId="0" borderId="1"/>
    <xf numFmtId="0" fontId="17" fillId="0" borderId="1"/>
    <xf numFmtId="43" fontId="2" fillId="0" borderId="1" applyFont="0" applyFill="0" applyBorder="0" applyAlignment="0" applyProtection="0"/>
    <xf numFmtId="0" fontId="53" fillId="0" borderId="1"/>
    <xf numFmtId="0" fontId="25" fillId="32" borderId="1" applyNumberFormat="0" applyBorder="0" applyAlignment="0" applyProtection="0"/>
    <xf numFmtId="9" fontId="49" fillId="0" borderId="0" applyFont="0" applyFill="0" applyBorder="0" applyAlignment="0" applyProtection="0"/>
    <xf numFmtId="0" fontId="1" fillId="0" borderId="1"/>
  </cellStyleXfs>
  <cellXfs count="1001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10" fillId="6" borderId="1" xfId="6" applyFill="1"/>
    <xf numFmtId="0" fontId="10" fillId="6" borderId="1" xfId="6" applyFill="1" applyAlignment="1">
      <alignment horizontal="center"/>
    </xf>
    <xf numFmtId="0" fontId="10" fillId="0" borderId="1" xfId="6" applyAlignment="1">
      <alignment horizontal="center"/>
    </xf>
    <xf numFmtId="49" fontId="20" fillId="6" borderId="2" xfId="6" applyNumberFormat="1" applyFont="1" applyFill="1" applyBorder="1" applyAlignment="1">
      <alignment horizontal="left"/>
    </xf>
    <xf numFmtId="49" fontId="20" fillId="6" borderId="2" xfId="6" applyNumberFormat="1" applyFont="1" applyFill="1" applyBorder="1" applyAlignment="1">
      <alignment horizontal="center" vertical="center" wrapText="1"/>
    </xf>
    <xf numFmtId="49" fontId="20" fillId="4" borderId="2" xfId="6" applyNumberFormat="1" applyFont="1" applyFill="1" applyBorder="1" applyAlignment="1">
      <alignment horizontal="center" vertical="center" wrapText="1"/>
    </xf>
    <xf numFmtId="49" fontId="21" fillId="9" borderId="2" xfId="6" applyNumberFormat="1" applyFont="1" applyFill="1" applyBorder="1" applyAlignment="1">
      <alignment horizontal="center" wrapText="1"/>
    </xf>
    <xf numFmtId="49" fontId="21" fillId="10" borderId="2" xfId="6" applyNumberFormat="1" applyFont="1" applyFill="1" applyBorder="1" applyAlignment="1">
      <alignment horizontal="center" wrapText="1"/>
    </xf>
    <xf numFmtId="49" fontId="22" fillId="11" borderId="2" xfId="6" applyNumberFormat="1" applyFont="1" applyFill="1" applyBorder="1" applyAlignment="1">
      <alignment horizontal="center" vertical="center" wrapText="1"/>
    </xf>
    <xf numFmtId="49" fontId="21" fillId="12" borderId="2" xfId="6" applyNumberFormat="1" applyFont="1" applyFill="1" applyBorder="1" applyAlignment="1">
      <alignment horizontal="center" vertical="center" wrapText="1"/>
    </xf>
    <xf numFmtId="49" fontId="20" fillId="6" borderId="2" xfId="6" applyNumberFormat="1" applyFont="1" applyFill="1" applyBorder="1" applyAlignment="1">
      <alignment horizontal="center" vertical="center"/>
    </xf>
    <xf numFmtId="49" fontId="21" fillId="13" borderId="2" xfId="6" applyNumberFormat="1" applyFont="1" applyFill="1" applyBorder="1" applyAlignment="1">
      <alignment horizontal="center" vertical="center" wrapText="1"/>
    </xf>
    <xf numFmtId="49" fontId="20" fillId="14" borderId="2" xfId="6" applyNumberFormat="1" applyFont="1" applyFill="1" applyBorder="1" applyAlignment="1">
      <alignment horizontal="center" vertical="center" wrapText="1"/>
    </xf>
    <xf numFmtId="49" fontId="20" fillId="0" borderId="2" xfId="6" applyNumberFormat="1" applyFont="1" applyBorder="1" applyAlignment="1">
      <alignment horizontal="center" vertical="center" wrapText="1"/>
    </xf>
    <xf numFmtId="49" fontId="16" fillId="6" borderId="3" xfId="6" applyNumberFormat="1" applyFont="1" applyFill="1" applyBorder="1" applyAlignment="1">
      <alignment horizontal="left"/>
    </xf>
    <xf numFmtId="43" fontId="16" fillId="6" borderId="3" xfId="7" applyFont="1" applyFill="1" applyBorder="1" applyAlignment="1">
      <alignment horizontal="right"/>
    </xf>
    <xf numFmtId="166" fontId="16" fillId="6" borderId="3" xfId="6" applyNumberFormat="1" applyFont="1" applyFill="1" applyBorder="1"/>
    <xf numFmtId="43" fontId="16" fillId="0" borderId="3" xfId="7" applyFont="1" applyFill="1" applyBorder="1"/>
    <xf numFmtId="43" fontId="16" fillId="0" borderId="3" xfId="7" applyFont="1" applyFill="1" applyBorder="1" applyAlignment="1">
      <alignment horizontal="center"/>
    </xf>
    <xf numFmtId="43" fontId="10" fillId="6" borderId="1" xfId="6" applyNumberFormat="1" applyFill="1"/>
    <xf numFmtId="49" fontId="10" fillId="6" borderId="4" xfId="6" applyNumberFormat="1" applyFill="1" applyBorder="1" applyAlignment="1">
      <alignment horizontal="left"/>
    </xf>
    <xf numFmtId="43" fontId="0" fillId="6" borderId="4" xfId="7" applyFont="1" applyFill="1" applyBorder="1"/>
    <xf numFmtId="166" fontId="10" fillId="6" borderId="4" xfId="6" applyNumberFormat="1" applyFill="1" applyBorder="1"/>
    <xf numFmtId="43" fontId="0" fillId="6" borderId="4" xfId="7" applyFont="1" applyFill="1" applyBorder="1" applyAlignment="1">
      <alignment horizontal="center"/>
    </xf>
    <xf numFmtId="43" fontId="0" fillId="6" borderId="4" xfId="7" applyFont="1" applyFill="1" applyBorder="1" applyProtection="1">
      <protection locked="0"/>
    </xf>
    <xf numFmtId="43" fontId="0" fillId="0" borderId="4" xfId="7" applyFont="1" applyFill="1" applyBorder="1" applyProtection="1">
      <protection locked="0"/>
    </xf>
    <xf numFmtId="2" fontId="0" fillId="6" borderId="4" xfId="7" applyNumberFormat="1" applyFont="1" applyFill="1" applyBorder="1"/>
    <xf numFmtId="39" fontId="10" fillId="6" borderId="4" xfId="6" applyNumberFormat="1" applyFill="1" applyBorder="1"/>
    <xf numFmtId="43" fontId="0" fillId="3" borderId="4" xfId="7" applyFont="1" applyFill="1" applyBorder="1" applyProtection="1">
      <protection locked="0"/>
    </xf>
    <xf numFmtId="43" fontId="16" fillId="6" borderId="3" xfId="7" applyFont="1" applyFill="1" applyBorder="1"/>
    <xf numFmtId="49" fontId="10" fillId="4" borderId="4" xfId="6" applyNumberFormat="1" applyFill="1" applyBorder="1" applyAlignment="1">
      <alignment horizontal="left"/>
    </xf>
    <xf numFmtId="43" fontId="0" fillId="4" borderId="4" xfId="7" applyFont="1" applyFill="1" applyBorder="1"/>
    <xf numFmtId="166" fontId="10" fillId="4" borderId="4" xfId="6" applyNumberFormat="1" applyFill="1" applyBorder="1"/>
    <xf numFmtId="43" fontId="0" fillId="4" borderId="4" xfId="7" applyFont="1" applyFill="1" applyBorder="1" applyAlignment="1">
      <alignment horizontal="center"/>
    </xf>
    <xf numFmtId="43" fontId="0" fillId="4" borderId="4" xfId="7" applyFont="1" applyFill="1" applyBorder="1" applyProtection="1">
      <protection locked="0"/>
    </xf>
    <xf numFmtId="43" fontId="0" fillId="15" borderId="4" xfId="7" applyFont="1" applyFill="1" applyBorder="1"/>
    <xf numFmtId="166" fontId="19" fillId="6" borderId="4" xfId="6" applyNumberFormat="1" applyFont="1" applyFill="1" applyBorder="1"/>
    <xf numFmtId="49" fontId="10" fillId="16" borderId="4" xfId="6" applyNumberFormat="1" applyFill="1" applyBorder="1" applyAlignment="1">
      <alignment horizontal="left"/>
    </xf>
    <xf numFmtId="43" fontId="0" fillId="16" borderId="4" xfId="7" applyFont="1" applyFill="1" applyBorder="1"/>
    <xf numFmtId="166" fontId="10" fillId="16" borderId="4" xfId="6" applyNumberFormat="1" applyFill="1" applyBorder="1"/>
    <xf numFmtId="43" fontId="0" fillId="16" borderId="4" xfId="7" applyFont="1" applyFill="1" applyBorder="1" applyAlignment="1">
      <alignment horizontal="center"/>
    </xf>
    <xf numFmtId="43" fontId="0" fillId="16" borderId="4" xfId="7" applyFont="1" applyFill="1" applyBorder="1" applyProtection="1">
      <protection locked="0"/>
    </xf>
    <xf numFmtId="49" fontId="10" fillId="6" borderId="3" xfId="6" applyNumberFormat="1" applyFill="1" applyBorder="1" applyAlignment="1">
      <alignment horizontal="left"/>
    </xf>
    <xf numFmtId="43" fontId="16" fillId="6" borderId="3" xfId="7" applyFont="1" applyFill="1" applyBorder="1" applyAlignment="1">
      <alignment horizontal="center"/>
    </xf>
    <xf numFmtId="43" fontId="0" fillId="6" borderId="1" xfId="7" applyFont="1" applyFill="1"/>
    <xf numFmtId="43" fontId="0" fillId="6" borderId="1" xfId="7" applyFont="1" applyFill="1" applyAlignment="1">
      <alignment horizontal="center"/>
    </xf>
    <xf numFmtId="0" fontId="10" fillId="0" borderId="1" xfId="6"/>
    <xf numFmtId="43" fontId="0" fillId="18" borderId="4" xfId="7" applyFont="1" applyFill="1" applyBorder="1" applyProtection="1">
      <protection locked="0"/>
    </xf>
    <xf numFmtId="43" fontId="0" fillId="19" borderId="4" xfId="7" applyFont="1" applyFill="1" applyBorder="1" applyProtection="1">
      <protection locked="0"/>
    </xf>
    <xf numFmtId="49" fontId="10" fillId="19" borderId="4" xfId="6" applyNumberFormat="1" applyFill="1" applyBorder="1" applyAlignment="1">
      <alignment horizontal="left"/>
    </xf>
    <xf numFmtId="167" fontId="10" fillId="6" borderId="1" xfId="6" applyNumberFormat="1" applyFill="1"/>
    <xf numFmtId="0" fontId="15" fillId="6" borderId="1" xfId="8" applyFont="1" applyFill="1" applyAlignment="1" applyProtection="1">
      <alignment vertical="center"/>
      <protection locked="0"/>
    </xf>
    <xf numFmtId="0" fontId="15" fillId="6" borderId="1" xfId="8" applyFont="1" applyFill="1" applyAlignment="1">
      <alignment vertical="center"/>
    </xf>
    <xf numFmtId="0" fontId="22" fillId="20" borderId="1" xfId="8" applyFont="1" applyFill="1" applyAlignment="1">
      <alignment horizontal="center" vertical="center" wrapText="1"/>
    </xf>
    <xf numFmtId="0" fontId="27" fillId="6" borderId="1" xfId="8" applyFont="1" applyFill="1" applyAlignment="1">
      <alignment horizontal="center" vertical="center"/>
    </xf>
    <xf numFmtId="0" fontId="28" fillId="20" borderId="1" xfId="8" applyFont="1" applyFill="1" applyAlignment="1">
      <alignment vertical="center" wrapText="1"/>
    </xf>
    <xf numFmtId="0" fontId="28" fillId="20" borderId="1" xfId="8" applyFont="1" applyFill="1" applyAlignment="1">
      <alignment horizontal="center" vertical="center" wrapText="1"/>
    </xf>
    <xf numFmtId="0" fontId="28" fillId="20" borderId="1" xfId="8" applyFont="1" applyFill="1" applyAlignment="1">
      <alignment horizontal="center" vertical="center"/>
    </xf>
    <xf numFmtId="0" fontId="28" fillId="7" borderId="1" xfId="8" applyFont="1" applyFill="1" applyAlignment="1">
      <alignment horizontal="center" vertical="center" wrapText="1"/>
    </xf>
    <xf numFmtId="0" fontId="29" fillId="20" borderId="5" xfId="8" applyFont="1" applyFill="1" applyBorder="1" applyAlignment="1">
      <alignment vertical="center" wrapText="1"/>
    </xf>
    <xf numFmtId="0" fontId="28" fillId="20" borderId="6" xfId="8" applyFont="1" applyFill="1" applyBorder="1" applyAlignment="1">
      <alignment horizontal="center" vertical="center" wrapText="1"/>
    </xf>
    <xf numFmtId="165" fontId="21" fillId="7" borderId="7" xfId="8" applyNumberFormat="1" applyFont="1" applyFill="1" applyBorder="1" applyAlignment="1">
      <alignment horizontal="center" vertical="center"/>
    </xf>
    <xf numFmtId="165" fontId="29" fillId="7" borderId="7" xfId="8" applyNumberFormat="1" applyFont="1" applyFill="1" applyBorder="1" applyAlignment="1">
      <alignment horizontal="center" vertical="center"/>
    </xf>
    <xf numFmtId="43" fontId="30" fillId="7" borderId="7" xfId="9" applyFont="1" applyFill="1" applyBorder="1" applyAlignment="1">
      <alignment horizontal="center" vertical="center"/>
    </xf>
    <xf numFmtId="165" fontId="30" fillId="7" borderId="7" xfId="9" applyNumberFormat="1" applyFont="1" applyFill="1" applyBorder="1" applyAlignment="1">
      <alignment horizontal="center" vertical="center"/>
    </xf>
    <xf numFmtId="165" fontId="22" fillId="7" borderId="8" xfId="8" applyNumberFormat="1" applyFont="1" applyFill="1" applyBorder="1" applyAlignment="1">
      <alignment vertical="center"/>
    </xf>
    <xf numFmtId="165" fontId="28" fillId="20" borderId="7" xfId="9" applyNumberFormat="1" applyFont="1" applyFill="1" applyBorder="1" applyAlignment="1">
      <alignment horizontal="center" vertical="center"/>
    </xf>
    <xf numFmtId="165" fontId="28" fillId="20" borderId="5" xfId="8" applyNumberFormat="1" applyFont="1" applyFill="1" applyBorder="1" applyAlignment="1">
      <alignment vertical="top"/>
    </xf>
    <xf numFmtId="0" fontId="31" fillId="7" borderId="7" xfId="8" applyFont="1" applyFill="1" applyBorder="1" applyAlignment="1">
      <alignment horizontal="left" vertical="center"/>
    </xf>
    <xf numFmtId="0" fontId="28" fillId="20" borderId="8" xfId="8" applyFont="1" applyFill="1" applyBorder="1" applyAlignment="1">
      <alignment horizontal="center" vertical="center"/>
    </xf>
    <xf numFmtId="0" fontId="32" fillId="20" borderId="8" xfId="8" applyFont="1" applyFill="1" applyBorder="1" applyAlignment="1">
      <alignment horizontal="center" vertical="center"/>
    </xf>
    <xf numFmtId="0" fontId="32" fillId="7" borderId="8" xfId="8" applyFont="1" applyFill="1" applyBorder="1" applyAlignment="1">
      <alignment horizontal="center" vertical="center"/>
    </xf>
    <xf numFmtId="0" fontId="28" fillId="7" borderId="8" xfId="8" applyFont="1" applyFill="1" applyBorder="1" applyAlignment="1">
      <alignment vertical="center" wrapText="1"/>
    </xf>
    <xf numFmtId="165" fontId="28" fillId="7" borderId="8" xfId="8" applyNumberFormat="1" applyFont="1" applyFill="1" applyBorder="1" applyAlignment="1">
      <alignment vertical="center"/>
    </xf>
    <xf numFmtId="43" fontId="28" fillId="7" borderId="8" xfId="9" applyFont="1" applyFill="1" applyBorder="1" applyAlignment="1">
      <alignment vertical="center"/>
    </xf>
    <xf numFmtId="165" fontId="28" fillId="7" borderId="8" xfId="9" applyNumberFormat="1" applyFont="1" applyFill="1" applyBorder="1" applyAlignment="1">
      <alignment vertical="center"/>
    </xf>
    <xf numFmtId="165" fontId="28" fillId="7" borderId="8" xfId="8" applyNumberFormat="1" applyFont="1" applyFill="1" applyBorder="1" applyAlignment="1">
      <alignment horizontal="center" vertical="center"/>
    </xf>
    <xf numFmtId="0" fontId="33" fillId="7" borderId="8" xfId="8" applyFont="1" applyFill="1" applyBorder="1" applyAlignment="1">
      <alignment horizontal="center" vertical="center"/>
    </xf>
    <xf numFmtId="0" fontId="34" fillId="0" borderId="8" xfId="8" applyFont="1" applyBorder="1" applyAlignment="1">
      <alignment horizontal="center" vertical="center" wrapText="1"/>
    </xf>
    <xf numFmtId="0" fontId="34" fillId="0" borderId="8" xfId="8" applyFont="1" applyBorder="1" applyAlignment="1">
      <alignment horizontal="left" vertical="center" wrapText="1"/>
    </xf>
    <xf numFmtId="165" fontId="33" fillId="0" borderId="8" xfId="9" applyNumberFormat="1" applyFont="1" applyFill="1" applyBorder="1" applyAlignment="1">
      <alignment vertical="center" wrapText="1"/>
    </xf>
    <xf numFmtId="165" fontId="27" fillId="0" borderId="8" xfId="9" applyNumberFormat="1" applyFont="1" applyFill="1" applyBorder="1" applyAlignment="1">
      <alignment vertical="center" wrapText="1"/>
    </xf>
    <xf numFmtId="165" fontId="34" fillId="0" borderId="8" xfId="9" applyNumberFormat="1" applyFont="1" applyFill="1" applyBorder="1" applyAlignment="1">
      <alignment vertical="center" wrapText="1"/>
    </xf>
    <xf numFmtId="43" fontId="34" fillId="0" borderId="8" xfId="9" applyFont="1" applyFill="1" applyBorder="1" applyAlignment="1">
      <alignment vertical="center" wrapText="1"/>
    </xf>
    <xf numFmtId="165" fontId="33" fillId="0" borderId="9" xfId="9" applyNumberFormat="1" applyFont="1" applyFill="1" applyBorder="1" applyAlignment="1">
      <alignment vertical="center" wrapText="1"/>
    </xf>
    <xf numFmtId="43" fontId="33" fillId="0" borderId="8" xfId="9" applyFont="1" applyFill="1" applyBorder="1" applyAlignment="1">
      <alignment vertical="center" wrapText="1"/>
    </xf>
    <xf numFmtId="0" fontId="33" fillId="0" borderId="8" xfId="8" applyFont="1" applyBorder="1" applyAlignment="1">
      <alignment horizontal="left" vertical="center" wrapText="1"/>
    </xf>
    <xf numFmtId="0" fontId="27" fillId="6" borderId="1" xfId="8" applyFont="1" applyFill="1" applyAlignment="1">
      <alignment vertical="center"/>
    </xf>
    <xf numFmtId="0" fontId="28" fillId="21" borderId="8" xfId="8" applyFont="1" applyFill="1" applyBorder="1" applyAlignment="1">
      <alignment horizontal="center" vertical="center"/>
    </xf>
    <xf numFmtId="0" fontId="28" fillId="21" borderId="8" xfId="8" applyFont="1" applyFill="1" applyBorder="1" applyAlignment="1">
      <alignment horizontal="center" vertical="center" wrapText="1"/>
    </xf>
    <xf numFmtId="168" fontId="28" fillId="21" borderId="8" xfId="8" applyNumberFormat="1" applyFont="1" applyFill="1" applyBorder="1" applyAlignment="1">
      <alignment horizontal="center" vertical="center" wrapText="1"/>
    </xf>
    <xf numFmtId="0" fontId="28" fillId="21" borderId="8" xfId="8" applyFont="1" applyFill="1" applyBorder="1" applyAlignment="1">
      <alignment vertical="center" wrapText="1"/>
    </xf>
    <xf numFmtId="165" fontId="28" fillId="21" borderId="8" xfId="9" applyNumberFormat="1" applyFont="1" applyFill="1" applyBorder="1" applyAlignment="1">
      <alignment vertical="center" wrapText="1"/>
    </xf>
    <xf numFmtId="165" fontId="17" fillId="6" borderId="8" xfId="9" applyNumberFormat="1" applyFont="1" applyFill="1" applyBorder="1" applyAlignment="1">
      <alignment vertical="center" wrapText="1"/>
    </xf>
    <xf numFmtId="43" fontId="28" fillId="21" borderId="8" xfId="9" applyFont="1" applyFill="1" applyBorder="1" applyAlignment="1">
      <alignment vertical="center" wrapText="1"/>
    </xf>
    <xf numFmtId="165" fontId="28" fillId="21" borderId="9" xfId="9" applyNumberFormat="1" applyFont="1" applyFill="1" applyBorder="1" applyAlignment="1">
      <alignment vertical="center" wrapText="1"/>
    </xf>
    <xf numFmtId="0" fontId="33" fillId="21" borderId="8" xfId="8" applyFont="1" applyFill="1" applyBorder="1" applyAlignment="1">
      <alignment horizontal="center" vertical="center" wrapText="1"/>
    </xf>
    <xf numFmtId="0" fontId="27" fillId="0" borderId="8" xfId="8" applyFont="1" applyBorder="1" applyAlignment="1">
      <alignment horizontal="center" vertical="center"/>
    </xf>
    <xf numFmtId="0" fontId="27" fillId="0" borderId="8" xfId="8" applyFont="1" applyBorder="1" applyAlignment="1">
      <alignment horizontal="center" vertical="center" wrapText="1"/>
    </xf>
    <xf numFmtId="168" fontId="15" fillId="0" borderId="8" xfId="8" applyNumberFormat="1" applyFont="1" applyBorder="1" applyAlignment="1">
      <alignment horizontal="center" vertical="center" wrapText="1"/>
    </xf>
    <xf numFmtId="168" fontId="34" fillId="0" borderId="3" xfId="8" applyNumberFormat="1" applyFont="1" applyBorder="1" applyAlignment="1">
      <alignment horizontal="center" vertical="center" wrapText="1"/>
    </xf>
    <xf numFmtId="0" fontId="15" fillId="0" borderId="8" xfId="8" applyFont="1" applyBorder="1" applyAlignment="1">
      <alignment vertical="center" wrapText="1"/>
    </xf>
    <xf numFmtId="165" fontId="35" fillId="0" borderId="8" xfId="9" applyNumberFormat="1" applyFont="1" applyFill="1" applyBorder="1" applyAlignment="1">
      <alignment vertical="center" wrapText="1"/>
    </xf>
    <xf numFmtId="165" fontId="15" fillId="0" borderId="8" xfId="9" applyNumberFormat="1" applyFont="1" applyFill="1" applyBorder="1" applyAlignment="1">
      <alignment vertical="center" wrapText="1"/>
    </xf>
    <xf numFmtId="165" fontId="17" fillId="0" borderId="8" xfId="9" applyNumberFormat="1" applyFont="1" applyFill="1" applyBorder="1" applyAlignment="1">
      <alignment vertical="center" wrapText="1"/>
    </xf>
    <xf numFmtId="165" fontId="15" fillId="0" borderId="1" xfId="9" applyNumberFormat="1" applyFont="1" applyFill="1"/>
    <xf numFmtId="43" fontId="17" fillId="0" borderId="8" xfId="9" applyFont="1" applyFill="1" applyBorder="1" applyAlignment="1">
      <alignment vertical="center" wrapText="1"/>
    </xf>
    <xf numFmtId="165" fontId="36" fillId="0" borderId="3" xfId="9" applyNumberFormat="1" applyFont="1" applyBorder="1" applyAlignment="1">
      <alignment horizontal="center" vertical="center" wrapText="1"/>
    </xf>
    <xf numFmtId="165" fontId="17" fillId="0" borderId="8" xfId="9" applyNumberFormat="1" applyFont="1" applyFill="1" applyBorder="1" applyAlignment="1">
      <alignment horizontal="center" vertical="center" wrapText="1"/>
    </xf>
    <xf numFmtId="0" fontId="17" fillId="0" borderId="8" xfId="8" applyFont="1" applyBorder="1" applyAlignment="1">
      <alignment horizontal="center" vertical="center" wrapText="1"/>
    </xf>
    <xf numFmtId="43" fontId="17" fillId="0" borderId="8" xfId="9" applyFont="1" applyFill="1" applyBorder="1" applyAlignment="1" applyProtection="1">
      <alignment vertical="center" wrapText="1"/>
      <protection locked="0"/>
    </xf>
    <xf numFmtId="165" fontId="0" fillId="6" borderId="8" xfId="9" applyNumberFormat="1" applyFont="1" applyFill="1" applyBorder="1" applyAlignment="1">
      <alignment vertical="center"/>
    </xf>
    <xf numFmtId="165" fontId="18" fillId="0" borderId="8" xfId="9" applyNumberFormat="1" applyFont="1" applyBorder="1" applyAlignment="1">
      <alignment vertical="center"/>
    </xf>
    <xf numFmtId="165" fontId="15" fillId="0" borderId="8" xfId="9" applyNumberFormat="1" applyFont="1" applyFill="1" applyBorder="1"/>
    <xf numFmtId="165" fontId="37" fillId="0" borderId="8" xfId="9" applyNumberFormat="1" applyFont="1" applyBorder="1" applyAlignment="1">
      <alignment vertical="center"/>
    </xf>
    <xf numFmtId="165" fontId="18" fillId="0" borderId="8" xfId="9" applyNumberFormat="1" applyFont="1" applyFill="1" applyBorder="1" applyAlignment="1">
      <alignment vertical="center"/>
    </xf>
    <xf numFmtId="165" fontId="17" fillId="0" borderId="8" xfId="9" applyNumberFormat="1" applyFont="1" applyBorder="1" applyAlignment="1">
      <alignment horizontal="center" vertical="center" wrapText="1"/>
    </xf>
    <xf numFmtId="43" fontId="0" fillId="6" borderId="8" xfId="9" applyFont="1" applyFill="1" applyBorder="1"/>
    <xf numFmtId="165" fontId="37" fillId="6" borderId="8" xfId="9" applyNumberFormat="1" applyFont="1" applyFill="1" applyBorder="1" applyAlignment="1">
      <alignment vertical="center"/>
    </xf>
    <xf numFmtId="165" fontId="0" fillId="6" borderId="3" xfId="9" applyNumberFormat="1" applyFont="1" applyFill="1" applyBorder="1" applyAlignment="1">
      <alignment vertical="center"/>
    </xf>
    <xf numFmtId="168" fontId="32" fillId="21" borderId="8" xfId="8" applyNumberFormat="1" applyFont="1" applyFill="1" applyBorder="1" applyAlignment="1">
      <alignment horizontal="center" vertical="center" wrapText="1"/>
    </xf>
    <xf numFmtId="165" fontId="33" fillId="0" borderId="7" xfId="9" applyNumberFormat="1" applyFont="1" applyFill="1" applyBorder="1" applyAlignment="1">
      <alignment vertical="center" wrapText="1"/>
    </xf>
    <xf numFmtId="165" fontId="33" fillId="6" borderId="8" xfId="9" applyNumberFormat="1" applyFont="1" applyFill="1" applyBorder="1" applyAlignment="1">
      <alignment vertical="center" wrapText="1"/>
    </xf>
    <xf numFmtId="0" fontId="38" fillId="0" borderId="8" xfId="8" applyFont="1" applyBorder="1" applyAlignment="1">
      <alignment horizontal="center" vertical="center"/>
    </xf>
    <xf numFmtId="0" fontId="38" fillId="0" borderId="8" xfId="8" applyFont="1" applyBorder="1" applyAlignment="1">
      <alignment horizontal="center" vertical="center" wrapText="1"/>
    </xf>
    <xf numFmtId="168" fontId="38" fillId="0" borderId="8" xfId="8" applyNumberFormat="1" applyFont="1" applyBorder="1" applyAlignment="1">
      <alignment horizontal="center" vertical="center" wrapText="1"/>
    </xf>
    <xf numFmtId="0" fontId="38" fillId="0" borderId="8" xfId="8" applyFont="1" applyBorder="1" applyAlignment="1">
      <alignment vertical="center" wrapText="1"/>
    </xf>
    <xf numFmtId="165" fontId="15" fillId="6" borderId="8" xfId="9" applyNumberFormat="1" applyFont="1" applyFill="1" applyBorder="1" applyAlignment="1">
      <alignment vertical="center" wrapText="1"/>
    </xf>
    <xf numFmtId="165" fontId="38" fillId="0" borderId="8" xfId="9" applyNumberFormat="1" applyFont="1" applyFill="1" applyBorder="1" applyAlignment="1">
      <alignment vertical="center" wrapText="1"/>
    </xf>
    <xf numFmtId="43" fontId="38" fillId="6" borderId="8" xfId="9" applyFont="1" applyFill="1" applyBorder="1" applyAlignment="1">
      <alignment vertical="center" wrapText="1"/>
    </xf>
    <xf numFmtId="165" fontId="38" fillId="6" borderId="8" xfId="9" applyNumberFormat="1" applyFont="1" applyFill="1" applyBorder="1" applyAlignment="1">
      <alignment vertical="center" wrapText="1"/>
    </xf>
    <xf numFmtId="0" fontId="33" fillId="0" borderId="8" xfId="8" applyFont="1" applyBorder="1" applyAlignment="1">
      <alignment horizontal="center" vertical="center" wrapText="1"/>
    </xf>
    <xf numFmtId="165" fontId="0" fillId="0" borderId="8" xfId="9" applyNumberFormat="1" applyFont="1" applyFill="1" applyBorder="1" applyAlignment="1">
      <alignment vertical="center"/>
    </xf>
    <xf numFmtId="165" fontId="37" fillId="0" borderId="8" xfId="9" applyNumberFormat="1" applyFont="1" applyFill="1" applyBorder="1" applyAlignment="1">
      <alignment vertical="center"/>
    </xf>
    <xf numFmtId="165" fontId="15" fillId="0" borderId="8" xfId="9" applyNumberFormat="1" applyFont="1" applyFill="1" applyBorder="1" applyAlignment="1">
      <alignment horizontal="center" vertical="center" wrapText="1"/>
    </xf>
    <xf numFmtId="165" fontId="15" fillId="0" borderId="7" xfId="9" applyNumberFormat="1" applyFont="1" applyFill="1" applyBorder="1" applyAlignment="1">
      <alignment vertical="center" wrapText="1"/>
    </xf>
    <xf numFmtId="165" fontId="0" fillId="0" borderId="7" xfId="9" applyNumberFormat="1" applyFont="1" applyFill="1" applyBorder="1" applyAlignment="1">
      <alignment vertical="center"/>
    </xf>
    <xf numFmtId="165" fontId="0" fillId="0" borderId="1" xfId="9" applyNumberFormat="1" applyFont="1" applyFill="1" applyAlignment="1">
      <alignment vertical="center"/>
    </xf>
    <xf numFmtId="165" fontId="0" fillId="0" borderId="8" xfId="10" applyNumberFormat="1" applyFont="1" applyFill="1" applyBorder="1"/>
    <xf numFmtId="165" fontId="36" fillId="0" borderId="3" xfId="9" applyNumberFormat="1" applyFont="1" applyFill="1" applyBorder="1" applyAlignment="1">
      <alignment horizontal="center" vertical="center" wrapText="1"/>
    </xf>
    <xf numFmtId="165" fontId="15" fillId="0" borderId="8" xfId="9" applyNumberFormat="1" applyFont="1" applyBorder="1" applyAlignment="1">
      <alignment horizontal="center" vertical="center" wrapText="1"/>
    </xf>
    <xf numFmtId="165" fontId="0" fillId="0" borderId="8" xfId="9" applyNumberFormat="1" applyFont="1" applyBorder="1" applyAlignment="1">
      <alignment vertical="center"/>
    </xf>
    <xf numFmtId="165" fontId="28" fillId="21" borderId="7" xfId="9" applyNumberFormat="1" applyFont="1" applyFill="1" applyBorder="1" applyAlignment="1">
      <alignment vertical="center" wrapText="1"/>
    </xf>
    <xf numFmtId="165" fontId="27" fillId="6" borderId="7" xfId="9" applyNumberFormat="1" applyFont="1" applyFill="1" applyBorder="1" applyAlignment="1">
      <alignment vertical="center" wrapText="1"/>
    </xf>
    <xf numFmtId="165" fontId="0" fillId="0" borderId="8" xfId="10" applyNumberFormat="1" applyFont="1" applyBorder="1"/>
    <xf numFmtId="165" fontId="0" fillId="6" borderId="1" xfId="9" applyNumberFormat="1" applyFont="1" applyFill="1" applyAlignment="1">
      <alignment vertical="center"/>
    </xf>
    <xf numFmtId="165" fontId="27" fillId="6" borderId="8" xfId="9" applyNumberFormat="1" applyFont="1" applyFill="1" applyBorder="1" applyAlignment="1">
      <alignment vertical="center" wrapText="1"/>
    </xf>
    <xf numFmtId="165" fontId="26" fillId="0" borderId="8" xfId="9" applyNumberFormat="1" applyFont="1" applyFill="1" applyBorder="1" applyAlignment="1">
      <alignment vertical="center"/>
    </xf>
    <xf numFmtId="43" fontId="26" fillId="0" borderId="8" xfId="9" applyFont="1" applyFill="1" applyBorder="1" applyAlignment="1">
      <alignment vertical="center"/>
    </xf>
    <xf numFmtId="165" fontId="18" fillId="0" borderId="1" xfId="9" applyNumberFormat="1" applyFont="1" applyAlignment="1">
      <alignment vertical="center"/>
    </xf>
    <xf numFmtId="165" fontId="0" fillId="6" borderId="10" xfId="9" applyNumberFormat="1" applyFont="1" applyFill="1" applyBorder="1" applyAlignment="1">
      <alignment vertical="center"/>
    </xf>
    <xf numFmtId="165" fontId="37" fillId="6" borderId="11" xfId="9" applyNumberFormat="1" applyFont="1" applyFill="1" applyBorder="1" applyAlignment="1">
      <alignment vertical="center"/>
    </xf>
    <xf numFmtId="165" fontId="15" fillId="0" borderId="9" xfId="9" applyNumberFormat="1" applyFont="1" applyFill="1" applyBorder="1" applyAlignment="1">
      <alignment vertical="center" wrapText="1"/>
    </xf>
    <xf numFmtId="165" fontId="15" fillId="0" borderId="5" xfId="9" applyNumberFormat="1" applyFont="1" applyFill="1" applyBorder="1" applyAlignment="1">
      <alignment vertical="center" wrapText="1"/>
    </xf>
    <xf numFmtId="165" fontId="0" fillId="6" borderId="12" xfId="9" applyNumberFormat="1" applyFont="1" applyFill="1" applyBorder="1" applyAlignment="1">
      <alignment vertical="center"/>
    </xf>
    <xf numFmtId="165" fontId="18" fillId="0" borderId="13" xfId="9" applyNumberFormat="1" applyFont="1" applyBorder="1" applyAlignment="1">
      <alignment vertical="center"/>
    </xf>
    <xf numFmtId="165" fontId="0" fillId="6" borderId="14" xfId="9" applyNumberFormat="1" applyFont="1" applyFill="1" applyBorder="1" applyAlignment="1">
      <alignment vertical="center"/>
    </xf>
    <xf numFmtId="168" fontId="15" fillId="6" borderId="8" xfId="8" applyNumberFormat="1" applyFont="1" applyFill="1" applyBorder="1" applyAlignment="1">
      <alignment horizontal="center" vertical="center" wrapText="1"/>
    </xf>
    <xf numFmtId="0" fontId="39" fillId="0" borderId="8" xfId="8" applyFont="1" applyBorder="1" applyAlignment="1">
      <alignment vertical="center" wrapText="1"/>
    </xf>
    <xf numFmtId="165" fontId="39" fillId="0" borderId="8" xfId="9" applyNumberFormat="1" applyFont="1" applyFill="1" applyBorder="1" applyAlignment="1">
      <alignment vertical="center" wrapText="1"/>
    </xf>
    <xf numFmtId="165" fontId="26" fillId="6" borderId="13" xfId="9" applyNumberFormat="1" applyFont="1" applyFill="1" applyBorder="1" applyAlignment="1">
      <alignment vertical="center"/>
    </xf>
    <xf numFmtId="168" fontId="34" fillId="6" borderId="8" xfId="8" applyNumberFormat="1" applyFont="1" applyFill="1" applyBorder="1" applyAlignment="1">
      <alignment horizontal="center" vertical="center" wrapText="1"/>
    </xf>
    <xf numFmtId="168" fontId="38" fillId="6" borderId="8" xfId="8" applyNumberFormat="1" applyFont="1" applyFill="1" applyBorder="1" applyAlignment="1">
      <alignment horizontal="center" vertical="center" wrapText="1"/>
    </xf>
    <xf numFmtId="0" fontId="38" fillId="6" borderId="8" xfId="8" applyFont="1" applyFill="1" applyBorder="1" applyAlignment="1">
      <alignment vertical="center" wrapText="1"/>
    </xf>
    <xf numFmtId="0" fontId="33" fillId="6" borderId="8" xfId="8" applyFont="1" applyFill="1" applyBorder="1" applyAlignment="1">
      <alignment horizontal="center" vertical="center" wrapText="1"/>
    </xf>
    <xf numFmtId="168" fontId="34" fillId="6" borderId="3" xfId="8" applyNumberFormat="1" applyFont="1" applyFill="1" applyBorder="1" applyAlignment="1">
      <alignment horizontal="center" vertical="center" wrapText="1"/>
    </xf>
    <xf numFmtId="165" fontId="18" fillId="0" borderId="15" xfId="9" applyNumberFormat="1" applyFont="1" applyFill="1" applyBorder="1" applyAlignment="1">
      <alignment vertical="center"/>
    </xf>
    <xf numFmtId="169" fontId="17" fillId="0" borderId="8" xfId="9" applyNumberFormat="1" applyFont="1" applyFill="1" applyBorder="1" applyAlignment="1">
      <alignment vertical="center" wrapText="1"/>
    </xf>
    <xf numFmtId="0" fontId="28" fillId="7" borderId="8" xfId="8" applyFont="1" applyFill="1" applyBorder="1" applyAlignment="1">
      <alignment horizontal="center" vertical="center"/>
    </xf>
    <xf numFmtId="165" fontId="28" fillId="7" borderId="9" xfId="8" applyNumberFormat="1" applyFont="1" applyFill="1" applyBorder="1" applyAlignment="1">
      <alignment horizontal="center" vertical="center"/>
    </xf>
    <xf numFmtId="0" fontId="34" fillId="0" borderId="8" xfId="8" applyFont="1" applyBorder="1" applyAlignment="1">
      <alignment horizontal="center" vertical="center"/>
    </xf>
    <xf numFmtId="168" fontId="36" fillId="0" borderId="8" xfId="8" applyNumberFormat="1" applyFont="1" applyBorder="1" applyAlignment="1">
      <alignment horizontal="center" vertical="center" wrapText="1"/>
    </xf>
    <xf numFmtId="0" fontId="34" fillId="0" borderId="8" xfId="8" applyFont="1" applyBorder="1" applyAlignment="1">
      <alignment vertical="center" wrapText="1"/>
    </xf>
    <xf numFmtId="168" fontId="34" fillId="0" borderId="8" xfId="8" applyNumberFormat="1" applyFont="1" applyBorder="1" applyAlignment="1">
      <alignment horizontal="center" vertical="center" wrapText="1"/>
    </xf>
    <xf numFmtId="165" fontId="0" fillId="0" borderId="8" xfId="9" applyNumberFormat="1" applyFont="1" applyBorder="1"/>
    <xf numFmtId="165" fontId="17" fillId="4" borderId="8" xfId="9" applyNumberFormat="1" applyFont="1" applyFill="1" applyBorder="1" applyAlignment="1">
      <alignment vertical="center" wrapText="1"/>
    </xf>
    <xf numFmtId="165" fontId="0" fillId="6" borderId="15" xfId="9" applyNumberFormat="1" applyFont="1" applyFill="1" applyBorder="1" applyAlignment="1">
      <alignment vertical="center"/>
    </xf>
    <xf numFmtId="165" fontId="0" fillId="6" borderId="16" xfId="9" applyNumberFormat="1" applyFont="1" applyFill="1" applyBorder="1" applyAlignment="1">
      <alignment vertical="center"/>
    </xf>
    <xf numFmtId="165" fontId="37" fillId="6" borderId="15" xfId="9" applyNumberFormat="1" applyFont="1" applyFill="1" applyBorder="1" applyAlignment="1">
      <alignment vertical="center"/>
    </xf>
    <xf numFmtId="165" fontId="15" fillId="0" borderId="1" xfId="9" applyNumberFormat="1" applyFont="1" applyFill="1" applyBorder="1" applyAlignment="1">
      <alignment vertical="center" wrapText="1"/>
    </xf>
    <xf numFmtId="165" fontId="0" fillId="6" borderId="1" xfId="9" applyNumberFormat="1" applyFont="1" applyFill="1" applyBorder="1" applyAlignment="1">
      <alignment vertical="center"/>
    </xf>
    <xf numFmtId="165" fontId="40" fillId="0" borderId="8" xfId="9" applyNumberFormat="1" applyFont="1" applyFill="1" applyBorder="1" applyAlignment="1">
      <alignment vertical="center" wrapText="1"/>
    </xf>
    <xf numFmtId="165" fontId="0" fillId="0" borderId="1" xfId="9" applyNumberFormat="1" applyFont="1" applyAlignment="1">
      <alignment vertical="center"/>
    </xf>
    <xf numFmtId="165" fontId="36" fillId="0" borderId="1" xfId="9" applyNumberFormat="1" applyFont="1" applyBorder="1" applyAlignment="1">
      <alignment horizontal="center" vertical="center" wrapText="1"/>
    </xf>
    <xf numFmtId="43" fontId="34" fillId="0" borderId="8" xfId="9" applyFont="1" applyFill="1" applyBorder="1" applyAlignment="1" applyProtection="1">
      <alignment vertical="center" wrapText="1"/>
      <protection locked="0"/>
    </xf>
    <xf numFmtId="168" fontId="34" fillId="0" borderId="1" xfId="8" applyNumberFormat="1" applyFont="1" applyAlignment="1">
      <alignment horizontal="center" vertical="center" wrapText="1"/>
    </xf>
    <xf numFmtId="165" fontId="0" fillId="0" borderId="8" xfId="9" applyNumberFormat="1" applyFont="1" applyFill="1" applyBorder="1"/>
    <xf numFmtId="165" fontId="0" fillId="0" borderId="17" xfId="9" applyNumberFormat="1" applyFont="1" applyFill="1" applyBorder="1" applyAlignment="1">
      <alignment vertical="center"/>
    </xf>
    <xf numFmtId="170" fontId="17" fillId="0" borderId="8" xfId="9" applyNumberFormat="1" applyFont="1" applyBorder="1" applyAlignment="1">
      <alignment horizontal="center" vertical="center" wrapText="1"/>
    </xf>
    <xf numFmtId="168" fontId="34" fillId="0" borderId="18" xfId="8" applyNumberFormat="1" applyFont="1" applyBorder="1" applyAlignment="1">
      <alignment horizontal="center" vertical="center" wrapText="1"/>
    </xf>
    <xf numFmtId="168" fontId="34" fillId="0" borderId="19" xfId="8" applyNumberFormat="1" applyFont="1" applyBorder="1" applyAlignment="1">
      <alignment horizontal="center" vertical="center" wrapText="1"/>
    </xf>
    <xf numFmtId="0" fontId="15" fillId="0" borderId="20" xfId="8" applyFont="1" applyBorder="1"/>
    <xf numFmtId="168" fontId="34" fillId="0" borderId="2" xfId="8" applyNumberFormat="1" applyFont="1" applyBorder="1" applyAlignment="1">
      <alignment horizontal="center" vertical="center" wrapText="1"/>
    </xf>
    <xf numFmtId="0" fontId="15" fillId="0" borderId="1" xfId="8" applyFont="1"/>
    <xf numFmtId="0" fontId="15" fillId="6" borderId="8" xfId="8" applyFont="1" applyFill="1" applyBorder="1" applyAlignment="1">
      <alignment vertical="center" wrapText="1"/>
    </xf>
    <xf numFmtId="165" fontId="36" fillId="4" borderId="3" xfId="9" applyNumberFormat="1" applyFont="1" applyFill="1" applyBorder="1" applyAlignment="1">
      <alignment horizontal="center" vertical="center" wrapText="1"/>
    </xf>
    <xf numFmtId="168" fontId="38" fillId="0" borderId="1" xfId="8" applyNumberFormat="1" applyFont="1" applyAlignment="1">
      <alignment horizontal="center" vertical="center" wrapText="1"/>
    </xf>
    <xf numFmtId="43" fontId="15" fillId="6" borderId="8" xfId="9" applyFont="1" applyFill="1" applyBorder="1" applyAlignment="1">
      <alignment vertical="center" wrapText="1"/>
    </xf>
    <xf numFmtId="43" fontId="41" fillId="0" borderId="8" xfId="9" applyFont="1" applyFill="1" applyBorder="1" applyAlignment="1">
      <alignment vertical="center"/>
    </xf>
    <xf numFmtId="43" fontId="18" fillId="0" borderId="8" xfId="9" applyFont="1" applyFill="1" applyBorder="1" applyAlignment="1">
      <alignment vertical="center"/>
    </xf>
    <xf numFmtId="165" fontId="15" fillId="0" borderId="8" xfId="9" applyNumberFormat="1" applyFont="1" applyFill="1" applyBorder="1" applyAlignment="1">
      <alignment vertical="center"/>
    </xf>
    <xf numFmtId="165" fontId="0" fillId="0" borderId="21" xfId="9" applyNumberFormat="1" applyFont="1" applyFill="1" applyBorder="1" applyAlignment="1">
      <alignment vertical="center"/>
    </xf>
    <xf numFmtId="165" fontId="37" fillId="0" borderId="22" xfId="9" applyNumberFormat="1" applyFont="1" applyFill="1" applyBorder="1" applyAlignment="1">
      <alignment vertical="center"/>
    </xf>
    <xf numFmtId="165" fontId="41" fillId="0" borderId="8" xfId="9" applyNumberFormat="1" applyFont="1" applyFill="1" applyBorder="1" applyAlignment="1">
      <alignment vertical="center"/>
    </xf>
    <xf numFmtId="165" fontId="42" fillId="0" borderId="8" xfId="9" applyNumberFormat="1" applyFont="1" applyFill="1" applyBorder="1" applyAlignment="1">
      <alignment vertical="center"/>
    </xf>
    <xf numFmtId="165" fontId="0" fillId="0" borderId="22" xfId="9" applyNumberFormat="1" applyFont="1" applyFill="1" applyBorder="1" applyAlignment="1">
      <alignment vertical="center"/>
    </xf>
    <xf numFmtId="165" fontId="17" fillId="0" borderId="1" xfId="9" applyNumberFormat="1" applyFont="1" applyFill="1" applyBorder="1" applyAlignment="1">
      <alignment vertical="center" wrapText="1"/>
    </xf>
    <xf numFmtId="165" fontId="0" fillId="0" borderId="1" xfId="9" applyNumberFormat="1" applyFont="1" applyFill="1" applyBorder="1" applyAlignment="1">
      <alignment vertical="center"/>
    </xf>
    <xf numFmtId="165" fontId="37" fillId="0" borderId="1" xfId="9" applyNumberFormat="1" applyFont="1" applyFill="1" applyBorder="1" applyAlignment="1">
      <alignment vertical="center"/>
    </xf>
    <xf numFmtId="165" fontId="33" fillId="0" borderId="8" xfId="9" applyNumberFormat="1" applyFont="1" applyFill="1" applyBorder="1" applyAlignment="1">
      <alignment horizontal="center" vertical="center" wrapText="1"/>
    </xf>
    <xf numFmtId="43" fontId="16" fillId="6" borderId="8" xfId="9" applyFont="1" applyFill="1" applyBorder="1"/>
    <xf numFmtId="165" fontId="33" fillId="6" borderId="8" xfId="9" applyNumberFormat="1" applyFont="1" applyFill="1" applyBorder="1" applyAlignment="1">
      <alignment horizontal="center" vertical="center" wrapText="1"/>
    </xf>
    <xf numFmtId="0" fontId="15" fillId="0" borderId="8" xfId="8" applyFont="1" applyBorder="1" applyAlignment="1">
      <alignment horizontal="center" vertical="center"/>
    </xf>
    <xf numFmtId="0" fontId="15" fillId="0" borderId="8" xfId="8" applyFont="1" applyBorder="1" applyAlignment="1">
      <alignment horizontal="center" vertical="center" wrapText="1"/>
    </xf>
    <xf numFmtId="165" fontId="0" fillId="0" borderId="3" xfId="9" applyNumberFormat="1" applyFont="1" applyFill="1" applyBorder="1" applyAlignment="1">
      <alignment vertical="center"/>
    </xf>
    <xf numFmtId="165" fontId="0" fillId="0" borderId="14" xfId="9" applyNumberFormat="1" applyFont="1" applyFill="1" applyBorder="1" applyAlignment="1">
      <alignment vertical="center"/>
    </xf>
    <xf numFmtId="165" fontId="37" fillId="0" borderId="3" xfId="9" applyNumberFormat="1" applyFont="1" applyFill="1" applyBorder="1" applyAlignment="1">
      <alignment vertical="center"/>
    </xf>
    <xf numFmtId="165" fontId="28" fillId="7" borderId="9" xfId="8" applyNumberFormat="1" applyFont="1" applyFill="1" applyBorder="1" applyAlignment="1">
      <alignment vertical="center"/>
    </xf>
    <xf numFmtId="43" fontId="28" fillId="7" borderId="8" xfId="9" applyFont="1" applyFill="1" applyBorder="1" applyAlignment="1" applyProtection="1">
      <alignment vertical="center"/>
      <protection locked="0"/>
    </xf>
    <xf numFmtId="43" fontId="38" fillId="4" borderId="8" xfId="9" applyFont="1" applyFill="1" applyBorder="1" applyAlignment="1">
      <alignment vertical="center" wrapText="1"/>
    </xf>
    <xf numFmtId="0" fontId="27" fillId="6" borderId="8" xfId="8" applyFont="1" applyFill="1" applyBorder="1" applyAlignment="1">
      <alignment horizontal="center" vertical="center"/>
    </xf>
    <xf numFmtId="0" fontId="27" fillId="22" borderId="8" xfId="8" applyFont="1" applyFill="1" applyBorder="1" applyAlignment="1">
      <alignment horizontal="center" vertical="center" wrapText="1"/>
    </xf>
    <xf numFmtId="168" fontId="15" fillId="23" borderId="8" xfId="8" applyNumberFormat="1" applyFont="1" applyFill="1" applyBorder="1" applyAlignment="1">
      <alignment horizontal="center" vertical="center" wrapText="1"/>
    </xf>
    <xf numFmtId="0" fontId="15" fillId="23" borderId="8" xfId="8" applyFont="1" applyFill="1" applyBorder="1" applyAlignment="1">
      <alignment vertical="center" wrapText="1"/>
    </xf>
    <xf numFmtId="165" fontId="15" fillId="23" borderId="8" xfId="9" applyNumberFormat="1" applyFont="1" applyFill="1" applyBorder="1" applyAlignment="1">
      <alignment vertical="center" wrapText="1"/>
    </xf>
    <xf numFmtId="165" fontId="35" fillId="23" borderId="8" xfId="9" applyNumberFormat="1" applyFont="1" applyFill="1" applyBorder="1" applyAlignment="1">
      <alignment vertical="center" wrapText="1"/>
    </xf>
    <xf numFmtId="165" fontId="43" fillId="24" borderId="8" xfId="9" applyNumberFormat="1" applyFont="1" applyFill="1" applyBorder="1" applyAlignment="1">
      <alignment vertical="center" wrapText="1"/>
    </xf>
    <xf numFmtId="0" fontId="17" fillId="23" borderId="8" xfId="8" applyFont="1" applyFill="1" applyBorder="1" applyAlignment="1">
      <alignment horizontal="center" vertical="center" wrapText="1"/>
    </xf>
    <xf numFmtId="165" fontId="17" fillId="23" borderId="8" xfId="9" applyNumberFormat="1" applyFont="1" applyFill="1" applyBorder="1" applyAlignment="1">
      <alignment vertical="center" wrapText="1"/>
    </xf>
    <xf numFmtId="165" fontId="37" fillId="4" borderId="8" xfId="9" applyNumberFormat="1" applyFont="1" applyFill="1" applyBorder="1" applyAlignment="1">
      <alignment vertical="center"/>
    </xf>
    <xf numFmtId="43" fontId="17" fillId="4" borderId="8" xfId="9" applyFont="1" applyFill="1" applyBorder="1" applyAlignment="1">
      <alignment vertical="center" wrapText="1"/>
    </xf>
    <xf numFmtId="0" fontId="27" fillId="6" borderId="8" xfId="8" applyFont="1" applyFill="1" applyBorder="1" applyAlignment="1">
      <alignment horizontal="center" vertical="center" wrapText="1"/>
    </xf>
    <xf numFmtId="168" fontId="17" fillId="0" borderId="8" xfId="8" applyNumberFormat="1" applyFont="1" applyBorder="1" applyAlignment="1">
      <alignment horizontal="center" vertical="center" wrapText="1"/>
    </xf>
    <xf numFmtId="165" fontId="43" fillId="0" borderId="8" xfId="9" applyNumberFormat="1" applyFont="1" applyFill="1" applyBorder="1" applyAlignment="1">
      <alignment vertical="center" wrapText="1"/>
    </xf>
    <xf numFmtId="43" fontId="0" fillId="0" borderId="8" xfId="9" applyFont="1" applyFill="1" applyBorder="1"/>
    <xf numFmtId="165" fontId="36" fillId="0" borderId="1" xfId="9" applyNumberFormat="1" applyFont="1" applyFill="1" applyBorder="1" applyAlignment="1">
      <alignment horizontal="center" vertical="center" wrapText="1"/>
    </xf>
    <xf numFmtId="165" fontId="15" fillId="6" borderId="8" xfId="9" applyNumberFormat="1" applyFont="1" applyFill="1" applyBorder="1" applyAlignment="1">
      <alignment vertical="center"/>
    </xf>
    <xf numFmtId="165" fontId="36" fillId="6" borderId="3" xfId="9" applyNumberFormat="1" applyFont="1" applyFill="1" applyBorder="1" applyAlignment="1">
      <alignment horizontal="center" vertical="center" wrapText="1"/>
    </xf>
    <xf numFmtId="165" fontId="15" fillId="0" borderId="1" xfId="8" applyNumberFormat="1" applyFont="1" applyAlignment="1">
      <alignment vertical="center"/>
    </xf>
    <xf numFmtId="165" fontId="35" fillId="6" borderId="8" xfId="9" applyNumberFormat="1" applyFont="1" applyFill="1" applyBorder="1" applyAlignment="1">
      <alignment vertical="center" wrapText="1"/>
    </xf>
    <xf numFmtId="165" fontId="34" fillId="0" borderId="1" xfId="9" applyNumberFormat="1" applyFont="1" applyBorder="1" applyAlignment="1">
      <alignment horizontal="center" vertical="center" wrapText="1"/>
    </xf>
    <xf numFmtId="165" fontId="17" fillId="6" borderId="8" xfId="9" applyNumberFormat="1" applyFont="1" applyFill="1" applyBorder="1" applyAlignment="1">
      <alignment horizontal="center" vertical="center" wrapText="1"/>
    </xf>
    <xf numFmtId="171" fontId="17" fillId="0" borderId="8" xfId="9" applyNumberFormat="1" applyFont="1" applyFill="1" applyBorder="1" applyAlignment="1">
      <alignment vertical="center" wrapText="1"/>
    </xf>
    <xf numFmtId="165" fontId="0" fillId="0" borderId="23" xfId="9" applyNumberFormat="1" applyFont="1" applyFill="1" applyBorder="1" applyAlignment="1">
      <alignment vertical="center"/>
    </xf>
    <xf numFmtId="165" fontId="37" fillId="0" borderId="24" xfId="9" applyNumberFormat="1" applyFont="1" applyFill="1" applyBorder="1" applyAlignment="1">
      <alignment vertical="center"/>
    </xf>
    <xf numFmtId="0" fontId="15" fillId="0" borderId="1" xfId="8" applyFont="1" applyAlignment="1">
      <alignment vertical="center"/>
    </xf>
    <xf numFmtId="165" fontId="18" fillId="0" borderId="1" xfId="9" applyNumberFormat="1" applyFont="1" applyFill="1" applyAlignment="1">
      <alignment vertical="center"/>
    </xf>
    <xf numFmtId="165" fontId="0" fillId="6" borderId="23" xfId="9" applyNumberFormat="1" applyFont="1" applyFill="1" applyBorder="1" applyAlignment="1">
      <alignment vertical="center"/>
    </xf>
    <xf numFmtId="165" fontId="0" fillId="6" borderId="24" xfId="9" applyNumberFormat="1" applyFont="1" applyFill="1" applyBorder="1" applyAlignment="1">
      <alignment vertical="center"/>
    </xf>
    <xf numFmtId="165" fontId="37" fillId="6" borderId="24" xfId="9" applyNumberFormat="1" applyFont="1" applyFill="1" applyBorder="1" applyAlignment="1">
      <alignment vertical="center"/>
    </xf>
    <xf numFmtId="165" fontId="37" fillId="6" borderId="1" xfId="9" applyNumberFormat="1" applyFont="1" applyFill="1" applyBorder="1" applyAlignment="1">
      <alignment vertical="center"/>
    </xf>
    <xf numFmtId="168" fontId="44" fillId="0" borderId="8" xfId="8" applyNumberFormat="1" applyFont="1" applyBorder="1" applyAlignment="1">
      <alignment horizontal="center" vertical="center" wrapText="1"/>
    </xf>
    <xf numFmtId="165" fontId="12" fillId="25" borderId="11" xfId="9" applyNumberFormat="1" applyFont="1" applyFill="1" applyBorder="1" applyAlignment="1">
      <alignment vertical="center"/>
    </xf>
    <xf numFmtId="165" fontId="12" fillId="25" borderId="1" xfId="9" applyNumberFormat="1" applyFont="1" applyFill="1" applyBorder="1" applyAlignment="1">
      <alignment vertical="center"/>
    </xf>
    <xf numFmtId="165" fontId="34" fillId="6" borderId="8" xfId="9" applyNumberFormat="1" applyFont="1" applyFill="1" applyBorder="1" applyAlignment="1">
      <alignment vertical="center" wrapText="1"/>
    </xf>
    <xf numFmtId="43" fontId="34" fillId="6" borderId="8" xfId="9" applyFont="1" applyFill="1" applyBorder="1" applyAlignment="1">
      <alignment vertical="center" wrapText="1"/>
    </xf>
    <xf numFmtId="165" fontId="0" fillId="0" borderId="1" xfId="9" applyNumberFormat="1" applyFont="1" applyBorder="1" applyAlignment="1">
      <alignment vertical="center"/>
    </xf>
    <xf numFmtId="165" fontId="37" fillId="6" borderId="3" xfId="9" applyNumberFormat="1" applyFont="1" applyFill="1" applyBorder="1" applyAlignment="1">
      <alignment vertical="center"/>
    </xf>
    <xf numFmtId="165" fontId="43" fillId="6" borderId="8" xfId="9" applyNumberFormat="1" applyFont="1" applyFill="1" applyBorder="1" applyAlignment="1">
      <alignment vertical="center" wrapText="1"/>
    </xf>
    <xf numFmtId="0" fontId="17" fillId="6" borderId="8" xfId="8" applyFont="1" applyFill="1" applyBorder="1" applyAlignment="1">
      <alignment horizontal="center" vertical="center" wrapText="1"/>
    </xf>
    <xf numFmtId="165" fontId="43" fillId="23" borderId="8" xfId="9" applyNumberFormat="1" applyFont="1" applyFill="1" applyBorder="1" applyAlignment="1">
      <alignment vertical="center" wrapText="1"/>
    </xf>
    <xf numFmtId="165" fontId="15" fillId="0" borderId="8" xfId="8" applyNumberFormat="1" applyFont="1" applyBorder="1" applyAlignment="1">
      <alignment horizontal="center" vertical="center" wrapText="1"/>
    </xf>
    <xf numFmtId="165" fontId="27" fillId="0" borderId="8" xfId="8" applyNumberFormat="1" applyFont="1" applyBorder="1" applyAlignment="1">
      <alignment horizontal="center" vertical="center"/>
    </xf>
    <xf numFmtId="165" fontId="27" fillId="0" borderId="8" xfId="8" applyNumberFormat="1" applyFont="1" applyBorder="1" applyAlignment="1">
      <alignment horizontal="center" vertical="center" wrapText="1"/>
    </xf>
    <xf numFmtId="165" fontId="34" fillId="0" borderId="3" xfId="8" applyNumberFormat="1" applyFont="1" applyBorder="1" applyAlignment="1">
      <alignment horizontal="center" vertical="center" wrapText="1"/>
    </xf>
    <xf numFmtId="165" fontId="15" fillId="0" borderId="8" xfId="8" applyNumberFormat="1" applyFont="1" applyBorder="1" applyAlignment="1">
      <alignment vertical="center" wrapText="1"/>
    </xf>
    <xf numFmtId="43" fontId="17" fillId="0" borderId="8" xfId="9" applyFont="1" applyFill="1" applyBorder="1" applyAlignment="1">
      <alignment horizontal="center" vertical="center" wrapText="1"/>
    </xf>
    <xf numFmtId="165" fontId="45" fillId="0" borderId="9" xfId="9" applyNumberFormat="1" applyFont="1" applyFill="1" applyBorder="1" applyAlignment="1">
      <alignment vertical="center" wrapText="1"/>
    </xf>
    <xf numFmtId="165" fontId="34" fillId="0" borderId="1" xfId="8" applyNumberFormat="1" applyFont="1" applyAlignment="1">
      <alignment horizontal="center" vertical="center" wrapText="1"/>
    </xf>
    <xf numFmtId="0" fontId="36" fillId="0" borderId="3" xfId="8" applyFont="1" applyBorder="1" applyAlignment="1">
      <alignment vertical="center" wrapText="1"/>
    </xf>
    <xf numFmtId="168" fontId="33" fillId="0" borderId="8" xfId="8" applyNumberFormat="1" applyFont="1" applyBorder="1" applyAlignment="1">
      <alignment horizontal="center" vertical="center" wrapText="1"/>
    </xf>
    <xf numFmtId="43" fontId="17" fillId="0" borderId="8" xfId="9" applyFont="1" applyBorder="1" applyAlignment="1">
      <alignment horizontal="center" vertical="center" wrapText="1"/>
    </xf>
    <xf numFmtId="165" fontId="18" fillId="26" borderId="8" xfId="9" applyNumberFormat="1" applyFont="1" applyFill="1" applyBorder="1" applyAlignment="1">
      <alignment vertical="center"/>
    </xf>
    <xf numFmtId="165" fontId="15" fillId="26" borderId="8" xfId="8" applyNumberFormat="1" applyFont="1" applyFill="1" applyBorder="1" applyAlignment="1">
      <alignment horizontal="center" vertical="center" wrapText="1"/>
    </xf>
    <xf numFmtId="165" fontId="27" fillId="26" borderId="8" xfId="8" applyNumberFormat="1" applyFont="1" applyFill="1" applyBorder="1" applyAlignment="1">
      <alignment horizontal="center" vertical="center"/>
    </xf>
    <xf numFmtId="165" fontId="27" fillId="26" borderId="8" xfId="8" applyNumberFormat="1" applyFont="1" applyFill="1" applyBorder="1" applyAlignment="1">
      <alignment horizontal="center" vertical="center" wrapText="1"/>
    </xf>
    <xf numFmtId="165" fontId="34" fillId="26" borderId="1" xfId="8" applyNumberFormat="1" applyFont="1" applyFill="1" applyAlignment="1">
      <alignment horizontal="center" vertical="center" wrapText="1"/>
    </xf>
    <xf numFmtId="165" fontId="15" fillId="26" borderId="8" xfId="8" applyNumberFormat="1" applyFont="1" applyFill="1" applyBorder="1" applyAlignment="1">
      <alignment vertical="center" wrapText="1"/>
    </xf>
    <xf numFmtId="43" fontId="18" fillId="26" borderId="8" xfId="9" applyFont="1" applyFill="1" applyBorder="1" applyAlignment="1">
      <alignment vertical="center"/>
    </xf>
    <xf numFmtId="165" fontId="36" fillId="26" borderId="3" xfId="9" applyNumberFormat="1" applyFont="1" applyFill="1" applyBorder="1" applyAlignment="1">
      <alignment horizontal="center" vertical="center" wrapText="1"/>
    </xf>
    <xf numFmtId="165" fontId="33" fillId="26" borderId="9" xfId="9" applyNumberFormat="1" applyFont="1" applyFill="1" applyBorder="1" applyAlignment="1">
      <alignment vertical="center" wrapText="1"/>
    </xf>
    <xf numFmtId="165" fontId="17" fillId="26" borderId="8" xfId="9" applyNumberFormat="1" applyFont="1" applyFill="1" applyBorder="1" applyAlignment="1">
      <alignment horizontal="center" vertical="center" wrapText="1"/>
    </xf>
    <xf numFmtId="43" fontId="17" fillId="26" borderId="8" xfId="9" applyFont="1" applyFill="1" applyBorder="1" applyAlignment="1">
      <alignment horizontal="center" vertical="center" wrapText="1"/>
    </xf>
    <xf numFmtId="165" fontId="0" fillId="26" borderId="3" xfId="9" applyNumberFormat="1" applyFont="1" applyFill="1" applyBorder="1" applyAlignment="1">
      <alignment vertical="center"/>
    </xf>
    <xf numFmtId="43" fontId="0" fillId="26" borderId="8" xfId="9" applyFont="1" applyFill="1" applyBorder="1"/>
    <xf numFmtId="165" fontId="36" fillId="0" borderId="3" xfId="9" applyNumberFormat="1" applyFont="1" applyFill="1" applyBorder="1" applyAlignment="1">
      <alignment horizontal="center" vertical="center"/>
    </xf>
    <xf numFmtId="165" fontId="17" fillId="0" borderId="8" xfId="9" applyNumberFormat="1" applyFont="1" applyFill="1" applyBorder="1" applyAlignment="1">
      <alignment horizontal="center" vertical="center"/>
    </xf>
    <xf numFmtId="165" fontId="17" fillId="6" borderId="8" xfId="9" applyNumberFormat="1" applyFont="1" applyFill="1" applyBorder="1" applyAlignment="1">
      <alignment horizontal="center" vertical="center"/>
    </xf>
    <xf numFmtId="165" fontId="36" fillId="0" borderId="1" xfId="9" applyNumberFormat="1" applyFont="1" applyFill="1" applyBorder="1" applyAlignment="1">
      <alignment horizontal="center" vertical="center"/>
    </xf>
    <xf numFmtId="0" fontId="27" fillId="0" borderId="8" xfId="8" applyFont="1" applyBorder="1" applyAlignment="1">
      <alignment vertical="center" wrapText="1"/>
    </xf>
    <xf numFmtId="43" fontId="42" fillId="0" borderId="8" xfId="9" applyFont="1" applyFill="1" applyBorder="1" applyAlignment="1">
      <alignment vertical="center"/>
    </xf>
    <xf numFmtId="165" fontId="43" fillId="0" borderId="8" xfId="9" applyNumberFormat="1" applyFont="1" applyFill="1" applyBorder="1" applyAlignment="1">
      <alignment vertical="center"/>
    </xf>
    <xf numFmtId="165" fontId="17" fillId="0" borderId="11" xfId="9" applyNumberFormat="1" applyFont="1" applyFill="1" applyBorder="1" applyAlignment="1">
      <alignment vertical="center"/>
    </xf>
    <xf numFmtId="165" fontId="17" fillId="0" borderId="1" xfId="9" applyNumberFormat="1" applyFont="1" applyFill="1" applyBorder="1" applyAlignment="1">
      <alignment vertical="center"/>
    </xf>
    <xf numFmtId="165" fontId="15" fillId="0" borderId="1" xfId="9" applyNumberFormat="1" applyFont="1" applyFill="1" applyBorder="1" applyAlignment="1">
      <alignment vertical="center"/>
    </xf>
    <xf numFmtId="165" fontId="36" fillId="0" borderId="25" xfId="9" applyNumberFormat="1" applyFont="1" applyBorder="1" applyAlignment="1">
      <alignment horizontal="center" vertical="center" wrapText="1"/>
    </xf>
    <xf numFmtId="165" fontId="15" fillId="0" borderId="1" xfId="9" applyNumberFormat="1" applyFont="1" applyFill="1" applyAlignment="1">
      <alignment vertical="center"/>
    </xf>
    <xf numFmtId="165" fontId="36" fillId="0" borderId="26" xfId="9" applyNumberFormat="1" applyFont="1" applyFill="1" applyBorder="1" applyAlignment="1">
      <alignment horizontal="center" vertical="center" wrapText="1"/>
    </xf>
    <xf numFmtId="165" fontId="36" fillId="0" borderId="27" xfId="9" applyNumberFormat="1" applyFont="1" applyFill="1" applyBorder="1" applyAlignment="1">
      <alignment horizontal="center" vertical="center" wrapText="1"/>
    </xf>
    <xf numFmtId="171" fontId="35" fillId="0" borderId="8" xfId="9" applyNumberFormat="1" applyFont="1" applyFill="1" applyBorder="1" applyAlignment="1">
      <alignment vertical="center" wrapText="1"/>
    </xf>
    <xf numFmtId="171" fontId="15" fillId="0" borderId="8" xfId="9" applyNumberFormat="1" applyFont="1" applyFill="1" applyBorder="1" applyAlignment="1">
      <alignment vertical="center" wrapText="1"/>
    </xf>
    <xf numFmtId="171" fontId="43" fillId="0" borderId="8" xfId="9" applyNumberFormat="1" applyFont="1" applyFill="1" applyBorder="1" applyAlignment="1">
      <alignment vertical="center" wrapText="1"/>
    </xf>
    <xf numFmtId="171" fontId="0" fillId="0" borderId="15" xfId="9" applyNumberFormat="1" applyFont="1" applyFill="1" applyBorder="1" applyAlignment="1">
      <alignment vertical="center"/>
    </xf>
    <xf numFmtId="171" fontId="0" fillId="0" borderId="8" xfId="9" applyNumberFormat="1" applyFont="1" applyFill="1" applyBorder="1" applyAlignment="1">
      <alignment vertical="center"/>
    </xf>
    <xf numFmtId="171" fontId="33" fillId="0" borderId="8" xfId="9" applyNumberFormat="1" applyFont="1" applyFill="1" applyBorder="1" applyAlignment="1">
      <alignment vertical="center" wrapText="1"/>
    </xf>
    <xf numFmtId="171" fontId="0" fillId="0" borderId="28" xfId="9" applyNumberFormat="1" applyFont="1" applyFill="1" applyBorder="1" applyAlignment="1">
      <alignment vertical="center"/>
    </xf>
    <xf numFmtId="171" fontId="15" fillId="0" borderId="8" xfId="9" applyNumberFormat="1" applyFont="1" applyFill="1" applyBorder="1" applyAlignment="1">
      <alignment vertical="center"/>
    </xf>
    <xf numFmtId="171" fontId="37" fillId="0" borderId="8" xfId="9" applyNumberFormat="1" applyFont="1" applyFill="1" applyBorder="1" applyAlignment="1">
      <alignment vertical="center"/>
    </xf>
    <xf numFmtId="171" fontId="18" fillId="0" borderId="8" xfId="9" applyNumberFormat="1" applyFont="1" applyFill="1" applyBorder="1" applyAlignment="1">
      <alignment vertical="center"/>
    </xf>
    <xf numFmtId="49" fontId="34" fillId="0" borderId="3" xfId="8" applyNumberFormat="1" applyFont="1" applyBorder="1" applyAlignment="1">
      <alignment horizontal="center" vertical="center" wrapText="1"/>
    </xf>
    <xf numFmtId="171" fontId="0" fillId="0" borderId="14" xfId="9" applyNumberFormat="1" applyFont="1" applyFill="1" applyBorder="1" applyAlignment="1">
      <alignment vertical="center"/>
    </xf>
    <xf numFmtId="0" fontId="15" fillId="6" borderId="1" xfId="8" applyFont="1" applyFill="1" applyAlignment="1">
      <alignment horizontal="center" vertical="center"/>
    </xf>
    <xf numFmtId="0" fontId="15" fillId="6" borderId="1" xfId="8" applyFont="1" applyFill="1" applyAlignment="1">
      <alignment vertical="center" wrapText="1"/>
    </xf>
    <xf numFmtId="0" fontId="35" fillId="6" borderId="1" xfId="8" applyFont="1" applyFill="1" applyAlignment="1">
      <alignment vertical="center"/>
    </xf>
    <xf numFmtId="0" fontId="43" fillId="6" borderId="1" xfId="8" applyFont="1" applyFill="1" applyAlignment="1">
      <alignment vertical="center"/>
    </xf>
    <xf numFmtId="0" fontId="17" fillId="6" borderId="1" xfId="8" applyFont="1" applyFill="1" applyAlignment="1">
      <alignment vertical="center"/>
    </xf>
    <xf numFmtId="43" fontId="17" fillId="4" borderId="8" xfId="9" applyFont="1" applyFill="1" applyBorder="1" applyAlignment="1" applyProtection="1">
      <alignment vertical="center" wrapText="1"/>
      <protection locked="0"/>
    </xf>
    <xf numFmtId="171" fontId="35" fillId="0" borderId="1" xfId="9" applyNumberFormat="1" applyFont="1" applyFill="1" applyBorder="1" applyAlignment="1">
      <alignment vertical="center" wrapText="1"/>
    </xf>
    <xf numFmtId="43" fontId="17" fillId="17" borderId="8" xfId="9" applyFont="1" applyFill="1" applyBorder="1" applyAlignment="1" applyProtection="1">
      <alignment vertical="center" wrapText="1"/>
      <protection locked="0"/>
    </xf>
    <xf numFmtId="0" fontId="17" fillId="4" borderId="8" xfId="8" applyFont="1" applyFill="1" applyBorder="1" applyAlignment="1">
      <alignment horizontal="center" vertical="center" wrapText="1"/>
    </xf>
    <xf numFmtId="168" fontId="15" fillId="0" borderId="1" xfId="8" applyNumberFormat="1" applyFont="1" applyAlignment="1">
      <alignment horizontal="center" vertical="center" wrapText="1"/>
    </xf>
    <xf numFmtId="43" fontId="17" fillId="4" borderId="8" xfId="9" applyFont="1" applyFill="1" applyBorder="1" applyAlignment="1" applyProtection="1">
      <alignment horizontal="right" vertical="center" wrapText="1"/>
      <protection locked="0"/>
    </xf>
    <xf numFmtId="0" fontId="35" fillId="4" borderId="8" xfId="8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 wrapText="1"/>
    </xf>
    <xf numFmtId="0" fontId="0" fillId="5" borderId="29" xfId="0" applyFill="1" applyBorder="1" applyAlignment="1">
      <alignment horizontal="center" vertical="center"/>
    </xf>
    <xf numFmtId="0" fontId="0" fillId="5" borderId="29" xfId="0" applyFill="1" applyBorder="1" applyAlignment="1">
      <alignment horizontal="left" vertical="center" wrapText="1"/>
    </xf>
    <xf numFmtId="3" fontId="0" fillId="5" borderId="29" xfId="0" applyNumberFormat="1" applyFill="1" applyBorder="1" applyAlignment="1">
      <alignment horizontal="right" vertical="center"/>
    </xf>
    <xf numFmtId="0" fontId="0" fillId="5" borderId="30" xfId="0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left" vertical="center" wrapText="1"/>
    </xf>
    <xf numFmtId="3" fontId="21" fillId="5" borderId="30" xfId="0" applyNumberFormat="1" applyFont="1" applyFill="1" applyBorder="1" applyAlignment="1">
      <alignment horizontal="right" vertical="center"/>
    </xf>
    <xf numFmtId="0" fontId="50" fillId="8" borderId="30" xfId="0" applyNumberFormat="1" applyFont="1" applyFill="1" applyBorder="1" applyAlignment="1">
      <alignment horizontal="center" vertical="center"/>
    </xf>
    <xf numFmtId="0" fontId="50" fillId="8" borderId="30" xfId="0" applyFont="1" applyFill="1" applyBorder="1" applyAlignment="1">
      <alignment horizontal="left" vertical="center" wrapText="1"/>
    </xf>
    <xf numFmtId="3" fontId="50" fillId="8" borderId="30" xfId="0" applyNumberFormat="1" applyFont="1" applyFill="1" applyBorder="1" applyAlignment="1">
      <alignment horizontal="right" vertical="center"/>
    </xf>
    <xf numFmtId="0" fontId="0" fillId="6" borderId="30" xfId="0" applyFill="1" applyBorder="1" applyAlignment="1">
      <alignment horizontal="center" vertical="center"/>
    </xf>
    <xf numFmtId="0" fontId="0" fillId="6" borderId="30" xfId="0" applyFill="1" applyBorder="1" applyAlignment="1">
      <alignment horizontal="left" vertical="center" wrapText="1"/>
    </xf>
    <xf numFmtId="3" fontId="0" fillId="6" borderId="30" xfId="0" applyNumberFormat="1" applyFill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4" fontId="0" fillId="0" borderId="30" xfId="0" applyNumberFormat="1" applyBorder="1" applyAlignment="1">
      <alignment horizontal="right" vertical="center"/>
    </xf>
    <xf numFmtId="0" fontId="21" fillId="28" borderId="30" xfId="0" applyFont="1" applyFill="1" applyBorder="1" applyAlignment="1">
      <alignment horizontal="center" vertical="center"/>
    </xf>
    <xf numFmtId="4" fontId="21" fillId="28" borderId="30" xfId="0" applyNumberFormat="1" applyFont="1" applyFill="1" applyBorder="1" applyAlignment="1">
      <alignment vertical="center"/>
    </xf>
    <xf numFmtId="0" fontId="0" fillId="29" borderId="30" xfId="0" applyFill="1" applyBorder="1" applyAlignment="1">
      <alignment horizontal="center" vertical="center"/>
    </xf>
    <xf numFmtId="0" fontId="0" fillId="29" borderId="30" xfId="0" applyFill="1" applyBorder="1" applyAlignment="1">
      <alignment horizontal="left" vertical="center" wrapText="1"/>
    </xf>
    <xf numFmtId="4" fontId="0" fillId="29" borderId="30" xfId="0" applyNumberFormat="1" applyFill="1" applyBorder="1" applyAlignment="1">
      <alignment vertical="center"/>
    </xf>
    <xf numFmtId="0" fontId="0" fillId="0" borderId="30" xfId="0" applyBorder="1" applyAlignment="1">
      <alignment horizontal="left" vertical="center" wrapText="1"/>
    </xf>
    <xf numFmtId="4" fontId="0" fillId="0" borderId="30" xfId="0" applyNumberFormat="1" applyBorder="1" applyAlignment="1">
      <alignment vertical="center"/>
    </xf>
    <xf numFmtId="0" fontId="14" fillId="0" borderId="30" xfId="0" applyFont="1" applyBorder="1" applyAlignment="1">
      <alignment horizontal="center" vertical="center"/>
    </xf>
    <xf numFmtId="0" fontId="14" fillId="0" borderId="30" xfId="0" applyFont="1" applyBorder="1" applyAlignment="1">
      <alignment horizontal="left" vertical="center" wrapText="1"/>
    </xf>
    <xf numFmtId="0" fontId="21" fillId="28" borderId="30" xfId="0" applyFont="1" applyFill="1" applyBorder="1" applyAlignment="1">
      <alignment vertical="center" wrapText="1"/>
    </xf>
    <xf numFmtId="0" fontId="21" fillId="5" borderId="30" xfId="0" applyFont="1" applyFill="1" applyBorder="1" applyAlignment="1">
      <alignment vertical="center" wrapText="1"/>
    </xf>
    <xf numFmtId="4" fontId="21" fillId="5" borderId="30" xfId="0" applyNumberFormat="1" applyFont="1" applyFill="1" applyBorder="1" applyAlignment="1">
      <alignment vertical="center"/>
    </xf>
    <xf numFmtId="0" fontId="50" fillId="27" borderId="30" xfId="0" applyFont="1" applyFill="1" applyBorder="1" applyAlignment="1">
      <alignment horizontal="center" vertical="center"/>
    </xf>
    <xf numFmtId="0" fontId="51" fillId="27" borderId="30" xfId="0" applyFont="1" applyFill="1" applyBorder="1" applyAlignment="1">
      <alignment vertical="center" wrapText="1"/>
    </xf>
    <xf numFmtId="4" fontId="51" fillId="27" borderId="30" xfId="0" applyNumberFormat="1" applyFont="1" applyFill="1" applyBorder="1" applyAlignment="1">
      <alignment vertical="center"/>
    </xf>
    <xf numFmtId="0" fontId="14" fillId="0" borderId="30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 wrapText="1"/>
    </xf>
    <xf numFmtId="0" fontId="0" fillId="0" borderId="36" xfId="0" applyBorder="1"/>
    <xf numFmtId="3" fontId="21" fillId="5" borderId="31" xfId="0" applyNumberFormat="1" applyFont="1" applyFill="1" applyBorder="1" applyAlignment="1">
      <alignment horizontal="right" vertical="center"/>
    </xf>
    <xf numFmtId="0" fontId="14" fillId="5" borderId="30" xfId="0" applyFont="1" applyFill="1" applyBorder="1" applyAlignment="1">
      <alignment horizontal="center" vertical="center"/>
    </xf>
    <xf numFmtId="0" fontId="46" fillId="33" borderId="30" xfId="0" applyFont="1" applyFill="1" applyBorder="1" applyAlignment="1">
      <alignment horizontal="center" vertical="center"/>
    </xf>
    <xf numFmtId="0" fontId="46" fillId="33" borderId="30" xfId="0" applyFont="1" applyFill="1" applyBorder="1" applyAlignment="1">
      <alignment vertical="center"/>
    </xf>
    <xf numFmtId="43" fontId="46" fillId="33" borderId="30" xfId="0" applyNumberFormat="1" applyFont="1" applyFill="1" applyBorder="1" applyAlignment="1">
      <alignment horizontal="right" vertical="center"/>
    </xf>
    <xf numFmtId="0" fontId="46" fillId="33" borderId="30" xfId="0" applyFont="1" applyFill="1" applyBorder="1" applyAlignment="1">
      <alignment horizontal="left" vertical="center"/>
    </xf>
    <xf numFmtId="0" fontId="21" fillId="5" borderId="33" xfId="0" applyFont="1" applyFill="1" applyBorder="1" applyAlignment="1">
      <alignment horizontal="center" vertical="center"/>
    </xf>
    <xf numFmtId="0" fontId="21" fillId="5" borderId="32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vertical="center"/>
    </xf>
    <xf numFmtId="43" fontId="13" fillId="2" borderId="45" xfId="0" applyNumberFormat="1" applyFont="1" applyFill="1" applyBorder="1" applyAlignment="1">
      <alignment horizontal="right" vertical="center"/>
    </xf>
    <xf numFmtId="0" fontId="21" fillId="30" borderId="30" xfId="0" applyFont="1" applyFill="1" applyBorder="1" applyAlignment="1">
      <alignment horizontal="center" vertical="center"/>
    </xf>
    <xf numFmtId="0" fontId="21" fillId="30" borderId="30" xfId="0" applyFont="1" applyFill="1" applyBorder="1" applyAlignment="1">
      <alignment horizontal="left" vertical="center" wrapText="1"/>
    </xf>
    <xf numFmtId="4" fontId="21" fillId="30" borderId="30" xfId="0" applyNumberFormat="1" applyFont="1" applyFill="1" applyBorder="1" applyAlignment="1">
      <alignment vertical="center"/>
    </xf>
    <xf numFmtId="0" fontId="21" fillId="5" borderId="30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right" vertical="center"/>
    </xf>
    <xf numFmtId="0" fontId="14" fillId="0" borderId="0" xfId="0" applyFont="1" applyAlignment="1">
      <alignment horizontal="left" vertical="center"/>
    </xf>
    <xf numFmtId="4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" fontId="40" fillId="0" borderId="1" xfId="21" applyNumberFormat="1" applyFont="1" applyFill="1" applyBorder="1" applyAlignment="1">
      <alignment horizontal="right" vertical="center" wrapText="1"/>
    </xf>
    <xf numFmtId="0" fontId="21" fillId="5" borderId="30" xfId="0" applyFont="1" applyFill="1" applyBorder="1" applyAlignment="1">
      <alignment vertical="center"/>
    </xf>
    <xf numFmtId="0" fontId="55" fillId="6" borderId="30" xfId="1" applyNumberFormat="1" applyFont="1" applyFill="1" applyBorder="1" applyAlignment="1">
      <alignment horizontal="left" vertical="center"/>
    </xf>
    <xf numFmtId="0" fontId="56" fillId="31" borderId="30" xfId="1" applyNumberFormat="1" applyFont="1" applyFill="1" applyBorder="1" applyAlignment="1">
      <alignment horizontal="center" vertical="center"/>
    </xf>
    <xf numFmtId="4" fontId="15" fillId="0" borderId="30" xfId="34" applyNumberFormat="1" applyFont="1" applyBorder="1" applyAlignment="1">
      <alignment horizontal="right" vertical="center"/>
    </xf>
    <xf numFmtId="3" fontId="56" fillId="31" borderId="30" xfId="1" applyNumberFormat="1" applyFont="1" applyFill="1" applyBorder="1" applyAlignment="1">
      <alignment horizontal="center" vertical="center"/>
    </xf>
    <xf numFmtId="4" fontId="14" fillId="0" borderId="30" xfId="0" applyNumberFormat="1" applyFont="1" applyBorder="1" applyAlignment="1">
      <alignment horizontal="right" vertical="center"/>
    </xf>
    <xf numFmtId="0" fontId="0" fillId="0" borderId="30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right" vertical="center"/>
    </xf>
    <xf numFmtId="0" fontId="21" fillId="5" borderId="37" xfId="0" applyFont="1" applyFill="1" applyBorder="1" applyAlignment="1">
      <alignment horizontal="center" vertical="center"/>
    </xf>
    <xf numFmtId="0" fontId="21" fillId="5" borderId="31" xfId="0" applyFont="1" applyFill="1" applyBorder="1" applyAlignment="1">
      <alignment horizontal="center" vertical="center"/>
    </xf>
    <xf numFmtId="0" fontId="21" fillId="5" borderId="35" xfId="0" applyFont="1" applyFill="1" applyBorder="1" applyAlignment="1">
      <alignment horizontal="center" vertical="center"/>
    </xf>
    <xf numFmtId="0" fontId="21" fillId="5" borderId="38" xfId="0" applyFont="1" applyFill="1" applyBorder="1" applyAlignment="1">
      <alignment horizontal="center" vertical="center"/>
    </xf>
    <xf numFmtId="0" fontId="21" fillId="5" borderId="39" xfId="0" applyFont="1" applyFill="1" applyBorder="1" applyAlignment="1">
      <alignment horizontal="center" vertical="center"/>
    </xf>
    <xf numFmtId="0" fontId="21" fillId="5" borderId="40" xfId="0" applyFont="1" applyFill="1" applyBorder="1" applyAlignment="1">
      <alignment horizontal="center" vertical="center"/>
    </xf>
    <xf numFmtId="0" fontId="21" fillId="5" borderId="41" xfId="0" applyFont="1" applyFill="1" applyBorder="1" applyAlignment="1">
      <alignment horizontal="center" vertical="center"/>
    </xf>
    <xf numFmtId="0" fontId="21" fillId="5" borderId="42" xfId="0" applyFont="1" applyFill="1" applyBorder="1" applyAlignment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0" fontId="21" fillId="5" borderId="44" xfId="0" applyFont="1" applyFill="1" applyBorder="1" applyAlignment="1">
      <alignment horizontal="center" vertical="center"/>
    </xf>
    <xf numFmtId="0" fontId="21" fillId="5" borderId="34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/>
    </xf>
    <xf numFmtId="0" fontId="21" fillId="30" borderId="30" xfId="0" applyFont="1" applyFill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21" fillId="5" borderId="47" xfId="0" applyFont="1" applyFill="1" applyBorder="1" applyAlignment="1">
      <alignment horizontal="center" vertical="center"/>
    </xf>
    <xf numFmtId="0" fontId="21" fillId="5" borderId="48" xfId="0" applyFont="1" applyFill="1" applyBorder="1" applyAlignment="1">
      <alignment horizontal="center" vertical="center"/>
    </xf>
    <xf numFmtId="0" fontId="21" fillId="5" borderId="49" xfId="0" applyFont="1" applyFill="1" applyBorder="1" applyAlignment="1">
      <alignment horizontal="center" vertical="center"/>
    </xf>
    <xf numFmtId="0" fontId="27" fillId="6" borderId="1" xfId="8" applyFont="1" applyFill="1" applyAlignment="1">
      <alignment horizontal="center" vertical="center"/>
    </xf>
    <xf numFmtId="0" fontId="57" fillId="5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vertical="center" wrapText="1"/>
    </xf>
    <xf numFmtId="0" fontId="42" fillId="34" borderId="1" xfId="2" applyFont="1" applyFill="1" applyAlignment="1">
      <alignment horizontal="center"/>
    </xf>
    <xf numFmtId="0" fontId="42" fillId="34" borderId="1" xfId="2" applyFont="1" applyFill="1" applyAlignment="1">
      <alignment wrapText="1"/>
    </xf>
    <xf numFmtId="0" fontId="57" fillId="7" borderId="0" xfId="0" applyFont="1" applyFill="1" applyAlignment="1">
      <alignment horizontal="center" wrapText="1"/>
    </xf>
    <xf numFmtId="0" fontId="57" fillId="6" borderId="0" xfId="0" applyFont="1" applyFill="1" applyAlignment="1">
      <alignment horizontal="center" wrapText="1"/>
    </xf>
    <xf numFmtId="49" fontId="16" fillId="6" borderId="0" xfId="0" applyNumberFormat="1" applyFont="1" applyFill="1" applyAlignment="1">
      <alignment horizontal="center" wrapText="1"/>
    </xf>
    <xf numFmtId="165" fontId="16" fillId="6" borderId="0" xfId="0" applyNumberFormat="1" applyFont="1" applyFill="1" applyAlignment="1">
      <alignment wrapText="1"/>
    </xf>
    <xf numFmtId="49" fontId="16" fillId="6" borderId="0" xfId="0" applyNumberFormat="1" applyFont="1" applyFill="1" applyAlignment="1">
      <alignment horizontal="center" vertical="center" wrapText="1"/>
    </xf>
    <xf numFmtId="165" fontId="16" fillId="6" borderId="0" xfId="0" applyNumberFormat="1" applyFont="1" applyFill="1" applyAlignment="1">
      <alignment vertical="center" wrapText="1"/>
    </xf>
    <xf numFmtId="0" fontId="1" fillId="0" borderId="0" xfId="0" applyFont="1"/>
    <xf numFmtId="0" fontId="1" fillId="0" borderId="0" xfId="0" applyFont="1" applyAlignment="1">
      <alignment vertical="center"/>
    </xf>
    <xf numFmtId="0" fontId="0" fillId="6" borderId="0" xfId="0" applyFill="1"/>
    <xf numFmtId="4" fontId="57" fillId="5" borderId="0" xfId="0" applyNumberFormat="1" applyFont="1" applyFill="1" applyAlignment="1">
      <alignment horizontal="center" vertical="center" wrapText="1"/>
    </xf>
    <xf numFmtId="4" fontId="0" fillId="6" borderId="0" xfId="0" applyNumberFormat="1" applyFill="1"/>
    <xf numFmtId="4" fontId="57" fillId="7" borderId="0" xfId="0" applyNumberFormat="1" applyFont="1" applyFill="1" applyAlignment="1">
      <alignment horizontal="center" wrapText="1"/>
    </xf>
    <xf numFmtId="0" fontId="58" fillId="6" borderId="1" xfId="2" applyFont="1" applyFill="1" applyAlignment="1">
      <alignment horizontal="center" vertical="center" wrapText="1"/>
    </xf>
    <xf numFmtId="4" fontId="16" fillId="6" borderId="0" xfId="0" applyNumberFormat="1" applyFont="1" applyFill="1"/>
    <xf numFmtId="0" fontId="16" fillId="0" borderId="0" xfId="0" applyFont="1" applyAlignment="1">
      <alignment horizontal="center" wrapText="1"/>
    </xf>
    <xf numFmtId="0" fontId="59" fillId="6" borderId="0" xfId="0" applyFont="1" applyFill="1" applyAlignment="1">
      <alignment horizontal="center"/>
    </xf>
    <xf numFmtId="4" fontId="16" fillId="6" borderId="0" xfId="0" applyNumberFormat="1" applyFont="1" applyFill="1" applyAlignment="1">
      <alignment vertical="center"/>
    </xf>
    <xf numFmtId="0" fontId="27" fillId="0" borderId="1" xfId="19" applyFont="1" applyAlignment="1">
      <alignment horizontal="center" vertical="center" wrapText="1"/>
    </xf>
    <xf numFmtId="0" fontId="17" fillId="0" borderId="1" xfId="19" applyFont="1" applyAlignment="1">
      <alignment horizontal="center" vertical="center" wrapText="1"/>
    </xf>
    <xf numFmtId="0" fontId="22" fillId="20" borderId="1" xfId="19" applyFont="1" applyFill="1" applyAlignment="1">
      <alignment horizontal="center" vertical="center" wrapText="1"/>
    </xf>
    <xf numFmtId="0" fontId="22" fillId="20" borderId="1" xfId="19" applyFont="1" applyFill="1" applyAlignment="1">
      <alignment horizontal="left" vertical="center" wrapText="1"/>
    </xf>
    <xf numFmtId="0" fontId="27" fillId="6" borderId="1" xfId="19" applyFont="1" applyFill="1" applyAlignment="1">
      <alignment horizontal="center" vertical="center"/>
    </xf>
    <xf numFmtId="0" fontId="28" fillId="20" borderId="1" xfId="19" applyFont="1" applyFill="1" applyAlignment="1">
      <alignment vertical="center" wrapText="1"/>
    </xf>
    <xf numFmtId="0" fontId="28" fillId="20" borderId="1" xfId="19" applyFont="1" applyFill="1" applyAlignment="1">
      <alignment horizontal="center" vertical="center" wrapText="1"/>
    </xf>
    <xf numFmtId="0" fontId="28" fillId="20" borderId="1" xfId="19" applyFont="1" applyFill="1" applyAlignment="1">
      <alignment horizontal="center" vertical="center"/>
    </xf>
    <xf numFmtId="0" fontId="28" fillId="7" borderId="1" xfId="19" applyFont="1" applyFill="1" applyAlignment="1">
      <alignment horizontal="center" vertical="center" wrapText="1"/>
    </xf>
    <xf numFmtId="0" fontId="29" fillId="20" borderId="5" xfId="19" applyFont="1" applyFill="1" applyBorder="1" applyAlignment="1">
      <alignment vertical="center" wrapText="1"/>
    </xf>
    <xf numFmtId="0" fontId="60" fillId="20" borderId="5" xfId="19" applyFont="1" applyFill="1" applyBorder="1" applyAlignment="1">
      <alignment vertical="center" wrapText="1"/>
    </xf>
    <xf numFmtId="0" fontId="28" fillId="20" borderId="6" xfId="19" applyFont="1" applyFill="1" applyBorder="1" applyAlignment="1">
      <alignment horizontal="left" vertical="center" wrapText="1"/>
    </xf>
    <xf numFmtId="165" fontId="21" fillId="7" borderId="7" xfId="19" applyNumberFormat="1" applyFont="1" applyFill="1" applyBorder="1" applyAlignment="1">
      <alignment horizontal="center" vertical="center"/>
    </xf>
    <xf numFmtId="165" fontId="29" fillId="7" borderId="7" xfId="19" applyNumberFormat="1" applyFont="1" applyFill="1" applyBorder="1" applyAlignment="1">
      <alignment horizontal="center" vertical="center"/>
    </xf>
    <xf numFmtId="43" fontId="30" fillId="7" borderId="7" xfId="20" applyFont="1" applyFill="1" applyBorder="1" applyAlignment="1">
      <alignment horizontal="center" vertical="center"/>
    </xf>
    <xf numFmtId="165" fontId="30" fillId="7" borderId="7" xfId="20" applyNumberFormat="1" applyFont="1" applyFill="1" applyBorder="1" applyAlignment="1">
      <alignment horizontal="center" vertical="center"/>
    </xf>
    <xf numFmtId="165" fontId="22" fillId="7" borderId="8" xfId="19" applyNumberFormat="1" applyFont="1" applyFill="1" applyBorder="1" applyAlignment="1">
      <alignment vertical="center"/>
    </xf>
    <xf numFmtId="165" fontId="28" fillId="20" borderId="7" xfId="20" applyNumberFormat="1" applyFont="1" applyFill="1" applyBorder="1" applyAlignment="1">
      <alignment horizontal="center" vertical="center"/>
    </xf>
    <xf numFmtId="165" fontId="28" fillId="20" borderId="5" xfId="19" applyNumberFormat="1" applyFont="1" applyFill="1" applyBorder="1" applyAlignment="1">
      <alignment vertical="top"/>
    </xf>
    <xf numFmtId="0" fontId="31" fillId="7" borderId="7" xfId="19" applyFont="1" applyFill="1" applyBorder="1" applyAlignment="1">
      <alignment horizontal="left" vertical="center"/>
    </xf>
    <xf numFmtId="0" fontId="28" fillId="20" borderId="8" xfId="19" applyFont="1" applyFill="1" applyBorder="1" applyAlignment="1">
      <alignment horizontal="center" vertical="center"/>
    </xf>
    <xf numFmtId="0" fontId="32" fillId="20" borderId="8" xfId="19" applyFont="1" applyFill="1" applyBorder="1" applyAlignment="1">
      <alignment horizontal="center" vertical="center"/>
    </xf>
    <xf numFmtId="0" fontId="17" fillId="7" borderId="8" xfId="19" applyFont="1" applyFill="1" applyBorder="1" applyAlignment="1">
      <alignment horizontal="center" vertical="center"/>
    </xf>
    <xf numFmtId="0" fontId="28" fillId="7" borderId="8" xfId="19" applyFont="1" applyFill="1" applyBorder="1" applyAlignment="1">
      <alignment vertical="center" wrapText="1"/>
    </xf>
    <xf numFmtId="165" fontId="28" fillId="7" borderId="8" xfId="19" applyNumberFormat="1" applyFont="1" applyFill="1" applyBorder="1" applyAlignment="1">
      <alignment vertical="center"/>
    </xf>
    <xf numFmtId="43" fontId="28" fillId="7" borderId="8" xfId="20" applyFont="1" applyFill="1" applyBorder="1" applyAlignment="1">
      <alignment vertical="center"/>
    </xf>
    <xf numFmtId="165" fontId="28" fillId="7" borderId="8" xfId="20" applyNumberFormat="1" applyFont="1" applyFill="1" applyBorder="1" applyAlignment="1">
      <alignment vertical="center"/>
    </xf>
    <xf numFmtId="165" fontId="28" fillId="7" borderId="8" xfId="19" applyNumberFormat="1" applyFont="1" applyFill="1" applyBorder="1" applyAlignment="1">
      <alignment horizontal="center" vertical="center"/>
    </xf>
    <xf numFmtId="0" fontId="33" fillId="7" borderId="8" xfId="19" applyFont="1" applyFill="1" applyBorder="1" applyAlignment="1">
      <alignment horizontal="center" vertical="center"/>
    </xf>
    <xf numFmtId="0" fontId="34" fillId="0" borderId="8" xfId="19" applyFont="1" applyBorder="1" applyAlignment="1">
      <alignment horizontal="center" vertical="center" wrapText="1"/>
    </xf>
    <xf numFmtId="0" fontId="17" fillId="0" borderId="8" xfId="19" applyFont="1" applyBorder="1" applyAlignment="1">
      <alignment horizontal="center" vertical="center" wrapText="1"/>
    </xf>
    <xf numFmtId="0" fontId="34" fillId="0" borderId="8" xfId="19" applyFont="1" applyBorder="1" applyAlignment="1">
      <alignment horizontal="left" vertical="center" wrapText="1"/>
    </xf>
    <xf numFmtId="165" fontId="33" fillId="0" borderId="8" xfId="20" applyNumberFormat="1" applyFont="1" applyFill="1" applyBorder="1" applyAlignment="1">
      <alignment vertical="center" wrapText="1"/>
    </xf>
    <xf numFmtId="165" fontId="27" fillId="0" borderId="8" xfId="20" applyNumberFormat="1" applyFont="1" applyFill="1" applyBorder="1" applyAlignment="1">
      <alignment vertical="center" wrapText="1"/>
    </xf>
    <xf numFmtId="165" fontId="34" fillId="0" borderId="8" xfId="20" applyNumberFormat="1" applyFont="1" applyFill="1" applyBorder="1" applyAlignment="1">
      <alignment vertical="center" wrapText="1"/>
    </xf>
    <xf numFmtId="43" fontId="34" fillId="0" borderId="8" xfId="20" applyFont="1" applyFill="1" applyBorder="1" applyAlignment="1">
      <alignment vertical="center" wrapText="1"/>
    </xf>
    <xf numFmtId="165" fontId="33" fillId="0" borderId="9" xfId="20" applyNumberFormat="1" applyFont="1" applyFill="1" applyBorder="1" applyAlignment="1">
      <alignment vertical="center" wrapText="1"/>
    </xf>
    <xf numFmtId="43" fontId="33" fillId="0" borderId="8" xfId="20" applyFont="1" applyFill="1" applyBorder="1" applyAlignment="1">
      <alignment vertical="center" wrapText="1"/>
    </xf>
    <xf numFmtId="0" fontId="33" fillId="0" borderId="8" xfId="19" applyFont="1" applyBorder="1" applyAlignment="1">
      <alignment horizontal="left" vertical="center" wrapText="1"/>
    </xf>
    <xf numFmtId="0" fontId="28" fillId="21" borderId="8" xfId="19" applyFont="1" applyFill="1" applyBorder="1" applyAlignment="1">
      <alignment horizontal="center" vertical="center"/>
    </xf>
    <xf numFmtId="0" fontId="28" fillId="21" borderId="8" xfId="19" applyFont="1" applyFill="1" applyBorder="1" applyAlignment="1">
      <alignment horizontal="center" vertical="center" wrapText="1"/>
    </xf>
    <xf numFmtId="168" fontId="28" fillId="21" borderId="8" xfId="19" applyNumberFormat="1" applyFont="1" applyFill="1" applyBorder="1" applyAlignment="1">
      <alignment horizontal="center" vertical="center" wrapText="1"/>
    </xf>
    <xf numFmtId="168" fontId="17" fillId="21" borderId="8" xfId="19" applyNumberFormat="1" applyFont="1" applyFill="1" applyBorder="1" applyAlignment="1">
      <alignment horizontal="center" vertical="center" wrapText="1"/>
    </xf>
    <xf numFmtId="0" fontId="28" fillId="21" borderId="8" xfId="19" applyFont="1" applyFill="1" applyBorder="1" applyAlignment="1">
      <alignment vertical="center" wrapText="1"/>
    </xf>
    <xf numFmtId="165" fontId="28" fillId="21" borderId="8" xfId="20" applyNumberFormat="1" applyFont="1" applyFill="1" applyBorder="1" applyAlignment="1">
      <alignment vertical="center" wrapText="1"/>
    </xf>
    <xf numFmtId="165" fontId="17" fillId="6" borderId="8" xfId="20" applyNumberFormat="1" applyFont="1" applyFill="1" applyBorder="1" applyAlignment="1">
      <alignment vertical="center" wrapText="1"/>
    </xf>
    <xf numFmtId="43" fontId="28" fillId="21" borderId="8" xfId="20" applyFont="1" applyFill="1" applyBorder="1" applyAlignment="1">
      <alignment vertical="center" wrapText="1"/>
    </xf>
    <xf numFmtId="165" fontId="28" fillId="21" borderId="9" xfId="20" applyNumberFormat="1" applyFont="1" applyFill="1" applyBorder="1" applyAlignment="1">
      <alignment vertical="center" wrapText="1"/>
    </xf>
    <xf numFmtId="0" fontId="33" fillId="21" borderId="8" xfId="19" applyFont="1" applyFill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/>
    </xf>
    <xf numFmtId="0" fontId="27" fillId="0" borderId="8" xfId="19" applyFont="1" applyBorder="1" applyAlignment="1">
      <alignment horizontal="center" vertical="center" wrapText="1"/>
    </xf>
    <xf numFmtId="168" fontId="15" fillId="0" borderId="8" xfId="19" applyNumberFormat="1" applyFont="1" applyBorder="1" applyAlignment="1">
      <alignment horizontal="center" vertical="center" wrapText="1"/>
    </xf>
    <xf numFmtId="168" fontId="17" fillId="0" borderId="3" xfId="19" applyNumberFormat="1" applyFont="1" applyBorder="1" applyAlignment="1">
      <alignment horizontal="center" vertical="center" wrapText="1"/>
    </xf>
    <xf numFmtId="0" fontId="15" fillId="0" borderId="8" xfId="19" applyFont="1" applyBorder="1" applyAlignment="1">
      <alignment vertical="center" wrapText="1"/>
    </xf>
    <xf numFmtId="165" fontId="35" fillId="0" borderId="8" xfId="20" applyNumberFormat="1" applyFont="1" applyFill="1" applyBorder="1" applyAlignment="1">
      <alignment vertical="center" wrapText="1"/>
    </xf>
    <xf numFmtId="165" fontId="15" fillId="0" borderId="8" xfId="20" applyNumberFormat="1" applyFont="1" applyFill="1" applyBorder="1" applyAlignment="1">
      <alignment vertical="center" wrapText="1"/>
    </xf>
    <xf numFmtId="165" fontId="17" fillId="0" borderId="8" xfId="20" applyNumberFormat="1" applyFont="1" applyFill="1" applyBorder="1" applyAlignment="1">
      <alignment vertical="center" wrapText="1"/>
    </xf>
    <xf numFmtId="165" fontId="15" fillId="0" borderId="1" xfId="20" applyNumberFormat="1" applyFont="1" applyFill="1"/>
    <xf numFmtId="43" fontId="17" fillId="0" borderId="8" xfId="20" applyFont="1" applyFill="1" applyBorder="1" applyAlignment="1">
      <alignment vertical="center" wrapText="1"/>
    </xf>
    <xf numFmtId="165" fontId="36" fillId="0" borderId="3" xfId="20" applyNumberFormat="1" applyFont="1" applyBorder="1" applyAlignment="1">
      <alignment horizontal="center" vertical="center" wrapText="1"/>
    </xf>
    <xf numFmtId="165" fontId="17" fillId="0" borderId="8" xfId="20" applyNumberFormat="1" applyFont="1" applyFill="1" applyBorder="1" applyAlignment="1">
      <alignment horizontal="center" vertical="center" wrapText="1"/>
    </xf>
    <xf numFmtId="43" fontId="17" fillId="0" borderId="8" xfId="20" applyFont="1" applyFill="1" applyBorder="1" applyAlignment="1" applyProtection="1">
      <alignment vertical="center" wrapText="1"/>
      <protection locked="0"/>
    </xf>
    <xf numFmtId="165" fontId="0" fillId="6" borderId="8" xfId="20" applyNumberFormat="1" applyFont="1" applyFill="1" applyBorder="1" applyAlignment="1">
      <alignment vertical="center"/>
    </xf>
    <xf numFmtId="165" fontId="18" fillId="0" borderId="8" xfId="20" applyNumberFormat="1" applyFont="1" applyBorder="1" applyAlignment="1">
      <alignment vertical="center"/>
    </xf>
    <xf numFmtId="165" fontId="15" fillId="0" borderId="8" xfId="20" applyNumberFormat="1" applyFont="1" applyFill="1" applyBorder="1"/>
    <xf numFmtId="165" fontId="37" fillId="0" borderId="8" xfId="20" applyNumberFormat="1" applyFont="1" applyBorder="1" applyAlignment="1">
      <alignment vertical="center"/>
    </xf>
    <xf numFmtId="165" fontId="18" fillId="0" borderId="8" xfId="20" applyNumberFormat="1" applyFont="1" applyFill="1" applyBorder="1" applyAlignment="1">
      <alignment vertical="center"/>
    </xf>
    <xf numFmtId="165" fontId="17" fillId="0" borderId="8" xfId="20" applyNumberFormat="1" applyFont="1" applyBorder="1" applyAlignment="1">
      <alignment horizontal="center" vertical="center" wrapText="1"/>
    </xf>
    <xf numFmtId="43" fontId="0" fillId="6" borderId="8" xfId="20" applyFont="1" applyFill="1" applyBorder="1"/>
    <xf numFmtId="165" fontId="37" fillId="6" borderId="8" xfId="20" applyNumberFormat="1" applyFont="1" applyFill="1" applyBorder="1" applyAlignment="1">
      <alignment vertical="center"/>
    </xf>
    <xf numFmtId="165" fontId="0" fillId="6" borderId="3" xfId="20" applyNumberFormat="1" applyFont="1" applyFill="1" applyBorder="1" applyAlignment="1">
      <alignment vertical="center"/>
    </xf>
    <xf numFmtId="168" fontId="32" fillId="21" borderId="8" xfId="19" applyNumberFormat="1" applyFont="1" applyFill="1" applyBorder="1" applyAlignment="1">
      <alignment horizontal="center" vertical="center" wrapText="1"/>
    </xf>
    <xf numFmtId="165" fontId="33" fillId="0" borderId="7" xfId="20" applyNumberFormat="1" applyFont="1" applyFill="1" applyBorder="1" applyAlignment="1">
      <alignment vertical="center" wrapText="1"/>
    </xf>
    <xf numFmtId="165" fontId="33" fillId="6" borderId="8" xfId="20" applyNumberFormat="1" applyFont="1" applyFill="1" applyBorder="1" applyAlignment="1">
      <alignment vertical="center" wrapText="1"/>
    </xf>
    <xf numFmtId="0" fontId="38" fillId="0" borderId="8" xfId="19" applyFont="1" applyBorder="1" applyAlignment="1">
      <alignment horizontal="center" vertical="center"/>
    </xf>
    <xf numFmtId="0" fontId="38" fillId="0" borderId="8" xfId="19" applyFont="1" applyBorder="1" applyAlignment="1">
      <alignment horizontal="center" vertical="center" wrapText="1"/>
    </xf>
    <xf numFmtId="168" fontId="38" fillId="0" borderId="8" xfId="19" applyNumberFormat="1" applyFont="1" applyBorder="1" applyAlignment="1">
      <alignment horizontal="center" vertical="center" wrapText="1"/>
    </xf>
    <xf numFmtId="168" fontId="17" fillId="0" borderId="8" xfId="19" applyNumberFormat="1" applyFont="1" applyBorder="1" applyAlignment="1">
      <alignment horizontal="center" vertical="center" wrapText="1"/>
    </xf>
    <xf numFmtId="0" fontId="38" fillId="0" borderId="8" xfId="19" applyFont="1" applyBorder="1" applyAlignment="1">
      <alignment vertical="center" wrapText="1"/>
    </xf>
    <xf numFmtId="165" fontId="15" fillId="6" borderId="8" xfId="20" applyNumberFormat="1" applyFont="1" applyFill="1" applyBorder="1" applyAlignment="1">
      <alignment vertical="center" wrapText="1"/>
    </xf>
    <xf numFmtId="165" fontId="38" fillId="0" borderId="8" xfId="20" applyNumberFormat="1" applyFont="1" applyFill="1" applyBorder="1" applyAlignment="1">
      <alignment vertical="center" wrapText="1"/>
    </xf>
    <xf numFmtId="43" fontId="38" fillId="6" borderId="8" xfId="20" applyFont="1" applyFill="1" applyBorder="1" applyAlignment="1">
      <alignment vertical="center" wrapText="1"/>
    </xf>
    <xf numFmtId="165" fontId="38" fillId="6" borderId="8" xfId="20" applyNumberFormat="1" applyFont="1" applyFill="1" applyBorder="1" applyAlignment="1">
      <alignment vertical="center" wrapText="1"/>
    </xf>
    <xf numFmtId="0" fontId="33" fillId="0" borderId="8" xfId="19" applyFont="1" applyBorder="1" applyAlignment="1">
      <alignment horizontal="center" vertical="center" wrapText="1"/>
    </xf>
    <xf numFmtId="165" fontId="0" fillId="0" borderId="8" xfId="20" applyNumberFormat="1" applyFont="1" applyFill="1" applyBorder="1" applyAlignment="1">
      <alignment vertical="center"/>
    </xf>
    <xf numFmtId="165" fontId="37" fillId="0" borderId="8" xfId="20" applyNumberFormat="1" applyFont="1" applyFill="1" applyBorder="1" applyAlignment="1">
      <alignment vertical="center"/>
    </xf>
    <xf numFmtId="165" fontId="15" fillId="0" borderId="8" xfId="20" applyNumberFormat="1" applyFont="1" applyFill="1" applyBorder="1" applyAlignment="1">
      <alignment horizontal="center" vertical="center" wrapText="1"/>
    </xf>
    <xf numFmtId="165" fontId="15" fillId="0" borderId="7" xfId="20" applyNumberFormat="1" applyFont="1" applyFill="1" applyBorder="1" applyAlignment="1">
      <alignment vertical="center" wrapText="1"/>
    </xf>
    <xf numFmtId="165" fontId="0" fillId="0" borderId="7" xfId="20" applyNumberFormat="1" applyFont="1" applyFill="1" applyBorder="1" applyAlignment="1">
      <alignment vertical="center"/>
    </xf>
    <xf numFmtId="165" fontId="0" fillId="0" borderId="1" xfId="20" applyNumberFormat="1" applyFont="1" applyFill="1" applyAlignment="1">
      <alignment vertical="center"/>
    </xf>
    <xf numFmtId="165" fontId="0" fillId="0" borderId="8" xfId="23" applyNumberFormat="1" applyFont="1" applyFill="1" applyBorder="1"/>
    <xf numFmtId="165" fontId="36" fillId="0" borderId="3" xfId="20" applyNumberFormat="1" applyFont="1" applyFill="1" applyBorder="1" applyAlignment="1">
      <alignment horizontal="center" vertical="center" wrapText="1"/>
    </xf>
    <xf numFmtId="165" fontId="15" fillId="0" borderId="8" xfId="20" applyNumberFormat="1" applyFont="1" applyBorder="1" applyAlignment="1">
      <alignment horizontal="center" vertical="center" wrapText="1"/>
    </xf>
    <xf numFmtId="165" fontId="0" fillId="0" borderId="8" xfId="20" applyNumberFormat="1" applyFont="1" applyBorder="1" applyAlignment="1">
      <alignment vertical="center"/>
    </xf>
    <xf numFmtId="165" fontId="28" fillId="21" borderId="7" xfId="20" applyNumberFormat="1" applyFont="1" applyFill="1" applyBorder="1" applyAlignment="1">
      <alignment vertical="center" wrapText="1"/>
    </xf>
    <xf numFmtId="165" fontId="27" fillId="6" borderId="7" xfId="20" applyNumberFormat="1" applyFont="1" applyFill="1" applyBorder="1" applyAlignment="1">
      <alignment vertical="center" wrapText="1"/>
    </xf>
    <xf numFmtId="165" fontId="0" fillId="0" borderId="8" xfId="23" applyNumberFormat="1" applyFont="1" applyBorder="1"/>
    <xf numFmtId="165" fontId="0" fillId="6" borderId="1" xfId="20" applyNumberFormat="1" applyFont="1" applyFill="1" applyAlignment="1">
      <alignment vertical="center"/>
    </xf>
    <xf numFmtId="165" fontId="27" fillId="6" borderId="8" xfId="20" applyNumberFormat="1" applyFont="1" applyFill="1" applyBorder="1" applyAlignment="1">
      <alignment vertical="center" wrapText="1"/>
    </xf>
    <xf numFmtId="165" fontId="26" fillId="0" borderId="8" xfId="20" applyNumberFormat="1" applyFont="1" applyFill="1" applyBorder="1" applyAlignment="1">
      <alignment vertical="center"/>
    </xf>
    <xf numFmtId="43" fontId="26" fillId="0" borderId="8" xfId="20" applyFont="1" applyFill="1" applyBorder="1" applyAlignment="1">
      <alignment vertical="center"/>
    </xf>
    <xf numFmtId="165" fontId="18" fillId="0" borderId="1" xfId="20" applyNumberFormat="1" applyFont="1" applyAlignment="1">
      <alignment vertical="center"/>
    </xf>
    <xf numFmtId="165" fontId="0" fillId="6" borderId="10" xfId="20" applyNumberFormat="1" applyFont="1" applyFill="1" applyBorder="1" applyAlignment="1">
      <alignment vertical="center"/>
    </xf>
    <xf numFmtId="165" fontId="37" fillId="6" borderId="11" xfId="20" applyNumberFormat="1" applyFont="1" applyFill="1" applyBorder="1" applyAlignment="1">
      <alignment vertical="center"/>
    </xf>
    <xf numFmtId="165" fontId="15" fillId="0" borderId="9" xfId="20" applyNumberFormat="1" applyFont="1" applyFill="1" applyBorder="1" applyAlignment="1">
      <alignment vertical="center" wrapText="1"/>
    </xf>
    <xf numFmtId="165" fontId="15" fillId="0" borderId="5" xfId="20" applyNumberFormat="1" applyFont="1" applyFill="1" applyBorder="1" applyAlignment="1">
      <alignment vertical="center" wrapText="1"/>
    </xf>
    <xf numFmtId="165" fontId="0" fillId="6" borderId="12" xfId="20" applyNumberFormat="1" applyFont="1" applyFill="1" applyBorder="1" applyAlignment="1">
      <alignment vertical="center"/>
    </xf>
    <xf numFmtId="165" fontId="18" fillId="0" borderId="13" xfId="20" applyNumberFormat="1" applyFont="1" applyBorder="1" applyAlignment="1">
      <alignment vertical="center"/>
    </xf>
    <xf numFmtId="165" fontId="0" fillId="6" borderId="14" xfId="20" applyNumberFormat="1" applyFont="1" applyFill="1" applyBorder="1" applyAlignment="1">
      <alignment vertical="center"/>
    </xf>
    <xf numFmtId="168" fontId="15" fillId="6" borderId="8" xfId="19" applyNumberFormat="1" applyFont="1" applyFill="1" applyBorder="1" applyAlignment="1">
      <alignment horizontal="center" vertical="center" wrapText="1"/>
    </xf>
    <xf numFmtId="0" fontId="39" fillId="0" borderId="8" xfId="19" applyFont="1" applyBorder="1" applyAlignment="1">
      <alignment vertical="center" wrapText="1"/>
    </xf>
    <xf numFmtId="165" fontId="39" fillId="0" borderId="8" xfId="20" applyNumberFormat="1" applyFont="1" applyFill="1" applyBorder="1" applyAlignment="1">
      <alignment vertical="center" wrapText="1"/>
    </xf>
    <xf numFmtId="165" fontId="26" fillId="6" borderId="13" xfId="20" applyNumberFormat="1" applyFont="1" applyFill="1" applyBorder="1" applyAlignment="1">
      <alignment vertical="center"/>
    </xf>
    <xf numFmtId="168" fontId="34" fillId="6" borderId="8" xfId="19" applyNumberFormat="1" applyFont="1" applyFill="1" applyBorder="1" applyAlignment="1">
      <alignment horizontal="center" vertical="center" wrapText="1"/>
    </xf>
    <xf numFmtId="168" fontId="38" fillId="6" borderId="8" xfId="19" applyNumberFormat="1" applyFont="1" applyFill="1" applyBorder="1" applyAlignment="1">
      <alignment horizontal="center" vertical="center" wrapText="1"/>
    </xf>
    <xf numFmtId="0" fontId="38" fillId="6" borderId="8" xfId="19" applyFont="1" applyFill="1" applyBorder="1" applyAlignment="1">
      <alignment vertical="center" wrapText="1"/>
    </xf>
    <xf numFmtId="0" fontId="33" fillId="6" borderId="8" xfId="19" applyFont="1" applyFill="1" applyBorder="1" applyAlignment="1">
      <alignment horizontal="center" vertical="center" wrapText="1"/>
    </xf>
    <xf numFmtId="168" fontId="34" fillId="6" borderId="3" xfId="19" applyNumberFormat="1" applyFont="1" applyFill="1" applyBorder="1" applyAlignment="1">
      <alignment horizontal="center" vertical="center" wrapText="1"/>
    </xf>
    <xf numFmtId="165" fontId="18" fillId="0" borderId="15" xfId="20" applyNumberFormat="1" applyFont="1" applyFill="1" applyBorder="1" applyAlignment="1">
      <alignment vertical="center"/>
    </xf>
    <xf numFmtId="169" fontId="17" fillId="0" borderId="8" xfId="20" applyNumberFormat="1" applyFont="1" applyFill="1" applyBorder="1" applyAlignment="1">
      <alignment vertical="center" wrapText="1"/>
    </xf>
    <xf numFmtId="0" fontId="28" fillId="7" borderId="8" xfId="19" applyFont="1" applyFill="1" applyBorder="1" applyAlignment="1">
      <alignment horizontal="center" vertical="center"/>
    </xf>
    <xf numFmtId="0" fontId="32" fillId="7" borderId="8" xfId="19" applyFont="1" applyFill="1" applyBorder="1" applyAlignment="1">
      <alignment horizontal="center" vertical="center"/>
    </xf>
    <xf numFmtId="165" fontId="28" fillId="7" borderId="9" xfId="19" applyNumberFormat="1" applyFont="1" applyFill="1" applyBorder="1" applyAlignment="1">
      <alignment horizontal="center" vertical="center"/>
    </xf>
    <xf numFmtId="0" fontId="34" fillId="0" borderId="8" xfId="19" applyFont="1" applyBorder="1" applyAlignment="1">
      <alignment horizontal="center" vertical="center"/>
    </xf>
    <xf numFmtId="168" fontId="36" fillId="0" borderId="8" xfId="19" applyNumberFormat="1" applyFont="1" applyBorder="1" applyAlignment="1">
      <alignment horizontal="center" vertical="center" wrapText="1"/>
    </xf>
    <xf numFmtId="0" fontId="34" fillId="0" borderId="8" xfId="19" applyFont="1" applyBorder="1" applyAlignment="1">
      <alignment vertical="center" wrapText="1"/>
    </xf>
    <xf numFmtId="165" fontId="0" fillId="0" borderId="8" xfId="20" applyNumberFormat="1" applyFont="1" applyBorder="1"/>
    <xf numFmtId="165" fontId="17" fillId="4" borderId="8" xfId="20" applyNumberFormat="1" applyFont="1" applyFill="1" applyBorder="1" applyAlignment="1">
      <alignment vertical="center" wrapText="1"/>
    </xf>
    <xf numFmtId="168" fontId="34" fillId="0" borderId="3" xfId="19" applyNumberFormat="1" applyFont="1" applyBorder="1" applyAlignment="1">
      <alignment horizontal="center" vertical="center" wrapText="1"/>
    </xf>
    <xf numFmtId="165" fontId="0" fillId="6" borderId="15" xfId="20" applyNumberFormat="1" applyFont="1" applyFill="1" applyBorder="1" applyAlignment="1">
      <alignment vertical="center"/>
    </xf>
    <xf numFmtId="165" fontId="0" fillId="6" borderId="16" xfId="20" applyNumberFormat="1" applyFont="1" applyFill="1" applyBorder="1" applyAlignment="1">
      <alignment vertical="center"/>
    </xf>
    <xf numFmtId="165" fontId="37" fillId="6" borderId="15" xfId="20" applyNumberFormat="1" applyFont="1" applyFill="1" applyBorder="1" applyAlignment="1">
      <alignment vertical="center"/>
    </xf>
    <xf numFmtId="165" fontId="15" fillId="0" borderId="1" xfId="20" applyNumberFormat="1" applyFont="1" applyFill="1" applyBorder="1" applyAlignment="1">
      <alignment vertical="center" wrapText="1"/>
    </xf>
    <xf numFmtId="165" fontId="0" fillId="6" borderId="1" xfId="20" applyNumberFormat="1" applyFont="1" applyFill="1" applyBorder="1" applyAlignment="1">
      <alignment vertical="center"/>
    </xf>
    <xf numFmtId="165" fontId="40" fillId="0" borderId="8" xfId="20" applyNumberFormat="1" applyFont="1" applyFill="1" applyBorder="1" applyAlignment="1">
      <alignment vertical="center" wrapText="1"/>
    </xf>
    <xf numFmtId="165" fontId="0" fillId="0" borderId="1" xfId="20" applyNumberFormat="1" applyFont="1" applyAlignment="1">
      <alignment vertical="center"/>
    </xf>
    <xf numFmtId="165" fontId="36" fillId="0" borderId="1" xfId="20" applyNumberFormat="1" applyFont="1" applyBorder="1" applyAlignment="1">
      <alignment horizontal="center" vertical="center" wrapText="1"/>
    </xf>
    <xf numFmtId="43" fontId="34" fillId="0" borderId="8" xfId="20" applyFont="1" applyFill="1" applyBorder="1" applyAlignment="1" applyProtection="1">
      <alignment vertical="center" wrapText="1"/>
      <protection locked="0"/>
    </xf>
    <xf numFmtId="168" fontId="17" fillId="0" borderId="1" xfId="19" applyNumberFormat="1" applyFont="1" applyAlignment="1">
      <alignment horizontal="center" vertical="center" wrapText="1"/>
    </xf>
    <xf numFmtId="165" fontId="0" fillId="0" borderId="8" xfId="20" applyNumberFormat="1" applyFont="1" applyFill="1" applyBorder="1"/>
    <xf numFmtId="165" fontId="0" fillId="0" borderId="17" xfId="20" applyNumberFormat="1" applyFont="1" applyFill="1" applyBorder="1" applyAlignment="1">
      <alignment vertical="center"/>
    </xf>
    <xf numFmtId="170" fontId="17" fillId="0" borderId="8" xfId="20" applyNumberFormat="1" applyFont="1" applyBorder="1" applyAlignment="1">
      <alignment horizontal="center" vertical="center" wrapText="1"/>
    </xf>
    <xf numFmtId="168" fontId="34" fillId="0" borderId="18" xfId="19" applyNumberFormat="1" applyFont="1" applyBorder="1" applyAlignment="1">
      <alignment horizontal="center" vertical="center" wrapText="1"/>
    </xf>
    <xf numFmtId="168" fontId="17" fillId="0" borderId="19" xfId="19" applyNumberFormat="1" applyFont="1" applyBorder="1" applyAlignment="1">
      <alignment horizontal="center" vertical="center" wrapText="1"/>
    </xf>
    <xf numFmtId="0" fontId="15" fillId="0" borderId="20" xfId="19" applyFont="1" applyBorder="1"/>
    <xf numFmtId="168" fontId="17" fillId="0" borderId="2" xfId="19" applyNumberFormat="1" applyFont="1" applyBorder="1" applyAlignment="1">
      <alignment horizontal="center" vertical="center" wrapText="1"/>
    </xf>
    <xf numFmtId="0" fontId="15" fillId="0" borderId="1" xfId="19" applyFont="1"/>
    <xf numFmtId="0" fontId="15" fillId="6" borderId="8" xfId="19" applyFont="1" applyFill="1" applyBorder="1" applyAlignment="1">
      <alignment vertical="center" wrapText="1"/>
    </xf>
    <xf numFmtId="165" fontId="36" fillId="4" borderId="3" xfId="20" applyNumberFormat="1" applyFont="1" applyFill="1" applyBorder="1" applyAlignment="1">
      <alignment horizontal="center" vertical="center" wrapText="1"/>
    </xf>
    <xf numFmtId="168" fontId="38" fillId="0" borderId="1" xfId="19" applyNumberFormat="1" applyFont="1" applyAlignment="1">
      <alignment horizontal="center" vertical="center" wrapText="1"/>
    </xf>
    <xf numFmtId="43" fontId="15" fillId="6" borderId="8" xfId="20" applyFont="1" applyFill="1" applyBorder="1" applyAlignment="1">
      <alignment vertical="center" wrapText="1"/>
    </xf>
    <xf numFmtId="43" fontId="41" fillId="0" borderId="8" xfId="20" applyFont="1" applyFill="1" applyBorder="1" applyAlignment="1">
      <alignment vertical="center"/>
    </xf>
    <xf numFmtId="43" fontId="18" fillId="0" borderId="8" xfId="20" applyFont="1" applyFill="1" applyBorder="1" applyAlignment="1">
      <alignment vertical="center"/>
    </xf>
    <xf numFmtId="165" fontId="15" fillId="0" borderId="8" xfId="20" applyNumberFormat="1" applyFont="1" applyFill="1" applyBorder="1" applyAlignment="1">
      <alignment vertical="center"/>
    </xf>
    <xf numFmtId="165" fontId="0" fillId="0" borderId="21" xfId="20" applyNumberFormat="1" applyFont="1" applyFill="1" applyBorder="1" applyAlignment="1">
      <alignment vertical="center"/>
    </xf>
    <xf numFmtId="165" fontId="37" fillId="0" borderId="22" xfId="20" applyNumberFormat="1" applyFont="1" applyFill="1" applyBorder="1" applyAlignment="1">
      <alignment vertical="center"/>
    </xf>
    <xf numFmtId="165" fontId="41" fillId="0" borderId="8" xfId="20" applyNumberFormat="1" applyFont="1" applyFill="1" applyBorder="1" applyAlignment="1">
      <alignment vertical="center"/>
    </xf>
    <xf numFmtId="165" fontId="42" fillId="0" borderId="8" xfId="20" applyNumberFormat="1" applyFont="1" applyFill="1" applyBorder="1" applyAlignment="1">
      <alignment vertical="center"/>
    </xf>
    <xf numFmtId="165" fontId="0" fillId="0" borderId="22" xfId="20" applyNumberFormat="1" applyFont="1" applyFill="1" applyBorder="1" applyAlignment="1">
      <alignment vertical="center"/>
    </xf>
    <xf numFmtId="165" fontId="17" fillId="0" borderId="1" xfId="20" applyNumberFormat="1" applyFont="1" applyFill="1" applyBorder="1" applyAlignment="1">
      <alignment vertical="center" wrapText="1"/>
    </xf>
    <xf numFmtId="165" fontId="0" fillId="0" borderId="1" xfId="20" applyNumberFormat="1" applyFont="1" applyFill="1" applyBorder="1" applyAlignment="1">
      <alignment vertical="center"/>
    </xf>
    <xf numFmtId="165" fontId="37" fillId="0" borderId="1" xfId="20" applyNumberFormat="1" applyFont="1" applyFill="1" applyBorder="1" applyAlignment="1">
      <alignment vertical="center"/>
    </xf>
    <xf numFmtId="0" fontId="15" fillId="6" borderId="1" xfId="19" applyFont="1" applyFill="1" applyAlignment="1">
      <alignment vertical="center"/>
    </xf>
    <xf numFmtId="165" fontId="33" fillId="0" borderId="8" xfId="20" applyNumberFormat="1" applyFont="1" applyFill="1" applyBorder="1" applyAlignment="1">
      <alignment horizontal="center" vertical="center" wrapText="1"/>
    </xf>
    <xf numFmtId="43" fontId="16" fillId="6" borderId="8" xfId="20" applyFont="1" applyFill="1" applyBorder="1"/>
    <xf numFmtId="165" fontId="33" fillId="6" borderId="8" xfId="20" applyNumberFormat="1" applyFont="1" applyFill="1" applyBorder="1" applyAlignment="1">
      <alignment horizontal="center" vertical="center" wrapText="1"/>
    </xf>
    <xf numFmtId="0" fontId="15" fillId="0" borderId="8" xfId="19" applyFont="1" applyBorder="1" applyAlignment="1">
      <alignment horizontal="center" vertical="center"/>
    </xf>
    <xf numFmtId="0" fontId="15" fillId="0" borderId="8" xfId="19" applyFont="1" applyBorder="1" applyAlignment="1">
      <alignment horizontal="center" vertical="center" wrapText="1"/>
    </xf>
    <xf numFmtId="165" fontId="0" fillId="0" borderId="3" xfId="20" applyNumberFormat="1" applyFont="1" applyFill="1" applyBorder="1" applyAlignment="1">
      <alignment vertical="center"/>
    </xf>
    <xf numFmtId="165" fontId="0" fillId="0" borderId="14" xfId="20" applyNumberFormat="1" applyFont="1" applyFill="1" applyBorder="1" applyAlignment="1">
      <alignment vertical="center"/>
    </xf>
    <xf numFmtId="165" fontId="37" fillId="0" borderId="3" xfId="20" applyNumberFormat="1" applyFont="1" applyFill="1" applyBorder="1" applyAlignment="1">
      <alignment vertical="center"/>
    </xf>
    <xf numFmtId="165" fontId="28" fillId="7" borderId="9" xfId="19" applyNumberFormat="1" applyFont="1" applyFill="1" applyBorder="1" applyAlignment="1">
      <alignment vertical="center"/>
    </xf>
    <xf numFmtId="43" fontId="28" fillId="7" borderId="8" xfId="20" applyFont="1" applyFill="1" applyBorder="1" applyAlignment="1" applyProtection="1">
      <alignment vertical="center"/>
      <protection locked="0"/>
    </xf>
    <xf numFmtId="43" fontId="38" fillId="4" borderId="8" xfId="20" applyFont="1" applyFill="1" applyBorder="1" applyAlignment="1">
      <alignment vertical="center" wrapText="1"/>
    </xf>
    <xf numFmtId="0" fontId="27" fillId="6" borderId="8" xfId="19" applyFont="1" applyFill="1" applyBorder="1" applyAlignment="1">
      <alignment horizontal="center" vertical="center"/>
    </xf>
    <xf numFmtId="0" fontId="27" fillId="22" borderId="8" xfId="19" applyFont="1" applyFill="1" applyBorder="1" applyAlignment="1">
      <alignment horizontal="center" vertical="center" wrapText="1"/>
    </xf>
    <xf numFmtId="168" fontId="15" fillId="23" borderId="8" xfId="19" applyNumberFormat="1" applyFont="1" applyFill="1" applyBorder="1" applyAlignment="1">
      <alignment horizontal="center" vertical="center" wrapText="1"/>
    </xf>
    <xf numFmtId="0" fontId="15" fillId="23" borderId="8" xfId="19" applyFont="1" applyFill="1" applyBorder="1" applyAlignment="1">
      <alignment vertical="center" wrapText="1"/>
    </xf>
    <xf numFmtId="165" fontId="15" fillId="23" borderId="8" xfId="20" applyNumberFormat="1" applyFont="1" applyFill="1" applyBorder="1" applyAlignment="1">
      <alignment vertical="center" wrapText="1"/>
    </xf>
    <xf numFmtId="165" fontId="35" fillId="23" borderId="8" xfId="20" applyNumberFormat="1" applyFont="1" applyFill="1" applyBorder="1" applyAlignment="1">
      <alignment vertical="center" wrapText="1"/>
    </xf>
    <xf numFmtId="165" fontId="43" fillId="24" borderId="8" xfId="20" applyNumberFormat="1" applyFont="1" applyFill="1" applyBorder="1" applyAlignment="1">
      <alignment vertical="center" wrapText="1"/>
    </xf>
    <xf numFmtId="0" fontId="17" fillId="23" borderId="8" xfId="19" applyFont="1" applyFill="1" applyBorder="1" applyAlignment="1">
      <alignment horizontal="center" vertical="center" wrapText="1"/>
    </xf>
    <xf numFmtId="165" fontId="17" fillId="23" borderId="8" xfId="20" applyNumberFormat="1" applyFont="1" applyFill="1" applyBorder="1" applyAlignment="1">
      <alignment vertical="center" wrapText="1"/>
    </xf>
    <xf numFmtId="165" fontId="37" fillId="4" borderId="8" xfId="20" applyNumberFormat="1" applyFont="1" applyFill="1" applyBorder="1" applyAlignment="1">
      <alignment vertical="center"/>
    </xf>
    <xf numFmtId="43" fontId="17" fillId="4" borderId="8" xfId="20" applyFont="1" applyFill="1" applyBorder="1" applyAlignment="1">
      <alignment vertical="center" wrapText="1"/>
    </xf>
    <xf numFmtId="0" fontId="27" fillId="6" borderId="8" xfId="19" applyFont="1" applyFill="1" applyBorder="1" applyAlignment="1">
      <alignment horizontal="center" vertical="center" wrapText="1"/>
    </xf>
    <xf numFmtId="165" fontId="43" fillId="0" borderId="8" xfId="20" applyNumberFormat="1" applyFont="1" applyFill="1" applyBorder="1" applyAlignment="1">
      <alignment vertical="center" wrapText="1"/>
    </xf>
    <xf numFmtId="43" fontId="0" fillId="0" borderId="8" xfId="20" applyFont="1" applyFill="1" applyBorder="1"/>
    <xf numFmtId="165" fontId="36" fillId="0" borderId="1" xfId="20" applyNumberFormat="1" applyFont="1" applyFill="1" applyBorder="1" applyAlignment="1">
      <alignment horizontal="center" vertical="center" wrapText="1"/>
    </xf>
    <xf numFmtId="165" fontId="15" fillId="6" borderId="8" xfId="20" applyNumberFormat="1" applyFont="1" applyFill="1" applyBorder="1" applyAlignment="1">
      <alignment vertical="center"/>
    </xf>
    <xf numFmtId="165" fontId="36" fillId="6" borderId="3" xfId="20" applyNumberFormat="1" applyFont="1" applyFill="1" applyBorder="1" applyAlignment="1">
      <alignment horizontal="center" vertical="center" wrapText="1"/>
    </xf>
    <xf numFmtId="165" fontId="15" fillId="0" borderId="1" xfId="19" applyNumberFormat="1" applyFont="1" applyAlignment="1">
      <alignment vertical="center"/>
    </xf>
    <xf numFmtId="165" fontId="35" fillId="6" borderId="8" xfId="20" applyNumberFormat="1" applyFont="1" applyFill="1" applyBorder="1" applyAlignment="1">
      <alignment vertical="center" wrapText="1"/>
    </xf>
    <xf numFmtId="165" fontId="34" fillId="0" borderId="1" xfId="20" applyNumberFormat="1" applyFont="1" applyBorder="1" applyAlignment="1">
      <alignment horizontal="center" vertical="center" wrapText="1"/>
    </xf>
    <xf numFmtId="165" fontId="17" fillId="6" borderId="8" xfId="20" applyNumberFormat="1" applyFont="1" applyFill="1" applyBorder="1" applyAlignment="1">
      <alignment horizontal="center" vertical="center" wrapText="1"/>
    </xf>
    <xf numFmtId="171" fontId="17" fillId="0" borderId="8" xfId="20" applyNumberFormat="1" applyFont="1" applyFill="1" applyBorder="1" applyAlignment="1">
      <alignment vertical="center" wrapText="1"/>
    </xf>
    <xf numFmtId="165" fontId="0" fillId="0" borderId="23" xfId="20" applyNumberFormat="1" applyFont="1" applyFill="1" applyBorder="1" applyAlignment="1">
      <alignment vertical="center"/>
    </xf>
    <xf numFmtId="165" fontId="37" fillId="0" borderId="24" xfId="20" applyNumberFormat="1" applyFont="1" applyFill="1" applyBorder="1" applyAlignment="1">
      <alignment vertical="center"/>
    </xf>
    <xf numFmtId="165" fontId="18" fillId="0" borderId="1" xfId="20" applyNumberFormat="1" applyFont="1" applyFill="1" applyAlignment="1">
      <alignment vertical="center"/>
    </xf>
    <xf numFmtId="165" fontId="0" fillId="6" borderId="23" xfId="20" applyNumberFormat="1" applyFont="1" applyFill="1" applyBorder="1" applyAlignment="1">
      <alignment vertical="center"/>
    </xf>
    <xf numFmtId="165" fontId="0" fillId="6" borderId="24" xfId="20" applyNumberFormat="1" applyFont="1" applyFill="1" applyBorder="1" applyAlignment="1">
      <alignment vertical="center"/>
    </xf>
    <xf numFmtId="165" fontId="37" fillId="6" borderId="24" xfId="20" applyNumberFormat="1" applyFont="1" applyFill="1" applyBorder="1" applyAlignment="1">
      <alignment vertical="center"/>
    </xf>
    <xf numFmtId="165" fontId="37" fillId="6" borderId="1" xfId="20" applyNumberFormat="1" applyFont="1" applyFill="1" applyBorder="1" applyAlignment="1">
      <alignment vertical="center"/>
    </xf>
    <xf numFmtId="168" fontId="44" fillId="0" borderId="8" xfId="19" applyNumberFormat="1" applyFont="1" applyBorder="1" applyAlignment="1">
      <alignment horizontal="center" vertical="center" wrapText="1"/>
    </xf>
    <xf numFmtId="165" fontId="12" fillId="25" borderId="11" xfId="20" applyNumberFormat="1" applyFont="1" applyFill="1" applyBorder="1" applyAlignment="1">
      <alignment vertical="center"/>
    </xf>
    <xf numFmtId="168" fontId="34" fillId="0" borderId="2" xfId="19" applyNumberFormat="1" applyFont="1" applyBorder="1" applyAlignment="1">
      <alignment horizontal="center" vertical="center" wrapText="1"/>
    </xf>
    <xf numFmtId="165" fontId="12" fillId="25" borderId="1" xfId="20" applyNumberFormat="1" applyFont="1" applyFill="1" applyBorder="1" applyAlignment="1">
      <alignment vertical="center"/>
    </xf>
    <xf numFmtId="165" fontId="34" fillId="6" borderId="8" xfId="20" applyNumberFormat="1" applyFont="1" applyFill="1" applyBorder="1" applyAlignment="1">
      <alignment vertical="center" wrapText="1"/>
    </xf>
    <xf numFmtId="43" fontId="34" fillId="6" borderId="8" xfId="20" applyFont="1" applyFill="1" applyBorder="1" applyAlignment="1">
      <alignment vertical="center" wrapText="1"/>
    </xf>
    <xf numFmtId="165" fontId="0" fillId="0" borderId="1" xfId="20" applyNumberFormat="1" applyFont="1" applyBorder="1" applyAlignment="1">
      <alignment vertical="center"/>
    </xf>
    <xf numFmtId="165" fontId="37" fillId="6" borderId="3" xfId="20" applyNumberFormat="1" applyFont="1" applyFill="1" applyBorder="1" applyAlignment="1">
      <alignment vertical="center"/>
    </xf>
    <xf numFmtId="168" fontId="34" fillId="0" borderId="8" xfId="19" applyNumberFormat="1" applyFont="1" applyBorder="1" applyAlignment="1">
      <alignment horizontal="center" vertical="center" wrapText="1"/>
    </xf>
    <xf numFmtId="165" fontId="43" fillId="6" borderId="8" xfId="20" applyNumberFormat="1" applyFont="1" applyFill="1" applyBorder="1" applyAlignment="1">
      <alignment vertical="center" wrapText="1"/>
    </xf>
    <xf numFmtId="0" fontId="17" fillId="6" borderId="8" xfId="19" applyFont="1" applyFill="1" applyBorder="1" applyAlignment="1">
      <alignment horizontal="center" vertical="center" wrapText="1"/>
    </xf>
    <xf numFmtId="165" fontId="43" fillId="23" borderId="8" xfId="20" applyNumberFormat="1" applyFont="1" applyFill="1" applyBorder="1" applyAlignment="1">
      <alignment vertical="center" wrapText="1"/>
    </xf>
    <xf numFmtId="165" fontId="15" fillId="0" borderId="8" xfId="19" applyNumberFormat="1" applyFont="1" applyBorder="1" applyAlignment="1">
      <alignment horizontal="center" vertical="center" wrapText="1"/>
    </xf>
    <xf numFmtId="165" fontId="27" fillId="0" borderId="8" xfId="19" applyNumberFormat="1" applyFont="1" applyBorder="1" applyAlignment="1">
      <alignment horizontal="center" vertical="center"/>
    </xf>
    <xf numFmtId="165" fontId="27" fillId="0" borderId="8" xfId="19" applyNumberFormat="1" applyFont="1" applyBorder="1" applyAlignment="1">
      <alignment horizontal="center" vertical="center" wrapText="1"/>
    </xf>
    <xf numFmtId="165" fontId="34" fillId="0" borderId="3" xfId="19" applyNumberFormat="1" applyFont="1" applyBorder="1" applyAlignment="1">
      <alignment horizontal="center" vertical="center" wrapText="1"/>
    </xf>
    <xf numFmtId="165" fontId="15" fillId="0" borderId="8" xfId="19" applyNumberFormat="1" applyFont="1" applyBorder="1" applyAlignment="1">
      <alignment vertical="center" wrapText="1"/>
    </xf>
    <xf numFmtId="43" fontId="17" fillId="0" borderId="8" xfId="20" applyFont="1" applyFill="1" applyBorder="1" applyAlignment="1">
      <alignment horizontal="center" vertical="center" wrapText="1"/>
    </xf>
    <xf numFmtId="165" fontId="45" fillId="0" borderId="9" xfId="20" applyNumberFormat="1" applyFont="1" applyFill="1" applyBorder="1" applyAlignment="1">
      <alignment vertical="center" wrapText="1"/>
    </xf>
    <xf numFmtId="165" fontId="34" fillId="0" borderId="1" xfId="19" applyNumberFormat="1" applyFont="1" applyAlignment="1">
      <alignment horizontal="center" vertical="center" wrapText="1"/>
    </xf>
    <xf numFmtId="0" fontId="36" fillId="0" borderId="3" xfId="19" applyFont="1" applyBorder="1" applyAlignment="1">
      <alignment vertical="center" wrapText="1"/>
    </xf>
    <xf numFmtId="168" fontId="33" fillId="0" borderId="8" xfId="19" applyNumberFormat="1" applyFont="1" applyBorder="1" applyAlignment="1">
      <alignment horizontal="center" vertical="center" wrapText="1"/>
    </xf>
    <xf numFmtId="43" fontId="17" fillId="0" borderId="8" xfId="20" applyFont="1" applyBorder="1" applyAlignment="1">
      <alignment horizontal="center" vertical="center" wrapText="1"/>
    </xf>
    <xf numFmtId="165" fontId="18" fillId="26" borderId="8" xfId="20" applyNumberFormat="1" applyFont="1" applyFill="1" applyBorder="1" applyAlignment="1">
      <alignment vertical="center"/>
    </xf>
    <xf numFmtId="165" fontId="15" fillId="26" borderId="8" xfId="19" applyNumberFormat="1" applyFont="1" applyFill="1" applyBorder="1" applyAlignment="1">
      <alignment horizontal="center" vertical="center" wrapText="1"/>
    </xf>
    <xf numFmtId="165" fontId="27" fillId="26" borderId="8" xfId="19" applyNumberFormat="1" applyFont="1" applyFill="1" applyBorder="1" applyAlignment="1">
      <alignment horizontal="center" vertical="center"/>
    </xf>
    <xf numFmtId="165" fontId="27" fillId="26" borderId="8" xfId="19" applyNumberFormat="1" applyFont="1" applyFill="1" applyBorder="1" applyAlignment="1">
      <alignment horizontal="center" vertical="center" wrapText="1"/>
    </xf>
    <xf numFmtId="165" fontId="34" fillId="26" borderId="1" xfId="19" applyNumberFormat="1" applyFont="1" applyFill="1" applyAlignment="1">
      <alignment horizontal="center" vertical="center" wrapText="1"/>
    </xf>
    <xf numFmtId="165" fontId="15" fillId="26" borderId="8" xfId="19" applyNumberFormat="1" applyFont="1" applyFill="1" applyBorder="1" applyAlignment="1">
      <alignment vertical="center" wrapText="1"/>
    </xf>
    <xf numFmtId="43" fontId="18" fillId="26" borderId="8" xfId="20" applyFont="1" applyFill="1" applyBorder="1" applyAlignment="1">
      <alignment vertical="center"/>
    </xf>
    <xf numFmtId="165" fontId="36" fillId="26" borderId="3" xfId="20" applyNumberFormat="1" applyFont="1" applyFill="1" applyBorder="1" applyAlignment="1">
      <alignment horizontal="center" vertical="center" wrapText="1"/>
    </xf>
    <xf numFmtId="165" fontId="33" fillId="26" borderId="9" xfId="20" applyNumberFormat="1" applyFont="1" applyFill="1" applyBorder="1" applyAlignment="1">
      <alignment vertical="center" wrapText="1"/>
    </xf>
    <xf numFmtId="165" fontId="17" fillId="26" borderId="8" xfId="20" applyNumberFormat="1" applyFont="1" applyFill="1" applyBorder="1" applyAlignment="1">
      <alignment horizontal="center" vertical="center" wrapText="1"/>
    </xf>
    <xf numFmtId="43" fontId="17" fillId="26" borderId="8" xfId="20" applyFont="1" applyFill="1" applyBorder="1" applyAlignment="1">
      <alignment horizontal="center" vertical="center" wrapText="1"/>
    </xf>
    <xf numFmtId="165" fontId="0" fillId="26" borderId="3" xfId="20" applyNumberFormat="1" applyFont="1" applyFill="1" applyBorder="1" applyAlignment="1">
      <alignment vertical="center"/>
    </xf>
    <xf numFmtId="43" fontId="0" fillId="26" borderId="8" xfId="20" applyFont="1" applyFill="1" applyBorder="1"/>
    <xf numFmtId="165" fontId="36" fillId="0" borderId="3" xfId="20" applyNumberFormat="1" applyFont="1" applyFill="1" applyBorder="1" applyAlignment="1">
      <alignment horizontal="center" vertical="center"/>
    </xf>
    <xf numFmtId="165" fontId="17" fillId="0" borderId="8" xfId="20" applyNumberFormat="1" applyFont="1" applyFill="1" applyBorder="1" applyAlignment="1">
      <alignment horizontal="center" vertical="center"/>
    </xf>
    <xf numFmtId="165" fontId="17" fillId="6" borderId="8" xfId="20" applyNumberFormat="1" applyFont="1" applyFill="1" applyBorder="1" applyAlignment="1">
      <alignment horizontal="center" vertical="center"/>
    </xf>
    <xf numFmtId="165" fontId="36" fillId="0" borderId="1" xfId="20" applyNumberFormat="1" applyFont="1" applyFill="1" applyBorder="1" applyAlignment="1">
      <alignment horizontal="center" vertical="center"/>
    </xf>
    <xf numFmtId="0" fontId="27" fillId="0" borderId="8" xfId="19" applyFont="1" applyBorder="1" applyAlignment="1">
      <alignment vertical="center" wrapText="1"/>
    </xf>
    <xf numFmtId="43" fontId="42" fillId="0" borderId="8" xfId="20" applyFont="1" applyFill="1" applyBorder="1" applyAlignment="1">
      <alignment vertical="center"/>
    </xf>
    <xf numFmtId="165" fontId="43" fillId="0" borderId="8" xfId="20" applyNumberFormat="1" applyFont="1" applyFill="1" applyBorder="1" applyAlignment="1">
      <alignment vertical="center"/>
    </xf>
    <xf numFmtId="165" fontId="17" fillId="0" borderId="11" xfId="20" applyNumberFormat="1" applyFont="1" applyFill="1" applyBorder="1" applyAlignment="1">
      <alignment vertical="center"/>
    </xf>
    <xf numFmtId="165" fontId="17" fillId="0" borderId="1" xfId="20" applyNumberFormat="1" applyFont="1" applyFill="1" applyBorder="1" applyAlignment="1">
      <alignment vertical="center"/>
    </xf>
    <xf numFmtId="165" fontId="15" fillId="0" borderId="1" xfId="20" applyNumberFormat="1" applyFont="1" applyFill="1" applyBorder="1" applyAlignment="1">
      <alignment vertical="center"/>
    </xf>
    <xf numFmtId="165" fontId="36" fillId="0" borderId="25" xfId="20" applyNumberFormat="1" applyFont="1" applyBorder="1" applyAlignment="1">
      <alignment horizontal="center" vertical="center" wrapText="1"/>
    </xf>
    <xf numFmtId="165" fontId="15" fillId="0" borderId="1" xfId="20" applyNumberFormat="1" applyFont="1" applyFill="1" applyAlignment="1">
      <alignment vertical="center"/>
    </xf>
    <xf numFmtId="165" fontId="36" fillId="0" borderId="26" xfId="20" applyNumberFormat="1" applyFont="1" applyFill="1" applyBorder="1" applyAlignment="1">
      <alignment horizontal="center" vertical="center" wrapText="1"/>
    </xf>
    <xf numFmtId="165" fontId="36" fillId="0" borderId="27" xfId="20" applyNumberFormat="1" applyFont="1" applyFill="1" applyBorder="1" applyAlignment="1">
      <alignment horizontal="center" vertical="center" wrapText="1"/>
    </xf>
    <xf numFmtId="171" fontId="35" fillId="0" borderId="8" xfId="20" applyNumberFormat="1" applyFont="1" applyFill="1" applyBorder="1" applyAlignment="1">
      <alignment vertical="center" wrapText="1"/>
    </xf>
    <xf numFmtId="171" fontId="15" fillId="0" borderId="8" xfId="20" applyNumberFormat="1" applyFont="1" applyFill="1" applyBorder="1" applyAlignment="1">
      <alignment vertical="center" wrapText="1"/>
    </xf>
    <xf numFmtId="171" fontId="43" fillId="0" borderId="8" xfId="20" applyNumberFormat="1" applyFont="1" applyFill="1" applyBorder="1" applyAlignment="1">
      <alignment vertical="center" wrapText="1"/>
    </xf>
    <xf numFmtId="168" fontId="34" fillId="0" borderId="1" xfId="19" applyNumberFormat="1" applyFont="1" applyAlignment="1">
      <alignment horizontal="center" vertical="center" wrapText="1"/>
    </xf>
    <xf numFmtId="171" fontId="0" fillId="0" borderId="15" xfId="20" applyNumberFormat="1" applyFont="1" applyFill="1" applyBorder="1" applyAlignment="1">
      <alignment vertical="center"/>
    </xf>
    <xf numFmtId="171" fontId="0" fillId="0" borderId="8" xfId="20" applyNumberFormat="1" applyFont="1" applyFill="1" applyBorder="1" applyAlignment="1">
      <alignment vertical="center"/>
    </xf>
    <xf numFmtId="171" fontId="33" fillId="0" borderId="8" xfId="20" applyNumberFormat="1" applyFont="1" applyFill="1" applyBorder="1" applyAlignment="1">
      <alignment vertical="center" wrapText="1"/>
    </xf>
    <xf numFmtId="171" fontId="0" fillId="0" borderId="28" xfId="20" applyNumberFormat="1" applyFont="1" applyFill="1" applyBorder="1" applyAlignment="1">
      <alignment vertical="center"/>
    </xf>
    <xf numFmtId="171" fontId="15" fillId="0" borderId="8" xfId="20" applyNumberFormat="1" applyFont="1" applyFill="1" applyBorder="1" applyAlignment="1">
      <alignment vertical="center"/>
    </xf>
    <xf numFmtId="171" fontId="37" fillId="0" borderId="8" xfId="20" applyNumberFormat="1" applyFont="1" applyFill="1" applyBorder="1" applyAlignment="1">
      <alignment vertical="center"/>
    </xf>
    <xf numFmtId="171" fontId="18" fillId="0" borderId="8" xfId="20" applyNumberFormat="1" applyFont="1" applyFill="1" applyBorder="1" applyAlignment="1">
      <alignment vertical="center"/>
    </xf>
    <xf numFmtId="49" fontId="34" fillId="0" borderId="3" xfId="19" applyNumberFormat="1" applyFont="1" applyBorder="1" applyAlignment="1">
      <alignment horizontal="center" vertical="center" wrapText="1"/>
    </xf>
    <xf numFmtId="171" fontId="35" fillId="0" borderId="1" xfId="20" applyNumberFormat="1" applyFont="1" applyFill="1" applyBorder="1" applyAlignment="1">
      <alignment vertical="center" wrapText="1"/>
    </xf>
    <xf numFmtId="43" fontId="17" fillId="0" borderId="8" xfId="20" applyFont="1" applyFill="1" applyBorder="1" applyAlignment="1" applyProtection="1">
      <alignment horizontal="right" vertical="center" wrapText="1"/>
      <protection locked="0"/>
    </xf>
    <xf numFmtId="171" fontId="0" fillId="0" borderId="14" xfId="20" applyNumberFormat="1" applyFont="1" applyFill="1" applyBorder="1" applyAlignment="1">
      <alignment vertical="center"/>
    </xf>
    <xf numFmtId="0" fontId="61" fillId="6" borderId="0" xfId="0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46" fillId="6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172" fontId="13" fillId="0" borderId="0" xfId="0" applyNumberFormat="1" applyFont="1" applyAlignment="1">
      <alignment horizontal="center" vertical="center" wrapText="1"/>
    </xf>
    <xf numFmtId="172" fontId="62" fillId="0" borderId="0" xfId="0" applyNumberFormat="1" applyFont="1" applyAlignment="1">
      <alignment horizontal="center" vertical="center" wrapText="1"/>
    </xf>
    <xf numFmtId="172" fontId="6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43" fontId="13" fillId="5" borderId="1" xfId="21" applyFont="1" applyFill="1" applyAlignment="1">
      <alignment horizontal="center" vertical="center" wrapText="1"/>
    </xf>
    <xf numFmtId="0" fontId="13" fillId="35" borderId="1" xfId="0" applyFont="1" applyFill="1" applyBorder="1" applyAlignment="1">
      <alignment horizontal="center" vertical="center" wrapText="1"/>
    </xf>
    <xf numFmtId="0" fontId="13" fillId="35" borderId="1" xfId="0" applyFont="1" applyFill="1" applyBorder="1" applyAlignment="1">
      <alignment vertical="center" wrapText="1"/>
    </xf>
    <xf numFmtId="174" fontId="13" fillId="2" borderId="1" xfId="0" applyNumberFormat="1" applyFont="1" applyFill="1" applyBorder="1" applyAlignment="1">
      <alignment vertical="center" wrapText="1"/>
    </xf>
    <xf numFmtId="43" fontId="13" fillId="35" borderId="1" xfId="0" applyNumberFormat="1" applyFont="1" applyFill="1" applyBorder="1" applyAlignment="1">
      <alignment horizontal="right" vertical="center" wrapText="1"/>
    </xf>
    <xf numFmtId="174" fontId="46" fillId="35" borderId="1" xfId="0" applyNumberFormat="1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43" fontId="13" fillId="2" borderId="1" xfId="0" applyNumberFormat="1" applyFont="1" applyFill="1" applyBorder="1" applyAlignment="1">
      <alignment horizontal="right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13" fillId="36" borderId="1" xfId="0" applyFont="1" applyFill="1" applyBorder="1" applyAlignment="1">
      <alignment horizontal="center" vertical="center" wrapText="1"/>
    </xf>
    <xf numFmtId="0" fontId="13" fillId="36" borderId="1" xfId="0" applyFont="1" applyFill="1" applyBorder="1" applyAlignment="1">
      <alignment vertical="center" wrapText="1"/>
    </xf>
    <xf numFmtId="174" fontId="13" fillId="37" borderId="1" xfId="0" applyNumberFormat="1" applyFont="1" applyFill="1" applyBorder="1" applyAlignment="1">
      <alignment vertical="center" wrapText="1"/>
    </xf>
    <xf numFmtId="0" fontId="13" fillId="37" borderId="1" xfId="0" applyFont="1" applyFill="1" applyBorder="1" applyAlignment="1">
      <alignment horizontal="center" vertical="center" wrapText="1"/>
    </xf>
    <xf numFmtId="43" fontId="13" fillId="36" borderId="1" xfId="0" applyNumberFormat="1" applyFont="1" applyFill="1" applyBorder="1" applyAlignment="1">
      <alignment horizontal="right" vertical="center" wrapText="1"/>
    </xf>
    <xf numFmtId="0" fontId="46" fillId="36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174" fontId="12" fillId="0" borderId="0" xfId="0" applyNumberFormat="1" applyFont="1" applyAlignment="1">
      <alignment vertical="center" wrapText="1"/>
    </xf>
    <xf numFmtId="174" fontId="0" fillId="0" borderId="0" xfId="0" applyNumberFormat="1" applyAlignment="1">
      <alignment wrapText="1"/>
    </xf>
    <xf numFmtId="172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43" fontId="64" fillId="0" borderId="1" xfId="21" applyFont="1" applyBorder="1" applyAlignment="1">
      <alignment horizontal="right" vertical="center" wrapText="1"/>
    </xf>
    <xf numFmtId="0" fontId="64" fillId="0" borderId="1" xfId="0" applyFont="1" applyBorder="1" applyAlignment="1">
      <alignment horizontal="center" vertical="center" wrapText="1"/>
    </xf>
    <xf numFmtId="43" fontId="64" fillId="0" borderId="1" xfId="0" applyNumberFormat="1" applyFont="1" applyBorder="1" applyAlignment="1">
      <alignment horizontal="right" vertical="center" wrapText="1"/>
    </xf>
    <xf numFmtId="0" fontId="12" fillId="0" borderId="0" xfId="0" applyFont="1" applyAlignment="1">
      <alignment vertical="center" wrapText="1"/>
    </xf>
    <xf numFmtId="43" fontId="64" fillId="0" borderId="1" xfId="21" applyFont="1" applyFill="1" applyAlignment="1">
      <alignment horizontal="right" vertical="center" wrapText="1"/>
    </xf>
    <xf numFmtId="43" fontId="64" fillId="0" borderId="1" xfId="21" applyFont="1" applyAlignment="1">
      <alignment horizontal="right" vertical="center" wrapText="1"/>
    </xf>
    <xf numFmtId="43" fontId="64" fillId="0" borderId="1" xfId="21" applyFont="1" applyFill="1" applyBorder="1" applyAlignment="1">
      <alignment horizontal="right" vertical="center" wrapText="1"/>
    </xf>
    <xf numFmtId="172" fontId="65" fillId="3" borderId="0" xfId="0" applyNumberFormat="1" applyFont="1" applyFill="1" applyAlignment="1">
      <alignment vertical="center" wrapText="1"/>
    </xf>
    <xf numFmtId="172" fontId="13" fillId="37" borderId="1" xfId="0" applyNumberFormat="1" applyFont="1" applyFill="1" applyBorder="1" applyAlignment="1">
      <alignment vertical="center" wrapText="1"/>
    </xf>
    <xf numFmtId="174" fontId="12" fillId="0" borderId="0" xfId="0" applyNumberFormat="1" applyFont="1" applyAlignment="1">
      <alignment horizontal="right" vertical="center" wrapText="1"/>
    </xf>
    <xf numFmtId="43" fontId="64" fillId="0" borderId="0" xfId="0" applyNumberFormat="1" applyFont="1" applyAlignment="1">
      <alignment horizontal="right" vertical="center" wrapText="1"/>
    </xf>
    <xf numFmtId="172" fontId="12" fillId="0" borderId="0" xfId="0" applyNumberFormat="1" applyFont="1" applyAlignment="1">
      <alignment vertical="center"/>
    </xf>
    <xf numFmtId="174" fontId="12" fillId="0" borderId="0" xfId="0" applyNumberFormat="1" applyFont="1" applyAlignment="1">
      <alignment horizontal="right" vertical="center" shrinkToFit="1"/>
    </xf>
    <xf numFmtId="172" fontId="12" fillId="0" borderId="0" xfId="0" applyNumberFormat="1" applyFont="1" applyAlignment="1">
      <alignment horizontal="right" vertical="center" shrinkToFit="1"/>
    </xf>
    <xf numFmtId="43" fontId="64" fillId="0" borderId="1" xfId="0" applyNumberFormat="1" applyFont="1" applyBorder="1" applyAlignment="1">
      <alignment horizontal="right" vertical="center" wrapText="1" shrinkToFit="1"/>
    </xf>
    <xf numFmtId="0" fontId="12" fillId="0" borderId="1" xfId="0" applyFont="1" applyBorder="1" applyAlignment="1">
      <alignment horizontal="left" vertical="center" wrapText="1"/>
    </xf>
    <xf numFmtId="172" fontId="13" fillId="2" borderId="1" xfId="0" applyNumberFormat="1" applyFont="1" applyFill="1" applyBorder="1" applyAlignment="1">
      <alignment vertical="center" wrapText="1"/>
    </xf>
    <xf numFmtId="174" fontId="66" fillId="0" borderId="0" xfId="0" applyNumberFormat="1" applyFont="1" applyAlignment="1">
      <alignment wrapText="1"/>
    </xf>
    <xf numFmtId="172" fontId="66" fillId="0" borderId="0" xfId="0" applyNumberFormat="1" applyFont="1" applyAlignment="1">
      <alignment wrapText="1"/>
    </xf>
    <xf numFmtId="174" fontId="12" fillId="0" borderId="0" xfId="0" applyNumberFormat="1" applyFont="1" applyAlignment="1">
      <alignment wrapText="1"/>
    </xf>
    <xf numFmtId="172" fontId="12" fillId="0" borderId="0" xfId="0" applyNumberFormat="1" applyFont="1" applyAlignment="1">
      <alignment wrapText="1"/>
    </xf>
    <xf numFmtId="172" fontId="66" fillId="0" borderId="0" xfId="0" applyNumberFormat="1" applyFont="1" applyAlignment="1">
      <alignment vertical="center" wrapText="1"/>
    </xf>
    <xf numFmtId="0" fontId="12" fillId="0" borderId="1" xfId="0" applyFont="1" applyBorder="1" applyAlignment="1">
      <alignment horizontal="left" vertical="center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174" fontId="12" fillId="0" borderId="0" xfId="0" applyNumberFormat="1" applyFont="1" applyAlignment="1">
      <alignment vertical="top" wrapText="1"/>
    </xf>
    <xf numFmtId="174" fontId="12" fillId="0" borderId="0" xfId="0" applyNumberFormat="1" applyFont="1" applyAlignment="1">
      <alignment horizontal="right" vertical="top" wrapText="1"/>
    </xf>
    <xf numFmtId="174" fontId="12" fillId="0" borderId="0" xfId="0" applyNumberFormat="1" applyFont="1" applyAlignment="1">
      <alignment horizontal="right" vertical="top" shrinkToFit="1"/>
    </xf>
    <xf numFmtId="172" fontId="12" fillId="0" borderId="0" xfId="0" applyNumberFormat="1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3" fillId="2" borderId="1" xfId="0" applyFont="1" applyFill="1" applyBorder="1" applyAlignment="1">
      <alignment vertical="center" wrapText="1"/>
    </xf>
    <xf numFmtId="172" fontId="12" fillId="0" borderId="0" xfId="0" applyNumberFormat="1" applyFont="1" applyAlignment="1">
      <alignment horizontal="center" vertical="center" wrapText="1"/>
    </xf>
    <xf numFmtId="43" fontId="13" fillId="2" borderId="0" xfId="0" applyNumberFormat="1" applyFont="1" applyFill="1" applyAlignment="1">
      <alignment horizontal="right" vertical="center" wrapText="1"/>
    </xf>
    <xf numFmtId="43" fontId="13" fillId="37" borderId="0" xfId="0" applyNumberFormat="1" applyFont="1" applyFill="1" applyAlignment="1">
      <alignment horizontal="right" vertical="center" wrapText="1"/>
    </xf>
    <xf numFmtId="0" fontId="63" fillId="2" borderId="1" xfId="0" applyFont="1" applyFill="1" applyBorder="1" applyAlignment="1">
      <alignment horizontal="left" vertical="center" wrapText="1"/>
    </xf>
    <xf numFmtId="172" fontId="13" fillId="2" borderId="1" xfId="0" applyNumberFormat="1" applyFont="1" applyFill="1" applyBorder="1" applyAlignment="1">
      <alignment horizontal="center" vertical="center" wrapText="1"/>
    </xf>
    <xf numFmtId="172" fontId="13" fillId="37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" fontId="66" fillId="0" borderId="1" xfId="0" applyNumberFormat="1" applyFont="1" applyBorder="1" applyAlignment="1">
      <alignment wrapText="1"/>
    </xf>
    <xf numFmtId="4" fontId="66" fillId="0" borderId="4" xfId="0" applyNumberFormat="1" applyFont="1" applyBorder="1"/>
    <xf numFmtId="0" fontId="13" fillId="2" borderId="1" xfId="0" applyFont="1" applyFill="1" applyBorder="1" applyAlignment="1">
      <alignment horizontal="left" vertical="center" wrapText="1"/>
    </xf>
    <xf numFmtId="43" fontId="13" fillId="37" borderId="1" xfId="0" applyNumberFormat="1" applyFont="1" applyFill="1" applyBorder="1" applyAlignment="1">
      <alignment horizontal="right" vertical="center" wrapText="1"/>
    </xf>
    <xf numFmtId="172" fontId="12" fillId="0" borderId="0" xfId="0" applyNumberFormat="1" applyFont="1" applyAlignment="1">
      <alignment horizontal="right" vertical="center" wrapText="1"/>
    </xf>
    <xf numFmtId="172" fontId="12" fillId="0" borderId="0" xfId="0" applyNumberFormat="1" applyFont="1" applyAlignment="1">
      <alignment horizontal="right" vertical="center"/>
    </xf>
    <xf numFmtId="43" fontId="40" fillId="0" borderId="1" xfId="21" applyFont="1" applyAlignment="1">
      <alignment horizontal="right"/>
    </xf>
    <xf numFmtId="172" fontId="64" fillId="0" borderId="0" xfId="0" applyNumberFormat="1" applyFont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43" fontId="64" fillId="0" borderId="0" xfId="0" applyNumberFormat="1" applyFont="1" applyAlignment="1">
      <alignment horizontal="right" vertical="center"/>
    </xf>
    <xf numFmtId="174" fontId="68" fillId="0" borderId="0" xfId="0" applyNumberFormat="1" applyFont="1" applyAlignment="1">
      <alignment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vertical="center" wrapText="1"/>
    </xf>
    <xf numFmtId="174" fontId="12" fillId="38" borderId="0" xfId="0" applyNumberFormat="1" applyFont="1" applyFill="1" applyAlignment="1">
      <alignment vertical="center" wrapText="1"/>
    </xf>
    <xf numFmtId="174" fontId="12" fillId="38" borderId="0" xfId="0" applyNumberFormat="1" applyFont="1" applyFill="1" applyAlignment="1">
      <alignment horizontal="right" vertical="center" wrapText="1"/>
    </xf>
    <xf numFmtId="172" fontId="12" fillId="38" borderId="0" xfId="0" applyNumberFormat="1" applyFont="1" applyFill="1" applyAlignment="1">
      <alignment horizontal="right" vertical="center" wrapText="1"/>
    </xf>
    <xf numFmtId="172" fontId="12" fillId="38" borderId="0" xfId="0" applyNumberFormat="1" applyFont="1" applyFill="1" applyAlignment="1">
      <alignment vertical="center" wrapText="1"/>
    </xf>
    <xf numFmtId="172" fontId="65" fillId="3" borderId="0" xfId="0" applyNumberFormat="1" applyFont="1" applyFill="1" applyAlignment="1">
      <alignment horizontal="right" vertical="center"/>
    </xf>
    <xf numFmtId="0" fontId="65" fillId="0" borderId="0" xfId="0" applyFont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vertical="center" wrapText="1"/>
    </xf>
    <xf numFmtId="172" fontId="63" fillId="39" borderId="0" xfId="0" applyNumberFormat="1" applyFont="1" applyFill="1" applyAlignment="1">
      <alignment horizontal="right" vertical="center" wrapText="1"/>
    </xf>
    <xf numFmtId="172" fontId="63" fillId="39" borderId="0" xfId="0" applyNumberFormat="1" applyFont="1" applyFill="1" applyAlignment="1">
      <alignment vertical="center" wrapText="1"/>
    </xf>
    <xf numFmtId="172" fontId="63" fillId="39" borderId="0" xfId="0" applyNumberFormat="1" applyFont="1" applyFill="1" applyAlignment="1">
      <alignment horizontal="right" vertical="center"/>
    </xf>
    <xf numFmtId="0" fontId="63" fillId="39" borderId="0" xfId="0" applyFont="1" applyFill="1" applyAlignment="1">
      <alignment horizontal="center" vertical="center" wrapText="1"/>
    </xf>
    <xf numFmtId="43" fontId="46" fillId="8" borderId="1" xfId="21" applyFont="1" applyFill="1" applyAlignment="1">
      <alignment horizontal="right" vertical="center" wrapText="1"/>
    </xf>
    <xf numFmtId="43" fontId="18" fillId="0" borderId="1" xfId="21" applyFont="1" applyBorder="1" applyAlignment="1">
      <alignment horizontal="right" vertical="center" wrapText="1"/>
    </xf>
    <xf numFmtId="0" fontId="12" fillId="0" borderId="0" xfId="0" applyFont="1" applyAlignment="1">
      <alignment horizontal="left" vertical="center" shrinkToFit="1"/>
    </xf>
    <xf numFmtId="172" fontId="67" fillId="3" borderId="0" xfId="0" applyNumberFormat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74" fontId="13" fillId="40" borderId="1" xfId="0" applyNumberFormat="1" applyFont="1" applyFill="1" applyBorder="1" applyAlignment="1">
      <alignment vertical="center" wrapText="1"/>
    </xf>
    <xf numFmtId="172" fontId="13" fillId="40" borderId="1" xfId="0" applyNumberFormat="1" applyFont="1" applyFill="1" applyBorder="1" applyAlignment="1">
      <alignment vertical="center" wrapText="1"/>
    </xf>
    <xf numFmtId="0" fontId="13" fillId="40" borderId="1" xfId="0" applyFont="1" applyFill="1" applyBorder="1" applyAlignment="1">
      <alignment horizontal="center" vertical="center" wrapText="1"/>
    </xf>
    <xf numFmtId="43" fontId="13" fillId="8" borderId="1" xfId="0" applyNumberFormat="1" applyFont="1" applyFill="1" applyBorder="1" applyAlignment="1">
      <alignment horizontal="right" vertical="center" wrapText="1"/>
    </xf>
    <xf numFmtId="43" fontId="65" fillId="3" borderId="1" xfId="21" applyFont="1" applyFill="1" applyAlignment="1">
      <alignment horizontal="center" vertical="center" wrapText="1"/>
    </xf>
    <xf numFmtId="0" fontId="13" fillId="8" borderId="1" xfId="0" applyFont="1" applyFill="1" applyBorder="1" applyAlignment="1">
      <alignment horizontal="left" vertical="center" wrapText="1"/>
    </xf>
    <xf numFmtId="43" fontId="13" fillId="40" borderId="1" xfId="21" applyFont="1" applyFill="1" applyBorder="1" applyAlignment="1">
      <alignment horizontal="center" vertical="center" wrapText="1"/>
    </xf>
    <xf numFmtId="43" fontId="13" fillId="8" borderId="1" xfId="21" applyFont="1" applyFill="1" applyBorder="1" applyAlignment="1">
      <alignment horizontal="center" vertical="center" wrapText="1"/>
    </xf>
    <xf numFmtId="43" fontId="13" fillId="8" borderId="1" xfId="21" applyFont="1" applyFill="1" applyBorder="1" applyAlignment="1">
      <alignment horizontal="right" vertical="center" wrapText="1"/>
    </xf>
    <xf numFmtId="43" fontId="46" fillId="8" borderId="1" xfId="2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12" fillId="0" borderId="0" xfId="0" applyFont="1" applyAlignment="1">
      <alignment horizontal="left" vertical="center" wrapText="1"/>
    </xf>
    <xf numFmtId="174" fontId="13" fillId="0" borderId="0" xfId="0" applyNumberFormat="1" applyFont="1" applyAlignment="1">
      <alignment vertical="center" wrapText="1"/>
    </xf>
    <xf numFmtId="172" fontId="12" fillId="0" borderId="0" xfId="0" applyNumberFormat="1" applyFont="1" applyAlignment="1">
      <alignment horizontal="center" vertical="top"/>
    </xf>
    <xf numFmtId="43" fontId="64" fillId="0" borderId="1" xfId="21" applyFont="1" applyAlignment="1">
      <alignment horizontal="right" vertical="center" shrinkToFit="1"/>
    </xf>
    <xf numFmtId="43" fontId="46" fillId="0" borderId="1" xfId="21" applyFont="1" applyAlignment="1">
      <alignment horizontal="right" vertical="center" wrapText="1"/>
    </xf>
    <xf numFmtId="0" fontId="12" fillId="0" borderId="1" xfId="0" applyFont="1" applyBorder="1" applyAlignment="1">
      <alignment horizontal="center" vertical="top"/>
    </xf>
    <xf numFmtId="0" fontId="63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vertical="center" wrapText="1"/>
    </xf>
    <xf numFmtId="174" fontId="66" fillId="0" borderId="0" xfId="0" applyNumberFormat="1" applyFont="1" applyAlignment="1">
      <alignment vertical="center" wrapText="1"/>
    </xf>
    <xf numFmtId="174" fontId="66" fillId="0" borderId="0" xfId="0" applyNumberFormat="1" applyFont="1" applyAlignment="1">
      <alignment horizontal="right" vertical="center" wrapText="1"/>
    </xf>
    <xf numFmtId="174" fontId="66" fillId="0" borderId="0" xfId="0" applyNumberFormat="1" applyFont="1" applyAlignment="1">
      <alignment horizontal="right" vertical="center" shrinkToFit="1"/>
    </xf>
    <xf numFmtId="172" fontId="66" fillId="0" borderId="0" xfId="0" applyNumberFormat="1" applyFont="1" applyAlignment="1">
      <alignment horizontal="right" vertical="center" shrinkToFit="1"/>
    </xf>
    <xf numFmtId="0" fontId="66" fillId="0" borderId="0" xfId="0" applyFont="1" applyAlignment="1">
      <alignment horizontal="center" vertical="center" wrapText="1"/>
    </xf>
    <xf numFmtId="0" fontId="46" fillId="8" borderId="1" xfId="0" applyFont="1" applyFill="1" applyBorder="1" applyAlignment="1">
      <alignment horizontal="center" vertical="center" wrapText="1"/>
    </xf>
    <xf numFmtId="43" fontId="40" fillId="0" borderId="1" xfId="21" applyFont="1" applyFill="1" applyBorder="1" applyAlignment="1">
      <alignment horizontal="right" vertical="center" wrapText="1"/>
    </xf>
    <xf numFmtId="43" fontId="0" fillId="0" borderId="1" xfId="21" applyFont="1" applyAlignment="1">
      <alignment horizontal="right"/>
    </xf>
    <xf numFmtId="43" fontId="67" fillId="3" borderId="1" xfId="21" applyFont="1" applyFill="1" applyAlignment="1">
      <alignment horizontal="left" vertical="center" wrapText="1"/>
    </xf>
    <xf numFmtId="43" fontId="64" fillId="0" borderId="0" xfId="0" applyNumberFormat="1" applyFont="1" applyAlignment="1">
      <alignment horizontal="right" vertical="center" shrinkToFit="1"/>
    </xf>
    <xf numFmtId="172" fontId="12" fillId="3" borderId="0" xfId="0" applyNumberFormat="1" applyFont="1" applyFill="1" applyAlignment="1">
      <alignment horizontal="right" vertical="center" shrinkToFit="1"/>
    </xf>
    <xf numFmtId="173" fontId="67" fillId="3" borderId="0" xfId="0" applyNumberFormat="1" applyFont="1" applyFill="1" applyAlignment="1">
      <alignment horizontal="center" vertical="center" wrapText="1"/>
    </xf>
    <xf numFmtId="173" fontId="13" fillId="3" borderId="0" xfId="0" applyNumberFormat="1" applyFont="1" applyFill="1" applyAlignment="1">
      <alignment horizontal="center" vertical="center" wrapText="1"/>
    </xf>
    <xf numFmtId="172" fontId="67" fillId="3" borderId="0" xfId="0" applyNumberFormat="1" applyFont="1" applyFill="1" applyAlignment="1">
      <alignment vertical="center"/>
    </xf>
    <xf numFmtId="172" fontId="67" fillId="3" borderId="0" xfId="0" applyNumberFormat="1" applyFont="1" applyFill="1" applyAlignment="1">
      <alignment horizontal="right" vertical="center" shrinkToFit="1"/>
    </xf>
    <xf numFmtId="174" fontId="12" fillId="40" borderId="0" xfId="0" applyNumberFormat="1" applyFont="1" applyFill="1" applyAlignment="1">
      <alignment vertical="center" wrapText="1"/>
    </xf>
    <xf numFmtId="174" fontId="12" fillId="40" borderId="0" xfId="0" applyNumberFormat="1" applyFont="1" applyFill="1" applyAlignment="1">
      <alignment horizontal="right" vertical="center" wrapText="1"/>
    </xf>
    <xf numFmtId="172" fontId="12" fillId="40" borderId="0" xfId="0" applyNumberFormat="1" applyFont="1" applyFill="1" applyAlignment="1">
      <alignment vertical="center" wrapText="1"/>
    </xf>
    <xf numFmtId="172" fontId="13" fillId="40" borderId="0" xfId="0" applyNumberFormat="1" applyFont="1" applyFill="1" applyAlignment="1">
      <alignment vertical="center" wrapText="1"/>
    </xf>
    <xf numFmtId="0" fontId="12" fillId="8" borderId="0" xfId="0" applyFont="1" applyFill="1" applyAlignment="1">
      <alignment horizontal="center" vertical="center" wrapText="1"/>
    </xf>
    <xf numFmtId="0" fontId="64" fillId="8" borderId="1" xfId="0" applyFont="1" applyFill="1" applyBorder="1" applyAlignment="1">
      <alignment horizontal="center" vertical="center" wrapText="1"/>
    </xf>
    <xf numFmtId="174" fontId="13" fillId="40" borderId="0" xfId="0" applyNumberFormat="1" applyFont="1" applyFill="1" applyAlignment="1">
      <alignment vertical="center" wrapText="1"/>
    </xf>
    <xf numFmtId="174" fontId="13" fillId="40" borderId="0" xfId="0" applyNumberFormat="1" applyFont="1" applyFill="1" applyAlignment="1">
      <alignment horizontal="right" vertical="center" wrapText="1"/>
    </xf>
    <xf numFmtId="174" fontId="13" fillId="40" borderId="0" xfId="0" applyNumberFormat="1" applyFont="1" applyFill="1" applyAlignment="1">
      <alignment horizontal="right" vertical="center" shrinkToFit="1"/>
    </xf>
    <xf numFmtId="172" fontId="12" fillId="40" borderId="0" xfId="0" applyNumberFormat="1" applyFont="1" applyFill="1" applyAlignment="1">
      <alignment horizontal="right" vertical="center" shrinkToFit="1"/>
    </xf>
    <xf numFmtId="172" fontId="13" fillId="40" borderId="0" xfId="0" applyNumberFormat="1" applyFont="1" applyFill="1" applyAlignment="1">
      <alignment horizontal="right" vertical="center" shrinkToFit="1"/>
    </xf>
    <xf numFmtId="0" fontId="13" fillId="8" borderId="0" xfId="0" applyFont="1" applyFill="1" applyAlignment="1">
      <alignment horizontal="center" vertical="center" wrapText="1"/>
    </xf>
    <xf numFmtId="43" fontId="13" fillId="8" borderId="1" xfId="0" applyNumberFormat="1" applyFont="1" applyFill="1" applyBorder="1" applyAlignment="1">
      <alignment horizontal="right" vertical="center" wrapText="1" shrinkToFit="1"/>
    </xf>
    <xf numFmtId="174" fontId="12" fillId="40" borderId="0" xfId="0" applyNumberFormat="1" applyFont="1" applyFill="1" applyAlignment="1">
      <alignment horizontal="right" vertical="center" shrinkToFit="1"/>
    </xf>
    <xf numFmtId="174" fontId="12" fillId="38" borderId="0" xfId="0" applyNumberFormat="1" applyFont="1" applyFill="1" applyAlignment="1">
      <alignment horizontal="right" vertical="center" shrinkToFit="1"/>
    </xf>
    <xf numFmtId="172" fontId="12" fillId="38" borderId="0" xfId="0" applyNumberFormat="1" applyFont="1" applyFill="1" applyAlignment="1">
      <alignment horizontal="right" vertical="center" shrinkToFit="1"/>
    </xf>
    <xf numFmtId="0" fontId="12" fillId="38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43" fontId="12" fillId="3" borderId="1" xfId="21" applyFont="1" applyFill="1" applyAlignment="1">
      <alignment vertical="center" wrapText="1"/>
    </xf>
    <xf numFmtId="174" fontId="63" fillId="40" borderId="0" xfId="0" applyNumberFormat="1" applyFont="1" applyFill="1" applyAlignment="1">
      <alignment vertical="center" wrapText="1"/>
    </xf>
    <xf numFmtId="172" fontId="63" fillId="40" borderId="0" xfId="0" applyNumberFormat="1" applyFont="1" applyFill="1" applyAlignment="1">
      <alignment vertical="center" wrapText="1"/>
    </xf>
    <xf numFmtId="174" fontId="12" fillId="41" borderId="1" xfId="0" applyNumberFormat="1" applyFont="1" applyFill="1" applyBorder="1" applyAlignment="1">
      <alignment horizontal="right" vertical="center" wrapText="1"/>
    </xf>
    <xf numFmtId="174" fontId="12" fillId="41" borderId="1" xfId="0" applyNumberFormat="1" applyFont="1" applyFill="1" applyBorder="1" applyAlignment="1">
      <alignment vertical="center" wrapText="1"/>
    </xf>
    <xf numFmtId="0" fontId="64" fillId="0" borderId="1" xfId="0" applyFont="1" applyBorder="1" applyAlignment="1">
      <alignment horizontal="center" vertical="center" shrinkToFit="1"/>
    </xf>
    <xf numFmtId="43" fontId="40" fillId="0" borderId="1" xfId="21" applyFont="1" applyAlignment="1">
      <alignment horizontal="right" vertical="center" wrapText="1"/>
    </xf>
    <xf numFmtId="0" fontId="67" fillId="0" borderId="0" xfId="0" applyFont="1" applyAlignment="1">
      <alignment horizontal="center" vertical="center" shrinkToFit="1"/>
    </xf>
    <xf numFmtId="43" fontId="25" fillId="3" borderId="1" xfId="21" applyFont="1" applyFill="1" applyAlignment="1">
      <alignment vertical="center" wrapText="1"/>
    </xf>
    <xf numFmtId="0" fontId="25" fillId="0" borderId="0" xfId="0" applyFont="1" applyAlignment="1">
      <alignment horizontal="center" vertical="center" shrinkToFit="1"/>
    </xf>
    <xf numFmtId="43" fontId="18" fillId="0" borderId="1" xfId="21" applyFont="1" applyFill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shrinkToFit="1"/>
    </xf>
    <xf numFmtId="43" fontId="13" fillId="3" borderId="1" xfId="21" applyFont="1" applyFill="1" applyAlignment="1">
      <alignment horizontal="left" vertical="center" wrapText="1"/>
    </xf>
    <xf numFmtId="43" fontId="40" fillId="0" borderId="1" xfId="21" applyFont="1" applyBorder="1" applyAlignment="1">
      <alignment horizontal="right" vertical="center" wrapText="1"/>
    </xf>
    <xf numFmtId="172" fontId="12" fillId="4" borderId="0" xfId="0" applyNumberFormat="1" applyFont="1" applyFill="1" applyAlignment="1">
      <alignment horizontal="right" vertical="center" shrinkToFit="1"/>
    </xf>
    <xf numFmtId="43" fontId="12" fillId="0" borderId="1" xfId="21" applyFont="1" applyAlignment="1">
      <alignment horizontal="left" vertical="center" wrapText="1"/>
    </xf>
    <xf numFmtId="43" fontId="12" fillId="0" borderId="1" xfId="21" applyFont="1" applyFill="1" applyAlignment="1">
      <alignment horizontal="left" vertical="center" wrapText="1"/>
    </xf>
    <xf numFmtId="43" fontId="12" fillId="3" borderId="1" xfId="21" applyFont="1" applyFill="1" applyAlignment="1">
      <alignment horizontal="left" vertical="center" wrapText="1"/>
    </xf>
    <xf numFmtId="0" fontId="13" fillId="36" borderId="1" xfId="0" applyFont="1" applyFill="1" applyBorder="1" applyAlignment="1">
      <alignment horizontal="left" vertical="center" wrapText="1"/>
    </xf>
    <xf numFmtId="172" fontId="13" fillId="38" borderId="1" xfId="0" applyNumberFormat="1" applyFont="1" applyFill="1" applyBorder="1" applyAlignment="1">
      <alignment horizontal="center" vertical="center" wrapText="1"/>
    </xf>
    <xf numFmtId="43" fontId="13" fillId="37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72" fontId="13" fillId="0" borderId="0" xfId="0" applyNumberFormat="1" applyFont="1" applyAlignment="1">
      <alignment vertical="center" wrapText="1"/>
    </xf>
    <xf numFmtId="0" fontId="61" fillId="8" borderId="0" xfId="0" applyFont="1" applyFill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left" vertical="center" wrapText="1"/>
    </xf>
    <xf numFmtId="0" fontId="13" fillId="40" borderId="0" xfId="0" applyFont="1" applyFill="1" applyAlignment="1">
      <alignment horizontal="center" vertical="center" wrapText="1"/>
    </xf>
    <xf numFmtId="43" fontId="13" fillId="8" borderId="0" xfId="0" applyNumberFormat="1" applyFont="1" applyFill="1" applyAlignment="1">
      <alignment horizontal="right" vertical="center" wrapText="1"/>
    </xf>
    <xf numFmtId="43" fontId="67" fillId="3" borderId="1" xfId="21" applyFont="1" applyFill="1" applyAlignment="1">
      <alignment horizontal="center" vertical="center" wrapText="1"/>
    </xf>
    <xf numFmtId="4" fontId="66" fillId="0" borderId="1" xfId="0" applyNumberFormat="1" applyFont="1" applyBorder="1"/>
    <xf numFmtId="174" fontId="68" fillId="0" borderId="0" xfId="0" applyNumberFormat="1" applyFont="1" applyAlignment="1">
      <alignment horizontal="right" vertical="center" shrinkToFit="1"/>
    </xf>
    <xf numFmtId="4" fontId="66" fillId="0" borderId="1" xfId="0" applyNumberFormat="1" applyFont="1" applyBorder="1" applyAlignment="1">
      <alignment vertical="center"/>
    </xf>
    <xf numFmtId="4" fontId="66" fillId="0" borderId="0" xfId="0" applyNumberFormat="1" applyFont="1"/>
    <xf numFmtId="172" fontId="12" fillId="3" borderId="0" xfId="0" applyNumberFormat="1" applyFont="1" applyFill="1" applyAlignment="1">
      <alignment vertical="center" wrapText="1"/>
    </xf>
    <xf numFmtId="174" fontId="68" fillId="0" borderId="0" xfId="0" applyNumberFormat="1" applyFont="1" applyAlignment="1">
      <alignment horizontal="right" vertical="center" wrapText="1"/>
    </xf>
    <xf numFmtId="4" fontId="66" fillId="0" borderId="0" xfId="0" applyNumberFormat="1" applyFont="1" applyAlignment="1">
      <alignment vertical="center"/>
    </xf>
    <xf numFmtId="43" fontId="70" fillId="0" borderId="1" xfId="21" applyFont="1" applyFill="1" applyBorder="1" applyAlignment="1">
      <alignment horizontal="right" vertical="center"/>
    </xf>
    <xf numFmtId="4" fontId="66" fillId="0" borderId="0" xfId="0" applyNumberFormat="1" applyFont="1" applyAlignment="1">
      <alignment wrapText="1"/>
    </xf>
    <xf numFmtId="172" fontId="12" fillId="17" borderId="0" xfId="0" applyNumberFormat="1" applyFont="1" applyFill="1" applyAlignment="1">
      <alignment vertical="center" wrapText="1"/>
    </xf>
    <xf numFmtId="174" fontId="12" fillId="42" borderId="0" xfId="0" applyNumberFormat="1" applyFont="1" applyFill="1" applyAlignment="1">
      <alignment horizontal="right" vertical="center" shrinkToFit="1"/>
    </xf>
    <xf numFmtId="174" fontId="13" fillId="36" borderId="1" xfId="0" applyNumberFormat="1" applyFont="1" applyFill="1" applyBorder="1" applyAlignment="1">
      <alignment vertical="center" wrapText="1"/>
    </xf>
    <xf numFmtId="0" fontId="17" fillId="0" borderId="0" xfId="0" applyFont="1"/>
    <xf numFmtId="43" fontId="40" fillId="0" borderId="1" xfId="21" applyFont="1" applyAlignment="1">
      <alignment horizontal="right" vertical="center"/>
    </xf>
    <xf numFmtId="174" fontId="12" fillId="0" borderId="0" xfId="0" applyNumberFormat="1" applyFont="1" applyAlignment="1">
      <alignment horizontal="right" vertical="center" wrapText="1" shrinkToFit="1"/>
    </xf>
    <xf numFmtId="172" fontId="12" fillId="0" borderId="0" xfId="0" applyNumberFormat="1" applyFont="1" applyAlignment="1">
      <alignment horizontal="right" vertical="center" wrapText="1" shrinkToFit="1"/>
    </xf>
    <xf numFmtId="172" fontId="12" fillId="0" borderId="0" xfId="0" applyNumberFormat="1" applyFont="1"/>
    <xf numFmtId="0" fontId="12" fillId="0" borderId="1" xfId="0" applyFont="1" applyBorder="1" applyAlignment="1">
      <alignment horizontal="center" vertical="center" shrinkToFit="1"/>
    </xf>
    <xf numFmtId="174" fontId="12" fillId="41" borderId="1" xfId="0" applyNumberFormat="1" applyFont="1" applyFill="1" applyBorder="1" applyAlignment="1">
      <alignment horizontal="right" vertical="center" shrinkToFit="1"/>
    </xf>
    <xf numFmtId="172" fontId="65" fillId="3" borderId="0" xfId="0" applyNumberFormat="1" applyFont="1" applyFill="1" applyAlignment="1">
      <alignment horizontal="right" vertical="center" shrinkToFit="1"/>
    </xf>
    <xf numFmtId="174" fontId="12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6" fillId="0" borderId="0" xfId="0" applyFont="1" applyAlignment="1">
      <alignment horizontal="center" wrapText="1"/>
    </xf>
    <xf numFmtId="174" fontId="13" fillId="2" borderId="1" xfId="0" applyNumberFormat="1" applyFont="1" applyFill="1" applyBorder="1" applyAlignment="1">
      <alignment horizontal="center" vertical="center" wrapText="1"/>
    </xf>
    <xf numFmtId="174" fontId="46" fillId="2" borderId="1" xfId="0" applyNumberFormat="1" applyFont="1" applyFill="1" applyBorder="1" applyAlignment="1">
      <alignment horizontal="center" vertical="center" wrapText="1"/>
    </xf>
    <xf numFmtId="43" fontId="71" fillId="0" borderId="1" xfId="21" applyFont="1" applyFill="1" applyAlignment="1">
      <alignment horizontal="right" vertical="center" wrapText="1"/>
    </xf>
    <xf numFmtId="43" fontId="72" fillId="0" borderId="1" xfId="21" applyFont="1" applyAlignment="1">
      <alignment horizontal="right" vertical="center" wrapText="1"/>
    </xf>
    <xf numFmtId="43" fontId="72" fillId="0" borderId="1" xfId="21" applyFont="1" applyFill="1" applyAlignment="1">
      <alignment horizontal="right" vertical="center" wrapText="1"/>
    </xf>
    <xf numFmtId="174" fontId="12" fillId="43" borderId="1" xfId="0" applyNumberFormat="1" applyFont="1" applyFill="1" applyBorder="1" applyAlignment="1">
      <alignment vertical="center" wrapText="1"/>
    </xf>
    <xf numFmtId="175" fontId="12" fillId="0" borderId="0" xfId="0" applyNumberFormat="1" applyFont="1" applyAlignment="1">
      <alignment vertical="center" wrapText="1"/>
    </xf>
    <xf numFmtId="172" fontId="12" fillId="0" borderId="0" xfId="0" applyNumberFormat="1" applyFont="1" applyAlignment="1">
      <alignment horizontal="right" vertical="top" wrapText="1"/>
    </xf>
    <xf numFmtId="43" fontId="71" fillId="0" borderId="1" xfId="21" applyFont="1" applyAlignment="1">
      <alignment horizontal="right" vertical="center" wrapText="1"/>
    </xf>
    <xf numFmtId="172" fontId="0" fillId="0" borderId="0" xfId="0" applyNumberFormat="1" applyAlignment="1">
      <alignment vertical="center" wrapText="1"/>
    </xf>
    <xf numFmtId="43" fontId="40" fillId="0" borderId="1" xfId="0" applyNumberFormat="1" applyFont="1" applyBorder="1" applyAlignment="1">
      <alignment horizontal="right" vertical="center" wrapText="1"/>
    </xf>
    <xf numFmtId="172" fontId="0" fillId="0" borderId="0" xfId="0" applyNumberFormat="1" applyAlignment="1">
      <alignment horizontal="right" vertical="center" shrinkToFit="1"/>
    </xf>
    <xf numFmtId="43" fontId="40" fillId="0" borderId="1" xfId="0" applyNumberFormat="1" applyFont="1" applyBorder="1" applyAlignment="1">
      <alignment horizontal="right" vertical="center" wrapText="1" shrinkToFit="1"/>
    </xf>
    <xf numFmtId="43" fontId="40" fillId="0" borderId="0" xfId="0" applyNumberFormat="1" applyFont="1" applyAlignment="1">
      <alignment horizontal="right" vertical="center" shrinkToFit="1"/>
    </xf>
    <xf numFmtId="43" fontId="32" fillId="3" borderId="1" xfId="21" applyFont="1" applyFill="1" applyBorder="1" applyAlignment="1">
      <alignment vertical="center"/>
    </xf>
    <xf numFmtId="43" fontId="17" fillId="0" borderId="1" xfId="21" applyFont="1" applyFill="1" applyBorder="1" applyAlignment="1">
      <alignment horizontal="right" vertical="center"/>
    </xf>
    <xf numFmtId="43" fontId="15" fillId="0" borderId="1" xfId="21" applyFont="1" applyBorder="1"/>
    <xf numFmtId="43" fontId="17" fillId="0" borderId="1" xfId="21" applyFont="1" applyFill="1" applyBorder="1" applyAlignment="1">
      <alignment horizontal="right" vertical="center" wrapText="1"/>
    </xf>
    <xf numFmtId="43" fontId="32" fillId="3" borderId="1" xfId="21" applyFont="1" applyFill="1" applyBorder="1"/>
    <xf numFmtId="172" fontId="73" fillId="3" borderId="1" xfId="0" applyNumberFormat="1" applyFont="1" applyFill="1" applyBorder="1" applyAlignment="1">
      <alignment horizontal="right" vertical="center" shrinkToFit="1"/>
    </xf>
    <xf numFmtId="43" fontId="40" fillId="0" borderId="1" xfId="0" applyNumberFormat="1" applyFont="1" applyBorder="1" applyAlignment="1">
      <alignment horizontal="right" vertical="center" shrinkToFit="1"/>
    </xf>
    <xf numFmtId="0" fontId="0" fillId="0" borderId="0" xfId="0" applyAlignment="1">
      <alignment horizontal="center" vertical="center" wrapText="1"/>
    </xf>
    <xf numFmtId="176" fontId="12" fillId="0" borderId="0" xfId="0" applyNumberFormat="1" applyFont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3" fontId="40" fillId="0" borderId="0" xfId="0" applyNumberFormat="1" applyFont="1" applyAlignment="1">
      <alignment horizontal="right" vertical="center" wrapText="1"/>
    </xf>
    <xf numFmtId="0" fontId="0" fillId="0" borderId="1" xfId="0" applyBorder="1" applyAlignment="1">
      <alignment horizontal="left" vertical="center" wrapText="1" shrinkToFit="1"/>
    </xf>
    <xf numFmtId="0" fontId="12" fillId="0" borderId="0" xfId="0" applyFont="1" applyAlignment="1">
      <alignment horizontal="left" vertical="center" wrapText="1" shrinkToFit="1"/>
    </xf>
    <xf numFmtId="0" fontId="74" fillId="44" borderId="1" xfId="0" applyFont="1" applyFill="1" applyBorder="1" applyAlignment="1">
      <alignment wrapText="1"/>
    </xf>
    <xf numFmtId="174" fontId="13" fillId="2" borderId="1" xfId="0" applyNumberFormat="1" applyFont="1" applyFill="1" applyBorder="1" applyAlignment="1">
      <alignment horizontal="center" wrapText="1"/>
    </xf>
    <xf numFmtId="172" fontId="13" fillId="2" borderId="1" xfId="0" applyNumberFormat="1" applyFont="1" applyFill="1" applyBorder="1" applyAlignment="1">
      <alignment horizontal="center" wrapText="1"/>
    </xf>
    <xf numFmtId="0" fontId="13" fillId="36" borderId="1" xfId="0" applyFont="1" applyFill="1" applyBorder="1" applyAlignment="1">
      <alignment horizontal="center" wrapText="1"/>
    </xf>
    <xf numFmtId="174" fontId="13" fillId="37" borderId="1" xfId="0" applyNumberFormat="1" applyFont="1" applyFill="1" applyBorder="1" applyAlignment="1">
      <alignment horizontal="center" vertical="center" wrapText="1"/>
    </xf>
    <xf numFmtId="174" fontId="13" fillId="37" borderId="1" xfId="0" applyNumberFormat="1" applyFont="1" applyFill="1" applyBorder="1" applyAlignment="1">
      <alignment horizontal="center" wrapText="1"/>
    </xf>
    <xf numFmtId="172" fontId="13" fillId="37" borderId="1" xfId="0" applyNumberFormat="1" applyFont="1" applyFill="1" applyBorder="1" applyAlignment="1">
      <alignment horizontal="center" wrapText="1"/>
    </xf>
    <xf numFmtId="174" fontId="12" fillId="0" borderId="0" xfId="0" applyNumberFormat="1" applyFont="1" applyAlignment="1">
      <alignment horizontal="center" wrapText="1"/>
    </xf>
    <xf numFmtId="172" fontId="12" fillId="0" borderId="0" xfId="0" applyNumberFormat="1" applyFont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74" fontId="12" fillId="41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shrinkToFit="1"/>
    </xf>
    <xf numFmtId="174" fontId="12" fillId="0" borderId="0" xfId="0" applyNumberFormat="1" applyFont="1" applyAlignment="1">
      <alignment horizontal="center" shrinkToFit="1"/>
    </xf>
    <xf numFmtId="172" fontId="12" fillId="0" borderId="0" xfId="0" applyNumberFormat="1" applyFont="1" applyAlignment="1">
      <alignment horizontal="center" shrinkToFit="1"/>
    </xf>
    <xf numFmtId="172" fontId="66" fillId="0" borderId="1" xfId="0" applyNumberFormat="1" applyFont="1" applyBorder="1" applyAlignment="1">
      <alignment horizontal="center" wrapText="1"/>
    </xf>
    <xf numFmtId="174" fontId="61" fillId="37" borderId="1" xfId="0" applyNumberFormat="1" applyFont="1" applyFill="1" applyBorder="1" applyAlignment="1">
      <alignment horizontal="center" vertical="center" wrapText="1"/>
    </xf>
    <xf numFmtId="174" fontId="13" fillId="0" borderId="0" xfId="0" applyNumberFormat="1" applyFont="1" applyAlignment="1">
      <alignment horizontal="center" vertical="center" wrapText="1"/>
    </xf>
    <xf numFmtId="174" fontId="13" fillId="0" borderId="0" xfId="0" applyNumberFormat="1" applyFont="1" applyAlignment="1">
      <alignment horizontal="center" wrapText="1"/>
    </xf>
    <xf numFmtId="172" fontId="13" fillId="0" borderId="0" xfId="0" applyNumberFormat="1" applyFont="1" applyAlignment="1">
      <alignment horizontal="center" wrapText="1"/>
    </xf>
    <xf numFmtId="174" fontId="12" fillId="0" borderId="0" xfId="0" applyNumberFormat="1" applyFont="1" applyAlignment="1">
      <alignment horizontal="center" vertical="center" shrinkToFit="1"/>
    </xf>
    <xf numFmtId="172" fontId="12" fillId="0" borderId="0" xfId="0" applyNumberFormat="1" applyFont="1" applyAlignment="1">
      <alignment horizontal="center" vertical="center" shrinkToFit="1"/>
    </xf>
    <xf numFmtId="174" fontId="61" fillId="37" borderId="1" xfId="0" applyNumberFormat="1" applyFont="1" applyFill="1" applyBorder="1" applyAlignment="1">
      <alignment horizontal="center" wrapText="1"/>
    </xf>
    <xf numFmtId="174" fontId="61" fillId="37" borderId="1" xfId="0" applyNumberFormat="1" applyFont="1" applyFill="1" applyBorder="1" applyAlignment="1">
      <alignment wrapText="1"/>
    </xf>
    <xf numFmtId="172" fontId="61" fillId="37" borderId="1" xfId="0" applyNumberFormat="1" applyFont="1" applyFill="1" applyBorder="1" applyAlignment="1">
      <alignment horizontal="center" wrapText="1"/>
    </xf>
    <xf numFmtId="172" fontId="61" fillId="37" borderId="1" xfId="0" applyNumberFormat="1" applyFont="1" applyFill="1" applyBorder="1" applyAlignment="1">
      <alignment vertical="center" wrapText="1"/>
    </xf>
    <xf numFmtId="174" fontId="12" fillId="0" borderId="0" xfId="0" applyNumberFormat="1" applyFont="1" applyAlignment="1">
      <alignment horizontal="right" shrinkToFit="1"/>
    </xf>
    <xf numFmtId="172" fontId="12" fillId="0" borderId="0" xfId="0" applyNumberFormat="1" applyFont="1" applyAlignment="1">
      <alignment horizontal="right" shrinkToFit="1"/>
    </xf>
    <xf numFmtId="0" fontId="66" fillId="44" borderId="1" xfId="0" applyFont="1" applyFill="1" applyBorder="1" applyAlignment="1">
      <alignment wrapText="1"/>
    </xf>
    <xf numFmtId="43" fontId="1" fillId="0" borderId="1" xfId="21" applyFont="1"/>
    <xf numFmtId="43" fontId="12" fillId="0" borderId="0" xfId="0" applyNumberFormat="1" applyFont="1" applyAlignment="1">
      <alignment horizontal="center" vertical="center" wrapText="1"/>
    </xf>
    <xf numFmtId="172" fontId="63" fillId="3" borderId="0" xfId="0" applyNumberFormat="1" applyFont="1" applyFill="1" applyAlignment="1">
      <alignment horizontal="right" vertical="center" shrinkToFit="1"/>
    </xf>
    <xf numFmtId="0" fontId="16" fillId="0" borderId="1" xfId="44" applyFont="1" applyAlignment="1">
      <alignment horizontal="center" vertical="center" wrapText="1"/>
    </xf>
    <xf numFmtId="0" fontId="75" fillId="6" borderId="1" xfId="52" applyFont="1" applyFill="1" applyAlignment="1">
      <alignment horizontal="center" vertical="center"/>
    </xf>
    <xf numFmtId="43" fontId="13" fillId="0" borderId="1" xfId="21" applyFont="1" applyAlignment="1">
      <alignment horizontal="center" vertical="center" wrapText="1"/>
    </xf>
    <xf numFmtId="0" fontId="75" fillId="0" borderId="1" xfId="52" applyFont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9" fontId="21" fillId="5" borderId="0" xfId="51" applyFont="1" applyFill="1" applyAlignment="1">
      <alignment horizontal="center" vertical="center"/>
    </xf>
    <xf numFmtId="0" fontId="13" fillId="35" borderId="1" xfId="0" applyFont="1" applyFill="1" applyBorder="1" applyAlignment="1">
      <alignment horizontal="center" vertical="center"/>
    </xf>
    <xf numFmtId="0" fontId="13" fillId="35" borderId="1" xfId="0" applyFont="1" applyFill="1" applyBorder="1" applyAlignment="1">
      <alignment vertical="center"/>
    </xf>
    <xf numFmtId="43" fontId="13" fillId="35" borderId="1" xfId="0" applyNumberFormat="1" applyFont="1" applyFill="1" applyBorder="1" applyAlignment="1">
      <alignment horizontal="right" vertical="center"/>
    </xf>
    <xf numFmtId="10" fontId="21" fillId="5" borderId="0" xfId="51" applyNumberFormat="1" applyFont="1" applyFill="1" applyAlignment="1">
      <alignment horizontal="center" vertical="center"/>
    </xf>
    <xf numFmtId="0" fontId="12" fillId="0" borderId="1" xfId="0" applyFont="1" applyBorder="1" applyAlignment="1">
      <alignment vertical="center"/>
    </xf>
    <xf numFmtId="43" fontId="64" fillId="0" borderId="1" xfId="0" applyNumberFormat="1" applyFont="1" applyBorder="1" applyAlignment="1">
      <alignment horizontal="right" vertical="center" shrinkToFit="1"/>
    </xf>
    <xf numFmtId="43" fontId="64" fillId="0" borderId="1" xfId="21" applyFont="1" applyBorder="1" applyAlignment="1">
      <alignment horizontal="right" vertical="center"/>
    </xf>
    <xf numFmtId="43" fontId="64" fillId="0" borderId="1" xfId="0" applyNumberFormat="1" applyFont="1" applyBorder="1" applyAlignment="1">
      <alignment horizontal="right" vertical="center"/>
    </xf>
    <xf numFmtId="43" fontId="64" fillId="0" borderId="1" xfId="21" applyFont="1" applyFill="1" applyBorder="1" applyAlignment="1">
      <alignment horizontal="right" vertical="center"/>
    </xf>
    <xf numFmtId="0" fontId="12" fillId="0" borderId="1" xfId="0" applyFont="1" applyBorder="1" applyAlignment="1">
      <alignment horizontal="left" vertical="center" shrinkToFit="1"/>
    </xf>
    <xf numFmtId="43" fontId="70" fillId="0" borderId="1" xfId="0" applyNumberFormat="1" applyFont="1" applyBorder="1" applyAlignment="1">
      <alignment horizontal="right" vertical="center" shrinkToFit="1"/>
    </xf>
    <xf numFmtId="0" fontId="13" fillId="35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6" fillId="0" borderId="1" xfId="44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43" fontId="13" fillId="2" borderId="1" xfId="0" applyNumberFormat="1" applyFont="1" applyFill="1" applyBorder="1" applyAlignment="1">
      <alignment horizontal="right" vertical="center"/>
    </xf>
    <xf numFmtId="0" fontId="14" fillId="0" borderId="0" xfId="0" applyFont="1"/>
  </cellXfs>
  <cellStyles count="53">
    <cellStyle name="Énfasis5 2" xfId="50" xr:uid="{3B18045C-EC68-416B-B62D-3D91C0F13ADC}"/>
    <cellStyle name="Hipervínculo 2" xfId="25" xr:uid="{AC389595-FC3E-46EB-867C-F0BA4D7EE15A}"/>
    <cellStyle name="Millares" xfId="1" builtinId="3"/>
    <cellStyle name="Millares 10" xfId="45" xr:uid="{B3126DA7-08FA-48F4-8B7C-5BD62496B908}"/>
    <cellStyle name="Millares 2" xfId="4" xr:uid="{7A70D9BE-5BCF-4F69-8DB0-554A9EBCABF5}"/>
    <cellStyle name="Millares 2 2" xfId="10" xr:uid="{AD0FCE1E-8042-41C9-9873-9E7F3CC4F7DB}"/>
    <cellStyle name="Millares 2 2 2" xfId="14" xr:uid="{2A35BDC1-4D28-4BBD-A891-7E9587E1F0A1}"/>
    <cellStyle name="Millares 2 2 2 2" xfId="23" xr:uid="{F06446D4-321E-491B-90F4-CB436999115A}"/>
    <cellStyle name="Millares 2 3" xfId="32" xr:uid="{F6432BD3-7F05-4B9F-89B5-5FAC56F21F6D}"/>
    <cellStyle name="Millares 2 4" xfId="38" xr:uid="{1F667CC3-5B1E-4D0A-B559-23521D2F43C6}"/>
    <cellStyle name="Millares 3" xfId="7" xr:uid="{28AA5C97-C7E9-4762-9752-B4079D5BB8D8}"/>
    <cellStyle name="Millares 4" xfId="9" xr:uid="{83EE6736-5558-4986-9D01-83F4A0F4901A}"/>
    <cellStyle name="Millares 4 2" xfId="13" xr:uid="{9BD126A5-E642-49E6-8025-B8ED03C0825A}"/>
    <cellStyle name="Millares 4 2 2" xfId="20" xr:uid="{3D9638AA-E10C-4BF8-9C91-C14C98179CD2}"/>
    <cellStyle name="Millares 4 2 2 2" xfId="48" xr:uid="{BA3C938F-8377-4AF3-9770-AA7A8CE7077B}"/>
    <cellStyle name="Millares 5" xfId="15" xr:uid="{90AD9292-EA16-4EB2-A6A9-57A9F02766E7}"/>
    <cellStyle name="Millares 5 2" xfId="22" xr:uid="{E9CB9770-7AB9-4AA4-8BFD-5B7179878975}"/>
    <cellStyle name="Millares 6" xfId="17" xr:uid="{EDB5A654-CEC9-4611-882F-72BD1DCEE91F}"/>
    <cellStyle name="Millares 6 2" xfId="33" xr:uid="{EDE16D70-FFB5-465E-87A2-4A6B0E5C74E7}"/>
    <cellStyle name="Millares 6 3" xfId="42" xr:uid="{81E4D50D-BF7B-4AE0-881C-A81516E7D942}"/>
    <cellStyle name="Millares 7" xfId="21" xr:uid="{CB90D8E2-6DFF-44F7-9EF3-4ADE297C4DB2}"/>
    <cellStyle name="Millares 8" xfId="26" xr:uid="{54292BA4-4238-4A14-8E12-2350F7027AFF}"/>
    <cellStyle name="Millares 9" xfId="35" xr:uid="{82AD5EA8-CF89-43A0-B0AD-A939162FED08}"/>
    <cellStyle name="Moneda 2" xfId="28" xr:uid="{8E172CBF-9718-49F8-8909-293C02687C34}"/>
    <cellStyle name="Moneda 2 2" xfId="37" xr:uid="{E616F432-7BCD-456C-B18B-C9E670435654}"/>
    <cellStyle name="Moneda 2 3" xfId="40" xr:uid="{FE3A009D-5B8F-47F2-92A3-3EB72A1F57CD}"/>
    <cellStyle name="Moneda 3" xfId="29" xr:uid="{E8C5A60A-F0E4-4DFB-A66F-E3115E4B03FD}"/>
    <cellStyle name="Moneda 4" xfId="36" xr:uid="{936665A8-E45E-4F0B-A1CF-3E605C8BB217}"/>
    <cellStyle name="Moneda 5" xfId="43" xr:uid="{17E39AC1-D6A2-4E24-8A3C-1391DDF64BF1}"/>
    <cellStyle name="Normal" xfId="0" builtinId="0"/>
    <cellStyle name="Normal 2" xfId="3" xr:uid="{32F011B5-12C3-4241-BE3A-39D4E6EC8041}"/>
    <cellStyle name="Normal 2 2" xfId="11" xr:uid="{71F9162D-4B7C-477F-9B67-2690C0E1EDAA}"/>
    <cellStyle name="Normal 2 2 2" xfId="8" xr:uid="{22D086E1-F88A-42BF-A32E-63429BD64E54}"/>
    <cellStyle name="Normal 2 2 2 2" xfId="12" xr:uid="{26E0FE55-19C1-4DF6-9494-7005FC1F705C}"/>
    <cellStyle name="Normal 2 2 2 2 2" xfId="19" xr:uid="{1836DFF5-BEB0-42AB-9AEC-EB3051BFDC2B}"/>
    <cellStyle name="Normal 2 2 2 2 3" xfId="47" xr:uid="{28C00789-3F3C-48A4-9DA5-E4BE9E016F07}"/>
    <cellStyle name="Normal 2 2 2 3" xfId="52" xr:uid="{95D496BA-49EA-45AF-BDD5-90ACDC1F5DF2}"/>
    <cellStyle name="Normal 3" xfId="6" xr:uid="{69AE8300-EA00-4D12-AF65-F6D4559252D1}"/>
    <cellStyle name="Normal 3 10" xfId="46" xr:uid="{D55F172A-44FF-487D-B1B6-689664CDE3A4}"/>
    <cellStyle name="Normal 3 2" xfId="2" xr:uid="{053DC65C-2EB3-41A5-818E-20297C238F82}"/>
    <cellStyle name="Normal 3 3" xfId="27" xr:uid="{3E76676B-3C93-4267-8AC8-721B8F570BAF}"/>
    <cellStyle name="Normal 3 4" xfId="49" xr:uid="{F5E32F43-0A83-496D-A62C-8848029293D8}"/>
    <cellStyle name="Normal 4" xfId="16" xr:uid="{2819B898-A830-4217-9ED3-61887997A185}"/>
    <cellStyle name="Normal 5" xfId="18" xr:uid="{DB9DE69C-47CB-4DAF-A8EF-827F9C2E1F0E}"/>
    <cellStyle name="Normal 6" xfId="24" xr:uid="{9C01A49D-6BFA-4325-85A8-A92DA48183F2}"/>
    <cellStyle name="Normal 7" xfId="34" xr:uid="{1EDF5125-8D78-401C-9391-9DD56C172162}"/>
    <cellStyle name="Normal 8" xfId="44" xr:uid="{43F04800-7BBA-44A0-844A-0687B191B177}"/>
    <cellStyle name="Porcentaje" xfId="51" builtinId="5"/>
    <cellStyle name="Porcentaje 2" xfId="5" xr:uid="{35C59863-4DC0-4883-A89B-5AA7AEF572AF}"/>
    <cellStyle name="Porcentaje 3" xfId="31" xr:uid="{8BB53310-C4AE-4D08-8666-5EFE53CFE65D}"/>
    <cellStyle name="Porcentaje 4" xfId="41" xr:uid="{B45E3D4D-5CB1-4B8C-A831-5D103733E044}"/>
    <cellStyle name="Porcentual 2" xfId="30" xr:uid="{E7F41286-7216-4BFB-AFC3-3A40BEFB5A59}"/>
    <cellStyle name="Porcentual 2 2" xfId="39" xr:uid="{AAF0EE86-B71A-4BFF-BF41-4AB64402E36A}"/>
  </cellStyles>
  <dxfs count="19"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fill>
        <patternFill patternType="solid">
          <fgColor rgb="FF073763"/>
          <bgColor rgb="FF073763"/>
        </patternFill>
      </fill>
    </dxf>
    <dxf>
      <numFmt numFmtId="3" formatCode="#,##0"/>
      <fill>
        <patternFill patternType="solid">
          <fgColor indexed="64"/>
          <bgColor theme="4" tint="-0.49998474074526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 style="thin">
          <color theme="4"/>
        </bottom>
      </border>
    </dxf>
    <dxf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ill>
        <patternFill patternType="solid">
          <fgColor indexed="64"/>
          <bgColor theme="4" tint="-0.49998474074526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 style="thin">
          <color theme="4"/>
        </bottom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 style="thin">
          <color theme="4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ill>
        <patternFill patternType="solid">
          <fgColor indexed="64"/>
          <bgColor theme="4" tint="-0.49998474074526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 style="thin">
          <color theme="4" tint="-0.249977111117893"/>
        </horizontal>
      </border>
    </dxf>
  </dxfs>
  <tableStyles count="0" defaultTableStyle="TableStyleMedium2" defaultPivotStyle="PivotStyleLight16"/>
  <colors>
    <mruColors>
      <color rgb="FF1F4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1</xdr:col>
      <xdr:colOff>323850</xdr:colOff>
      <xdr:row>2</xdr:row>
      <xdr:rowOff>24542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386262-9360-4045-8FC7-DD032D57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5725"/>
          <a:ext cx="1095375" cy="3198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137584</xdr:colOff>
      <xdr:row>0</xdr:row>
      <xdr:rowOff>56006</xdr:rowOff>
    </xdr:from>
    <xdr:to>
      <xdr:col>1</xdr:col>
      <xdr:colOff>547159</xdr:colOff>
      <xdr:row>2</xdr:row>
      <xdr:rowOff>166829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CABD0F-72ED-4653-B3AD-E7E5175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4" y="56006"/>
          <a:ext cx="1619250" cy="4727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104776</xdr:rowOff>
    </xdr:from>
    <xdr:to>
      <xdr:col>0</xdr:col>
      <xdr:colOff>714376</xdr:colOff>
      <xdr:row>2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1D8B2B-E53F-4E4C-9398-6A40D442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04776"/>
          <a:ext cx="571500" cy="3714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66675</xdr:rowOff>
    </xdr:from>
    <xdr:to>
      <xdr:col>1</xdr:col>
      <xdr:colOff>66675</xdr:colOff>
      <xdr:row>1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35DFDD-EF35-4201-A50A-7187497C3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6675"/>
          <a:ext cx="1123950" cy="2762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0</xdr:col>
      <xdr:colOff>1152525</xdr:colOff>
      <xdr:row>2</xdr:row>
      <xdr:rowOff>139209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318DC4-14D9-48C0-A099-1CD1F493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6"/>
          <a:ext cx="1152525" cy="377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1</xdr:col>
      <xdr:colOff>447675</xdr:colOff>
      <xdr:row>2</xdr:row>
      <xdr:rowOff>43592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FC4160-D45B-4F59-9AAB-EB9BE44E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5725"/>
          <a:ext cx="1095375" cy="319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1</xdr:col>
      <xdr:colOff>485775</xdr:colOff>
      <xdr:row>2</xdr:row>
      <xdr:rowOff>62642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F92577-91B6-4AAC-9D0A-4F9F2DE1E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5725"/>
          <a:ext cx="1095375" cy="3388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123826</xdr:rowOff>
    </xdr:from>
    <xdr:to>
      <xdr:col>0</xdr:col>
      <xdr:colOff>962025</xdr:colOff>
      <xdr:row>2</xdr:row>
      <xdr:rowOff>54234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5F3817-D331-465D-8EF9-FE88F8AE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6"/>
          <a:ext cx="904875" cy="3114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0</xdr:col>
      <xdr:colOff>1048255</xdr:colOff>
      <xdr:row>2</xdr:row>
      <xdr:rowOff>104774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C71E7B-3362-47E3-81C3-85736B5B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991105" cy="3619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38099</xdr:rowOff>
    </xdr:from>
    <xdr:to>
      <xdr:col>1</xdr:col>
      <xdr:colOff>504824</xdr:colOff>
      <xdr:row>2</xdr:row>
      <xdr:rowOff>129444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0C4745-49C9-4349-AF9E-A697ACFC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38099"/>
          <a:ext cx="1228725" cy="472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95249</xdr:rowOff>
    </xdr:from>
    <xdr:to>
      <xdr:col>0</xdr:col>
      <xdr:colOff>881232</xdr:colOff>
      <xdr:row>2</xdr:row>
      <xdr:rowOff>66674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3FA201-7226-4D25-98B3-3C086C72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9"/>
          <a:ext cx="881232" cy="352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895350</xdr:colOff>
      <xdr:row>2</xdr:row>
      <xdr:rowOff>28575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8A9A91-CB98-439F-8A73-2BDBD84AD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800100" cy="409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221021</xdr:colOff>
      <xdr:row>0</xdr:row>
      <xdr:rowOff>0</xdr:rowOff>
    </xdr:from>
    <xdr:to>
      <xdr:col>2</xdr:col>
      <xdr:colOff>371475</xdr:colOff>
      <xdr:row>2</xdr:row>
      <xdr:rowOff>104985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CD304A-18FC-4BDB-B454-E980FE863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21" y="0"/>
          <a:ext cx="864829" cy="466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2021/14.12.20/Anteproyecto%20del%20ppto%202021%20%20V.17.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2DA%20MODIFICACION%20PRESUPUESTAL/2a.%20Modificaci&#243;n%20Pres.%20aprobad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Joya/Downloads/MOVIMIENTOS%20SOLICITAD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gar/Desktop/HOMME%20OFICCE/Avance%2019.04.20%20con%20&#250;ltimo%20ajust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CIERRE%202015,2016,2017,2018%20MODIFICACIONES%20ETC/PRESUPUESTO%202020/PRESUPUESTO%20MODELO%202020/PRESUPUESTO%202020%20FINA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Joya/Downloads/remanentes%20al%2010%20de%20febrero%20202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2461/Desktop/2DA%20MODIFICACI&#211;N%20PRESUPUESTAL%20(3)%20(1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%20unidad\Presupuesto\PRON&#211;STICO%20DE%20INGRESOS%202022\Pron&#243;stico%20de%20Ingresos%202022%20Fina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AP%20ENERO-OCT%20202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Joya/Downloads/Pron&#243;stico%20de%20Ingresos%202022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CIERRE%20DE%20EJERCICIO%202020/ENVIO%20A%20H.AYUNTAMIENTO/PRESUPUESTO%20AL%20CIERRE%202020%20V.23.2.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Gaby/Downloads/Anteproyecto%20del%20ppto%202021%20%20V.17.12%20%20Final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CIERRE%202015,2016,2017,2018%20MODIFICACIONES%20ETC/2019%20CIERRE%20DE%20EJERCICIO/PARA%20PRESENTACI&#211;N%20AYUNTAMIENTO%20CIERRE%202019/PRESUPUESTO%20AL%20CIERRE%202019%20V18-3-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CIERRE%202015,2016,2017,2018%20MODIFICACIONES%20ETC/2021%20PRIMERA%20MODIFICACI&#211;N%20AL%20PRESUPUESTO/Avance%20V.14.04.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CIERRE%202015,2016,2017,2018%20MODIFICACIONES%20ETC/2DA%20MODIFICACI&#211;N%202020/2DA%20MODIFICACI&#211;N%20APROBAD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PRESUPUESTO%20CIERRE%202015,2016,2017,2018%20MODIFICACIONES%20ETC/PRESUPUESTO%202021/PRESUPUESTO%20MODELO%20FINAL/Anteproyecto%20del%20ppto%202021%20%20V.9.1.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TERCERA%20MODIFICACI&#211;N/TERCERA%20MODIFICACION%2017.11.20%20V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esktop/CIERRE%20DE%20EJERCICIO%202020/PRESUPUESTO%20AL%20CIERRE%202020%20V.10.2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ALÍTICO INGRESOS"/>
      <sheetName val="F.F."/>
      <sheetName val="Egresos"/>
      <sheetName val="Hoja1"/>
      <sheetName val="CAP 5000"/>
      <sheetName val="estadística 2015-2021"/>
      <sheetName val="Pasivo Laboral"/>
      <sheetName val="Dism Ramos"/>
      <sheetName val="S.S.C"/>
      <sheetName val="Resumen Cap 1000 (3)"/>
      <sheetName val="capitulo 1000"/>
      <sheetName val="PRESUPUESTO SEPTIEMBRE (2)"/>
      <sheetName val="C.A-COG"/>
      <sheetName val="C.T.G"/>
      <sheetName val="C.F.G"/>
      <sheetName val="programas"/>
    </sheetNames>
    <sheetDataSet>
      <sheetData sheetId="0">
        <row r="3">
          <cell r="P3" t="str">
            <v>Etiquetas de fila</v>
          </cell>
        </row>
      </sheetData>
      <sheetData sheetId="1"/>
      <sheetData sheetId="2">
        <row r="3">
          <cell r="B3" t="str">
            <v>Etiquetas de fila</v>
          </cell>
        </row>
      </sheetData>
      <sheetData sheetId="3">
        <row r="5">
          <cell r="F5">
            <v>1714397756.8199995</v>
          </cell>
        </row>
      </sheetData>
      <sheetData sheetId="4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</row>
        <row r="3">
          <cell r="A3">
            <v>1111</v>
          </cell>
          <cell r="B3" t="str">
            <v>Dietas</v>
          </cell>
        </row>
        <row r="4">
          <cell r="A4">
            <v>1121</v>
          </cell>
          <cell r="B4" t="str">
            <v>Haberes</v>
          </cell>
        </row>
        <row r="5">
          <cell r="A5">
            <v>1131</v>
          </cell>
          <cell r="B5" t="str">
            <v>Sueldos Base</v>
          </cell>
        </row>
        <row r="6">
          <cell r="A6">
            <v>1132</v>
          </cell>
          <cell r="B6" t="str">
            <v>Sueldos de confianza</v>
          </cell>
        </row>
        <row r="7">
          <cell r="A7">
            <v>1141</v>
          </cell>
          <cell r="B7" t="str">
            <v>Remuneraciones en el extranjero</v>
          </cell>
        </row>
        <row r="8">
          <cell r="A8">
            <v>1211</v>
          </cell>
          <cell r="B8" t="str">
            <v>Honorarios</v>
          </cell>
        </row>
        <row r="9">
          <cell r="A9">
            <v>1212</v>
          </cell>
          <cell r="B9" t="str">
            <v>Honorarios asimilados</v>
          </cell>
        </row>
        <row r="10">
          <cell r="A10">
            <v>1221</v>
          </cell>
          <cell r="B10" t="str">
            <v>Remuneraciones para eventuales</v>
          </cell>
        </row>
        <row r="11">
          <cell r="A11">
            <v>1231</v>
          </cell>
          <cell r="B11" t="str">
            <v>Servicio social</v>
          </cell>
        </row>
        <row r="12">
          <cell r="A12">
            <v>1241</v>
          </cell>
          <cell r="B12" t="str">
            <v>Junta de Conciliación y Arbitraje</v>
          </cell>
        </row>
        <row r="13">
          <cell r="A13">
            <v>1311</v>
          </cell>
          <cell r="B13" t="str">
            <v xml:space="preserve">Prima quinquenal </v>
          </cell>
        </row>
        <row r="14">
          <cell r="A14">
            <v>1312</v>
          </cell>
          <cell r="B14" t="str">
            <v>Antigüedad</v>
          </cell>
        </row>
        <row r="15">
          <cell r="A15">
            <v>1321</v>
          </cell>
          <cell r="B15" t="str">
            <v>Prima Vacacional</v>
          </cell>
        </row>
        <row r="16">
          <cell r="A16">
            <v>1322</v>
          </cell>
          <cell r="B16" t="str">
            <v>Prima Dominical</v>
          </cell>
        </row>
        <row r="17">
          <cell r="A17">
            <v>1323</v>
          </cell>
          <cell r="B17" t="str">
            <v>Gratificación de fin de año</v>
          </cell>
        </row>
        <row r="18">
          <cell r="A18">
            <v>1331</v>
          </cell>
          <cell r="B18" t="str">
            <v>Remuneraciones por horas extraordinarias</v>
          </cell>
        </row>
        <row r="19">
          <cell r="A19">
            <v>1341</v>
          </cell>
          <cell r="B19" t="str">
            <v>Compensaciones por servicios eventuales</v>
          </cell>
        </row>
        <row r="20">
          <cell r="A20">
            <v>1342</v>
          </cell>
          <cell r="B20" t="str">
            <v>Compensaciones por servicios</v>
          </cell>
        </row>
        <row r="21">
          <cell r="A21">
            <v>1351</v>
          </cell>
          <cell r="B21" t="str">
            <v>Sobrehaberes</v>
          </cell>
        </row>
        <row r="22">
          <cell r="A22">
            <v>1361</v>
          </cell>
          <cell r="B22" t="str">
            <v>Técnico especial</v>
          </cell>
        </row>
        <row r="23">
          <cell r="A23">
            <v>1371</v>
          </cell>
          <cell r="B23" t="str">
            <v>Honorarios especiales</v>
          </cell>
        </row>
        <row r="24">
          <cell r="A24">
            <v>1381</v>
          </cell>
          <cell r="B24" t="str">
            <v>Participaciones por vigilancia</v>
          </cell>
        </row>
        <row r="25">
          <cell r="A25">
            <v>1411</v>
          </cell>
          <cell r="B25" t="str">
            <v>Aportaciones al ISSEG</v>
          </cell>
        </row>
        <row r="26">
          <cell r="A26">
            <v>1412</v>
          </cell>
          <cell r="B26" t="str">
            <v>Cuotas al ISSSTE</v>
          </cell>
        </row>
        <row r="27">
          <cell r="A27">
            <v>1413</v>
          </cell>
          <cell r="B27" t="str">
            <v>Aportaciones IMSS</v>
          </cell>
        </row>
        <row r="28">
          <cell r="A28">
            <v>1421</v>
          </cell>
          <cell r="B28" t="str">
            <v>Aportaciones INFONAVIT</v>
          </cell>
        </row>
        <row r="29">
          <cell r="A29">
            <v>1431</v>
          </cell>
          <cell r="B29" t="str">
            <v>Ahorro para el retiro</v>
          </cell>
        </row>
        <row r="30">
          <cell r="A30">
            <v>1441</v>
          </cell>
          <cell r="B30" t="str">
            <v>Seguros</v>
          </cell>
        </row>
        <row r="31">
          <cell r="A31">
            <v>1511</v>
          </cell>
          <cell r="B31" t="str">
            <v>Cuotas para el fondo de ahorro</v>
          </cell>
        </row>
        <row r="32">
          <cell r="A32">
            <v>1512</v>
          </cell>
          <cell r="B32" t="str">
            <v>Cuotas para fondo de trabajo</v>
          </cell>
        </row>
        <row r="33">
          <cell r="A33">
            <v>1521</v>
          </cell>
          <cell r="B33" t="str">
            <v>Indemnizaciones por accidentes en el trabajo</v>
          </cell>
        </row>
        <row r="34">
          <cell r="A34">
            <v>1522</v>
          </cell>
          <cell r="B34" t="str">
            <v>Liquidaciones por indemnizaciones y por sueldos y salarios caídos</v>
          </cell>
        </row>
        <row r="35">
          <cell r="A35">
            <v>1523</v>
          </cell>
          <cell r="B35" t="str">
            <v>Pago por riesgo</v>
          </cell>
        </row>
        <row r="36">
          <cell r="A36">
            <v>1531</v>
          </cell>
          <cell r="B36" t="str">
            <v>Prestaciones de retiro</v>
          </cell>
        </row>
        <row r="37">
          <cell r="A37">
            <v>1532</v>
          </cell>
          <cell r="B37" t="str">
            <v>Haberes de retiro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</row>
        <row r="39">
          <cell r="A39">
            <v>1551</v>
          </cell>
          <cell r="B39" t="str">
            <v>Capacitación de los servidores públicos</v>
          </cell>
        </row>
        <row r="40">
          <cell r="A40">
            <v>1561</v>
          </cell>
          <cell r="B40" t="str">
            <v>Asignaciones adicionales al sueldo</v>
          </cell>
        </row>
        <row r="41">
          <cell r="A41">
            <v>1562</v>
          </cell>
          <cell r="B41" t="str">
            <v>Otras prestaciones</v>
          </cell>
        </row>
        <row r="42">
          <cell r="A42">
            <v>1591</v>
          </cell>
          <cell r="B42" t="str">
            <v>Asignaciones adicionales al sueldo</v>
          </cell>
        </row>
        <row r="43">
          <cell r="A43">
            <v>1592</v>
          </cell>
          <cell r="B43" t="str">
            <v>Otras prestaciones</v>
          </cell>
        </row>
        <row r="44">
          <cell r="A44">
            <v>1593</v>
          </cell>
          <cell r="B44" t="str">
            <v>Despensas</v>
          </cell>
        </row>
        <row r="45">
          <cell r="A45">
            <v>1611</v>
          </cell>
          <cell r="B45" t="str">
            <v>Previsiones de carácter laboral</v>
          </cell>
        </row>
        <row r="46">
          <cell r="A46">
            <v>1612</v>
          </cell>
          <cell r="B46" t="str">
            <v>Previsiones de carácter económico</v>
          </cell>
        </row>
        <row r="47">
          <cell r="A47">
            <v>1613</v>
          </cell>
          <cell r="B47" t="str">
            <v>Previsiones de carácter de seguridad social</v>
          </cell>
        </row>
        <row r="48">
          <cell r="A48">
            <v>1711</v>
          </cell>
          <cell r="B48" t="str">
            <v xml:space="preserve">Estímulos por productividad y eficiencia </v>
          </cell>
        </row>
        <row r="49">
          <cell r="A49">
            <v>1712</v>
          </cell>
          <cell r="B49" t="str">
            <v xml:space="preserve">Estímulos al personal operativo </v>
          </cell>
        </row>
        <row r="50">
          <cell r="A50">
            <v>1721</v>
          </cell>
          <cell r="B50" t="str">
            <v>Recompensas</v>
          </cell>
        </row>
        <row r="51">
          <cell r="A51">
            <v>1811</v>
          </cell>
          <cell r="B51" t="str">
            <v>Impuesto sobre nóminas</v>
          </cell>
        </row>
        <row r="52">
          <cell r="A52">
            <v>1821</v>
          </cell>
          <cell r="B52" t="str">
            <v>Otros impuestos</v>
          </cell>
        </row>
        <row r="53">
          <cell r="A53">
            <v>2000</v>
          </cell>
          <cell r="B53" t="str">
            <v>Materiales y Suministros</v>
          </cell>
        </row>
        <row r="54">
          <cell r="A54">
            <v>2111</v>
          </cell>
          <cell r="B54" t="str">
            <v>Materiales y útiles de oficina</v>
          </cell>
        </row>
        <row r="55">
          <cell r="A55">
            <v>2112</v>
          </cell>
          <cell r="B55" t="str">
            <v>Equipos menores de oficina</v>
          </cell>
        </row>
        <row r="56">
          <cell r="A56">
            <v>2121</v>
          </cell>
          <cell r="B56" t="str">
            <v>Materiales y útiles de impresión y reproducción</v>
          </cell>
        </row>
        <row r="57">
          <cell r="A57">
            <v>2131</v>
          </cell>
          <cell r="B57" t="str">
            <v>Material estadístico y geográfico</v>
          </cell>
        </row>
        <row r="58">
          <cell r="A58">
            <v>2141</v>
          </cell>
          <cell r="B58" t="str">
            <v>Materiales y útiles de tecnologías de la información y comunicaciones</v>
          </cell>
        </row>
        <row r="59">
          <cell r="A59">
            <v>2142</v>
          </cell>
          <cell r="B59" t="str">
            <v>Equipos menores de tecnologías de la información y comunicaciones</v>
          </cell>
        </row>
        <row r="60">
          <cell r="A60">
            <v>2151</v>
          </cell>
          <cell r="B60" t="str">
            <v>Material impreso e información digital</v>
          </cell>
        </row>
        <row r="61">
          <cell r="A61">
            <v>2161</v>
          </cell>
          <cell r="B61" t="str">
            <v>Material de limpieza</v>
          </cell>
        </row>
        <row r="62">
          <cell r="A62">
            <v>2171</v>
          </cell>
          <cell r="B62" t="str">
            <v>Materiales y útiles de enseñanza</v>
          </cell>
        </row>
        <row r="63">
          <cell r="A63">
            <v>2181</v>
          </cell>
          <cell r="B63" t="str">
            <v>Materiales para el registro e identificación de bienes</v>
          </cell>
        </row>
        <row r="64">
          <cell r="A64">
            <v>2182</v>
          </cell>
          <cell r="B64" t="str">
            <v>Materiales para el registro e identificación de personas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</row>
        <row r="67">
          <cell r="A67">
            <v>2213</v>
          </cell>
          <cell r="B67" t="str">
            <v>Productos alimenticios para la población en caso de desastres naturales</v>
          </cell>
        </row>
        <row r="68">
          <cell r="A68">
            <v>2214</v>
          </cell>
          <cell r="B68" t="str">
            <v>Alimentos Centro de detención municipal</v>
          </cell>
        </row>
        <row r="69">
          <cell r="A69">
            <v>2221</v>
          </cell>
          <cell r="B69" t="str">
            <v>Productos alimenticios para animales</v>
          </cell>
        </row>
        <row r="70">
          <cell r="A70">
            <v>2231</v>
          </cell>
          <cell r="B70" t="str">
            <v>Utensilios para el servicio de alimentación</v>
          </cell>
        </row>
        <row r="71">
          <cell r="A71">
            <v>2311</v>
          </cell>
          <cell r="B71" t="str">
            <v>Productos alimenticios, agropecuarios y forestales</v>
          </cell>
        </row>
        <row r="72">
          <cell r="A72">
            <v>2312</v>
          </cell>
          <cell r="B72" t="str">
            <v xml:space="preserve">Material agropecuario </v>
          </cell>
        </row>
        <row r="73">
          <cell r="A73">
            <v>2321</v>
          </cell>
          <cell r="B73" t="str">
            <v>Insumos textiles</v>
          </cell>
        </row>
        <row r="74">
          <cell r="A74">
            <v>2331</v>
          </cell>
          <cell r="B74" t="str">
            <v>Productos de papel, cartón e impresos</v>
          </cell>
        </row>
        <row r="75">
          <cell r="A75">
            <v>2341</v>
          </cell>
          <cell r="B75" t="str">
            <v>Combustibles, lubricantes, aditivos, carbon y sus derivados</v>
          </cell>
        </row>
        <row r="76">
          <cell r="A76">
            <v>2351</v>
          </cell>
          <cell r="B76" t="str">
            <v>Productos químicos, farmacéuticos y de laboratorio</v>
          </cell>
        </row>
        <row r="77">
          <cell r="A77">
            <v>2361</v>
          </cell>
          <cell r="B77" t="str">
            <v>Productos metálicos y a base de minerales no metálicos</v>
          </cell>
        </row>
        <row r="78">
          <cell r="A78">
            <v>2371</v>
          </cell>
          <cell r="B78" t="str">
            <v>Productos de cuero, piel, plástico y hule</v>
          </cell>
        </row>
        <row r="79">
          <cell r="A79">
            <v>2381</v>
          </cell>
          <cell r="B79" t="str">
            <v>Mercancías para su comercialización en tiendas del sector público</v>
          </cell>
        </row>
        <row r="80">
          <cell r="A80">
            <v>2382</v>
          </cell>
          <cell r="B80" t="str">
            <v>Mercancías para su distribución a la población</v>
          </cell>
        </row>
        <row r="81">
          <cell r="A81">
            <v>2391</v>
          </cell>
          <cell r="B81" t="str">
            <v xml:space="preserve">Otros productos </v>
          </cell>
        </row>
        <row r="82">
          <cell r="A82">
            <v>2411</v>
          </cell>
          <cell r="B82" t="str">
            <v>Materiales de construcción minerales no metálicos</v>
          </cell>
        </row>
        <row r="83">
          <cell r="A83">
            <v>2421</v>
          </cell>
          <cell r="B83" t="str">
            <v>Materiales de construcción de concreto</v>
          </cell>
        </row>
        <row r="84">
          <cell r="A84">
            <v>2431</v>
          </cell>
          <cell r="B84" t="str">
            <v>Materiales de construcción de cal y yeso</v>
          </cell>
        </row>
        <row r="85">
          <cell r="A85">
            <v>2441</v>
          </cell>
          <cell r="B85" t="str">
            <v>Materiales de construcción de madera</v>
          </cell>
        </row>
        <row r="86">
          <cell r="A86">
            <v>2451</v>
          </cell>
          <cell r="B86" t="str">
            <v>Materiales de construcción de vidrio</v>
          </cell>
        </row>
        <row r="87">
          <cell r="A87">
            <v>2461</v>
          </cell>
          <cell r="B87" t="str">
            <v>Material eléctrico y electrónico</v>
          </cell>
        </row>
        <row r="88">
          <cell r="A88">
            <v>2471</v>
          </cell>
          <cell r="B88" t="str">
            <v>Estructuras y manufacturas</v>
          </cell>
        </row>
        <row r="89">
          <cell r="A89">
            <v>2481</v>
          </cell>
          <cell r="B89" t="str">
            <v xml:space="preserve">Materiales complementarios </v>
          </cell>
        </row>
        <row r="90">
          <cell r="A90">
            <v>2491</v>
          </cell>
          <cell r="B90" t="str">
            <v xml:space="preserve">Materiales diversos </v>
          </cell>
        </row>
        <row r="91">
          <cell r="A91">
            <v>2492</v>
          </cell>
          <cell r="B91" t="str">
            <v>Material para señalética</v>
          </cell>
        </row>
        <row r="92">
          <cell r="A92">
            <v>2493</v>
          </cell>
          <cell r="B92" t="str">
            <v>Material para semaforización</v>
          </cell>
        </row>
        <row r="93">
          <cell r="A93">
            <v>2511</v>
          </cell>
          <cell r="B93" t="str">
            <v>Sustancias químicas</v>
          </cell>
        </row>
        <row r="94">
          <cell r="A94">
            <v>2521</v>
          </cell>
          <cell r="B94" t="str">
            <v>Fertilizantes y abonos</v>
          </cell>
        </row>
        <row r="95">
          <cell r="A95">
            <v>2522</v>
          </cell>
          <cell r="B95" t="str">
            <v>Plaguicidas y pesticidas</v>
          </cell>
        </row>
        <row r="96">
          <cell r="A96">
            <v>2531</v>
          </cell>
          <cell r="B96" t="str">
            <v>Medicinas y productos farmacéuticos</v>
          </cell>
        </row>
        <row r="97">
          <cell r="A97">
            <v>2541</v>
          </cell>
          <cell r="B97" t="str">
            <v>Materiales, accesorios y suministros médicos</v>
          </cell>
        </row>
        <row r="98">
          <cell r="A98">
            <v>2551</v>
          </cell>
          <cell r="B98" t="str">
            <v>Materiales, accesorios y suministros de laboratorio</v>
          </cell>
        </row>
        <row r="99">
          <cell r="A99">
            <v>2561</v>
          </cell>
          <cell r="B99" t="str">
            <v>Fibras sintéticas, hules, plásticos y derivados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</row>
        <row r="103">
          <cell r="A103">
            <v>2614</v>
          </cell>
          <cell r="B103" t="str">
            <v>Gas natural L.P</v>
          </cell>
        </row>
        <row r="104">
          <cell r="A104">
            <v>2621</v>
          </cell>
          <cell r="B104" t="str">
            <v>Carbón y sus derivados</v>
          </cell>
        </row>
        <row r="105">
          <cell r="A105">
            <v>2711</v>
          </cell>
          <cell r="B105" t="str">
            <v>Vestuario y uniformes</v>
          </cell>
        </row>
        <row r="106">
          <cell r="A106">
            <v>2721</v>
          </cell>
          <cell r="B106" t="str">
            <v>Prendas de seguridad</v>
          </cell>
        </row>
        <row r="107">
          <cell r="A107">
            <v>2722</v>
          </cell>
          <cell r="B107" t="str">
            <v>Prendas de protección personal</v>
          </cell>
        </row>
        <row r="108">
          <cell r="A108">
            <v>2731</v>
          </cell>
          <cell r="B108" t="str">
            <v>Artículos deportivos</v>
          </cell>
        </row>
        <row r="109">
          <cell r="A109">
            <v>2741</v>
          </cell>
          <cell r="B109" t="str">
            <v>Productos textiles</v>
          </cell>
        </row>
        <row r="110">
          <cell r="A110">
            <v>2751</v>
          </cell>
          <cell r="B110" t="str">
            <v>Blancos y otros productos textiles, excepto prendas de vestir</v>
          </cell>
        </row>
        <row r="111">
          <cell r="A111">
            <v>2811</v>
          </cell>
          <cell r="B111" t="str">
            <v>Sustancias y materiales explosivos</v>
          </cell>
        </row>
        <row r="112">
          <cell r="A112">
            <v>2821</v>
          </cell>
          <cell r="B112" t="str">
            <v>Materiales de seguridad pública</v>
          </cell>
        </row>
        <row r="113">
          <cell r="A113">
            <v>2831</v>
          </cell>
          <cell r="B113" t="str">
            <v xml:space="preserve">Prendas de protección para seguridad pública </v>
          </cell>
        </row>
        <row r="114">
          <cell r="A114">
            <v>2911</v>
          </cell>
          <cell r="B114" t="str">
            <v>Herramientas menores</v>
          </cell>
        </row>
        <row r="115">
          <cell r="A115">
            <v>2921</v>
          </cell>
          <cell r="B115" t="str">
            <v>Refacciones y accesorios menores de edificios</v>
          </cell>
        </row>
        <row r="116">
          <cell r="A116">
            <v>2931</v>
          </cell>
          <cell r="B116" t="str">
            <v xml:space="preserve">Refacciones y accesorios menores de mobiliario </v>
          </cell>
        </row>
        <row r="117">
          <cell r="A117">
            <v>2932</v>
          </cell>
          <cell r="B117" t="str">
            <v>Refacciones y accesorios de equipo educacional y recreativo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</row>
        <row r="120">
          <cell r="A120">
            <v>2961</v>
          </cell>
          <cell r="B120" t="str">
            <v>Refacciones y accesorios menores de equipo de transporte</v>
          </cell>
        </row>
        <row r="121">
          <cell r="A121">
            <v>2971</v>
          </cell>
          <cell r="B121" t="str">
            <v>Refacciones y accesorios menores de equipo de defensa y seguridad</v>
          </cell>
        </row>
        <row r="122">
          <cell r="A122">
            <v>2981</v>
          </cell>
          <cell r="B122" t="str">
            <v>Refacciones y accesorios menores de maquinaria y otros equipos</v>
          </cell>
        </row>
        <row r="123">
          <cell r="A123">
            <v>2991</v>
          </cell>
          <cell r="B123" t="str">
            <v>Refacciones y accesorios menores otros bienes muebles</v>
          </cell>
        </row>
        <row r="124">
          <cell r="A124">
            <v>3000</v>
          </cell>
          <cell r="B124" t="str">
            <v>Servicios Generales</v>
          </cell>
        </row>
        <row r="125">
          <cell r="A125">
            <v>3111</v>
          </cell>
          <cell r="B125" t="str">
            <v>Servicio de energía eléctrica</v>
          </cell>
        </row>
        <row r="126">
          <cell r="A126">
            <v>3112</v>
          </cell>
          <cell r="B126" t="str">
            <v>Alumbrado público</v>
          </cell>
        </row>
        <row r="127">
          <cell r="A127">
            <v>3121</v>
          </cell>
          <cell r="B127" t="str">
            <v>Servicio de gas</v>
          </cell>
        </row>
        <row r="128">
          <cell r="A128">
            <v>3131</v>
          </cell>
          <cell r="B128" t="str">
            <v>Servicio de agua</v>
          </cell>
        </row>
        <row r="129">
          <cell r="A129">
            <v>3141</v>
          </cell>
          <cell r="B129" t="str">
            <v>Servicio telefonía tradicional</v>
          </cell>
        </row>
        <row r="130">
          <cell r="A130">
            <v>3151</v>
          </cell>
          <cell r="B130" t="str">
            <v>Servicio telefonía celular</v>
          </cell>
        </row>
        <row r="131">
          <cell r="A131">
            <v>3152</v>
          </cell>
          <cell r="B131" t="str">
            <v>Radiolocalización</v>
          </cell>
        </row>
        <row r="132">
          <cell r="A132">
            <v>3161</v>
          </cell>
          <cell r="B132" t="str">
            <v>Servicios de telecomunicaciones y satélites</v>
          </cell>
        </row>
        <row r="133">
          <cell r="A133">
            <v>3171</v>
          </cell>
          <cell r="B133" t="str">
            <v>Servicios de acceso de internet</v>
          </cell>
        </row>
        <row r="134">
          <cell r="A134">
            <v>3172</v>
          </cell>
          <cell r="B134" t="str">
            <v>Servicios de redes</v>
          </cell>
        </row>
        <row r="135">
          <cell r="A135">
            <v>3173</v>
          </cell>
          <cell r="B135" t="str">
            <v>Servicios de procesamiento de información</v>
          </cell>
        </row>
        <row r="136">
          <cell r="A136">
            <v>3181</v>
          </cell>
          <cell r="B136" t="str">
            <v xml:space="preserve">Servicio postal </v>
          </cell>
        </row>
        <row r="137">
          <cell r="A137">
            <v>3182</v>
          </cell>
          <cell r="B137" t="str">
            <v xml:space="preserve">Servicio telegráfico </v>
          </cell>
        </row>
        <row r="138">
          <cell r="A138">
            <v>3191</v>
          </cell>
          <cell r="B138" t="str">
            <v>Servicios integrales</v>
          </cell>
        </row>
        <row r="139">
          <cell r="A139">
            <v>3192</v>
          </cell>
          <cell r="B139" t="str">
            <v xml:space="preserve">Contratación de otros servicios </v>
          </cell>
        </row>
        <row r="140">
          <cell r="A140">
            <v>3211</v>
          </cell>
          <cell r="B140" t="str">
            <v>Arrendamiento de terrenos</v>
          </cell>
        </row>
        <row r="141">
          <cell r="A141">
            <v>3221</v>
          </cell>
          <cell r="B141" t="str">
            <v>Arrendamiento de edificios y locales</v>
          </cell>
        </row>
        <row r="142">
          <cell r="A142">
            <v>3231</v>
          </cell>
          <cell r="B142" t="str">
            <v>Arrendamiento de mobiliario y equipo de administración</v>
          </cell>
        </row>
        <row r="143">
          <cell r="A143">
            <v>3232</v>
          </cell>
          <cell r="B143" t="str">
            <v>Arrendamiento de mobiliario y equipo educativo y recreativo</v>
          </cell>
        </row>
        <row r="144">
          <cell r="A144">
            <v>3233</v>
          </cell>
          <cell r="B144" t="str">
            <v xml:space="preserve">Arrendamiento de equipo y bienes informáticos </v>
          </cell>
        </row>
        <row r="145">
          <cell r="A145">
            <v>3241</v>
          </cell>
          <cell r="B145" t="str">
            <v>Arrendamiento de equipo e instrumental médico y de laboratorio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</row>
        <row r="148">
          <cell r="A148">
            <v>3261</v>
          </cell>
          <cell r="B148" t="str">
            <v xml:space="preserve">Arrendamiento de maquinaria y equipo </v>
          </cell>
        </row>
        <row r="149">
          <cell r="A149">
            <v>3262</v>
          </cell>
          <cell r="B149" t="str">
            <v>Arrendamiento de herramientas</v>
          </cell>
        </row>
        <row r="150">
          <cell r="A150">
            <v>3271</v>
          </cell>
          <cell r="B150" t="str">
            <v>Arrendamiento de activos intangibles</v>
          </cell>
        </row>
        <row r="151">
          <cell r="A151">
            <v>3281</v>
          </cell>
          <cell r="B151" t="str">
            <v>Arrendamiento financiero</v>
          </cell>
        </row>
        <row r="152">
          <cell r="A152">
            <v>3291</v>
          </cell>
          <cell r="B152" t="str">
            <v>Otros Arrendamientos</v>
          </cell>
        </row>
        <row r="153">
          <cell r="A153">
            <v>3311</v>
          </cell>
          <cell r="B153" t="str">
            <v>Servicios legales</v>
          </cell>
        </row>
        <row r="154">
          <cell r="A154">
            <v>3312</v>
          </cell>
          <cell r="B154" t="str">
            <v>Servicios de contabilidad</v>
          </cell>
        </row>
        <row r="155">
          <cell r="A155">
            <v>3313</v>
          </cell>
          <cell r="B155" t="str">
            <v>Servicios de auditoría</v>
          </cell>
        </row>
        <row r="156">
          <cell r="A156">
            <v>3314</v>
          </cell>
          <cell r="B156" t="str">
            <v>Otros servicios relacionados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</row>
        <row r="158">
          <cell r="A158">
            <v>3331</v>
          </cell>
          <cell r="B158" t="str">
            <v>Servicios de consultoría administrativa</v>
          </cell>
        </row>
        <row r="159">
          <cell r="A159">
            <v>3332</v>
          </cell>
          <cell r="B159" t="str">
            <v>Servicios de procesos, técnica y en tecnologías de la información</v>
          </cell>
        </row>
        <row r="160">
          <cell r="A160">
            <v>3341</v>
          </cell>
          <cell r="B160" t="str">
            <v xml:space="preserve">Servicios de capacitación </v>
          </cell>
        </row>
        <row r="161">
          <cell r="A161">
            <v>3351</v>
          </cell>
          <cell r="B161" t="str">
            <v>Servicios de investigación científica</v>
          </cell>
        </row>
        <row r="162">
          <cell r="A162">
            <v>3352</v>
          </cell>
          <cell r="B162" t="str">
            <v>Servicios de investigación de desarrollo</v>
          </cell>
        </row>
        <row r="163">
          <cell r="A163">
            <v>3353</v>
          </cell>
          <cell r="B163" t="str">
            <v>Servicios estadísticos y geográficos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</row>
        <row r="165">
          <cell r="A165">
            <v>3371</v>
          </cell>
          <cell r="B165" t="str">
            <v>Servicios de protección y seguridad</v>
          </cell>
        </row>
        <row r="166">
          <cell r="A166">
            <v>3381</v>
          </cell>
          <cell r="B166" t="str">
            <v xml:space="preserve">Servicios de vigilancia </v>
          </cell>
        </row>
        <row r="167">
          <cell r="A167">
            <v>3391</v>
          </cell>
          <cell r="B167" t="str">
            <v>Servicios profesionales, científicos y técnicos integrales</v>
          </cell>
        </row>
        <row r="168">
          <cell r="A168">
            <v>3411</v>
          </cell>
          <cell r="B168" t="str">
            <v>Servicios financieros y bancarios</v>
          </cell>
        </row>
        <row r="169">
          <cell r="A169">
            <v>3412</v>
          </cell>
          <cell r="B169" t="str">
            <v>Diferencias por variaciones en el tipo de cambio</v>
          </cell>
        </row>
        <row r="170">
          <cell r="A170">
            <v>3421</v>
          </cell>
          <cell r="B170" t="str">
            <v>Servicios de cobranza, investigación crediticia y similar</v>
          </cell>
        </row>
        <row r="171">
          <cell r="A171">
            <v>3431</v>
          </cell>
          <cell r="B171" t="str">
            <v>Servicios de recaudación, traslado y custodia de valores</v>
          </cell>
        </row>
        <row r="172">
          <cell r="A172">
            <v>3441</v>
          </cell>
          <cell r="B172" t="str">
            <v>Seguros de responsabilidad patrimonial y fianzas</v>
          </cell>
        </row>
        <row r="173">
          <cell r="A173">
            <v>3451</v>
          </cell>
          <cell r="B173" t="str">
            <v>Seguro de bienes patrimoniales</v>
          </cell>
        </row>
        <row r="174">
          <cell r="A174">
            <v>3461</v>
          </cell>
          <cell r="B174" t="str">
            <v>Almacenaje, envase y embalaje</v>
          </cell>
        </row>
        <row r="175">
          <cell r="A175">
            <v>3471</v>
          </cell>
          <cell r="B175" t="str">
            <v>Fletes y maniobras</v>
          </cell>
        </row>
        <row r="176">
          <cell r="A176">
            <v>3481</v>
          </cell>
          <cell r="B176" t="str">
            <v>Comisiones por ventas</v>
          </cell>
        </row>
        <row r="177">
          <cell r="A177">
            <v>3491</v>
          </cell>
          <cell r="B177" t="str">
            <v>Servicios financieros, bancarios y comerciales integrales</v>
          </cell>
        </row>
        <row r="178">
          <cell r="A178">
            <v>3511</v>
          </cell>
          <cell r="B178" t="str">
            <v>Conservación y mantenimiento de inmuebles</v>
          </cell>
        </row>
        <row r="179">
          <cell r="A179">
            <v>3512</v>
          </cell>
          <cell r="B179" t="str">
            <v xml:space="preserve">Adaptación de inmuebles </v>
          </cell>
        </row>
        <row r="180">
          <cell r="A180">
            <v>3513</v>
          </cell>
          <cell r="B180" t="str">
            <v>Mantenimiento de pozos y equipo de bombeo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</row>
        <row r="183">
          <cell r="A183">
            <v>3531</v>
          </cell>
          <cell r="B183" t="str">
            <v>Instalación, reparación y mantenimiento de bienes informáticos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</row>
        <row r="186">
          <cell r="A186">
            <v>3561</v>
          </cell>
          <cell r="B186" t="str">
            <v>Reparación y mantenimiento de equipo de defensa y seguridad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</row>
        <row r="188">
          <cell r="A188">
            <v>3581</v>
          </cell>
          <cell r="B188" t="str">
            <v>Servicios de limpieza y manejo de desechos</v>
          </cell>
        </row>
        <row r="189">
          <cell r="A189">
            <v>3591</v>
          </cell>
          <cell r="B189" t="str">
            <v>Servicios de jardinería y fumigación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</row>
        <row r="192">
          <cell r="A192">
            <v>3613</v>
          </cell>
          <cell r="B192" t="str">
            <v xml:space="preserve">Espectáculos culturales 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</row>
        <row r="194">
          <cell r="A194">
            <v>3621</v>
          </cell>
          <cell r="B194" t="str">
            <v>Promoción para la venta de bienes o servicios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</row>
        <row r="196">
          <cell r="A196">
            <v>3641</v>
          </cell>
          <cell r="B196" t="str">
            <v>Servicios de revelado de fotografías</v>
          </cell>
        </row>
        <row r="197">
          <cell r="A197">
            <v>3651</v>
          </cell>
          <cell r="B197" t="str">
            <v>Servicios de la industria fílmica, del sonido y del video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</row>
        <row r="199">
          <cell r="A199">
            <v>3691</v>
          </cell>
          <cell r="B199" t="str">
            <v>Otros servicios de información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</row>
        <row r="206">
          <cell r="A206">
            <v>3741</v>
          </cell>
          <cell r="B206" t="str">
            <v>Transporte en vehículos especializados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</row>
        <row r="209">
          <cell r="A209">
            <v>3771</v>
          </cell>
          <cell r="B209" t="str">
            <v>Gastos de instalación y traslado de menaje</v>
          </cell>
        </row>
        <row r="210">
          <cell r="A210">
            <v>3781</v>
          </cell>
          <cell r="B210" t="str">
            <v>Servicios integrales de traslado y viáticos</v>
          </cell>
        </row>
        <row r="211">
          <cell r="A211">
            <v>3791</v>
          </cell>
          <cell r="B211" t="str">
            <v>Otros servicios de traslado y hospedaje</v>
          </cell>
        </row>
        <row r="212">
          <cell r="A212">
            <v>3811</v>
          </cell>
          <cell r="B212" t="str">
            <v xml:space="preserve">Gastos de ceremonial del H. Ayuntamiento </v>
          </cell>
        </row>
        <row r="213">
          <cell r="A213">
            <v>3812</v>
          </cell>
          <cell r="B213" t="str">
            <v>Gastos de ceremonial de los titulares de las dependencias y entidades</v>
          </cell>
        </row>
        <row r="214">
          <cell r="A214">
            <v>3821</v>
          </cell>
          <cell r="B214" t="str">
            <v>Gastos de orden social y cultural</v>
          </cell>
        </row>
        <row r="215">
          <cell r="A215">
            <v>3831</v>
          </cell>
          <cell r="B215" t="str">
            <v>Congresos y convenciones</v>
          </cell>
        </row>
        <row r="216">
          <cell r="A216">
            <v>3841</v>
          </cell>
          <cell r="B216" t="str">
            <v>Exposiciones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</row>
        <row r="219">
          <cell r="A219">
            <v>3853</v>
          </cell>
          <cell r="B219" t="str">
            <v xml:space="preserve">Gastos de representación </v>
          </cell>
        </row>
        <row r="220">
          <cell r="A220">
            <v>3854</v>
          </cell>
          <cell r="B220" t="str">
            <v xml:space="preserve">Gastos de seguridad pública </v>
          </cell>
        </row>
        <row r="221">
          <cell r="A221">
            <v>3911</v>
          </cell>
          <cell r="B221" t="str">
            <v>Servicios funerarios y de cementerios</v>
          </cell>
        </row>
        <row r="222">
          <cell r="A222">
            <v>3921</v>
          </cell>
          <cell r="B222" t="str">
            <v>Otros impuestos y derechos</v>
          </cell>
        </row>
        <row r="223">
          <cell r="A223">
            <v>3922</v>
          </cell>
          <cell r="B223" t="str">
            <v>Impuestos y derechos de exportación</v>
          </cell>
        </row>
        <row r="224">
          <cell r="A224">
            <v>3931</v>
          </cell>
          <cell r="B224" t="str">
            <v xml:space="preserve">Impuestos y derechos de importación </v>
          </cell>
        </row>
        <row r="225">
          <cell r="A225">
            <v>3941</v>
          </cell>
          <cell r="B225" t="str">
            <v>Sentencias y resoluciones judiciales</v>
          </cell>
        </row>
        <row r="226">
          <cell r="A226">
            <v>3951</v>
          </cell>
          <cell r="B226" t="str">
            <v>Penas, multas, accesorios y actualizaciones</v>
          </cell>
        </row>
        <row r="227">
          <cell r="A227">
            <v>3961</v>
          </cell>
          <cell r="B227" t="str">
            <v xml:space="preserve">Otros gastos por responsabilidades </v>
          </cell>
        </row>
        <row r="228">
          <cell r="A228">
            <v>3981</v>
          </cell>
          <cell r="B228" t="str">
            <v>Impuestos sobre nóminas</v>
          </cell>
        </row>
        <row r="229">
          <cell r="A229">
            <v>3991</v>
          </cell>
          <cell r="B229" t="str">
            <v>Otros servicios generales(gastos de transición)</v>
          </cell>
        </row>
        <row r="230">
          <cell r="A230">
            <v>4000</v>
          </cell>
          <cell r="B230" t="str">
            <v>Transferencias, subsidios y otras ayudas</v>
          </cell>
        </row>
        <row r="231">
          <cell r="A231">
            <v>4151</v>
          </cell>
          <cell r="B231" t="str">
            <v>Transferencias para servicios personales</v>
          </cell>
        </row>
        <row r="232">
          <cell r="A232">
            <v>4152</v>
          </cell>
          <cell r="B232" t="str">
            <v>Transferencias para materiales y suministros</v>
          </cell>
        </row>
        <row r="233">
          <cell r="A233">
            <v>4153</v>
          </cell>
          <cell r="B233" t="str">
            <v>Transferencias para servicios básicos</v>
          </cell>
        </row>
        <row r="234">
          <cell r="A234">
            <v>4154</v>
          </cell>
          <cell r="B234" t="str">
            <v>Transferencias, asignaciones, subsidios y otras ayudas</v>
          </cell>
        </row>
        <row r="235">
          <cell r="A235">
            <v>4155</v>
          </cell>
          <cell r="B235" t="str">
            <v>Transferencias para bienes muebles, inmuebles e intangibles</v>
          </cell>
        </row>
        <row r="236">
          <cell r="A236">
            <v>4156</v>
          </cell>
          <cell r="B236" t="str">
            <v>Transfernecias para inversión pública</v>
          </cell>
        </row>
        <row r="237">
          <cell r="A237">
            <v>4157</v>
          </cell>
          <cell r="B237" t="str">
            <v>Transferencias para inversiones financieras y otras provisiones</v>
          </cell>
        </row>
        <row r="238">
          <cell r="A238">
            <v>4158</v>
          </cell>
          <cell r="B238" t="str">
            <v>Transferencias para participaciones y aportaciones</v>
          </cell>
        </row>
        <row r="239">
          <cell r="A239">
            <v>4159</v>
          </cell>
          <cell r="B239" t="str">
            <v>Transferencias para deuda pública</v>
          </cell>
        </row>
        <row r="240">
          <cell r="A240">
            <v>4231</v>
          </cell>
          <cell r="B240" t="str">
            <v>Transferencias para servicios personales</v>
          </cell>
        </row>
        <row r="241">
          <cell r="A241">
            <v>4232</v>
          </cell>
          <cell r="B241" t="str">
            <v>Transferencias para materiales y suministros</v>
          </cell>
        </row>
        <row r="242">
          <cell r="A242">
            <v>4233</v>
          </cell>
          <cell r="B242" t="str">
            <v>Transferencias para servicios básicos</v>
          </cell>
        </row>
        <row r="243">
          <cell r="A243">
            <v>4234</v>
          </cell>
          <cell r="B243" t="str">
            <v>Transferencias, asignaciones, subsidios y otras ayudas</v>
          </cell>
        </row>
        <row r="244">
          <cell r="A244">
            <v>4235</v>
          </cell>
          <cell r="B244" t="str">
            <v>Transferencias para bienes muebles, inmuebles e intangibles</v>
          </cell>
        </row>
        <row r="245">
          <cell r="A245">
            <v>4236</v>
          </cell>
          <cell r="B245" t="str">
            <v>Transferncias para inversión pública</v>
          </cell>
        </row>
        <row r="246">
          <cell r="A246">
            <v>4237</v>
          </cell>
          <cell r="B246" t="str">
            <v>Transferencias para inversiones financieras y otras provisiones</v>
          </cell>
        </row>
        <row r="247">
          <cell r="A247">
            <v>4238</v>
          </cell>
          <cell r="B247" t="str">
            <v>Transferencias para participaciones y aportaciones</v>
          </cell>
        </row>
        <row r="248">
          <cell r="A248">
            <v>4239</v>
          </cell>
          <cell r="B248" t="str">
            <v>Transferencias para deuda pública</v>
          </cell>
        </row>
        <row r="249">
          <cell r="A249">
            <v>4311</v>
          </cell>
          <cell r="B249" t="str">
            <v>Subsidios a la producción</v>
          </cell>
        </row>
        <row r="250">
          <cell r="A250">
            <v>4321</v>
          </cell>
          <cell r="B250" t="str">
            <v>Subsidios a la distribución</v>
          </cell>
        </row>
        <row r="251">
          <cell r="A251">
            <v>4331</v>
          </cell>
          <cell r="B251" t="str">
            <v>Subsidios para inversión</v>
          </cell>
        </row>
        <row r="252">
          <cell r="A252">
            <v>4341</v>
          </cell>
          <cell r="B252" t="str">
            <v>Subsidios a la prestación de servicios públicos</v>
          </cell>
        </row>
        <row r="253">
          <cell r="A253">
            <v>4342</v>
          </cell>
          <cell r="B253" t="str">
            <v xml:space="preserve">Subsidios a fideicomisos privados y estatales </v>
          </cell>
        </row>
        <row r="254">
          <cell r="A254">
            <v>4351</v>
          </cell>
          <cell r="B254" t="str">
            <v>Subsidios para cubrir diferenciales de tasas de interés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</row>
        <row r="256">
          <cell r="A256">
            <v>4371</v>
          </cell>
          <cell r="B256" t="str">
            <v>Subsidios al consumo</v>
          </cell>
        </row>
        <row r="257">
          <cell r="A257">
            <v>4391</v>
          </cell>
          <cell r="B257" t="str">
            <v>Subsidios sindicato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</row>
        <row r="259">
          <cell r="A259">
            <v>4412</v>
          </cell>
          <cell r="B259" t="str">
            <v xml:space="preserve">Funerales y pagas de defunción 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</row>
        <row r="262">
          <cell r="A262">
            <v>4421</v>
          </cell>
          <cell r="B262" t="str">
            <v>Becas</v>
          </cell>
        </row>
        <row r="263">
          <cell r="A263">
            <v>4431</v>
          </cell>
          <cell r="B263" t="str">
            <v>Ayudas sociales a instituciones de enseñanza</v>
          </cell>
        </row>
        <row r="264">
          <cell r="A264">
            <v>4441</v>
          </cell>
          <cell r="B264" t="str">
            <v>Ayudas sociales a actividades científicas o académicas</v>
          </cell>
        </row>
        <row r="265">
          <cell r="A265">
            <v>4451</v>
          </cell>
          <cell r="B265" t="str">
            <v>Donativos a instituciones sin fines de lucro</v>
          </cell>
        </row>
        <row r="266">
          <cell r="A266">
            <v>4461</v>
          </cell>
          <cell r="B266" t="str">
            <v>Ayudas sociales a cooperativas</v>
          </cell>
        </row>
        <row r="267">
          <cell r="A267">
            <v>4471</v>
          </cell>
          <cell r="B267" t="str">
            <v>Ayudas sociales a entidades de interés público</v>
          </cell>
        </row>
        <row r="268">
          <cell r="A268">
            <v>4481</v>
          </cell>
          <cell r="B268" t="str">
            <v>Ayudas por desastres naturales y otros siniestros</v>
          </cell>
        </row>
        <row r="269">
          <cell r="A269">
            <v>4511</v>
          </cell>
          <cell r="B269" t="str">
            <v>Pensiones</v>
          </cell>
        </row>
        <row r="270">
          <cell r="A270">
            <v>4521</v>
          </cell>
          <cell r="B270" t="str">
            <v>Jubilaciones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</row>
        <row r="272">
          <cell r="A272">
            <v>5000</v>
          </cell>
          <cell r="B272" t="str">
            <v>Bienes muebles, inmuebles e intangibles</v>
          </cell>
        </row>
        <row r="273">
          <cell r="A273">
            <v>5111</v>
          </cell>
          <cell r="B273" t="str">
            <v>Muebles de oficina y estantería</v>
          </cell>
        </row>
        <row r="274">
          <cell r="A274">
            <v>5121</v>
          </cell>
          <cell r="B274" t="str">
            <v>Muebles, excepto de oficina y estantería</v>
          </cell>
        </row>
        <row r="275">
          <cell r="A275">
            <v>5131</v>
          </cell>
          <cell r="B275" t="str">
            <v>Libros, revistas y otros elementos coleccionables</v>
          </cell>
        </row>
        <row r="276">
          <cell r="A276">
            <v>5132</v>
          </cell>
          <cell r="B276" t="str">
            <v>Bienes muebles inalienables e imprescriptibles</v>
          </cell>
        </row>
        <row r="277">
          <cell r="A277">
            <v>5133</v>
          </cell>
          <cell r="B277" t="str">
            <v>Otros bienes artísticos, culturales y científicos</v>
          </cell>
        </row>
        <row r="278">
          <cell r="A278">
            <v>5141</v>
          </cell>
          <cell r="B278" t="str">
            <v>Objetos valiosos</v>
          </cell>
        </row>
        <row r="279">
          <cell r="A279">
            <v>5151</v>
          </cell>
          <cell r="B279" t="str">
            <v>Computadoras y equipo periférico</v>
          </cell>
        </row>
        <row r="280">
          <cell r="A280">
            <v>5152</v>
          </cell>
          <cell r="B280" t="str">
            <v>Medios magnéticos y ópticos</v>
          </cell>
        </row>
        <row r="281">
          <cell r="A281">
            <v>5191</v>
          </cell>
          <cell r="B281" t="str">
            <v>Otros mobiliarios y equipos de administración</v>
          </cell>
        </row>
        <row r="282">
          <cell r="A282">
            <v>5192</v>
          </cell>
          <cell r="B282" t="str">
            <v>Mobiliario y equipo para comercio y servicios</v>
          </cell>
        </row>
        <row r="283">
          <cell r="A283">
            <v>5211</v>
          </cell>
          <cell r="B283" t="str">
            <v>Equipo de audio y de video</v>
          </cell>
        </row>
        <row r="284">
          <cell r="A284">
            <v>5221</v>
          </cell>
          <cell r="B284" t="str">
            <v>Aparatos deportivos</v>
          </cell>
        </row>
        <row r="285">
          <cell r="A285">
            <v>5231</v>
          </cell>
          <cell r="B285" t="str">
            <v>Camaras fotograficas y de video</v>
          </cell>
        </row>
        <row r="286">
          <cell r="A286">
            <v>5291</v>
          </cell>
          <cell r="B286" t="str">
            <v>Otro mobiliario y equipo educacional y recreativo</v>
          </cell>
        </row>
        <row r="287">
          <cell r="A287">
            <v>5311</v>
          </cell>
          <cell r="B287" t="str">
            <v>Equipo para uso médico, dental y para laboratorio</v>
          </cell>
        </row>
        <row r="288">
          <cell r="A288">
            <v>5321</v>
          </cell>
          <cell r="B288" t="str">
            <v>Instrumentos médicos</v>
          </cell>
        </row>
        <row r="289">
          <cell r="A289">
            <v>5322</v>
          </cell>
          <cell r="B289" t="str">
            <v>Instrumentos de laboratorio</v>
          </cell>
        </row>
        <row r="290">
          <cell r="A290">
            <v>5411</v>
          </cell>
          <cell r="B290" t="str">
            <v>Automóviles y camiones</v>
          </cell>
        </row>
        <row r="291">
          <cell r="A291">
            <v>5421</v>
          </cell>
          <cell r="B291" t="str">
            <v>Carrocerías y remolques</v>
          </cell>
        </row>
        <row r="292">
          <cell r="A292">
            <v>5431</v>
          </cell>
          <cell r="B292" t="str">
            <v>Equipo aeroespacial</v>
          </cell>
        </row>
        <row r="293">
          <cell r="A293">
            <v>5441</v>
          </cell>
          <cell r="B293" t="str">
            <v>Equipo ferroviario</v>
          </cell>
        </row>
        <row r="294">
          <cell r="A294">
            <v>5451</v>
          </cell>
          <cell r="B294" t="str">
            <v>Embarcaciones</v>
          </cell>
        </row>
        <row r="295">
          <cell r="A295">
            <v>5491</v>
          </cell>
          <cell r="B295" t="str">
            <v>Otro equipo de transporte</v>
          </cell>
        </row>
        <row r="296">
          <cell r="A296">
            <v>5511</v>
          </cell>
          <cell r="B296" t="str">
            <v>Equipo de defensa y de seguridad</v>
          </cell>
        </row>
        <row r="297">
          <cell r="A297">
            <v>5611</v>
          </cell>
          <cell r="B297" t="str">
            <v>Maquinaria y equipo agropecuario</v>
          </cell>
        </row>
        <row r="298">
          <cell r="A298">
            <v>5621</v>
          </cell>
          <cell r="B298" t="str">
            <v>Maquinaria y equipo industrial</v>
          </cell>
        </row>
        <row r="299">
          <cell r="A299">
            <v>5631</v>
          </cell>
          <cell r="B299" t="str">
            <v>Maquinaria y equipo de construcción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 Y ECOLOGIA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ANALÍTICO INGRESOS"/>
      <sheetName val="Analítico de Egresos"/>
      <sheetName val="PROGRAMATICO"/>
      <sheetName val="FORTAMUN"/>
      <sheetName val="FAISM"/>
      <sheetName val="F.F"/>
      <sheetName val="COG DETALLE"/>
      <sheetName val="PROGRAMAS"/>
      <sheetName val="C.T.G"/>
      <sheetName val="CLASIFICADOR FAISM FORTA"/>
      <sheetName val="C.F.G"/>
      <sheetName val="CE"/>
      <sheetName val="Hoja3"/>
      <sheetName val="MOVIMIENTOS"/>
      <sheetName val="economias uniformes"/>
      <sheetName val="INCREMENTO INGRESOS"/>
      <sheetName val="PROY.  MANTENIMIENTO"/>
      <sheetName val="PROY. COMBUSTI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</row>
        <row r="3">
          <cell r="A3">
            <v>1111</v>
          </cell>
          <cell r="B3" t="str">
            <v>Dietas</v>
          </cell>
        </row>
        <row r="4">
          <cell r="A4">
            <v>1121</v>
          </cell>
          <cell r="B4" t="str">
            <v>Haberes</v>
          </cell>
        </row>
        <row r="5">
          <cell r="A5">
            <v>1131</v>
          </cell>
          <cell r="B5" t="str">
            <v>Sueldos Base</v>
          </cell>
        </row>
        <row r="6">
          <cell r="A6">
            <v>1132</v>
          </cell>
          <cell r="B6" t="str">
            <v>Sueldos de confianza</v>
          </cell>
        </row>
        <row r="7">
          <cell r="A7">
            <v>1141</v>
          </cell>
          <cell r="B7" t="str">
            <v>Remuneraciones en el extranjero</v>
          </cell>
        </row>
        <row r="8">
          <cell r="A8">
            <v>1211</v>
          </cell>
          <cell r="B8" t="str">
            <v>Honorarios</v>
          </cell>
        </row>
        <row r="9">
          <cell r="A9">
            <v>1212</v>
          </cell>
          <cell r="B9" t="str">
            <v>Honorarios asimilados</v>
          </cell>
        </row>
        <row r="10">
          <cell r="A10">
            <v>1221</v>
          </cell>
          <cell r="B10" t="str">
            <v>Remuneraciones para eventuales</v>
          </cell>
        </row>
        <row r="11">
          <cell r="A11">
            <v>1231</v>
          </cell>
          <cell r="B11" t="str">
            <v>Servicio social</v>
          </cell>
        </row>
        <row r="12">
          <cell r="A12">
            <v>1241</v>
          </cell>
          <cell r="B12" t="str">
            <v>Junta de Conciliación y Arbitraje</v>
          </cell>
        </row>
        <row r="13">
          <cell r="A13">
            <v>1311</v>
          </cell>
          <cell r="B13" t="str">
            <v xml:space="preserve">Prima quinquenal </v>
          </cell>
        </row>
        <row r="14">
          <cell r="A14">
            <v>1312</v>
          </cell>
          <cell r="B14" t="str">
            <v>Antigüedad</v>
          </cell>
        </row>
        <row r="15">
          <cell r="A15">
            <v>1321</v>
          </cell>
          <cell r="B15" t="str">
            <v>Prima Vacacional</v>
          </cell>
        </row>
        <row r="16">
          <cell r="A16">
            <v>1322</v>
          </cell>
          <cell r="B16" t="str">
            <v>Prima Dominical</v>
          </cell>
        </row>
        <row r="17">
          <cell r="A17">
            <v>1323</v>
          </cell>
          <cell r="B17" t="str">
            <v>Gratificación de fin de año</v>
          </cell>
        </row>
        <row r="18">
          <cell r="A18">
            <v>1331</v>
          </cell>
          <cell r="B18" t="str">
            <v>Remuneraciones por horas extraordinarias</v>
          </cell>
        </row>
        <row r="19">
          <cell r="A19">
            <v>1341</v>
          </cell>
          <cell r="B19" t="str">
            <v>Compensaciones por servicios eventuales</v>
          </cell>
        </row>
        <row r="20">
          <cell r="A20">
            <v>1342</v>
          </cell>
          <cell r="B20" t="str">
            <v>Compensaciones por servicios</v>
          </cell>
        </row>
        <row r="21">
          <cell r="A21">
            <v>1351</v>
          </cell>
          <cell r="B21" t="str">
            <v>Sobrehaberes</v>
          </cell>
        </row>
        <row r="22">
          <cell r="A22">
            <v>1361</v>
          </cell>
          <cell r="B22" t="str">
            <v>Técnico especial</v>
          </cell>
        </row>
        <row r="23">
          <cell r="A23">
            <v>1371</v>
          </cell>
          <cell r="B23" t="str">
            <v>Honorarios especiales</v>
          </cell>
        </row>
        <row r="24">
          <cell r="A24">
            <v>1381</v>
          </cell>
          <cell r="B24" t="str">
            <v>Participaciones por vigilancia</v>
          </cell>
        </row>
        <row r="25">
          <cell r="A25">
            <v>1411</v>
          </cell>
          <cell r="B25" t="str">
            <v>Aportaciones al ISSEG</v>
          </cell>
        </row>
        <row r="26">
          <cell r="A26">
            <v>1412</v>
          </cell>
          <cell r="B26" t="str">
            <v>Cuotas al ISSSTE</v>
          </cell>
        </row>
        <row r="27">
          <cell r="A27">
            <v>1413</v>
          </cell>
          <cell r="B27" t="str">
            <v>Aportaciones IMSS</v>
          </cell>
        </row>
        <row r="28">
          <cell r="A28">
            <v>1421</v>
          </cell>
          <cell r="B28" t="str">
            <v>Aportaciones INFONAVIT</v>
          </cell>
        </row>
        <row r="29">
          <cell r="A29">
            <v>1431</v>
          </cell>
          <cell r="B29" t="str">
            <v>Ahorro para el retiro</v>
          </cell>
        </row>
        <row r="30">
          <cell r="A30">
            <v>1441</v>
          </cell>
          <cell r="B30" t="str">
            <v>Seguros</v>
          </cell>
        </row>
        <row r="31">
          <cell r="A31">
            <v>1511</v>
          </cell>
          <cell r="B31" t="str">
            <v>Cuotas para el fondo de ahorro</v>
          </cell>
        </row>
        <row r="32">
          <cell r="A32">
            <v>1512</v>
          </cell>
          <cell r="B32" t="str">
            <v>Cuotas para fondo de trabajo</v>
          </cell>
        </row>
        <row r="33">
          <cell r="A33">
            <v>1521</v>
          </cell>
          <cell r="B33" t="str">
            <v>Indemnizaciones por accidentes en el trabajo</v>
          </cell>
        </row>
        <row r="34">
          <cell r="A34">
            <v>1522</v>
          </cell>
          <cell r="B34" t="str">
            <v>Liquidaciones por indemnizaciones y por sueldos y salarios caídos</v>
          </cell>
        </row>
        <row r="35">
          <cell r="A35">
            <v>1523</v>
          </cell>
          <cell r="B35" t="str">
            <v>Pago por riesgo</v>
          </cell>
        </row>
        <row r="36">
          <cell r="A36">
            <v>1531</v>
          </cell>
          <cell r="B36" t="str">
            <v>Prestaciones de retiro</v>
          </cell>
        </row>
        <row r="37">
          <cell r="A37">
            <v>1532</v>
          </cell>
          <cell r="B37" t="str">
            <v>Haberes de retiro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</row>
        <row r="39">
          <cell r="A39">
            <v>1551</v>
          </cell>
          <cell r="B39" t="str">
            <v>Capacitación de los servidores públicos</v>
          </cell>
        </row>
        <row r="40">
          <cell r="A40">
            <v>1561</v>
          </cell>
          <cell r="B40" t="str">
            <v>Asignaciones adicionales al sueldo</v>
          </cell>
        </row>
        <row r="41">
          <cell r="A41">
            <v>1562</v>
          </cell>
          <cell r="B41" t="str">
            <v>Otras prestaciones</v>
          </cell>
        </row>
        <row r="42">
          <cell r="A42">
            <v>1591</v>
          </cell>
          <cell r="B42" t="str">
            <v>Asignaciones adicionales al sueldo</v>
          </cell>
        </row>
        <row r="43">
          <cell r="A43">
            <v>1592</v>
          </cell>
          <cell r="B43" t="str">
            <v>Otras prestaciones</v>
          </cell>
        </row>
        <row r="44">
          <cell r="A44">
            <v>1593</v>
          </cell>
          <cell r="B44" t="str">
            <v>Despensas</v>
          </cell>
        </row>
        <row r="45">
          <cell r="A45">
            <v>1611</v>
          </cell>
          <cell r="B45" t="str">
            <v>Previsiones de carácter laboral</v>
          </cell>
        </row>
        <row r="46">
          <cell r="A46">
            <v>1612</v>
          </cell>
          <cell r="B46" t="str">
            <v>Previsiones de carácter económico</v>
          </cell>
        </row>
        <row r="47">
          <cell r="A47">
            <v>1613</v>
          </cell>
          <cell r="B47" t="str">
            <v>Previsiones de carácter de seguridad social</v>
          </cell>
        </row>
        <row r="48">
          <cell r="A48">
            <v>1711</v>
          </cell>
          <cell r="B48" t="str">
            <v xml:space="preserve">Estímulos por productividad y eficiencia </v>
          </cell>
        </row>
        <row r="49">
          <cell r="A49">
            <v>1712</v>
          </cell>
          <cell r="B49" t="str">
            <v xml:space="preserve">Estímulos al personal operativo </v>
          </cell>
        </row>
        <row r="50">
          <cell r="A50">
            <v>1721</v>
          </cell>
          <cell r="B50" t="str">
            <v>Recompensas</v>
          </cell>
        </row>
        <row r="51">
          <cell r="A51">
            <v>1811</v>
          </cell>
          <cell r="B51" t="str">
            <v>Impuesto sobre nóminas</v>
          </cell>
        </row>
        <row r="52">
          <cell r="A52">
            <v>1821</v>
          </cell>
          <cell r="B52" t="str">
            <v>Otros impuestos</v>
          </cell>
        </row>
        <row r="53">
          <cell r="A53">
            <v>2000</v>
          </cell>
          <cell r="B53" t="str">
            <v>Materiales y Suministros</v>
          </cell>
        </row>
        <row r="54">
          <cell r="A54">
            <v>2111</v>
          </cell>
          <cell r="B54" t="str">
            <v>Materiales y útiles de oficina</v>
          </cell>
        </row>
        <row r="55">
          <cell r="A55">
            <v>2112</v>
          </cell>
          <cell r="B55" t="str">
            <v>Equipos menores de oficina</v>
          </cell>
        </row>
        <row r="56">
          <cell r="A56">
            <v>2121</v>
          </cell>
          <cell r="B56" t="str">
            <v>Materiales y útiles de impresión y reproducción</v>
          </cell>
        </row>
        <row r="57">
          <cell r="A57">
            <v>2131</v>
          </cell>
          <cell r="B57" t="str">
            <v>Material estadístico y geográfico</v>
          </cell>
        </row>
        <row r="58">
          <cell r="A58">
            <v>2141</v>
          </cell>
          <cell r="B58" t="str">
            <v>Materiales y útiles de tecnologías de la información y comunicaciones</v>
          </cell>
        </row>
        <row r="59">
          <cell r="A59">
            <v>2142</v>
          </cell>
          <cell r="B59" t="str">
            <v>Equipos menores de tecnologías de la información y comunicaciones</v>
          </cell>
        </row>
        <row r="60">
          <cell r="A60">
            <v>2151</v>
          </cell>
          <cell r="B60" t="str">
            <v>Material impreso e información digital</v>
          </cell>
        </row>
        <row r="61">
          <cell r="A61">
            <v>2161</v>
          </cell>
          <cell r="B61" t="str">
            <v>Material de limpieza</v>
          </cell>
        </row>
        <row r="62">
          <cell r="A62">
            <v>2171</v>
          </cell>
          <cell r="B62" t="str">
            <v>Materiales y útiles de enseñanza</v>
          </cell>
        </row>
        <row r="63">
          <cell r="A63">
            <v>2181</v>
          </cell>
          <cell r="B63" t="str">
            <v>Materiales para el registro e identificación de bienes</v>
          </cell>
        </row>
        <row r="64">
          <cell r="A64">
            <v>2182</v>
          </cell>
          <cell r="B64" t="str">
            <v>Materiales para el registro e identificación de personas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</row>
        <row r="67">
          <cell r="A67">
            <v>2213</v>
          </cell>
          <cell r="B67" t="str">
            <v>Productos alimenticios para la población en caso de desastres naturales</v>
          </cell>
        </row>
        <row r="68">
          <cell r="A68">
            <v>2214</v>
          </cell>
          <cell r="B68" t="str">
            <v>Alimentos Centro de detención municipal</v>
          </cell>
        </row>
        <row r="69">
          <cell r="A69">
            <v>2221</v>
          </cell>
          <cell r="B69" t="str">
            <v>Productos alimenticios para animales</v>
          </cell>
        </row>
        <row r="70">
          <cell r="A70">
            <v>2231</v>
          </cell>
          <cell r="B70" t="str">
            <v>Utensilios para el servicio de alimentación</v>
          </cell>
        </row>
        <row r="71">
          <cell r="A71">
            <v>2311</v>
          </cell>
          <cell r="B71" t="str">
            <v>Productos alimenticios, agropecuarios y forestales</v>
          </cell>
        </row>
        <row r="72">
          <cell r="A72">
            <v>2312</v>
          </cell>
          <cell r="B72" t="str">
            <v xml:space="preserve">Material agropecuario </v>
          </cell>
        </row>
        <row r="73">
          <cell r="A73">
            <v>2321</v>
          </cell>
          <cell r="B73" t="str">
            <v>Insumos textiles</v>
          </cell>
        </row>
        <row r="74">
          <cell r="A74">
            <v>2331</v>
          </cell>
          <cell r="B74" t="str">
            <v>Productos de papel, cartón e impresos</v>
          </cell>
        </row>
        <row r="75">
          <cell r="A75">
            <v>2341</v>
          </cell>
          <cell r="B75" t="str">
            <v>Combustibles, lubricantes, aditivos, carbon y sus derivados</v>
          </cell>
        </row>
        <row r="76">
          <cell r="A76">
            <v>2351</v>
          </cell>
          <cell r="B76" t="str">
            <v>Productos químicos, farmacéuticos y de laboratorio</v>
          </cell>
        </row>
        <row r="77">
          <cell r="A77">
            <v>2361</v>
          </cell>
          <cell r="B77" t="str">
            <v>Productos metálicos y a base de minerales no metálicos</v>
          </cell>
        </row>
        <row r="78">
          <cell r="A78">
            <v>2371</v>
          </cell>
          <cell r="B78" t="str">
            <v>Productos de cuero, piel, plástico y hule</v>
          </cell>
        </row>
        <row r="79">
          <cell r="A79">
            <v>2381</v>
          </cell>
          <cell r="B79" t="str">
            <v>Mercancías para su comercialización en tiendas del sector público</v>
          </cell>
        </row>
        <row r="80">
          <cell r="A80">
            <v>2382</v>
          </cell>
          <cell r="B80" t="str">
            <v>Mercancías para su distribución a la población</v>
          </cell>
        </row>
        <row r="81">
          <cell r="A81">
            <v>2391</v>
          </cell>
          <cell r="B81" t="str">
            <v xml:space="preserve">Otros productos </v>
          </cell>
        </row>
        <row r="82">
          <cell r="A82">
            <v>2411</v>
          </cell>
          <cell r="B82" t="str">
            <v>Materiales de construcción minerales no metálicos</v>
          </cell>
        </row>
        <row r="83">
          <cell r="A83">
            <v>2421</v>
          </cell>
          <cell r="B83" t="str">
            <v>Materiales de construcción de concreto</v>
          </cell>
        </row>
        <row r="84">
          <cell r="A84">
            <v>2431</v>
          </cell>
          <cell r="B84" t="str">
            <v>Materiales de construcción de cal y yeso</v>
          </cell>
        </row>
        <row r="85">
          <cell r="A85">
            <v>2441</v>
          </cell>
          <cell r="B85" t="str">
            <v>Materiales de construcción de madera</v>
          </cell>
        </row>
        <row r="86">
          <cell r="A86">
            <v>2451</v>
          </cell>
          <cell r="B86" t="str">
            <v>Materiales de construcción de vidrio</v>
          </cell>
        </row>
        <row r="87">
          <cell r="A87">
            <v>2461</v>
          </cell>
          <cell r="B87" t="str">
            <v>Material eléctrico y electrónico</v>
          </cell>
        </row>
        <row r="88">
          <cell r="A88">
            <v>2471</v>
          </cell>
          <cell r="B88" t="str">
            <v>Estructuras y manufacturas</v>
          </cell>
        </row>
        <row r="89">
          <cell r="A89">
            <v>2481</v>
          </cell>
          <cell r="B89" t="str">
            <v xml:space="preserve">Materiales complementarios </v>
          </cell>
        </row>
        <row r="90">
          <cell r="A90">
            <v>2491</v>
          </cell>
          <cell r="B90" t="str">
            <v xml:space="preserve">Materiales diversos </v>
          </cell>
        </row>
        <row r="91">
          <cell r="A91">
            <v>2492</v>
          </cell>
          <cell r="B91" t="str">
            <v>Material para señalética</v>
          </cell>
        </row>
        <row r="92">
          <cell r="A92">
            <v>2493</v>
          </cell>
          <cell r="B92" t="str">
            <v>Material para semaforización</v>
          </cell>
        </row>
        <row r="93">
          <cell r="A93">
            <v>2511</v>
          </cell>
          <cell r="B93" t="str">
            <v>Sustancias químicas</v>
          </cell>
        </row>
        <row r="94">
          <cell r="A94">
            <v>2521</v>
          </cell>
          <cell r="B94" t="str">
            <v>Fertilizantes y abonos</v>
          </cell>
        </row>
        <row r="95">
          <cell r="A95">
            <v>2522</v>
          </cell>
          <cell r="B95" t="str">
            <v>Plaguicidas y pesticidas</v>
          </cell>
        </row>
        <row r="96">
          <cell r="A96">
            <v>2531</v>
          </cell>
          <cell r="B96" t="str">
            <v>Medicinas y productos farmacéuticos</v>
          </cell>
        </row>
        <row r="97">
          <cell r="A97">
            <v>2541</v>
          </cell>
          <cell r="B97" t="str">
            <v>Materiales, accesorios y suministros médicos</v>
          </cell>
        </row>
        <row r="98">
          <cell r="A98">
            <v>2551</v>
          </cell>
          <cell r="B98" t="str">
            <v>Materiales, accesorios y suministros de laboratorio</v>
          </cell>
        </row>
        <row r="99">
          <cell r="A99">
            <v>2561</v>
          </cell>
          <cell r="B99" t="str">
            <v>Fibras sintéticas, hules, plásticos y derivados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</row>
        <row r="103">
          <cell r="A103">
            <v>2614</v>
          </cell>
          <cell r="B103" t="str">
            <v>Gas natural L.P</v>
          </cell>
        </row>
        <row r="104">
          <cell r="A104">
            <v>2621</v>
          </cell>
          <cell r="B104" t="str">
            <v>Carbón y sus derivados</v>
          </cell>
        </row>
        <row r="105">
          <cell r="A105">
            <v>2711</v>
          </cell>
          <cell r="B105" t="str">
            <v>Vestuario y uniformes</v>
          </cell>
        </row>
        <row r="106">
          <cell r="A106">
            <v>2721</v>
          </cell>
          <cell r="B106" t="str">
            <v>Prendas de seguridad</v>
          </cell>
        </row>
        <row r="107">
          <cell r="A107">
            <v>2722</v>
          </cell>
          <cell r="B107" t="str">
            <v>Prendas de protección personal</v>
          </cell>
        </row>
        <row r="108">
          <cell r="A108">
            <v>2731</v>
          </cell>
          <cell r="B108" t="str">
            <v>Artículos deportivos</v>
          </cell>
        </row>
        <row r="109">
          <cell r="A109">
            <v>2741</v>
          </cell>
          <cell r="B109" t="str">
            <v>Productos textiles</v>
          </cell>
        </row>
        <row r="110">
          <cell r="A110">
            <v>2751</v>
          </cell>
          <cell r="B110" t="str">
            <v>Blancos y otros productos textiles, excepto prendas de vestir</v>
          </cell>
        </row>
        <row r="111">
          <cell r="A111">
            <v>2811</v>
          </cell>
          <cell r="B111" t="str">
            <v>Sustancias y materiales explosivos</v>
          </cell>
        </row>
        <row r="112">
          <cell r="A112">
            <v>2821</v>
          </cell>
          <cell r="B112" t="str">
            <v>Materiales de seguridad pública</v>
          </cell>
        </row>
        <row r="113">
          <cell r="A113">
            <v>2831</v>
          </cell>
          <cell r="B113" t="str">
            <v xml:space="preserve">Prendas de protección para seguridad pública </v>
          </cell>
        </row>
        <row r="114">
          <cell r="A114">
            <v>2911</v>
          </cell>
          <cell r="B114" t="str">
            <v>Herramientas menores</v>
          </cell>
        </row>
        <row r="115">
          <cell r="A115">
            <v>2921</v>
          </cell>
          <cell r="B115" t="str">
            <v>Refacciones y accesorios menores de edificios</v>
          </cell>
        </row>
        <row r="116">
          <cell r="A116">
            <v>2931</v>
          </cell>
          <cell r="B116" t="str">
            <v xml:space="preserve">Refacciones y accesorios menores de mobiliario </v>
          </cell>
        </row>
        <row r="117">
          <cell r="A117">
            <v>2932</v>
          </cell>
          <cell r="B117" t="str">
            <v>Refacciones y accesorios de equipo educacional y recreativo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</row>
        <row r="120">
          <cell r="A120">
            <v>2961</v>
          </cell>
          <cell r="B120" t="str">
            <v>Refacciones y accesorios menores de equipo de transporte</v>
          </cell>
        </row>
        <row r="121">
          <cell r="A121">
            <v>2971</v>
          </cell>
          <cell r="B121" t="str">
            <v>Refacciones y accesorios menores de equipo de defensa y seguridad</v>
          </cell>
        </row>
        <row r="122">
          <cell r="A122">
            <v>2981</v>
          </cell>
          <cell r="B122" t="str">
            <v>Refacciones y accesorios menores de maquinaria y otros equipos</v>
          </cell>
        </row>
        <row r="123">
          <cell r="A123">
            <v>2991</v>
          </cell>
          <cell r="B123" t="str">
            <v>Refacciones y accesorios menores otros bienes muebles</v>
          </cell>
        </row>
        <row r="124">
          <cell r="A124">
            <v>3000</v>
          </cell>
          <cell r="B124" t="str">
            <v>Servicios Generales</v>
          </cell>
        </row>
        <row r="125">
          <cell r="A125">
            <v>3111</v>
          </cell>
          <cell r="B125" t="str">
            <v>Servicio de energía eléctrica</v>
          </cell>
        </row>
        <row r="126">
          <cell r="A126">
            <v>3112</v>
          </cell>
          <cell r="B126" t="str">
            <v>Alumbrado público</v>
          </cell>
        </row>
        <row r="127">
          <cell r="A127">
            <v>3121</v>
          </cell>
          <cell r="B127" t="str">
            <v>Servicio de gas</v>
          </cell>
        </row>
        <row r="128">
          <cell r="A128">
            <v>3131</v>
          </cell>
          <cell r="B128" t="str">
            <v>Servicio de agua</v>
          </cell>
        </row>
        <row r="129">
          <cell r="A129">
            <v>3141</v>
          </cell>
          <cell r="B129" t="str">
            <v>Servicio telefonía tradicional</v>
          </cell>
        </row>
        <row r="130">
          <cell r="A130">
            <v>3151</v>
          </cell>
          <cell r="B130" t="str">
            <v>Servicio telefonía celular</v>
          </cell>
        </row>
        <row r="131">
          <cell r="A131">
            <v>3152</v>
          </cell>
          <cell r="B131" t="str">
            <v>Radiolocalización</v>
          </cell>
        </row>
        <row r="132">
          <cell r="A132">
            <v>3161</v>
          </cell>
          <cell r="B132" t="str">
            <v>Servicios de telecomunicaciones y satélites</v>
          </cell>
        </row>
        <row r="133">
          <cell r="A133">
            <v>3171</v>
          </cell>
          <cell r="B133" t="str">
            <v>Servicios de acceso de internet</v>
          </cell>
        </row>
        <row r="134">
          <cell r="A134">
            <v>3172</v>
          </cell>
          <cell r="B134" t="str">
            <v>Servicios de redes</v>
          </cell>
        </row>
        <row r="135">
          <cell r="A135">
            <v>3173</v>
          </cell>
          <cell r="B135" t="str">
            <v>Servicios de procesamiento de información</v>
          </cell>
        </row>
        <row r="136">
          <cell r="A136">
            <v>3181</v>
          </cell>
          <cell r="B136" t="str">
            <v xml:space="preserve">Servicio postal </v>
          </cell>
        </row>
        <row r="137">
          <cell r="A137">
            <v>3182</v>
          </cell>
          <cell r="B137" t="str">
            <v xml:space="preserve">Servicio telegráfico </v>
          </cell>
        </row>
        <row r="138">
          <cell r="A138">
            <v>3191</v>
          </cell>
          <cell r="B138" t="str">
            <v>Servicios integrales</v>
          </cell>
        </row>
        <row r="139">
          <cell r="A139">
            <v>3192</v>
          </cell>
          <cell r="B139" t="str">
            <v xml:space="preserve">Contratación de otros servicios </v>
          </cell>
        </row>
        <row r="140">
          <cell r="A140">
            <v>3211</v>
          </cell>
          <cell r="B140" t="str">
            <v>Arrendamiento de terrenos</v>
          </cell>
        </row>
        <row r="141">
          <cell r="A141">
            <v>3221</v>
          </cell>
          <cell r="B141" t="str">
            <v>Arrendamiento de edificios y locales</v>
          </cell>
        </row>
        <row r="142">
          <cell r="A142">
            <v>3231</v>
          </cell>
          <cell r="B142" t="str">
            <v>Arrendamiento de mobiliario y equipo de administración</v>
          </cell>
        </row>
        <row r="143">
          <cell r="A143">
            <v>3232</v>
          </cell>
          <cell r="B143" t="str">
            <v>Arrendamiento de mobiliario y equipo educativo y recreativo</v>
          </cell>
        </row>
        <row r="144">
          <cell r="A144">
            <v>3233</v>
          </cell>
          <cell r="B144" t="str">
            <v xml:space="preserve">Arrendamiento de equipo y bienes informáticos </v>
          </cell>
        </row>
        <row r="145">
          <cell r="A145">
            <v>3241</v>
          </cell>
          <cell r="B145" t="str">
            <v>Arrendamiento de equipo e instrumental médico y de laboratorio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</row>
        <row r="148">
          <cell r="A148">
            <v>3261</v>
          </cell>
          <cell r="B148" t="str">
            <v xml:space="preserve">Arrendamiento de maquinaria y equipo </v>
          </cell>
        </row>
        <row r="149">
          <cell r="A149">
            <v>3262</v>
          </cell>
          <cell r="B149" t="str">
            <v>Arrendamiento de herramientas</v>
          </cell>
        </row>
        <row r="150">
          <cell r="A150">
            <v>3271</v>
          </cell>
          <cell r="B150" t="str">
            <v>Arrendamiento de activos intangibles</v>
          </cell>
        </row>
        <row r="151">
          <cell r="A151">
            <v>3281</v>
          </cell>
          <cell r="B151" t="str">
            <v>Arrendamiento financiero</v>
          </cell>
        </row>
        <row r="152">
          <cell r="A152">
            <v>3291</v>
          </cell>
          <cell r="B152" t="str">
            <v>Otros Arrendamientos</v>
          </cell>
        </row>
        <row r="153">
          <cell r="A153">
            <v>3311</v>
          </cell>
          <cell r="B153" t="str">
            <v>Servicios legales</v>
          </cell>
        </row>
        <row r="154">
          <cell r="A154">
            <v>3312</v>
          </cell>
          <cell r="B154" t="str">
            <v>Servicios de contabilidad</v>
          </cell>
        </row>
        <row r="155">
          <cell r="A155">
            <v>3313</v>
          </cell>
          <cell r="B155" t="str">
            <v>Servicios de auditoría</v>
          </cell>
        </row>
        <row r="156">
          <cell r="A156">
            <v>3314</v>
          </cell>
          <cell r="B156" t="str">
            <v>Otros servicios relacionados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</row>
        <row r="158">
          <cell r="A158">
            <v>3331</v>
          </cell>
          <cell r="B158" t="str">
            <v>Servicios de consultoría administrativa</v>
          </cell>
        </row>
        <row r="159">
          <cell r="A159">
            <v>3332</v>
          </cell>
          <cell r="B159" t="str">
            <v>Servicios de procesos, técnica y en tecnologías de la información</v>
          </cell>
        </row>
        <row r="160">
          <cell r="A160">
            <v>3341</v>
          </cell>
          <cell r="B160" t="str">
            <v xml:space="preserve">Servicios de capacitación </v>
          </cell>
        </row>
        <row r="161">
          <cell r="A161">
            <v>3351</v>
          </cell>
          <cell r="B161" t="str">
            <v>Servicios de investigación científica</v>
          </cell>
        </row>
        <row r="162">
          <cell r="A162">
            <v>3352</v>
          </cell>
          <cell r="B162" t="str">
            <v>Servicios de investigación de desarrollo</v>
          </cell>
        </row>
        <row r="163">
          <cell r="A163">
            <v>3353</v>
          </cell>
          <cell r="B163" t="str">
            <v>Servicios estadísticos y geográficos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</row>
        <row r="165">
          <cell r="A165">
            <v>3371</v>
          </cell>
          <cell r="B165" t="str">
            <v>Servicios de protección y seguridad</v>
          </cell>
        </row>
        <row r="166">
          <cell r="A166">
            <v>3381</v>
          </cell>
          <cell r="B166" t="str">
            <v xml:space="preserve">Servicios de vigilancia </v>
          </cell>
        </row>
        <row r="167">
          <cell r="A167">
            <v>3391</v>
          </cell>
          <cell r="B167" t="str">
            <v>Servicios profesionales, científicos y técnicos integrales</v>
          </cell>
        </row>
        <row r="168">
          <cell r="A168">
            <v>3411</v>
          </cell>
          <cell r="B168" t="str">
            <v>Servicios financieros y bancarios</v>
          </cell>
        </row>
        <row r="169">
          <cell r="A169">
            <v>3412</v>
          </cell>
          <cell r="B169" t="str">
            <v>Diferencias por variaciones en el tipo de cambio</v>
          </cell>
        </row>
        <row r="170">
          <cell r="A170">
            <v>3421</v>
          </cell>
          <cell r="B170" t="str">
            <v>Servicios de cobranza, investigación crediticia y similar</v>
          </cell>
        </row>
        <row r="171">
          <cell r="A171">
            <v>3431</v>
          </cell>
          <cell r="B171" t="str">
            <v>Servicios de recaudación, traslado y custodia de valores</v>
          </cell>
        </row>
        <row r="172">
          <cell r="A172">
            <v>3441</v>
          </cell>
          <cell r="B172" t="str">
            <v>Seguros de responsabilidad patrimonial y fianzas</v>
          </cell>
        </row>
        <row r="173">
          <cell r="A173">
            <v>3451</v>
          </cell>
          <cell r="B173" t="str">
            <v>Seguro de bienes patrimoniales</v>
          </cell>
        </row>
        <row r="174">
          <cell r="A174">
            <v>3461</v>
          </cell>
          <cell r="B174" t="str">
            <v>Almacenaje, envase y embalaje</v>
          </cell>
        </row>
        <row r="175">
          <cell r="A175">
            <v>3471</v>
          </cell>
          <cell r="B175" t="str">
            <v>Fletes y maniobras</v>
          </cell>
        </row>
        <row r="176">
          <cell r="A176">
            <v>3481</v>
          </cell>
          <cell r="B176" t="str">
            <v>Comisiones por ventas</v>
          </cell>
        </row>
        <row r="177">
          <cell r="A177">
            <v>3491</v>
          </cell>
          <cell r="B177" t="str">
            <v>Servicios financieros, bancarios y comerciales integrales</v>
          </cell>
        </row>
        <row r="178">
          <cell r="A178">
            <v>3511</v>
          </cell>
          <cell r="B178" t="str">
            <v>Conservación y mantenimiento de inmuebles</v>
          </cell>
        </row>
        <row r="179">
          <cell r="A179">
            <v>3512</v>
          </cell>
          <cell r="B179" t="str">
            <v xml:space="preserve">Adaptación de inmuebles </v>
          </cell>
        </row>
        <row r="180">
          <cell r="A180">
            <v>3513</v>
          </cell>
          <cell r="B180" t="str">
            <v>Mantenimiento de pozos y equipo de bombeo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</row>
        <row r="183">
          <cell r="A183">
            <v>3531</v>
          </cell>
          <cell r="B183" t="str">
            <v>Instalación, reparación y mantenimiento de bienes informáticos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</row>
        <row r="186">
          <cell r="A186">
            <v>3561</v>
          </cell>
          <cell r="B186" t="str">
            <v>Reparación y mantenimiento de equipo de defensa y seguridad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</row>
        <row r="188">
          <cell r="A188">
            <v>3581</v>
          </cell>
          <cell r="B188" t="str">
            <v>Servicios de limpieza y manejo de desechos</v>
          </cell>
        </row>
        <row r="189">
          <cell r="A189">
            <v>3591</v>
          </cell>
          <cell r="B189" t="str">
            <v>Servicios de jardinería y fumigación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</row>
        <row r="192">
          <cell r="A192">
            <v>3613</v>
          </cell>
          <cell r="B192" t="str">
            <v xml:space="preserve">Espectáculos culturales 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</row>
        <row r="194">
          <cell r="A194">
            <v>3621</v>
          </cell>
          <cell r="B194" t="str">
            <v>Promoción para la venta de bienes o servicios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</row>
        <row r="196">
          <cell r="A196">
            <v>3641</v>
          </cell>
          <cell r="B196" t="str">
            <v>Servicios de revelado de fotografías</v>
          </cell>
        </row>
        <row r="197">
          <cell r="A197">
            <v>3651</v>
          </cell>
          <cell r="B197" t="str">
            <v>Servicios de la industria fílmica, del sonido y del video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</row>
        <row r="199">
          <cell r="A199">
            <v>3691</v>
          </cell>
          <cell r="B199" t="str">
            <v>Otros servicios de información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</row>
        <row r="206">
          <cell r="A206">
            <v>3741</v>
          </cell>
          <cell r="B206" t="str">
            <v>Transporte en vehículos especializados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</row>
        <row r="209">
          <cell r="A209">
            <v>3771</v>
          </cell>
          <cell r="B209" t="str">
            <v>Gastos de instalación y traslado de menaje</v>
          </cell>
        </row>
        <row r="210">
          <cell r="A210">
            <v>3781</v>
          </cell>
          <cell r="B210" t="str">
            <v>Servicios integrales de traslado y viáticos</v>
          </cell>
        </row>
        <row r="211">
          <cell r="A211">
            <v>3791</v>
          </cell>
          <cell r="B211" t="str">
            <v>Otros servicios de traslado y hospedaje</v>
          </cell>
        </row>
        <row r="212">
          <cell r="A212">
            <v>3811</v>
          </cell>
          <cell r="B212" t="str">
            <v xml:space="preserve">Gastos de ceremonial del H. Ayuntamiento </v>
          </cell>
        </row>
        <row r="213">
          <cell r="A213">
            <v>3812</v>
          </cell>
          <cell r="B213" t="str">
            <v>Gastos de ceremonial de los titulares de las dependencias y entidades</v>
          </cell>
        </row>
        <row r="214">
          <cell r="A214">
            <v>3821</v>
          </cell>
          <cell r="B214" t="str">
            <v>Gastos de orden social y cultural</v>
          </cell>
        </row>
        <row r="215">
          <cell r="A215">
            <v>3831</v>
          </cell>
          <cell r="B215" t="str">
            <v>Congresos y convenciones</v>
          </cell>
        </row>
        <row r="216">
          <cell r="A216">
            <v>3841</v>
          </cell>
          <cell r="B216" t="str">
            <v>Exposiciones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</row>
        <row r="219">
          <cell r="A219">
            <v>3853</v>
          </cell>
          <cell r="B219" t="str">
            <v xml:space="preserve">Gastos de representación </v>
          </cell>
        </row>
        <row r="220">
          <cell r="A220">
            <v>3854</v>
          </cell>
          <cell r="B220" t="str">
            <v xml:space="preserve">Gastos de seguridad pública </v>
          </cell>
        </row>
        <row r="221">
          <cell r="A221">
            <v>3911</v>
          </cell>
          <cell r="B221" t="str">
            <v>Servicios funerarios y de cementerios</v>
          </cell>
        </row>
        <row r="222">
          <cell r="A222">
            <v>3921</v>
          </cell>
          <cell r="B222" t="str">
            <v>Otros impuestos y derechos</v>
          </cell>
        </row>
        <row r="223">
          <cell r="A223">
            <v>3922</v>
          </cell>
          <cell r="B223" t="str">
            <v>Impuestos y derechos de exportación</v>
          </cell>
        </row>
        <row r="224">
          <cell r="A224">
            <v>3931</v>
          </cell>
          <cell r="B224" t="str">
            <v xml:space="preserve">Impuestos y derechos de importación </v>
          </cell>
        </row>
        <row r="225">
          <cell r="A225">
            <v>3941</v>
          </cell>
          <cell r="B225" t="str">
            <v>Sentencias y resoluciones judiciales</v>
          </cell>
        </row>
        <row r="226">
          <cell r="A226">
            <v>3951</v>
          </cell>
          <cell r="B226" t="str">
            <v>Penas, multas, accesorios y actualizaciones</v>
          </cell>
        </row>
        <row r="227">
          <cell r="A227">
            <v>3961</v>
          </cell>
          <cell r="B227" t="str">
            <v xml:space="preserve">Otros gastos por responsabilidades </v>
          </cell>
        </row>
        <row r="228">
          <cell r="A228">
            <v>3981</v>
          </cell>
          <cell r="B228" t="str">
            <v>Impuestos sobre nóminas</v>
          </cell>
        </row>
        <row r="229">
          <cell r="A229">
            <v>3991</v>
          </cell>
          <cell r="B229" t="str">
            <v>Otros servicios generales(gastos de transición)</v>
          </cell>
        </row>
        <row r="230">
          <cell r="A230">
            <v>4000</v>
          </cell>
          <cell r="B230" t="str">
            <v>Transferencias, subsidios y otras ayudas</v>
          </cell>
        </row>
        <row r="231">
          <cell r="A231">
            <v>4151</v>
          </cell>
          <cell r="B231" t="str">
            <v>Transferencias para servicios personales</v>
          </cell>
        </row>
        <row r="232">
          <cell r="A232">
            <v>4152</v>
          </cell>
          <cell r="B232" t="str">
            <v>Transferencias para materiales y suministros</v>
          </cell>
        </row>
        <row r="233">
          <cell r="A233">
            <v>4153</v>
          </cell>
          <cell r="B233" t="str">
            <v>Transferencias para servicios básicos</v>
          </cell>
        </row>
        <row r="234">
          <cell r="A234">
            <v>4154</v>
          </cell>
          <cell r="B234" t="str">
            <v>Transferencias, asignaciones, subsidios y otras ayudas</v>
          </cell>
        </row>
        <row r="235">
          <cell r="A235">
            <v>4155</v>
          </cell>
          <cell r="B235" t="str">
            <v>Transferencias para bienes muebles, inmuebles e intangibles</v>
          </cell>
        </row>
        <row r="236">
          <cell r="A236">
            <v>4156</v>
          </cell>
          <cell r="B236" t="str">
            <v>Transfernecias para inversión pública</v>
          </cell>
        </row>
        <row r="237">
          <cell r="A237">
            <v>4157</v>
          </cell>
          <cell r="B237" t="str">
            <v>Transferencias para inversiones financieras y otras provisiones</v>
          </cell>
        </row>
        <row r="238">
          <cell r="A238">
            <v>4158</v>
          </cell>
          <cell r="B238" t="str">
            <v>Transferencias para participaciones y aportaciones</v>
          </cell>
        </row>
        <row r="239">
          <cell r="A239">
            <v>4159</v>
          </cell>
          <cell r="B239" t="str">
            <v>Transferencias para deuda pública</v>
          </cell>
        </row>
        <row r="240">
          <cell r="A240">
            <v>4231</v>
          </cell>
          <cell r="B240" t="str">
            <v>Transferencias para servicios personales</v>
          </cell>
        </row>
        <row r="241">
          <cell r="A241">
            <v>4232</v>
          </cell>
          <cell r="B241" t="str">
            <v>Transferencias para materiales y suministros</v>
          </cell>
        </row>
        <row r="242">
          <cell r="A242">
            <v>4233</v>
          </cell>
          <cell r="B242" t="str">
            <v>Transferencias para servicios básicos</v>
          </cell>
        </row>
        <row r="243">
          <cell r="A243">
            <v>4234</v>
          </cell>
          <cell r="B243" t="str">
            <v>Transferencias, asignaciones, subsidios y otras ayudas</v>
          </cell>
        </row>
        <row r="244">
          <cell r="A244">
            <v>4235</v>
          </cell>
          <cell r="B244" t="str">
            <v>Transferencias para bienes muebles, inmuebles e intangibles</v>
          </cell>
        </row>
        <row r="245">
          <cell r="A245">
            <v>4236</v>
          </cell>
          <cell r="B245" t="str">
            <v>Transferncias para inversión pública</v>
          </cell>
        </row>
        <row r="246">
          <cell r="A246">
            <v>4237</v>
          </cell>
          <cell r="B246" t="str">
            <v>Transferencias para inversiones financieras y otras provisiones</v>
          </cell>
        </row>
        <row r="247">
          <cell r="A247">
            <v>4238</v>
          </cell>
          <cell r="B247" t="str">
            <v>Transferencias para participaciones y aportaciones</v>
          </cell>
        </row>
        <row r="248">
          <cell r="A248">
            <v>4239</v>
          </cell>
          <cell r="B248" t="str">
            <v>Transferencias para deuda pública</v>
          </cell>
        </row>
        <row r="249">
          <cell r="A249">
            <v>4311</v>
          </cell>
          <cell r="B249" t="str">
            <v>Subsidios a la producción</v>
          </cell>
        </row>
        <row r="250">
          <cell r="A250">
            <v>4321</v>
          </cell>
          <cell r="B250" t="str">
            <v>Subsidios a la distribución</v>
          </cell>
        </row>
        <row r="251">
          <cell r="A251">
            <v>4331</v>
          </cell>
          <cell r="B251" t="str">
            <v>Subsidios para inversión</v>
          </cell>
        </row>
        <row r="252">
          <cell r="A252">
            <v>4341</v>
          </cell>
          <cell r="B252" t="str">
            <v>Subsidios a la prestación de servicios públicos</v>
          </cell>
        </row>
        <row r="253">
          <cell r="A253">
            <v>4342</v>
          </cell>
          <cell r="B253" t="str">
            <v xml:space="preserve">Subsidios a fideicomisos privados y estatales </v>
          </cell>
        </row>
        <row r="254">
          <cell r="A254">
            <v>4351</v>
          </cell>
          <cell r="B254" t="str">
            <v>Subsidios para cubrir diferenciales de tasas de interés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</row>
        <row r="256">
          <cell r="A256">
            <v>4371</v>
          </cell>
          <cell r="B256" t="str">
            <v>Subsidios al consumo</v>
          </cell>
        </row>
        <row r="257">
          <cell r="A257">
            <v>4391</v>
          </cell>
          <cell r="B257" t="str">
            <v>Subsidios sindicato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</row>
        <row r="259">
          <cell r="A259">
            <v>4412</v>
          </cell>
          <cell r="B259" t="str">
            <v xml:space="preserve">Funerales y pagas de defunción 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</row>
        <row r="262">
          <cell r="A262">
            <v>4421</v>
          </cell>
          <cell r="B262" t="str">
            <v>Becas</v>
          </cell>
        </row>
        <row r="263">
          <cell r="A263">
            <v>4431</v>
          </cell>
          <cell r="B263" t="str">
            <v>Ayudas sociales a instituciones de enseñanza</v>
          </cell>
        </row>
        <row r="264">
          <cell r="A264">
            <v>4441</v>
          </cell>
          <cell r="B264" t="str">
            <v>Ayudas sociales a actividades científicas o académicas</v>
          </cell>
        </row>
        <row r="265">
          <cell r="A265">
            <v>4451</v>
          </cell>
          <cell r="B265" t="str">
            <v>Donativos a instituciones sin fines de lucro</v>
          </cell>
        </row>
        <row r="266">
          <cell r="A266">
            <v>4461</v>
          </cell>
          <cell r="B266" t="str">
            <v>Ayudas sociales a cooperativas</v>
          </cell>
        </row>
        <row r="267">
          <cell r="A267">
            <v>4471</v>
          </cell>
          <cell r="B267" t="str">
            <v>Ayudas sociales a entidades de interés público</v>
          </cell>
        </row>
        <row r="268">
          <cell r="A268">
            <v>4481</v>
          </cell>
          <cell r="B268" t="str">
            <v>Ayudas por desastres naturales y otros siniestros</v>
          </cell>
        </row>
        <row r="269">
          <cell r="A269">
            <v>4511</v>
          </cell>
          <cell r="B269" t="str">
            <v>Pensiones</v>
          </cell>
        </row>
        <row r="270">
          <cell r="A270">
            <v>4521</v>
          </cell>
          <cell r="B270" t="str">
            <v>Jubilaciones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</row>
        <row r="272">
          <cell r="A272">
            <v>5000</v>
          </cell>
          <cell r="B272" t="str">
            <v>Bienes muebles, inmuebles e intangibles</v>
          </cell>
        </row>
        <row r="273">
          <cell r="A273">
            <v>5111</v>
          </cell>
          <cell r="B273" t="str">
            <v>Muebles de oficina y estantería</v>
          </cell>
        </row>
        <row r="274">
          <cell r="A274">
            <v>5121</v>
          </cell>
          <cell r="B274" t="str">
            <v>Muebles, excepto de oficina y estantería</v>
          </cell>
        </row>
        <row r="275">
          <cell r="A275">
            <v>5131</v>
          </cell>
          <cell r="B275" t="str">
            <v>Libros, revistas y otros elementos coleccionables</v>
          </cell>
        </row>
        <row r="276">
          <cell r="A276">
            <v>5132</v>
          </cell>
          <cell r="B276" t="str">
            <v>Bienes muebles inalienables e imprescriptibles</v>
          </cell>
        </row>
        <row r="277">
          <cell r="A277">
            <v>5133</v>
          </cell>
          <cell r="B277" t="str">
            <v>Otros bienes artísticos, culturales y científicos</v>
          </cell>
        </row>
        <row r="278">
          <cell r="A278">
            <v>5141</v>
          </cell>
          <cell r="B278" t="str">
            <v>Objetos valiosos</v>
          </cell>
        </row>
        <row r="279">
          <cell r="A279">
            <v>5151</v>
          </cell>
          <cell r="B279" t="str">
            <v>Computadoras y equipo periférico</v>
          </cell>
        </row>
        <row r="280">
          <cell r="A280">
            <v>5152</v>
          </cell>
          <cell r="B280" t="str">
            <v>Medios magnéticos y ópticos</v>
          </cell>
        </row>
        <row r="281">
          <cell r="A281">
            <v>5191</v>
          </cell>
          <cell r="B281" t="str">
            <v>Otros mobiliarios y equipos de administración</v>
          </cell>
        </row>
        <row r="282">
          <cell r="A282">
            <v>5192</v>
          </cell>
          <cell r="B282" t="str">
            <v>Mobiliario y equipo para comercio y servicios</v>
          </cell>
        </row>
        <row r="283">
          <cell r="A283">
            <v>5211</v>
          </cell>
          <cell r="B283" t="str">
            <v>Equipo de audio y de video</v>
          </cell>
        </row>
        <row r="284">
          <cell r="A284">
            <v>5221</v>
          </cell>
          <cell r="B284" t="str">
            <v>Aparatos deportivos</v>
          </cell>
        </row>
        <row r="285">
          <cell r="A285">
            <v>5231</v>
          </cell>
          <cell r="B285" t="str">
            <v>Camaras fotograficas y de video</v>
          </cell>
        </row>
        <row r="286">
          <cell r="A286">
            <v>5291</v>
          </cell>
          <cell r="B286" t="str">
            <v>Otro mobiliario y equipo educacional y recreativo</v>
          </cell>
        </row>
        <row r="287">
          <cell r="A287">
            <v>5311</v>
          </cell>
          <cell r="B287" t="str">
            <v>Equipo para uso médico, dental y para laboratorio</v>
          </cell>
        </row>
        <row r="288">
          <cell r="A288">
            <v>5321</v>
          </cell>
          <cell r="B288" t="str">
            <v>Instrumentos médicos</v>
          </cell>
        </row>
        <row r="289">
          <cell r="A289">
            <v>5322</v>
          </cell>
          <cell r="B289" t="str">
            <v>Instrumentos de laboratorio</v>
          </cell>
        </row>
        <row r="290">
          <cell r="A290">
            <v>5411</v>
          </cell>
          <cell r="B290" t="str">
            <v>Automóviles y camiones</v>
          </cell>
        </row>
        <row r="291">
          <cell r="A291">
            <v>5421</v>
          </cell>
          <cell r="B291" t="str">
            <v>Carrocerías y remolques</v>
          </cell>
        </row>
        <row r="292">
          <cell r="A292">
            <v>5431</v>
          </cell>
          <cell r="B292" t="str">
            <v>Equipo aeroespacial</v>
          </cell>
        </row>
        <row r="293">
          <cell r="A293">
            <v>5441</v>
          </cell>
          <cell r="B293" t="str">
            <v>Equipo ferroviario</v>
          </cell>
        </row>
        <row r="294">
          <cell r="A294">
            <v>5451</v>
          </cell>
          <cell r="B294" t="str">
            <v>Embarcaciones</v>
          </cell>
        </row>
        <row r="295">
          <cell r="A295">
            <v>5491</v>
          </cell>
          <cell r="B295" t="str">
            <v>Otro equipo de transporte</v>
          </cell>
        </row>
        <row r="296">
          <cell r="A296">
            <v>5511</v>
          </cell>
          <cell r="B296" t="str">
            <v>Equipo de defensa y de seguridad</v>
          </cell>
        </row>
        <row r="297">
          <cell r="A297">
            <v>5611</v>
          </cell>
          <cell r="B297" t="str">
            <v>Maquinaria y equipo agropecuario</v>
          </cell>
        </row>
        <row r="298">
          <cell r="A298">
            <v>5621</v>
          </cell>
          <cell r="B298" t="str">
            <v>Maquinaria y equipo industrial</v>
          </cell>
        </row>
        <row r="299">
          <cell r="A299">
            <v>5631</v>
          </cell>
          <cell r="B299" t="str">
            <v>Maquinaria y equipo de construcción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ING-EGR"/>
      <sheetName val="egresos"/>
      <sheetName val="comparativo F.F."/>
      <sheetName val="ingresos"/>
      <sheetName val="cap 1000"/>
      <sheetName val="ASOCIACIONES 2020"/>
      <sheetName val="obras"/>
      <sheetName val="estatal obras"/>
      <sheetName val="Hoja1"/>
      <sheetName val="Equipamiento"/>
      <sheetName val="SERVICIOS basicos"/>
      <sheetName val="OFICIALIA MAYOR"/>
      <sheetName val="seguros"/>
      <sheetName val="ANALISIS FIFOSEC"/>
      <sheetName val="REQ.S.S.C"/>
      <sheetName val="3551"/>
      <sheetName val="2611-2612"/>
      <sheetName val="2613"/>
      <sheetName val="2614"/>
    </sheetNames>
    <sheetDataSet>
      <sheetData sheetId="0">
        <row r="221">
          <cell r="K221" t="str">
            <v>Etiquetas de fila</v>
          </cell>
        </row>
      </sheetData>
      <sheetData sheetId="1"/>
      <sheetData sheetId="2">
        <row r="2">
          <cell r="B2" t="str">
            <v>INGRESOS</v>
          </cell>
        </row>
        <row r="25">
          <cell r="A25" t="str">
            <v>Etiquetas de fila</v>
          </cell>
          <cell r="B25" t="str">
            <v>Suma de Asignado</v>
          </cell>
          <cell r="C25" t="str">
            <v>Suma de Modificado</v>
          </cell>
          <cell r="D25" t="str">
            <v>Suma de Propuesta</v>
          </cell>
        </row>
        <row r="26">
          <cell r="A26">
            <v>1100116</v>
          </cell>
          <cell r="B26">
            <v>0</v>
          </cell>
          <cell r="C26">
            <v>9031075.2699999996</v>
          </cell>
          <cell r="D26">
            <v>9031075.2699999996</v>
          </cell>
        </row>
        <row r="27">
          <cell r="A27">
            <v>1100117</v>
          </cell>
          <cell r="B27">
            <v>1105768</v>
          </cell>
          <cell r="C27">
            <v>10712360.809999999</v>
          </cell>
          <cell r="D27">
            <v>10712360.809999999</v>
          </cell>
        </row>
        <row r="28">
          <cell r="A28">
            <v>1100118</v>
          </cell>
          <cell r="B28">
            <v>317707.53999999998</v>
          </cell>
          <cell r="C28">
            <v>62963181.400000006</v>
          </cell>
          <cell r="D28">
            <v>62963181.400000006</v>
          </cell>
        </row>
        <row r="29">
          <cell r="A29">
            <v>1100119</v>
          </cell>
          <cell r="B29">
            <v>102850204.5</v>
          </cell>
          <cell r="C29">
            <v>182778728.71000007</v>
          </cell>
          <cell r="D29">
            <v>182778728.71000007</v>
          </cell>
        </row>
        <row r="30">
          <cell r="A30">
            <v>1100120</v>
          </cell>
          <cell r="B30">
            <v>653025157.81000006</v>
          </cell>
          <cell r="C30">
            <v>653025157.81000006</v>
          </cell>
          <cell r="D30">
            <v>660087011.69000006</v>
          </cell>
        </row>
        <row r="31">
          <cell r="A31">
            <v>1201019</v>
          </cell>
          <cell r="B31">
            <v>18000000</v>
          </cell>
          <cell r="C31">
            <v>0</v>
          </cell>
          <cell r="D31">
            <v>0</v>
          </cell>
        </row>
        <row r="32">
          <cell r="A32">
            <v>1500519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1500520</v>
          </cell>
          <cell r="B33">
            <v>638470052.26000035</v>
          </cell>
          <cell r="C33">
            <v>638470052.26000035</v>
          </cell>
          <cell r="D33">
            <v>638470052.25999999</v>
          </cell>
        </row>
        <row r="34">
          <cell r="A34">
            <v>1701119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2510119</v>
          </cell>
          <cell r="B35">
            <v>0</v>
          </cell>
          <cell r="C35">
            <v>194696.35</v>
          </cell>
          <cell r="D35">
            <v>194696.35</v>
          </cell>
        </row>
        <row r="36">
          <cell r="A36">
            <v>2510120</v>
          </cell>
          <cell r="B36">
            <v>96224013.939999998</v>
          </cell>
          <cell r="C36">
            <v>96224013.939999998</v>
          </cell>
          <cell r="D36">
            <v>99359118</v>
          </cell>
        </row>
        <row r="37">
          <cell r="A37">
            <v>2510220</v>
          </cell>
          <cell r="B37">
            <v>336819891.95000005</v>
          </cell>
          <cell r="C37">
            <v>336819891.95000005</v>
          </cell>
          <cell r="D37">
            <v>346373969.94</v>
          </cell>
        </row>
        <row r="38">
          <cell r="A38">
            <v>2520319</v>
          </cell>
          <cell r="B38">
            <v>1141842.92</v>
          </cell>
          <cell r="C38">
            <v>1141842.92</v>
          </cell>
          <cell r="D38">
            <v>1141842.92</v>
          </cell>
        </row>
        <row r="39">
          <cell r="A39">
            <v>2520320</v>
          </cell>
          <cell r="B39">
            <v>18424175</v>
          </cell>
          <cell r="C39">
            <v>18424175</v>
          </cell>
          <cell r="D39">
            <v>17213553</v>
          </cell>
        </row>
        <row r="40">
          <cell r="A40">
            <v>2610117</v>
          </cell>
          <cell r="B40">
            <v>4840111</v>
          </cell>
          <cell r="C40">
            <v>0</v>
          </cell>
          <cell r="D40">
            <v>0</v>
          </cell>
        </row>
        <row r="41">
          <cell r="A41">
            <v>2610118</v>
          </cell>
          <cell r="B41">
            <v>1025217.4</v>
          </cell>
          <cell r="C41">
            <v>7000000</v>
          </cell>
          <cell r="D41">
            <v>7000000</v>
          </cell>
        </row>
        <row r="42">
          <cell r="A42">
            <v>2610119</v>
          </cell>
          <cell r="B42">
            <v>25559557.07</v>
          </cell>
          <cell r="C42">
            <v>12114805.550000001</v>
          </cell>
          <cell r="D42">
            <v>12114805.550000001</v>
          </cell>
        </row>
        <row r="43">
          <cell r="A43">
            <v>2610120</v>
          </cell>
          <cell r="B43">
            <v>10600000</v>
          </cell>
          <cell r="C43">
            <v>10600000</v>
          </cell>
          <cell r="D43">
            <v>172996800.61000001</v>
          </cell>
        </row>
        <row r="44">
          <cell r="A44" t="str">
            <v>(en blanco)</v>
          </cell>
          <cell r="B44">
            <v>7633614797.5599976</v>
          </cell>
          <cell r="C44">
            <v>8157999927.8799953</v>
          </cell>
          <cell r="D44">
            <v>6661311589.5299988</v>
          </cell>
        </row>
        <row r="45">
          <cell r="A45" t="str">
            <v>Total general</v>
          </cell>
          <cell r="B45">
            <v>9542018496.9499989</v>
          </cell>
          <cell r="C45">
            <v>10197499909.849997</v>
          </cell>
          <cell r="D45">
            <v>8881748786.039999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A1" t="str">
            <v>31111-0101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AF"/>
      <sheetName val="base"/>
      <sheetName val="geg"/>
      <sheetName val="prueba"/>
      <sheetName val="Hoja1"/>
      <sheetName val="avance af"/>
      <sheetName val="avance GASTO"/>
    </sheetNames>
    <sheetDataSet>
      <sheetData sheetId="0" refreshError="1"/>
      <sheetData sheetId="1">
        <row r="1">
          <cell r="A1" t="str">
            <v>Clase de Activo</v>
          </cell>
          <cell r="B1" t="str">
            <v>Posición Financiera</v>
          </cell>
          <cell r="C1" t="str">
            <v>Cuenta contable</v>
          </cell>
          <cell r="D1" t="str">
            <v>Denominación</v>
          </cell>
          <cell r="E1" t="str">
            <v>Cuenta contable</v>
          </cell>
          <cell r="F1" t="str">
            <v>Depreciación</v>
          </cell>
          <cell r="G1" t="str">
            <v>Gtos. De Depreciación</v>
          </cell>
          <cell r="H1" t="str">
            <v>Reexp. De Act. Fijo</v>
          </cell>
          <cell r="I1" t="str">
            <v>Reexp. De Dep. de Activo Fijo</v>
          </cell>
        </row>
        <row r="2">
          <cell r="A2">
            <v>12201100</v>
          </cell>
          <cell r="B2">
            <v>5101</v>
          </cell>
          <cell r="C2">
            <v>12211010</v>
          </cell>
          <cell r="D2" t="str">
            <v>MOBILIARIO</v>
          </cell>
          <cell r="E2">
            <v>12211010</v>
          </cell>
          <cell r="F2">
            <v>12211011</v>
          </cell>
          <cell r="G2">
            <v>44410101</v>
          </cell>
          <cell r="H2">
            <v>12211012</v>
          </cell>
          <cell r="I2">
            <v>43405101</v>
          </cell>
        </row>
        <row r="3">
          <cell r="A3">
            <v>12201200</v>
          </cell>
          <cell r="B3">
            <v>5102</v>
          </cell>
          <cell r="C3">
            <v>12211020</v>
          </cell>
          <cell r="D3" t="str">
            <v>EQUIPO DE ADMINISTRACION</v>
          </cell>
          <cell r="E3">
            <v>12211020</v>
          </cell>
          <cell r="F3">
            <v>12211021</v>
          </cell>
          <cell r="G3">
            <v>44410102</v>
          </cell>
          <cell r="H3">
            <v>12211022</v>
          </cell>
          <cell r="I3">
            <v>43405102</v>
          </cell>
        </row>
        <row r="4">
          <cell r="A4">
            <v>12201300</v>
          </cell>
          <cell r="B4">
            <v>5103</v>
          </cell>
          <cell r="C4">
            <v>12211030</v>
          </cell>
          <cell r="D4" t="str">
            <v>EQUIPO EDUCACIONAL Y RECREATIVO</v>
          </cell>
          <cell r="E4">
            <v>12211030</v>
          </cell>
          <cell r="F4">
            <v>12211031</v>
          </cell>
          <cell r="G4">
            <v>44410103</v>
          </cell>
          <cell r="H4">
            <v>12211032</v>
          </cell>
          <cell r="I4">
            <v>43405103</v>
          </cell>
        </row>
        <row r="5">
          <cell r="A5">
            <v>12201400</v>
          </cell>
          <cell r="B5">
            <v>5104</v>
          </cell>
          <cell r="C5">
            <v>12211040</v>
          </cell>
          <cell r="D5" t="str">
            <v>BIENES ARTISTICOS Y CULTURALES</v>
          </cell>
          <cell r="E5">
            <v>12211040</v>
          </cell>
          <cell r="F5">
            <v>12211041</v>
          </cell>
          <cell r="G5">
            <v>44410104</v>
          </cell>
          <cell r="H5">
            <v>12211042</v>
          </cell>
          <cell r="I5">
            <v>43405104</v>
          </cell>
        </row>
        <row r="6">
          <cell r="A6">
            <v>12202100</v>
          </cell>
          <cell r="B6">
            <v>5201</v>
          </cell>
          <cell r="C6">
            <v>12212010</v>
          </cell>
          <cell r="D6" t="str">
            <v>MAQUINARIA Y EQUIPO AGROPECUARIO</v>
          </cell>
          <cell r="E6">
            <v>12212010</v>
          </cell>
          <cell r="F6">
            <v>12212011</v>
          </cell>
          <cell r="G6">
            <v>44410201</v>
          </cell>
          <cell r="H6">
            <v>12212012</v>
          </cell>
          <cell r="I6">
            <v>43405201</v>
          </cell>
        </row>
        <row r="7">
          <cell r="A7">
            <v>12202200</v>
          </cell>
          <cell r="B7">
            <v>5202</v>
          </cell>
          <cell r="C7">
            <v>12212020</v>
          </cell>
          <cell r="D7" t="str">
            <v>MAQUINARIA Y EQUIPO INDUSTRIAL</v>
          </cell>
          <cell r="E7">
            <v>12212020</v>
          </cell>
          <cell r="F7">
            <v>12212021</v>
          </cell>
          <cell r="G7">
            <v>44410202</v>
          </cell>
          <cell r="H7">
            <v>12212022</v>
          </cell>
          <cell r="I7">
            <v>43405202</v>
          </cell>
        </row>
        <row r="8">
          <cell r="A8">
            <v>12202300</v>
          </cell>
          <cell r="B8">
            <v>5203</v>
          </cell>
          <cell r="C8">
            <v>12212030</v>
          </cell>
          <cell r="D8" t="str">
            <v>MAQUINARIA Y EQUIPO DE CONSTRUCCION</v>
          </cell>
          <cell r="E8">
            <v>12212030</v>
          </cell>
          <cell r="F8">
            <v>12212031</v>
          </cell>
          <cell r="G8">
            <v>44410203</v>
          </cell>
          <cell r="H8">
            <v>12212032</v>
          </cell>
          <cell r="I8">
            <v>43405203</v>
          </cell>
        </row>
        <row r="9">
          <cell r="A9">
            <v>12202400</v>
          </cell>
          <cell r="B9">
            <v>5204</v>
          </cell>
          <cell r="C9">
            <v>12212040</v>
          </cell>
          <cell r="D9" t="str">
            <v>EQ. Y APARATOS DE COMUN. Y TELECOMUNICACIONES</v>
          </cell>
          <cell r="E9">
            <v>12212040</v>
          </cell>
          <cell r="F9">
            <v>12212041</v>
          </cell>
          <cell r="G9">
            <v>44410204</v>
          </cell>
          <cell r="H9">
            <v>12212042</v>
          </cell>
          <cell r="I9">
            <v>43405204</v>
          </cell>
        </row>
        <row r="10">
          <cell r="A10">
            <v>12202500</v>
          </cell>
          <cell r="B10">
            <v>5205</v>
          </cell>
          <cell r="C10">
            <v>12212050</v>
          </cell>
          <cell r="D10" t="str">
            <v>MAQUINARIA Y EQUIPO ELCTRICO</v>
          </cell>
          <cell r="E10">
            <v>12212050</v>
          </cell>
          <cell r="F10">
            <v>12212051</v>
          </cell>
          <cell r="G10">
            <v>44410205</v>
          </cell>
          <cell r="H10">
            <v>12212052</v>
          </cell>
          <cell r="I10">
            <v>43405205</v>
          </cell>
        </row>
        <row r="11">
          <cell r="A11">
            <v>12202600</v>
          </cell>
          <cell r="B11">
            <v>5206</v>
          </cell>
          <cell r="C11">
            <v>12212060</v>
          </cell>
          <cell r="D11" t="str">
            <v>BIENES INFORMATICOS</v>
          </cell>
          <cell r="E11">
            <v>12212060</v>
          </cell>
          <cell r="F11">
            <v>12212061</v>
          </cell>
          <cell r="G11">
            <v>44410206</v>
          </cell>
          <cell r="H11">
            <v>12212062</v>
          </cell>
          <cell r="I11">
            <v>43405206</v>
          </cell>
        </row>
        <row r="12">
          <cell r="A12">
            <v>12202700</v>
          </cell>
          <cell r="B12">
            <v>5207</v>
          </cell>
          <cell r="C12">
            <v>12212070</v>
          </cell>
          <cell r="D12" t="str">
            <v>MAQUINARIA Y EQUIPO DIVERSO</v>
          </cell>
          <cell r="E12">
            <v>12212070</v>
          </cell>
          <cell r="F12">
            <v>12212071</v>
          </cell>
          <cell r="G12">
            <v>44410207</v>
          </cell>
          <cell r="H12">
            <v>12212072</v>
          </cell>
          <cell r="I12">
            <v>43405207</v>
          </cell>
        </row>
        <row r="13">
          <cell r="A13">
            <v>12203100</v>
          </cell>
          <cell r="B13">
            <v>5301</v>
          </cell>
          <cell r="C13">
            <v>12213010</v>
          </cell>
          <cell r="D13" t="str">
            <v>VEHICULOS Y EQUIPO TERRESTRE</v>
          </cell>
          <cell r="E13">
            <v>12213010</v>
          </cell>
          <cell r="F13">
            <v>12213011</v>
          </cell>
          <cell r="G13">
            <v>44410301</v>
          </cell>
          <cell r="H13">
            <v>12213012</v>
          </cell>
          <cell r="I13">
            <v>43405301</v>
          </cell>
        </row>
        <row r="14">
          <cell r="A14">
            <v>12203200</v>
          </cell>
          <cell r="B14">
            <v>5304</v>
          </cell>
          <cell r="C14">
            <v>12213040</v>
          </cell>
          <cell r="D14" t="str">
            <v>VEHICULOS Y EQUIPO DE TRANSPORTE AEREO</v>
          </cell>
          <cell r="E14">
            <v>12213040</v>
          </cell>
          <cell r="F14">
            <v>12213041</v>
          </cell>
          <cell r="G14">
            <v>44410304</v>
          </cell>
          <cell r="H14">
            <v>12213042</v>
          </cell>
          <cell r="I14">
            <v>43405304</v>
          </cell>
        </row>
        <row r="15">
          <cell r="A15">
            <v>12203300</v>
          </cell>
          <cell r="B15">
            <v>5305</v>
          </cell>
          <cell r="C15">
            <v>12213050</v>
          </cell>
          <cell r="D15" t="str">
            <v>VEHICULOS Y EQUIPO AUXILIAR DE TRANSPORTE</v>
          </cell>
          <cell r="E15">
            <v>12213050</v>
          </cell>
          <cell r="F15">
            <v>12213051</v>
          </cell>
          <cell r="G15">
            <v>44410305</v>
          </cell>
          <cell r="H15">
            <v>12213052</v>
          </cell>
          <cell r="I15">
            <v>43405305</v>
          </cell>
        </row>
        <row r="16">
          <cell r="A16">
            <v>12204100</v>
          </cell>
          <cell r="B16">
            <v>5401</v>
          </cell>
          <cell r="C16">
            <v>12214010</v>
          </cell>
          <cell r="D16" t="str">
            <v>EQUIPO MEDICO Y DE LABORATORIO</v>
          </cell>
          <cell r="E16">
            <v>12214010</v>
          </cell>
          <cell r="F16">
            <v>12214011</v>
          </cell>
          <cell r="G16">
            <v>44410401</v>
          </cell>
          <cell r="H16">
            <v>12214012</v>
          </cell>
          <cell r="I16">
            <v>43405401</v>
          </cell>
        </row>
        <row r="17">
          <cell r="A17">
            <v>12204200</v>
          </cell>
          <cell r="B17">
            <v>5402</v>
          </cell>
          <cell r="C17">
            <v>12214020</v>
          </cell>
          <cell r="D17" t="str">
            <v>INSTRUMENTAL MEDICO Y DE LABORATORIO</v>
          </cell>
          <cell r="E17">
            <v>12214020</v>
          </cell>
          <cell r="F17">
            <v>12214021</v>
          </cell>
          <cell r="G17">
            <v>44410402</v>
          </cell>
          <cell r="H17">
            <v>12214022</v>
          </cell>
          <cell r="I17">
            <v>43405402</v>
          </cell>
        </row>
        <row r="18">
          <cell r="A18">
            <v>12205100</v>
          </cell>
          <cell r="B18">
            <v>5501</v>
          </cell>
          <cell r="C18">
            <v>12215010</v>
          </cell>
          <cell r="D18" t="str">
            <v>HERRAMIENTAS Y MAQUINAS-HERRAMIENTA</v>
          </cell>
          <cell r="E18">
            <v>12215010</v>
          </cell>
          <cell r="F18">
            <v>12215011</v>
          </cell>
          <cell r="G18">
            <v>44410501</v>
          </cell>
          <cell r="H18">
            <v>12215012</v>
          </cell>
          <cell r="I18">
            <v>43405501</v>
          </cell>
        </row>
        <row r="19">
          <cell r="A19">
            <v>12205200</v>
          </cell>
          <cell r="B19">
            <v>5502</v>
          </cell>
          <cell r="C19">
            <v>12215020</v>
          </cell>
          <cell r="D19" t="str">
            <v>REFACCIONES Y ACCESORIOS MAYORES</v>
          </cell>
          <cell r="E19">
            <v>12215020</v>
          </cell>
          <cell r="F19">
            <v>12215021</v>
          </cell>
          <cell r="G19">
            <v>44410502</v>
          </cell>
          <cell r="H19">
            <v>12215022</v>
          </cell>
          <cell r="I19">
            <v>43405502</v>
          </cell>
        </row>
        <row r="20">
          <cell r="A20">
            <v>12208100</v>
          </cell>
          <cell r="B20">
            <v>5801</v>
          </cell>
          <cell r="C20">
            <v>12218010</v>
          </cell>
          <cell r="D20" t="str">
            <v>MAQ. Y EQUIPO DE DEFENSA PUBLICA</v>
          </cell>
          <cell r="E20">
            <v>12218010</v>
          </cell>
          <cell r="F20">
            <v>12218011</v>
          </cell>
          <cell r="G20">
            <v>44410801</v>
          </cell>
          <cell r="H20">
            <v>12218012</v>
          </cell>
          <cell r="I20">
            <v>43405801</v>
          </cell>
        </row>
        <row r="21">
          <cell r="A21">
            <v>12208200</v>
          </cell>
          <cell r="B21">
            <v>5802</v>
          </cell>
          <cell r="C21">
            <v>12218020</v>
          </cell>
          <cell r="D21" t="str">
            <v>EQUIPO DE SEGURIDAD PUBLICA</v>
          </cell>
          <cell r="E21">
            <v>12218020</v>
          </cell>
          <cell r="F21">
            <v>12218021</v>
          </cell>
          <cell r="G21">
            <v>44410802</v>
          </cell>
          <cell r="H21">
            <v>12218022</v>
          </cell>
          <cell r="I21">
            <v>43405802</v>
          </cell>
        </row>
        <row r="22">
          <cell r="A22">
            <v>12209100</v>
          </cell>
          <cell r="B22">
            <v>5901</v>
          </cell>
          <cell r="C22">
            <v>12219010</v>
          </cell>
          <cell r="D22" t="str">
            <v>OTROS BIENES MUEBLES PARA SERVICIOS EDUCATIVOS</v>
          </cell>
          <cell r="E22">
            <v>12219010</v>
          </cell>
          <cell r="F22">
            <v>12219011</v>
          </cell>
          <cell r="G22">
            <v>44410801</v>
          </cell>
        </row>
        <row r="23">
          <cell r="A23">
            <v>12504000</v>
          </cell>
          <cell r="B23">
            <v>5701</v>
          </cell>
          <cell r="C23">
            <v>12227010</v>
          </cell>
          <cell r="D23" t="str">
            <v>EDIFICIOS Y LOCALES</v>
          </cell>
          <cell r="E23">
            <v>12227010</v>
          </cell>
          <cell r="F23">
            <v>12227011</v>
          </cell>
          <cell r="G23">
            <v>44410701</v>
          </cell>
          <cell r="H23">
            <v>12227012</v>
          </cell>
          <cell r="I23">
            <v>43405701</v>
          </cell>
        </row>
        <row r="24">
          <cell r="A24">
            <v>12502000</v>
          </cell>
          <cell r="B24">
            <v>5702</v>
          </cell>
          <cell r="C24">
            <v>12227020</v>
          </cell>
          <cell r="D24" t="str">
            <v xml:space="preserve">TERRENOS </v>
          </cell>
          <cell r="E24">
            <v>12227020</v>
          </cell>
        </row>
        <row r="25">
          <cell r="B25">
            <v>5703</v>
          </cell>
          <cell r="C25">
            <v>12227030</v>
          </cell>
          <cell r="D25" t="str">
            <v>ADJUDICACIONES, EXPROPIACIÓNES E INDEMNIZACIONES DE INMUEBLES.</v>
          </cell>
          <cell r="E25">
            <v>12227030</v>
          </cell>
          <cell r="F25">
            <v>12227031</v>
          </cell>
          <cell r="G25">
            <v>44410703</v>
          </cell>
          <cell r="H25">
            <v>12227032</v>
          </cell>
          <cell r="I25">
            <v>43405703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ING-EGR"/>
      <sheetName val="ingresos (2)"/>
      <sheetName val="FUENTES DE FINANCIAMIENTO"/>
      <sheetName val="Egresos"/>
      <sheetName val="Hoja2"/>
      <sheetName val="CONCURRENCIA"/>
      <sheetName val="Nómina"/>
      <sheetName val="RESUMEN UR"/>
      <sheetName val="C.F"/>
      <sheetName val="E.ACTUARIAL"/>
      <sheetName val="Nomina 2019"/>
      <sheetName val="Nomina 2020"/>
      <sheetName val="LDF"/>
      <sheetName val="Hoja1"/>
      <sheetName val="descentralizado"/>
      <sheetName val="FORTAMUN"/>
      <sheetName val="FAISM"/>
      <sheetName val="com v anterior"/>
      <sheetName val="MANT.AUTOS "/>
      <sheetName val="verificaciones"/>
      <sheetName val="Arrendamiento 2020"/>
      <sheetName val="PRESUPUESTO 2020"/>
      <sheetName val="COMPARATIVO COMBUSTIBLE"/>
    </sheetNames>
    <sheetDataSet>
      <sheetData sheetId="0"/>
      <sheetData sheetId="1"/>
      <sheetData sheetId="2">
        <row r="3">
          <cell r="A3" t="str">
            <v>Etiquetas de fila</v>
          </cell>
          <cell r="B3" t="str">
            <v>Suma de Presupuesto 2020</v>
          </cell>
          <cell r="E3" t="str">
            <v>Etiquetas de fila</v>
          </cell>
          <cell r="F3" t="str">
            <v>Suma de PROPUESTA TESORERIA</v>
          </cell>
        </row>
        <row r="4">
          <cell r="A4">
            <v>1100117</v>
          </cell>
          <cell r="B4">
            <v>1105768</v>
          </cell>
          <cell r="E4">
            <v>1100116</v>
          </cell>
          <cell r="F4">
            <v>0</v>
          </cell>
        </row>
        <row r="5">
          <cell r="A5">
            <v>1100118</v>
          </cell>
          <cell r="B5">
            <v>317707.53999999998</v>
          </cell>
          <cell r="E5">
            <v>1100117</v>
          </cell>
          <cell r="F5">
            <v>1105768</v>
          </cell>
        </row>
        <row r="6">
          <cell r="A6">
            <v>1100119</v>
          </cell>
          <cell r="B6">
            <v>102850204.5</v>
          </cell>
          <cell r="E6">
            <v>1100118</v>
          </cell>
          <cell r="F6">
            <v>317707.53999999998</v>
          </cell>
        </row>
        <row r="7">
          <cell r="A7">
            <v>1100120</v>
          </cell>
          <cell r="B7">
            <v>653025157.80999994</v>
          </cell>
          <cell r="E7">
            <v>1100119</v>
          </cell>
          <cell r="F7">
            <v>102850204.5</v>
          </cell>
        </row>
        <row r="8">
          <cell r="A8">
            <v>1201019</v>
          </cell>
          <cell r="B8">
            <v>18000000</v>
          </cell>
          <cell r="E8">
            <v>1100120</v>
          </cell>
          <cell r="F8">
            <v>653025157.80999994</v>
          </cell>
        </row>
        <row r="9">
          <cell r="A9">
            <v>1500520</v>
          </cell>
          <cell r="B9">
            <v>638470052.25999999</v>
          </cell>
          <cell r="E9">
            <v>1201017</v>
          </cell>
          <cell r="F9">
            <v>0</v>
          </cell>
        </row>
        <row r="10">
          <cell r="A10">
            <v>2510120</v>
          </cell>
          <cell r="B10">
            <v>96224013.950000003</v>
          </cell>
          <cell r="E10">
            <v>1201019</v>
          </cell>
          <cell r="F10">
            <v>18000000</v>
          </cell>
        </row>
        <row r="11">
          <cell r="A11">
            <v>2510220</v>
          </cell>
          <cell r="B11">
            <v>336819891.94999999</v>
          </cell>
          <cell r="E11">
            <v>1500518</v>
          </cell>
          <cell r="F11">
            <v>0</v>
          </cell>
        </row>
        <row r="12">
          <cell r="A12">
            <v>2520319</v>
          </cell>
          <cell r="B12">
            <v>1141842.92</v>
          </cell>
          <cell r="E12">
            <v>1500520</v>
          </cell>
          <cell r="F12">
            <v>638470052.26000035</v>
          </cell>
        </row>
        <row r="13">
          <cell r="A13">
            <v>2520320</v>
          </cell>
          <cell r="B13">
            <v>18424175</v>
          </cell>
          <cell r="E13">
            <v>1701119</v>
          </cell>
          <cell r="F13">
            <v>0</v>
          </cell>
        </row>
        <row r="14">
          <cell r="A14" t="str">
            <v>(en blanco)</v>
          </cell>
          <cell r="B14">
            <v>6098381252.0600023</v>
          </cell>
          <cell r="E14">
            <v>2510120</v>
          </cell>
          <cell r="F14">
            <v>96224013.950000003</v>
          </cell>
        </row>
        <row r="15">
          <cell r="A15">
            <v>2610120</v>
          </cell>
          <cell r="B15">
            <v>10600000</v>
          </cell>
          <cell r="E15">
            <v>2510220</v>
          </cell>
          <cell r="F15">
            <v>336819891.95000005</v>
          </cell>
        </row>
        <row r="16">
          <cell r="A16">
            <v>2610118</v>
          </cell>
          <cell r="B16">
            <v>1025217.4000000001</v>
          </cell>
          <cell r="E16">
            <v>2520317</v>
          </cell>
          <cell r="F16">
            <v>0</v>
          </cell>
        </row>
        <row r="17">
          <cell r="A17">
            <v>2610117</v>
          </cell>
          <cell r="B17">
            <v>4840111</v>
          </cell>
          <cell r="E17">
            <v>2520318</v>
          </cell>
          <cell r="F17">
            <v>0</v>
          </cell>
        </row>
        <row r="18">
          <cell r="A18">
            <v>2610119</v>
          </cell>
          <cell r="B18">
            <v>25559557.07</v>
          </cell>
          <cell r="E18">
            <v>2520319</v>
          </cell>
          <cell r="F18">
            <v>1141842.92</v>
          </cell>
        </row>
        <row r="19">
          <cell r="A19" t="str">
            <v>Total general</v>
          </cell>
          <cell r="B19">
            <v>8006784951.4600019</v>
          </cell>
          <cell r="E19">
            <v>2520320</v>
          </cell>
          <cell r="F19">
            <v>18424175</v>
          </cell>
        </row>
        <row r="20">
          <cell r="E20">
            <v>2610116</v>
          </cell>
          <cell r="F20">
            <v>0</v>
          </cell>
        </row>
        <row r="21">
          <cell r="E21">
            <v>2610117</v>
          </cell>
          <cell r="F21">
            <v>4840111</v>
          </cell>
        </row>
        <row r="22">
          <cell r="E22">
            <v>2610118</v>
          </cell>
          <cell r="F22">
            <v>1025217.4000000001</v>
          </cell>
        </row>
        <row r="23">
          <cell r="E23">
            <v>2610119</v>
          </cell>
          <cell r="F23">
            <v>25559557.07</v>
          </cell>
        </row>
        <row r="24">
          <cell r="E24">
            <v>2610120</v>
          </cell>
          <cell r="F24">
            <v>10600000</v>
          </cell>
        </row>
        <row r="25">
          <cell r="E25" t="str">
            <v>1.1.2</v>
          </cell>
          <cell r="F25">
            <v>14722506.279999997</v>
          </cell>
        </row>
        <row r="26">
          <cell r="E26" t="str">
            <v>1.2.1</v>
          </cell>
          <cell r="F26">
            <v>2181894.75</v>
          </cell>
        </row>
        <row r="27">
          <cell r="E27" t="str">
            <v>1.2.2</v>
          </cell>
          <cell r="F27">
            <v>4990507.370000001</v>
          </cell>
        </row>
        <row r="28">
          <cell r="E28" t="str">
            <v>1.3.1</v>
          </cell>
          <cell r="F28">
            <v>36581610.440000005</v>
          </cell>
        </row>
        <row r="29">
          <cell r="E29" t="str">
            <v>1.3.2</v>
          </cell>
          <cell r="F29">
            <v>28046768.010000002</v>
          </cell>
        </row>
        <row r="30">
          <cell r="E30" t="str">
            <v>1.3.3</v>
          </cell>
          <cell r="F30">
            <v>15076547.149999999</v>
          </cell>
        </row>
        <row r="31">
          <cell r="E31" t="str">
            <v>1.3.5</v>
          </cell>
          <cell r="F31">
            <v>16248903.699999999</v>
          </cell>
        </row>
        <row r="32">
          <cell r="E32" t="str">
            <v>1.4.1</v>
          </cell>
          <cell r="F32">
            <v>6400257.3299999991</v>
          </cell>
        </row>
        <row r="33">
          <cell r="E33" t="str">
            <v>1.5.1</v>
          </cell>
          <cell r="F33">
            <v>1880646.01</v>
          </cell>
        </row>
        <row r="34">
          <cell r="E34" t="str">
            <v>1.5.2</v>
          </cell>
          <cell r="F34">
            <v>73766785.199999988</v>
          </cell>
        </row>
        <row r="35">
          <cell r="E35" t="str">
            <v>1.7.1</v>
          </cell>
          <cell r="F35">
            <v>396788612.11000001</v>
          </cell>
        </row>
        <row r="36">
          <cell r="E36" t="str">
            <v>1.7.2</v>
          </cell>
          <cell r="F36">
            <v>25264566.579999998</v>
          </cell>
        </row>
        <row r="37">
          <cell r="E37" t="str">
            <v>1.7.3</v>
          </cell>
          <cell r="F37">
            <v>345788.44</v>
          </cell>
        </row>
        <row r="38">
          <cell r="E38" t="str">
            <v>1.8.2</v>
          </cell>
          <cell r="F38">
            <v>13954441.119999999</v>
          </cell>
        </row>
        <row r="39">
          <cell r="E39" t="str">
            <v>1.8.3</v>
          </cell>
          <cell r="F39">
            <v>23290693.800000001</v>
          </cell>
        </row>
        <row r="40">
          <cell r="E40" t="str">
            <v>1.8.4</v>
          </cell>
          <cell r="F40">
            <v>2799814.59</v>
          </cell>
        </row>
        <row r="41">
          <cell r="E41" t="str">
            <v>1.8.5</v>
          </cell>
          <cell r="F41">
            <v>150558411.13</v>
          </cell>
        </row>
        <row r="42">
          <cell r="E42" t="str">
            <v>2.1.1</v>
          </cell>
          <cell r="F42">
            <v>86139717.419999987</v>
          </cell>
        </row>
        <row r="43">
          <cell r="E43" t="str">
            <v>2.1.3</v>
          </cell>
          <cell r="F43">
            <v>5000000</v>
          </cell>
        </row>
        <row r="44">
          <cell r="E44" t="str">
            <v>2.1.4</v>
          </cell>
          <cell r="F44">
            <v>700000</v>
          </cell>
        </row>
        <row r="45">
          <cell r="E45" t="str">
            <v>2.1.6</v>
          </cell>
          <cell r="F45">
            <v>18093703.920000002</v>
          </cell>
        </row>
        <row r="46">
          <cell r="E46" t="str">
            <v>2.2.1</v>
          </cell>
          <cell r="F46">
            <v>381108559.25999999</v>
          </cell>
        </row>
        <row r="47">
          <cell r="E47" t="str">
            <v>2.2.2</v>
          </cell>
          <cell r="F47">
            <v>50176178.669999994</v>
          </cell>
        </row>
        <row r="48">
          <cell r="E48" t="str">
            <v>2.2.3</v>
          </cell>
          <cell r="F48">
            <v>5127748.2</v>
          </cell>
        </row>
        <row r="49">
          <cell r="E49" t="str">
            <v>2.2.4</v>
          </cell>
          <cell r="F49">
            <v>112875129.98000002</v>
          </cell>
        </row>
        <row r="50">
          <cell r="E50" t="str">
            <v>2.2.5</v>
          </cell>
          <cell r="F50">
            <v>12656825.530000001</v>
          </cell>
        </row>
        <row r="51">
          <cell r="E51" t="str">
            <v>2.2.6</v>
          </cell>
          <cell r="F51">
            <v>77012406.959999993</v>
          </cell>
        </row>
        <row r="52">
          <cell r="E52" t="str">
            <v>2.3.1</v>
          </cell>
          <cell r="F52">
            <v>7691185.2199999997</v>
          </cell>
        </row>
        <row r="53">
          <cell r="E53" t="str">
            <v>2.4.1</v>
          </cell>
          <cell r="F53">
            <v>28633302</v>
          </cell>
        </row>
        <row r="54">
          <cell r="E54" t="str">
            <v>2.4.2</v>
          </cell>
          <cell r="F54">
            <v>29858000</v>
          </cell>
        </row>
        <row r="55">
          <cell r="E55" t="str">
            <v>2.5.6</v>
          </cell>
          <cell r="F55">
            <v>14524059.390000001</v>
          </cell>
        </row>
        <row r="56">
          <cell r="E56" t="str">
            <v>2.6.1</v>
          </cell>
          <cell r="F56">
            <v>3280000</v>
          </cell>
        </row>
        <row r="57">
          <cell r="E57" t="str">
            <v>2.6.3</v>
          </cell>
          <cell r="F57">
            <v>3787000</v>
          </cell>
        </row>
        <row r="58">
          <cell r="E58" t="str">
            <v>2.6.9</v>
          </cell>
          <cell r="F58">
            <v>37202336</v>
          </cell>
        </row>
        <row r="59">
          <cell r="E59" t="str">
            <v>2.7.1</v>
          </cell>
          <cell r="F59">
            <v>32233771.759999998</v>
          </cell>
        </row>
        <row r="60">
          <cell r="E60" t="str">
            <v>3.1.1</v>
          </cell>
          <cell r="F60">
            <v>22228489.240000002</v>
          </cell>
        </row>
        <row r="61">
          <cell r="E61" t="str">
            <v>3.5.6</v>
          </cell>
          <cell r="F61">
            <v>100067483.12</v>
          </cell>
        </row>
        <row r="62">
          <cell r="E62" t="str">
            <v>3.6.1</v>
          </cell>
          <cell r="F62">
            <v>17200905.02</v>
          </cell>
        </row>
        <row r="63">
          <cell r="E63" t="str">
            <v>3.7.1</v>
          </cell>
          <cell r="F63">
            <v>5330711</v>
          </cell>
        </row>
        <row r="64">
          <cell r="E64" t="str">
            <v>4.1.1</v>
          </cell>
          <cell r="F64">
            <v>44577432.700000003</v>
          </cell>
        </row>
        <row r="65">
          <cell r="E65" t="str">
            <v>(en blanco)</v>
          </cell>
          <cell r="F65">
            <v>3816807398.7999997</v>
          </cell>
        </row>
        <row r="66">
          <cell r="E66" t="str">
            <v>Total general</v>
          </cell>
          <cell r="F66">
            <v>7633614797.6000004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anentes"/>
      <sheetName val="Hoja2"/>
      <sheetName val="Hoja1"/>
    </sheetNames>
    <sheetDataSet>
      <sheetData sheetId="0"/>
      <sheetData sheetId="1"/>
      <sheetData sheetId="2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</row>
        <row r="3">
          <cell r="A3">
            <v>1111</v>
          </cell>
          <cell r="B3" t="str">
            <v>Dietas</v>
          </cell>
        </row>
        <row r="4">
          <cell r="A4">
            <v>1121</v>
          </cell>
          <cell r="B4" t="str">
            <v>Haberes</v>
          </cell>
        </row>
        <row r="5">
          <cell r="A5">
            <v>1131</v>
          </cell>
          <cell r="B5" t="str">
            <v>Sueldos Base</v>
          </cell>
        </row>
        <row r="6">
          <cell r="A6">
            <v>1132</v>
          </cell>
          <cell r="B6" t="str">
            <v>Sueldos de confianza</v>
          </cell>
        </row>
        <row r="7">
          <cell r="A7">
            <v>1141</v>
          </cell>
          <cell r="B7" t="str">
            <v>Remuneraciones en el extranjero</v>
          </cell>
        </row>
        <row r="8">
          <cell r="A8">
            <v>1211</v>
          </cell>
          <cell r="B8" t="str">
            <v>Honorarios</v>
          </cell>
        </row>
        <row r="9">
          <cell r="A9">
            <v>1212</v>
          </cell>
          <cell r="B9" t="str">
            <v>Honorarios asimilados</v>
          </cell>
        </row>
        <row r="10">
          <cell r="A10">
            <v>1221</v>
          </cell>
          <cell r="B10" t="str">
            <v>Remuneraciones para eventuales</v>
          </cell>
        </row>
        <row r="11">
          <cell r="A11">
            <v>1231</v>
          </cell>
          <cell r="B11" t="str">
            <v>Servicio social</v>
          </cell>
        </row>
        <row r="12">
          <cell r="A12">
            <v>1241</v>
          </cell>
          <cell r="B12" t="str">
            <v>Junta de Conciliación y Arbitraje</v>
          </cell>
        </row>
        <row r="13">
          <cell r="A13">
            <v>1311</v>
          </cell>
          <cell r="B13" t="str">
            <v xml:space="preserve">Prima quinquenal </v>
          </cell>
        </row>
        <row r="14">
          <cell r="A14">
            <v>1312</v>
          </cell>
          <cell r="B14" t="str">
            <v>Antigüedad</v>
          </cell>
        </row>
        <row r="15">
          <cell r="A15">
            <v>1321</v>
          </cell>
          <cell r="B15" t="str">
            <v>Prima Vacacional</v>
          </cell>
        </row>
        <row r="16">
          <cell r="A16">
            <v>1322</v>
          </cell>
          <cell r="B16" t="str">
            <v>Prima Dominical</v>
          </cell>
        </row>
        <row r="17">
          <cell r="A17">
            <v>1323</v>
          </cell>
          <cell r="B17" t="str">
            <v>Gratificación de fin de año</v>
          </cell>
        </row>
        <row r="18">
          <cell r="A18">
            <v>1331</v>
          </cell>
          <cell r="B18" t="str">
            <v>Remuneraciones por horas extraordinarias</v>
          </cell>
        </row>
        <row r="19">
          <cell r="A19">
            <v>1341</v>
          </cell>
          <cell r="B19" t="str">
            <v>Compensaciones por servicios eventuales</v>
          </cell>
        </row>
        <row r="20">
          <cell r="A20">
            <v>1342</v>
          </cell>
          <cell r="B20" t="str">
            <v>Compensaciones por servicios</v>
          </cell>
        </row>
        <row r="21">
          <cell r="A21">
            <v>1351</v>
          </cell>
          <cell r="B21" t="str">
            <v>Sobrehaberes</v>
          </cell>
        </row>
        <row r="22">
          <cell r="A22">
            <v>1361</v>
          </cell>
          <cell r="B22" t="str">
            <v>Técnico especial</v>
          </cell>
        </row>
        <row r="23">
          <cell r="A23">
            <v>1371</v>
          </cell>
          <cell r="B23" t="str">
            <v>Honorarios especiales</v>
          </cell>
        </row>
        <row r="24">
          <cell r="A24">
            <v>1381</v>
          </cell>
          <cell r="B24" t="str">
            <v>Participaciones por vigilancia</v>
          </cell>
        </row>
        <row r="25">
          <cell r="A25">
            <v>1411</v>
          </cell>
          <cell r="B25" t="str">
            <v>Aportaciones al ISSEG</v>
          </cell>
        </row>
        <row r="26">
          <cell r="A26">
            <v>1412</v>
          </cell>
          <cell r="B26" t="str">
            <v>Cuotas al ISSSTE</v>
          </cell>
        </row>
        <row r="27">
          <cell r="A27">
            <v>1413</v>
          </cell>
          <cell r="B27" t="str">
            <v>Aportaciones IMSS</v>
          </cell>
        </row>
        <row r="28">
          <cell r="A28">
            <v>1421</v>
          </cell>
          <cell r="B28" t="str">
            <v>Aportaciones INFONAVIT</v>
          </cell>
        </row>
        <row r="29">
          <cell r="A29">
            <v>1431</v>
          </cell>
          <cell r="B29" t="str">
            <v>Ahorro para el retiro</v>
          </cell>
        </row>
        <row r="30">
          <cell r="A30">
            <v>1441</v>
          </cell>
          <cell r="B30" t="str">
            <v>Seguros</v>
          </cell>
        </row>
        <row r="31">
          <cell r="A31">
            <v>1511</v>
          </cell>
          <cell r="B31" t="str">
            <v>Cuotas para el fondo de ahorro</v>
          </cell>
        </row>
        <row r="32">
          <cell r="A32">
            <v>1512</v>
          </cell>
          <cell r="B32" t="str">
            <v>Cuotas para fondo de trabajo</v>
          </cell>
        </row>
        <row r="33">
          <cell r="A33">
            <v>1521</v>
          </cell>
          <cell r="B33" t="str">
            <v>Indemnizaciones por accidentes en el trabajo</v>
          </cell>
        </row>
        <row r="34">
          <cell r="A34">
            <v>1522</v>
          </cell>
          <cell r="B34" t="str">
            <v>Liquidaciones por indemnizaciones y por sueldos y salarios caídos</v>
          </cell>
        </row>
        <row r="35">
          <cell r="A35">
            <v>1523</v>
          </cell>
          <cell r="B35" t="str">
            <v>Pago por riesgo</v>
          </cell>
        </row>
        <row r="36">
          <cell r="A36">
            <v>1531</v>
          </cell>
          <cell r="B36" t="str">
            <v>Prestaciones de retiro</v>
          </cell>
        </row>
        <row r="37">
          <cell r="A37">
            <v>1532</v>
          </cell>
          <cell r="B37" t="str">
            <v>Haberes de retiro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</row>
        <row r="39">
          <cell r="A39">
            <v>1551</v>
          </cell>
          <cell r="B39" t="str">
            <v>Capacitación de los servidores públicos</v>
          </cell>
        </row>
        <row r="40">
          <cell r="A40">
            <v>1561</v>
          </cell>
          <cell r="B40" t="str">
            <v>Asignaciones adicionales al sueldo</v>
          </cell>
        </row>
        <row r="41">
          <cell r="A41">
            <v>1562</v>
          </cell>
          <cell r="B41" t="str">
            <v>Otras prestaciones</v>
          </cell>
        </row>
        <row r="42">
          <cell r="A42">
            <v>1591</v>
          </cell>
          <cell r="B42" t="str">
            <v>Asignaciones adicionales al sueldo</v>
          </cell>
        </row>
        <row r="43">
          <cell r="A43">
            <v>1592</v>
          </cell>
          <cell r="B43" t="str">
            <v>Otras prestaciones</v>
          </cell>
        </row>
        <row r="44">
          <cell r="A44">
            <v>1593</v>
          </cell>
          <cell r="B44" t="str">
            <v>Despensas</v>
          </cell>
        </row>
        <row r="45">
          <cell r="A45">
            <v>1611</v>
          </cell>
          <cell r="B45" t="str">
            <v>Previsiones de carácter laboral</v>
          </cell>
        </row>
        <row r="46">
          <cell r="A46">
            <v>1612</v>
          </cell>
          <cell r="B46" t="str">
            <v>Previsiones de carácter económico</v>
          </cell>
        </row>
        <row r="47">
          <cell r="A47">
            <v>1613</v>
          </cell>
          <cell r="B47" t="str">
            <v>Previsiones de carácter de seguridad social</v>
          </cell>
        </row>
        <row r="48">
          <cell r="A48">
            <v>1711</v>
          </cell>
          <cell r="B48" t="str">
            <v xml:space="preserve">Estímulos por productividad y eficiencia </v>
          </cell>
        </row>
        <row r="49">
          <cell r="A49">
            <v>1712</v>
          </cell>
          <cell r="B49" t="str">
            <v xml:space="preserve">Estímulos al personal operativo </v>
          </cell>
        </row>
        <row r="50">
          <cell r="A50">
            <v>1721</v>
          </cell>
          <cell r="B50" t="str">
            <v>Recompensas</v>
          </cell>
        </row>
        <row r="51">
          <cell r="A51">
            <v>1811</v>
          </cell>
          <cell r="B51" t="str">
            <v>Impuesto sobre nóminas</v>
          </cell>
        </row>
        <row r="52">
          <cell r="A52">
            <v>1821</v>
          </cell>
          <cell r="B52" t="str">
            <v>Otros impuestos</v>
          </cell>
        </row>
        <row r="53">
          <cell r="A53">
            <v>2000</v>
          </cell>
          <cell r="B53" t="str">
            <v>Materiales y Suministros</v>
          </cell>
        </row>
        <row r="54">
          <cell r="A54">
            <v>2111</v>
          </cell>
          <cell r="B54" t="str">
            <v>Materiales y útiles de oficina</v>
          </cell>
        </row>
        <row r="55">
          <cell r="A55">
            <v>2112</v>
          </cell>
          <cell r="B55" t="str">
            <v>Equipos menores de oficina</v>
          </cell>
        </row>
        <row r="56">
          <cell r="A56">
            <v>2121</v>
          </cell>
          <cell r="B56" t="str">
            <v>Materiales y útiles de impresión y reproducción</v>
          </cell>
        </row>
        <row r="57">
          <cell r="A57">
            <v>2131</v>
          </cell>
          <cell r="B57" t="str">
            <v>Material estadístico y geográfico</v>
          </cell>
        </row>
        <row r="58">
          <cell r="A58">
            <v>2141</v>
          </cell>
          <cell r="B58" t="str">
            <v>Materiales y útiles de tecnologías de la información y comunicaciones</v>
          </cell>
        </row>
        <row r="59">
          <cell r="A59">
            <v>2142</v>
          </cell>
          <cell r="B59" t="str">
            <v>Equipos menores de tecnologías de la información y comunicaciones</v>
          </cell>
        </row>
        <row r="60">
          <cell r="A60">
            <v>2151</v>
          </cell>
          <cell r="B60" t="str">
            <v>Material impreso e información digital</v>
          </cell>
        </row>
        <row r="61">
          <cell r="A61">
            <v>2161</v>
          </cell>
          <cell r="B61" t="str">
            <v>Material de limpieza</v>
          </cell>
        </row>
        <row r="62">
          <cell r="A62">
            <v>2171</v>
          </cell>
          <cell r="B62" t="str">
            <v>Materiales y útiles de enseñanza</v>
          </cell>
        </row>
        <row r="63">
          <cell r="A63">
            <v>2181</v>
          </cell>
          <cell r="B63" t="str">
            <v>Materiales para el registro e identificación de bienes</v>
          </cell>
        </row>
        <row r="64">
          <cell r="A64">
            <v>2182</v>
          </cell>
          <cell r="B64" t="str">
            <v>Materiales para el registro e identificación de personas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</row>
        <row r="67">
          <cell r="A67">
            <v>2213</v>
          </cell>
          <cell r="B67" t="str">
            <v>Productos alimenticios para la población en caso de desastres naturales</v>
          </cell>
        </row>
        <row r="68">
          <cell r="A68">
            <v>2214</v>
          </cell>
          <cell r="B68" t="str">
            <v>Alimentos Centro de detención municipal</v>
          </cell>
        </row>
        <row r="69">
          <cell r="A69">
            <v>2221</v>
          </cell>
          <cell r="B69" t="str">
            <v>Productos alimenticios para animales</v>
          </cell>
        </row>
        <row r="70">
          <cell r="A70">
            <v>2231</v>
          </cell>
          <cell r="B70" t="str">
            <v>Utensilios para el servicio de alimentación</v>
          </cell>
        </row>
        <row r="71">
          <cell r="A71">
            <v>2311</v>
          </cell>
          <cell r="B71" t="str">
            <v>Productos alimenticios, agropecuarios y forestales</v>
          </cell>
        </row>
        <row r="72">
          <cell r="A72">
            <v>2312</v>
          </cell>
          <cell r="B72" t="str">
            <v xml:space="preserve">Material agropecuario </v>
          </cell>
        </row>
        <row r="73">
          <cell r="A73">
            <v>2321</v>
          </cell>
          <cell r="B73" t="str">
            <v>Insumos textiles</v>
          </cell>
        </row>
        <row r="74">
          <cell r="A74">
            <v>2331</v>
          </cell>
          <cell r="B74" t="str">
            <v>Productos de papel, cartón e impresos</v>
          </cell>
        </row>
        <row r="75">
          <cell r="A75">
            <v>2341</v>
          </cell>
          <cell r="B75" t="str">
            <v>Combustibles, lubricantes, aditivos, carbon y sus derivados</v>
          </cell>
        </row>
        <row r="76">
          <cell r="A76">
            <v>2351</v>
          </cell>
          <cell r="B76" t="str">
            <v>Productos químicos, farmacéuticos y de laboratorio</v>
          </cell>
        </row>
        <row r="77">
          <cell r="A77">
            <v>2361</v>
          </cell>
          <cell r="B77" t="str">
            <v>Productos metálicos y a base de minerales no metálicos</v>
          </cell>
        </row>
        <row r="78">
          <cell r="A78">
            <v>2371</v>
          </cell>
          <cell r="B78" t="str">
            <v>Productos de cuero, piel, plástico y hule</v>
          </cell>
        </row>
        <row r="79">
          <cell r="A79">
            <v>2381</v>
          </cell>
          <cell r="B79" t="str">
            <v>Mercancías para su comercialización en tiendas del sector público</v>
          </cell>
        </row>
        <row r="80">
          <cell r="A80">
            <v>2382</v>
          </cell>
          <cell r="B80" t="str">
            <v>Mercancías para su distribución a la población</v>
          </cell>
        </row>
        <row r="81">
          <cell r="A81">
            <v>2391</v>
          </cell>
          <cell r="B81" t="str">
            <v xml:space="preserve">Otros productos </v>
          </cell>
        </row>
        <row r="82">
          <cell r="A82">
            <v>2411</v>
          </cell>
          <cell r="B82" t="str">
            <v>Materiales de construcción minerales no metálicos</v>
          </cell>
        </row>
        <row r="83">
          <cell r="A83">
            <v>2421</v>
          </cell>
          <cell r="B83" t="str">
            <v>Materiales de construcción de concreto</v>
          </cell>
        </row>
        <row r="84">
          <cell r="A84">
            <v>2431</v>
          </cell>
          <cell r="B84" t="str">
            <v>Materiales de construcción de cal y yeso</v>
          </cell>
        </row>
        <row r="85">
          <cell r="A85">
            <v>2441</v>
          </cell>
          <cell r="B85" t="str">
            <v>Materiales de construcción de madera</v>
          </cell>
        </row>
        <row r="86">
          <cell r="A86">
            <v>2451</v>
          </cell>
          <cell r="B86" t="str">
            <v>Materiales de construcción de vidrio</v>
          </cell>
        </row>
        <row r="87">
          <cell r="A87">
            <v>2461</v>
          </cell>
          <cell r="B87" t="str">
            <v>Material eléctrico y electrónico</v>
          </cell>
        </row>
        <row r="88">
          <cell r="A88">
            <v>2471</v>
          </cell>
          <cell r="B88" t="str">
            <v>Estructuras y manufacturas</v>
          </cell>
        </row>
        <row r="89">
          <cell r="A89">
            <v>2481</v>
          </cell>
          <cell r="B89" t="str">
            <v xml:space="preserve">Materiales complementarios </v>
          </cell>
        </row>
        <row r="90">
          <cell r="A90">
            <v>2491</v>
          </cell>
          <cell r="B90" t="str">
            <v xml:space="preserve">Materiales diversos </v>
          </cell>
        </row>
        <row r="91">
          <cell r="A91">
            <v>2492</v>
          </cell>
          <cell r="B91" t="str">
            <v>Material para señalética</v>
          </cell>
        </row>
        <row r="92">
          <cell r="A92">
            <v>2493</v>
          </cell>
          <cell r="B92" t="str">
            <v>Material para semaforización</v>
          </cell>
        </row>
        <row r="93">
          <cell r="A93">
            <v>2511</v>
          </cell>
          <cell r="B93" t="str">
            <v>Sustancias químicas</v>
          </cell>
        </row>
        <row r="94">
          <cell r="A94">
            <v>2521</v>
          </cell>
          <cell r="B94" t="str">
            <v>Fertilizantes y abonos</v>
          </cell>
        </row>
        <row r="95">
          <cell r="A95">
            <v>2522</v>
          </cell>
          <cell r="B95" t="str">
            <v>Plaguicidas y pesticidas</v>
          </cell>
        </row>
        <row r="96">
          <cell r="A96">
            <v>2531</v>
          </cell>
          <cell r="B96" t="str">
            <v>Medicinas y productos farmacéuticos</v>
          </cell>
        </row>
        <row r="97">
          <cell r="A97">
            <v>2541</v>
          </cell>
          <cell r="B97" t="str">
            <v>Materiales, accesorios y suministros médicos</v>
          </cell>
        </row>
        <row r="98">
          <cell r="A98">
            <v>2551</v>
          </cell>
          <cell r="B98" t="str">
            <v>Materiales, accesorios y suministros de laboratorio</v>
          </cell>
        </row>
        <row r="99">
          <cell r="A99">
            <v>2561</v>
          </cell>
          <cell r="B99" t="str">
            <v>Fibras sintéticas, hules, plásticos y derivados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</row>
        <row r="103">
          <cell r="A103">
            <v>2614</v>
          </cell>
          <cell r="B103" t="str">
            <v>Gas natural L.P</v>
          </cell>
        </row>
        <row r="104">
          <cell r="A104">
            <v>2621</v>
          </cell>
          <cell r="B104" t="str">
            <v>Carbón y sus derivados</v>
          </cell>
        </row>
        <row r="105">
          <cell r="A105">
            <v>2711</v>
          </cell>
          <cell r="B105" t="str">
            <v>Vestuario y uniformes</v>
          </cell>
        </row>
        <row r="106">
          <cell r="A106">
            <v>2721</v>
          </cell>
          <cell r="B106" t="str">
            <v>Prendas de seguridad</v>
          </cell>
        </row>
        <row r="107">
          <cell r="A107">
            <v>2722</v>
          </cell>
          <cell r="B107" t="str">
            <v>Prendas de protección personal</v>
          </cell>
        </row>
        <row r="108">
          <cell r="A108">
            <v>2731</v>
          </cell>
          <cell r="B108" t="str">
            <v>Artículos deportivos</v>
          </cell>
        </row>
        <row r="109">
          <cell r="A109">
            <v>2741</v>
          </cell>
          <cell r="B109" t="str">
            <v>Productos textiles</v>
          </cell>
        </row>
        <row r="110">
          <cell r="A110">
            <v>2751</v>
          </cell>
          <cell r="B110" t="str">
            <v>Blancos y otros productos textiles, excepto prendas de vestir</v>
          </cell>
        </row>
        <row r="111">
          <cell r="A111">
            <v>2811</v>
          </cell>
          <cell r="B111" t="str">
            <v>Sustancias y materiales explosivos</v>
          </cell>
        </row>
        <row r="112">
          <cell r="A112">
            <v>2821</v>
          </cell>
          <cell r="B112" t="str">
            <v>Materiales de seguridad pública</v>
          </cell>
        </row>
        <row r="113">
          <cell r="A113">
            <v>2831</v>
          </cell>
          <cell r="B113" t="str">
            <v xml:space="preserve">Prendas de protección para seguridad pública </v>
          </cell>
        </row>
        <row r="114">
          <cell r="A114">
            <v>2911</v>
          </cell>
          <cell r="B114" t="str">
            <v>Herramientas menores</v>
          </cell>
        </row>
        <row r="115">
          <cell r="A115">
            <v>2921</v>
          </cell>
          <cell r="B115" t="str">
            <v>Refacciones y accesorios menores de edificios</v>
          </cell>
        </row>
        <row r="116">
          <cell r="A116">
            <v>2931</v>
          </cell>
          <cell r="B116" t="str">
            <v xml:space="preserve">Refacciones y accesorios menores de mobiliario </v>
          </cell>
        </row>
        <row r="117">
          <cell r="A117">
            <v>2932</v>
          </cell>
          <cell r="B117" t="str">
            <v>Refacciones y accesorios de equipo educacional y recreativo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</row>
        <row r="120">
          <cell r="A120">
            <v>2961</v>
          </cell>
          <cell r="B120" t="str">
            <v>Refacciones y accesorios menores de equipo de transporte</v>
          </cell>
        </row>
        <row r="121">
          <cell r="A121">
            <v>2971</v>
          </cell>
          <cell r="B121" t="str">
            <v>Refacciones y accesorios menores de equipo de defensa y seguridad</v>
          </cell>
        </row>
        <row r="122">
          <cell r="A122">
            <v>2981</v>
          </cell>
          <cell r="B122" t="str">
            <v>Refacciones y accesorios menores de maquinaria y otros equipos</v>
          </cell>
        </row>
        <row r="123">
          <cell r="A123">
            <v>2991</v>
          </cell>
          <cell r="B123" t="str">
            <v>Refacciones y accesorios menores otros bienes muebles</v>
          </cell>
        </row>
        <row r="124">
          <cell r="A124">
            <v>3000</v>
          </cell>
          <cell r="B124" t="str">
            <v>Servicios Generales</v>
          </cell>
        </row>
        <row r="125">
          <cell r="A125">
            <v>3111</v>
          </cell>
          <cell r="B125" t="str">
            <v>Servicio de energía eléctrica</v>
          </cell>
        </row>
        <row r="126">
          <cell r="A126">
            <v>3112</v>
          </cell>
          <cell r="B126" t="str">
            <v>Alumbrado público</v>
          </cell>
        </row>
        <row r="127">
          <cell r="A127">
            <v>3121</v>
          </cell>
          <cell r="B127" t="str">
            <v>Servicio de gas</v>
          </cell>
        </row>
        <row r="128">
          <cell r="A128">
            <v>3131</v>
          </cell>
          <cell r="B128" t="str">
            <v>Servicio de agua</v>
          </cell>
        </row>
        <row r="129">
          <cell r="A129">
            <v>3141</v>
          </cell>
          <cell r="B129" t="str">
            <v>Servicio telefonía tradicional</v>
          </cell>
        </row>
        <row r="130">
          <cell r="A130">
            <v>3151</v>
          </cell>
          <cell r="B130" t="str">
            <v>Servicio telefonía celular</v>
          </cell>
        </row>
        <row r="131">
          <cell r="A131">
            <v>3152</v>
          </cell>
          <cell r="B131" t="str">
            <v>Radiolocalización</v>
          </cell>
        </row>
        <row r="132">
          <cell r="A132">
            <v>3161</v>
          </cell>
          <cell r="B132" t="str">
            <v>Servicios de telecomunicaciones y satélites</v>
          </cell>
        </row>
        <row r="133">
          <cell r="A133">
            <v>3171</v>
          </cell>
          <cell r="B133" t="str">
            <v>Servicios de acceso de internet</v>
          </cell>
        </row>
        <row r="134">
          <cell r="A134">
            <v>3172</v>
          </cell>
          <cell r="B134" t="str">
            <v>Servicios de redes</v>
          </cell>
        </row>
        <row r="135">
          <cell r="A135">
            <v>3173</v>
          </cell>
          <cell r="B135" t="str">
            <v>Servicios de procesamiento de información</v>
          </cell>
        </row>
        <row r="136">
          <cell r="A136">
            <v>3181</v>
          </cell>
          <cell r="B136" t="str">
            <v xml:space="preserve">Servicio postal </v>
          </cell>
        </row>
        <row r="137">
          <cell r="A137">
            <v>3182</v>
          </cell>
          <cell r="B137" t="str">
            <v xml:space="preserve">Servicio telegráfico </v>
          </cell>
        </row>
        <row r="138">
          <cell r="A138">
            <v>3191</v>
          </cell>
          <cell r="B138" t="str">
            <v>Servicios integrales</v>
          </cell>
        </row>
        <row r="139">
          <cell r="A139">
            <v>3192</v>
          </cell>
          <cell r="B139" t="str">
            <v xml:space="preserve">Contratación de otros servicios </v>
          </cell>
        </row>
        <row r="140">
          <cell r="A140">
            <v>3211</v>
          </cell>
          <cell r="B140" t="str">
            <v>Arrendamiento de terrenos</v>
          </cell>
        </row>
        <row r="141">
          <cell r="A141">
            <v>3221</v>
          </cell>
          <cell r="B141" t="str">
            <v>Arrendamiento de edificios y locales</v>
          </cell>
        </row>
        <row r="142">
          <cell r="A142">
            <v>3231</v>
          </cell>
          <cell r="B142" t="str">
            <v>Arrendamiento de mobiliario y equipo de administración</v>
          </cell>
        </row>
        <row r="143">
          <cell r="A143">
            <v>3232</v>
          </cell>
          <cell r="B143" t="str">
            <v>Arrendamiento de mobiliario y equipo educativo y recreativo</v>
          </cell>
        </row>
        <row r="144">
          <cell r="A144">
            <v>3233</v>
          </cell>
          <cell r="B144" t="str">
            <v xml:space="preserve">Arrendamiento de equipo y bienes informáticos </v>
          </cell>
        </row>
        <row r="145">
          <cell r="A145">
            <v>3241</v>
          </cell>
          <cell r="B145" t="str">
            <v>Arrendamiento de equipo e instrumental médico y de laboratorio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</row>
        <row r="148">
          <cell r="A148">
            <v>3261</v>
          </cell>
          <cell r="B148" t="str">
            <v xml:space="preserve">Arrendamiento de maquinaria y equipo </v>
          </cell>
        </row>
        <row r="149">
          <cell r="A149">
            <v>3262</v>
          </cell>
          <cell r="B149" t="str">
            <v>Arrendamiento de herramientas</v>
          </cell>
        </row>
        <row r="150">
          <cell r="A150">
            <v>3271</v>
          </cell>
          <cell r="B150" t="str">
            <v>Arrendamiento de activos intangibles</v>
          </cell>
        </row>
        <row r="151">
          <cell r="A151">
            <v>3281</v>
          </cell>
          <cell r="B151" t="str">
            <v>Arrendamiento financiero</v>
          </cell>
        </row>
        <row r="152">
          <cell r="A152">
            <v>3291</v>
          </cell>
          <cell r="B152" t="str">
            <v>Otros Arrendamientos</v>
          </cell>
        </row>
        <row r="153">
          <cell r="A153">
            <v>3311</v>
          </cell>
          <cell r="B153" t="str">
            <v>Servicios legales</v>
          </cell>
        </row>
        <row r="154">
          <cell r="A154">
            <v>3312</v>
          </cell>
          <cell r="B154" t="str">
            <v>Servicios de contabilidad</v>
          </cell>
        </row>
        <row r="155">
          <cell r="A155">
            <v>3313</v>
          </cell>
          <cell r="B155" t="str">
            <v>Servicios de auditoría</v>
          </cell>
        </row>
        <row r="156">
          <cell r="A156">
            <v>3314</v>
          </cell>
          <cell r="B156" t="str">
            <v>Otros servicios relacionados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</row>
        <row r="158">
          <cell r="A158">
            <v>3331</v>
          </cell>
          <cell r="B158" t="str">
            <v>Servicios de consultoría administrativa</v>
          </cell>
        </row>
        <row r="159">
          <cell r="A159">
            <v>3332</v>
          </cell>
          <cell r="B159" t="str">
            <v>Servicios de procesos, técnica y en tecnologías de la información</v>
          </cell>
        </row>
        <row r="160">
          <cell r="A160">
            <v>3341</v>
          </cell>
          <cell r="B160" t="str">
            <v xml:space="preserve">Servicios de capacitación </v>
          </cell>
        </row>
        <row r="161">
          <cell r="A161">
            <v>3351</v>
          </cell>
          <cell r="B161" t="str">
            <v>Servicios de investigación científica</v>
          </cell>
        </row>
        <row r="162">
          <cell r="A162">
            <v>3352</v>
          </cell>
          <cell r="B162" t="str">
            <v>Servicios de investigación de desarrollo</v>
          </cell>
        </row>
        <row r="163">
          <cell r="A163">
            <v>3353</v>
          </cell>
          <cell r="B163" t="str">
            <v>Servicios estadísticos y geográficos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</row>
        <row r="165">
          <cell r="A165">
            <v>3371</v>
          </cell>
          <cell r="B165" t="str">
            <v>Servicios de protección y seguridad</v>
          </cell>
        </row>
        <row r="166">
          <cell r="A166">
            <v>3381</v>
          </cell>
          <cell r="B166" t="str">
            <v xml:space="preserve">Servicios de vigilancia </v>
          </cell>
        </row>
        <row r="167">
          <cell r="A167">
            <v>3391</v>
          </cell>
          <cell r="B167" t="str">
            <v>Servicios profesionales, científicos y técnicos integrales</v>
          </cell>
        </row>
        <row r="168">
          <cell r="A168">
            <v>3411</v>
          </cell>
          <cell r="B168" t="str">
            <v>Servicios financieros y bancarios</v>
          </cell>
        </row>
        <row r="169">
          <cell r="A169">
            <v>3412</v>
          </cell>
          <cell r="B169" t="str">
            <v>Diferencias por variaciones en el tipo de cambio</v>
          </cell>
        </row>
        <row r="170">
          <cell r="A170">
            <v>3421</v>
          </cell>
          <cell r="B170" t="str">
            <v>Servicios de cobranza, investigación crediticia y similar</v>
          </cell>
        </row>
        <row r="171">
          <cell r="A171">
            <v>3431</v>
          </cell>
          <cell r="B171" t="str">
            <v>Servicios de recaudación, traslado y custodia de valores</v>
          </cell>
        </row>
        <row r="172">
          <cell r="A172">
            <v>3441</v>
          </cell>
          <cell r="B172" t="str">
            <v>Seguros de responsabilidad patrimonial y fianzas</v>
          </cell>
        </row>
        <row r="173">
          <cell r="A173">
            <v>3451</v>
          </cell>
          <cell r="B173" t="str">
            <v>Seguro de bienes patrimoniales</v>
          </cell>
        </row>
        <row r="174">
          <cell r="A174">
            <v>3461</v>
          </cell>
          <cell r="B174" t="str">
            <v>Almacenaje, envase y embalaje</v>
          </cell>
        </row>
        <row r="175">
          <cell r="A175">
            <v>3471</v>
          </cell>
          <cell r="B175" t="str">
            <v>Fletes y maniobras</v>
          </cell>
        </row>
        <row r="176">
          <cell r="A176">
            <v>3481</v>
          </cell>
          <cell r="B176" t="str">
            <v>Comisiones por ventas</v>
          </cell>
        </row>
        <row r="177">
          <cell r="A177">
            <v>3491</v>
          </cell>
          <cell r="B177" t="str">
            <v>Servicios financieros, bancarios y comerciales integrales</v>
          </cell>
        </row>
        <row r="178">
          <cell r="A178">
            <v>3511</v>
          </cell>
          <cell r="B178" t="str">
            <v>Conservación y mantenimiento de inmuebles</v>
          </cell>
        </row>
        <row r="179">
          <cell r="A179">
            <v>3512</v>
          </cell>
          <cell r="B179" t="str">
            <v xml:space="preserve">Adaptación de inmuebles </v>
          </cell>
        </row>
        <row r="180">
          <cell r="A180">
            <v>3513</v>
          </cell>
          <cell r="B180" t="str">
            <v>Mantenimiento de pozos y equipo de bombeo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</row>
        <row r="183">
          <cell r="A183">
            <v>3531</v>
          </cell>
          <cell r="B183" t="str">
            <v>Instalación, reparación y mantenimiento de bienes informáticos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</row>
        <row r="186">
          <cell r="A186">
            <v>3561</v>
          </cell>
          <cell r="B186" t="str">
            <v>Reparación y mantenimiento de equipo de defensa y seguridad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</row>
        <row r="188">
          <cell r="A188">
            <v>3581</v>
          </cell>
          <cell r="B188" t="str">
            <v>Servicios de limpieza y manejo de desechos</v>
          </cell>
        </row>
        <row r="189">
          <cell r="A189">
            <v>3591</v>
          </cell>
          <cell r="B189" t="str">
            <v>Servicios de jardinería y fumigación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</row>
        <row r="192">
          <cell r="A192">
            <v>3613</v>
          </cell>
          <cell r="B192" t="str">
            <v xml:space="preserve">Espectáculos culturales 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</row>
        <row r="194">
          <cell r="A194">
            <v>3621</v>
          </cell>
          <cell r="B194" t="str">
            <v>Promoción para la venta de bienes o servicios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</row>
        <row r="196">
          <cell r="A196">
            <v>3641</v>
          </cell>
          <cell r="B196" t="str">
            <v>Servicios de revelado de fotografías</v>
          </cell>
        </row>
        <row r="197">
          <cell r="A197">
            <v>3651</v>
          </cell>
          <cell r="B197" t="str">
            <v>Servicios de la industria fílmica, del sonido y del video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</row>
        <row r="199">
          <cell r="A199">
            <v>3691</v>
          </cell>
          <cell r="B199" t="str">
            <v>Otros servicios de información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</row>
        <row r="206">
          <cell r="A206">
            <v>3741</v>
          </cell>
          <cell r="B206" t="str">
            <v>Transporte en vehículos especializados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</row>
        <row r="209">
          <cell r="A209">
            <v>3771</v>
          </cell>
          <cell r="B209" t="str">
            <v>Gastos de instalación y traslado de menaje</v>
          </cell>
        </row>
        <row r="210">
          <cell r="A210">
            <v>3781</v>
          </cell>
          <cell r="B210" t="str">
            <v>Servicios integrales de traslado y viáticos</v>
          </cell>
        </row>
        <row r="211">
          <cell r="A211">
            <v>3791</v>
          </cell>
          <cell r="B211" t="str">
            <v>Otros servicios de traslado y hospedaje</v>
          </cell>
        </row>
        <row r="212">
          <cell r="A212">
            <v>3811</v>
          </cell>
          <cell r="B212" t="str">
            <v xml:space="preserve">Gastos de ceremonial del H. Ayuntamiento </v>
          </cell>
        </row>
        <row r="213">
          <cell r="A213">
            <v>3812</v>
          </cell>
          <cell r="B213" t="str">
            <v>Gastos de ceremonial de los titulares de las dependencias y entidades</v>
          </cell>
        </row>
        <row r="214">
          <cell r="A214">
            <v>3821</v>
          </cell>
          <cell r="B214" t="str">
            <v>Gastos de orden social y cultural</v>
          </cell>
        </row>
        <row r="215">
          <cell r="A215">
            <v>3831</v>
          </cell>
          <cell r="B215" t="str">
            <v>Congresos y convenciones</v>
          </cell>
        </row>
        <row r="216">
          <cell r="A216">
            <v>3841</v>
          </cell>
          <cell r="B216" t="str">
            <v>Exposiciones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</row>
        <row r="219">
          <cell r="A219">
            <v>3853</v>
          </cell>
          <cell r="B219" t="str">
            <v xml:space="preserve">Gastos de representación </v>
          </cell>
        </row>
        <row r="220">
          <cell r="A220">
            <v>3854</v>
          </cell>
          <cell r="B220" t="str">
            <v xml:space="preserve">Gastos de seguridad pública </v>
          </cell>
        </row>
        <row r="221">
          <cell r="A221">
            <v>3911</v>
          </cell>
          <cell r="B221" t="str">
            <v>Servicios funerarios y de cementerios</v>
          </cell>
        </row>
        <row r="222">
          <cell r="A222">
            <v>3921</v>
          </cell>
          <cell r="B222" t="str">
            <v>Otros impuestos y derechos</v>
          </cell>
        </row>
        <row r="223">
          <cell r="A223">
            <v>3922</v>
          </cell>
          <cell r="B223" t="str">
            <v>Impuestos y derechos de exportación</v>
          </cell>
        </row>
        <row r="224">
          <cell r="A224">
            <v>3931</v>
          </cell>
          <cell r="B224" t="str">
            <v xml:space="preserve">Impuestos y derechos de importación </v>
          </cell>
        </row>
        <row r="225">
          <cell r="A225">
            <v>3941</v>
          </cell>
          <cell r="B225" t="str">
            <v>Sentencias y resoluciones judiciales</v>
          </cell>
        </row>
        <row r="226">
          <cell r="A226">
            <v>3951</v>
          </cell>
          <cell r="B226" t="str">
            <v>Penas, multas, accesorios y actualizaciones</v>
          </cell>
        </row>
        <row r="227">
          <cell r="A227">
            <v>3961</v>
          </cell>
          <cell r="B227" t="str">
            <v xml:space="preserve">Otros gastos por responsabilidades </v>
          </cell>
        </row>
        <row r="228">
          <cell r="A228">
            <v>3981</v>
          </cell>
          <cell r="B228" t="str">
            <v>Impuestos sobre nóminas</v>
          </cell>
        </row>
        <row r="229">
          <cell r="A229">
            <v>3991</v>
          </cell>
          <cell r="B229" t="str">
            <v>Otros servicios generales(gastos de transición)</v>
          </cell>
        </row>
        <row r="230">
          <cell r="A230">
            <v>4000</v>
          </cell>
          <cell r="B230" t="str">
            <v>Transferencias, subsidios y otras ayudas</v>
          </cell>
        </row>
        <row r="231">
          <cell r="A231">
            <v>4151</v>
          </cell>
          <cell r="B231" t="str">
            <v>Transferencias para servicios personales</v>
          </cell>
        </row>
        <row r="232">
          <cell r="A232">
            <v>4152</v>
          </cell>
          <cell r="B232" t="str">
            <v>Transferencias para materiales y suministros</v>
          </cell>
        </row>
        <row r="233">
          <cell r="A233">
            <v>4153</v>
          </cell>
          <cell r="B233" t="str">
            <v>Transferencias para servicios básicos</v>
          </cell>
        </row>
        <row r="234">
          <cell r="A234">
            <v>4154</v>
          </cell>
          <cell r="B234" t="str">
            <v>Transferencias, asignaciones, subsidios y otras ayudas</v>
          </cell>
        </row>
        <row r="235">
          <cell r="A235">
            <v>4155</v>
          </cell>
          <cell r="B235" t="str">
            <v>Transferencias para bienes muebles, inmuebles e intangibles</v>
          </cell>
        </row>
        <row r="236">
          <cell r="A236">
            <v>4156</v>
          </cell>
          <cell r="B236" t="str">
            <v>Transfernecias para inversión pública</v>
          </cell>
        </row>
        <row r="237">
          <cell r="A237">
            <v>4157</v>
          </cell>
          <cell r="B237" t="str">
            <v>Transferencias para inversiones financieras y otras provisiones</v>
          </cell>
        </row>
        <row r="238">
          <cell r="A238">
            <v>4158</v>
          </cell>
          <cell r="B238" t="str">
            <v>Transferencias para participaciones y aportaciones</v>
          </cell>
        </row>
        <row r="239">
          <cell r="A239">
            <v>4159</v>
          </cell>
          <cell r="B239" t="str">
            <v>Transferencias para deuda pública</v>
          </cell>
        </row>
        <row r="240">
          <cell r="A240">
            <v>4231</v>
          </cell>
          <cell r="B240" t="str">
            <v>Transferencias para servicios personales</v>
          </cell>
        </row>
        <row r="241">
          <cell r="A241">
            <v>4232</v>
          </cell>
          <cell r="B241" t="str">
            <v>Transferencias para materiales y suministros</v>
          </cell>
        </row>
        <row r="242">
          <cell r="A242">
            <v>4233</v>
          </cell>
          <cell r="B242" t="str">
            <v>Transferencias para servicios básicos</v>
          </cell>
        </row>
        <row r="243">
          <cell r="A243">
            <v>4234</v>
          </cell>
          <cell r="B243" t="str">
            <v>Transferencias, asignaciones, subsidios y otras ayudas</v>
          </cell>
        </row>
        <row r="244">
          <cell r="A244">
            <v>4235</v>
          </cell>
          <cell r="B244" t="str">
            <v>Transferencias para bienes muebles, inmuebles e intangibles</v>
          </cell>
        </row>
        <row r="245">
          <cell r="A245">
            <v>4236</v>
          </cell>
          <cell r="B245" t="str">
            <v>Transferncias para inversión pública</v>
          </cell>
        </row>
        <row r="246">
          <cell r="A246">
            <v>4237</v>
          </cell>
          <cell r="B246" t="str">
            <v>Transferencias para inversiones financieras y otras provisiones</v>
          </cell>
        </row>
        <row r="247">
          <cell r="A247">
            <v>4238</v>
          </cell>
          <cell r="B247" t="str">
            <v>Transferencias para participaciones y aportaciones</v>
          </cell>
        </row>
        <row r="248">
          <cell r="A248">
            <v>4239</v>
          </cell>
          <cell r="B248" t="str">
            <v>Transferencias para deuda pública</v>
          </cell>
        </row>
        <row r="249">
          <cell r="A249">
            <v>4311</v>
          </cell>
          <cell r="B249" t="str">
            <v>Subsidios a la producción</v>
          </cell>
        </row>
        <row r="250">
          <cell r="A250">
            <v>4321</v>
          </cell>
          <cell r="B250" t="str">
            <v>Subsidios a la distribución</v>
          </cell>
        </row>
        <row r="251">
          <cell r="A251">
            <v>4331</v>
          </cell>
          <cell r="B251" t="str">
            <v>Subsidios para inversión</v>
          </cell>
        </row>
        <row r="252">
          <cell r="A252">
            <v>4341</v>
          </cell>
          <cell r="B252" t="str">
            <v>Subsidios a la prestación de servicios públicos</v>
          </cell>
        </row>
        <row r="253">
          <cell r="A253">
            <v>4342</v>
          </cell>
          <cell r="B253" t="str">
            <v xml:space="preserve">Subsidios a fideicomisos privados y estatales </v>
          </cell>
        </row>
        <row r="254">
          <cell r="A254">
            <v>4351</v>
          </cell>
          <cell r="B254" t="str">
            <v>Subsidios para cubrir diferenciales de tasas de interés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</row>
        <row r="256">
          <cell r="A256">
            <v>4371</v>
          </cell>
          <cell r="B256" t="str">
            <v>Subsidios al consumo</v>
          </cell>
        </row>
        <row r="257">
          <cell r="A257">
            <v>4391</v>
          </cell>
          <cell r="B257" t="str">
            <v>Subsidios sindicato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</row>
        <row r="259">
          <cell r="A259">
            <v>4412</v>
          </cell>
          <cell r="B259" t="str">
            <v xml:space="preserve">Funerales y pagas de defunción 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</row>
        <row r="262">
          <cell r="A262">
            <v>4421</v>
          </cell>
          <cell r="B262" t="str">
            <v>Becas</v>
          </cell>
        </row>
        <row r="263">
          <cell r="A263">
            <v>4431</v>
          </cell>
          <cell r="B263" t="str">
            <v>Ayudas sociales a instituciones de enseñanza</v>
          </cell>
        </row>
        <row r="264">
          <cell r="A264">
            <v>4441</v>
          </cell>
          <cell r="B264" t="str">
            <v>Ayudas sociales a actividades científicas o académicas</v>
          </cell>
        </row>
        <row r="265">
          <cell r="A265">
            <v>4451</v>
          </cell>
          <cell r="B265" t="str">
            <v>Donativos a instituciones sin fines de lucro</v>
          </cell>
        </row>
        <row r="266">
          <cell r="A266">
            <v>4461</v>
          </cell>
          <cell r="B266" t="str">
            <v>Ayudas sociales a cooperativas</v>
          </cell>
        </row>
        <row r="267">
          <cell r="A267">
            <v>4471</v>
          </cell>
          <cell r="B267" t="str">
            <v>Ayudas sociales a entidades de interés público</v>
          </cell>
        </row>
        <row r="268">
          <cell r="A268">
            <v>4481</v>
          </cell>
          <cell r="B268" t="str">
            <v>Ayudas por desastres naturales y otros siniestros</v>
          </cell>
        </row>
        <row r="269">
          <cell r="A269">
            <v>4511</v>
          </cell>
          <cell r="B269" t="str">
            <v>Pensiones</v>
          </cell>
        </row>
        <row r="270">
          <cell r="A270">
            <v>4521</v>
          </cell>
          <cell r="B270" t="str">
            <v>Jubilaciones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</row>
        <row r="272">
          <cell r="A272">
            <v>5000</v>
          </cell>
          <cell r="B272" t="str">
            <v>Bienes muebles, inmuebles e intangibles</v>
          </cell>
        </row>
        <row r="273">
          <cell r="A273">
            <v>5111</v>
          </cell>
          <cell r="B273" t="str">
            <v>Muebles de oficina y estantería</v>
          </cell>
        </row>
        <row r="274">
          <cell r="A274">
            <v>5121</v>
          </cell>
          <cell r="B274" t="str">
            <v>Muebles, excepto de oficina y estantería</v>
          </cell>
        </row>
        <row r="275">
          <cell r="A275">
            <v>5131</v>
          </cell>
          <cell r="B275" t="str">
            <v>Libros, revistas y otros elementos coleccionables</v>
          </cell>
        </row>
        <row r="276">
          <cell r="A276">
            <v>5132</v>
          </cell>
          <cell r="B276" t="str">
            <v>Bienes muebles inalienables e imprescriptibles</v>
          </cell>
        </row>
        <row r="277">
          <cell r="A277">
            <v>5133</v>
          </cell>
          <cell r="B277" t="str">
            <v>Otros bienes artísticos, culturales y científicos</v>
          </cell>
        </row>
        <row r="278">
          <cell r="A278">
            <v>5141</v>
          </cell>
          <cell r="B278" t="str">
            <v>Objetos valiosos</v>
          </cell>
        </row>
        <row r="279">
          <cell r="A279">
            <v>5151</v>
          </cell>
          <cell r="B279" t="str">
            <v>Computadoras y equipo periférico</v>
          </cell>
        </row>
        <row r="280">
          <cell r="A280">
            <v>5152</v>
          </cell>
          <cell r="B280" t="str">
            <v>Medios magnéticos y ópticos</v>
          </cell>
        </row>
        <row r="281">
          <cell r="A281">
            <v>5191</v>
          </cell>
          <cell r="B281" t="str">
            <v>Otros mobiliarios y equipos de administración</v>
          </cell>
        </row>
        <row r="282">
          <cell r="A282">
            <v>5192</v>
          </cell>
          <cell r="B282" t="str">
            <v>Mobiliario y equipo para comercio y servicios</v>
          </cell>
        </row>
        <row r="283">
          <cell r="A283">
            <v>5211</v>
          </cell>
          <cell r="B283" t="str">
            <v>Equipo de audio y de video</v>
          </cell>
        </row>
        <row r="284">
          <cell r="A284">
            <v>5221</v>
          </cell>
          <cell r="B284" t="str">
            <v>Aparatos deportivos</v>
          </cell>
        </row>
        <row r="285">
          <cell r="A285">
            <v>5231</v>
          </cell>
          <cell r="B285" t="str">
            <v>Camaras fotograficas y de video</v>
          </cell>
        </row>
        <row r="286">
          <cell r="A286">
            <v>5291</v>
          </cell>
          <cell r="B286" t="str">
            <v>Otro mobiliario y equipo educacional y recreativo</v>
          </cell>
        </row>
        <row r="287">
          <cell r="A287">
            <v>5311</v>
          </cell>
          <cell r="B287" t="str">
            <v>Equipo para uso médico, dental y para laboratorio</v>
          </cell>
        </row>
        <row r="288">
          <cell r="A288">
            <v>5321</v>
          </cell>
          <cell r="B288" t="str">
            <v>Instrumentos médicos</v>
          </cell>
        </row>
        <row r="289">
          <cell r="A289">
            <v>5322</v>
          </cell>
          <cell r="B289" t="str">
            <v>Instrumentos de laboratorio</v>
          </cell>
        </row>
        <row r="290">
          <cell r="A290">
            <v>5411</v>
          </cell>
          <cell r="B290" t="str">
            <v>Automóviles y camiones</v>
          </cell>
        </row>
        <row r="291">
          <cell r="A291">
            <v>5421</v>
          </cell>
          <cell r="B291" t="str">
            <v>Carrocerías y remolques</v>
          </cell>
        </row>
        <row r="292">
          <cell r="A292">
            <v>5431</v>
          </cell>
          <cell r="B292" t="str">
            <v>Equipo aeroespacial</v>
          </cell>
        </row>
        <row r="293">
          <cell r="A293">
            <v>5441</v>
          </cell>
          <cell r="B293" t="str">
            <v>Equipo ferroviario</v>
          </cell>
        </row>
        <row r="294">
          <cell r="A294">
            <v>5451</v>
          </cell>
          <cell r="B294" t="str">
            <v>Embarcaciones</v>
          </cell>
        </row>
        <row r="295">
          <cell r="A295">
            <v>5491</v>
          </cell>
          <cell r="B295" t="str">
            <v>Otro equipo de transporte</v>
          </cell>
        </row>
        <row r="296">
          <cell r="A296">
            <v>5511</v>
          </cell>
          <cell r="B296" t="str">
            <v>Equipo de defensa y de seguridad</v>
          </cell>
        </row>
        <row r="297">
          <cell r="A297">
            <v>5611</v>
          </cell>
          <cell r="B297" t="str">
            <v>Maquinaria y equipo agropecuario</v>
          </cell>
        </row>
        <row r="298">
          <cell r="A298">
            <v>5621</v>
          </cell>
          <cell r="B298" t="str">
            <v>Maquinaria y equipo industrial</v>
          </cell>
        </row>
        <row r="299">
          <cell r="A299">
            <v>5631</v>
          </cell>
          <cell r="B299" t="str">
            <v>Maquinaria y equipo de construcción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RESUPUESTO 2020"/>
      <sheetName val="Participaciones "/>
      <sheetName val="Escenario A10%"/>
      <sheetName val="B"/>
      <sheetName val="Grafica"/>
      <sheetName val="RESUMEN"/>
      <sheetName val="Hoja2"/>
      <sheetName val="PROYECCIÓN "/>
      <sheetName val="Hoja3"/>
      <sheetName val="ABI"/>
      <sheetName val="PREDIAL PROY"/>
      <sheetName val="PREDIAL"/>
      <sheetName val="ACTUALIZACIÓN"/>
      <sheetName val="DV"/>
      <sheetName val="RAMO 28"/>
      <sheetName val="RAMO 33"/>
      <sheetName val="febrero"/>
      <sheetName val="en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>
            <v>4122462.84</v>
          </cell>
        </row>
        <row r="9">
          <cell r="D9">
            <v>2993540.21</v>
          </cell>
        </row>
        <row r="10">
          <cell r="D10">
            <v>3026714.7</v>
          </cell>
        </row>
        <row r="11">
          <cell r="D11">
            <v>3105587.56</v>
          </cell>
        </row>
        <row r="12">
          <cell r="D12">
            <v>3789792.64</v>
          </cell>
        </row>
        <row r="13">
          <cell r="D13">
            <v>3677025.49</v>
          </cell>
        </row>
      </sheetData>
      <sheetData sheetId="11" refreshError="1">
        <row r="8">
          <cell r="I8">
            <v>1458538.4790000001</v>
          </cell>
          <cell r="J8">
            <v>3787.2629999999999</v>
          </cell>
          <cell r="K8">
            <v>3259689.7410000004</v>
          </cell>
          <cell r="L8">
            <v>53858.097000000002</v>
          </cell>
        </row>
        <row r="9">
          <cell r="I9">
            <v>856468.69200000004</v>
          </cell>
          <cell r="J9">
            <v>23810.058000000001</v>
          </cell>
          <cell r="K9">
            <v>3551724.0900000003</v>
          </cell>
          <cell r="L9">
            <v>45991.197</v>
          </cell>
        </row>
        <row r="10">
          <cell r="I10">
            <v>891909.78099999996</v>
          </cell>
          <cell r="J10">
            <v>3116.5609999999997</v>
          </cell>
          <cell r="K10">
            <v>2445471.7629999998</v>
          </cell>
          <cell r="L10">
            <v>27823.46</v>
          </cell>
        </row>
        <row r="11">
          <cell r="I11">
            <v>542455.20432000002</v>
          </cell>
          <cell r="J11">
            <v>2506.19823</v>
          </cell>
          <cell r="K11">
            <v>3708485.6476499997</v>
          </cell>
          <cell r="L11">
            <v>81111.731310000003</v>
          </cell>
        </row>
        <row r="12">
          <cell r="I12">
            <v>671615.88338999997</v>
          </cell>
          <cell r="J12">
            <v>2265.7217700000001</v>
          </cell>
          <cell r="K12">
            <v>2968586.0457900004</v>
          </cell>
          <cell r="L12">
            <v>38303.878320000003</v>
          </cell>
        </row>
        <row r="13">
          <cell r="I13">
            <v>164734.88772</v>
          </cell>
          <cell r="J13">
            <v>0</v>
          </cell>
          <cell r="K13">
            <v>12416352.313059971</v>
          </cell>
          <cell r="L13">
            <v>117810.35394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20"/>
      <sheetName val="Ene-Sep 21"/>
      <sheetName val="Resumen"/>
      <sheetName val="Total"/>
      <sheetName val="Hoja1"/>
      <sheetName val="RAMO 33"/>
      <sheetName val="RAMO 28"/>
      <sheetName val="Municipal"/>
      <sheetName val="Diferencias"/>
      <sheetName val="IMPUESTO PREDIAL"/>
      <sheetName val="Cuentas Puente"/>
      <sheetName val="ISABI"/>
      <sheetName val="D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Q1" t="str">
            <v>DEPENDENCIAS</v>
          </cell>
          <cell r="R1" t="str">
            <v>TESORERÍA</v>
          </cell>
          <cell r="S1" t="str">
            <v>TESORERÍA</v>
          </cell>
        </row>
        <row r="2">
          <cell r="D2" t="str">
            <v>CRI - COG</v>
          </cell>
          <cell r="E2" t="str">
            <v>Cierre 2020</v>
          </cell>
          <cell r="F2" t="str">
            <v>Aprobado 2021</v>
          </cell>
          <cell r="G2" t="str">
            <v>Modificado 2021</v>
          </cell>
          <cell r="H2" t="str">
            <v>Enero-Octubre</v>
          </cell>
          <cell r="I2" t="str">
            <v>Proyección Octubre</v>
          </cell>
          <cell r="J2" t="str">
            <v>Proyección Noviembre</v>
          </cell>
          <cell r="K2" t="str">
            <v>Proyección Diciembre</v>
          </cell>
          <cell r="L2" t="str">
            <v>Proyección de cierre 2021</v>
          </cell>
          <cell r="M2" t="str">
            <v>INCREMENTO</v>
          </cell>
          <cell r="N2" t="str">
            <v>INFLACIÓN</v>
          </cell>
          <cell r="O2" t="str">
            <v>Proyección de cierre 2021</v>
          </cell>
          <cell r="P2" t="str">
            <v>Por Ejecut</v>
          </cell>
          <cell r="Q2" t="str">
            <v>Proyección 2022</v>
          </cell>
          <cell r="R2" t="str">
            <v>Proyección 2022</v>
          </cell>
          <cell r="S2" t="str">
            <v>Proyección B 2022</v>
          </cell>
        </row>
        <row r="3">
          <cell r="D3">
            <v>0</v>
          </cell>
          <cell r="E3">
            <v>342214185.07000005</v>
          </cell>
          <cell r="F3">
            <v>339012342.31</v>
          </cell>
          <cell r="G3">
            <v>-349574520.50999999</v>
          </cell>
          <cell r="H3">
            <v>344571992.01999992</v>
          </cell>
          <cell r="I3">
            <v>0</v>
          </cell>
          <cell r="J3">
            <v>13150662.51</v>
          </cell>
          <cell r="K3">
            <v>18698098.699999999</v>
          </cell>
          <cell r="L3">
            <v>376420753.22999996</v>
          </cell>
          <cell r="M3">
            <v>0</v>
          </cell>
          <cell r="N3">
            <v>0</v>
          </cell>
          <cell r="O3">
            <v>376420753.22999996</v>
          </cell>
          <cell r="P3">
            <v>-33453003.270000003</v>
          </cell>
          <cell r="Q3">
            <v>10000</v>
          </cell>
          <cell r="R3">
            <v>380816446.38</v>
          </cell>
          <cell r="S3">
            <v>408724854.31925499</v>
          </cell>
        </row>
        <row r="4">
          <cell r="D4">
            <v>110101</v>
          </cell>
          <cell r="E4">
            <v>0</v>
          </cell>
          <cell r="F4">
            <v>25000</v>
          </cell>
          <cell r="G4">
            <v>-25000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-25000</v>
          </cell>
          <cell r="Q4">
            <v>0</v>
          </cell>
          <cell r="R4">
            <v>20000</v>
          </cell>
          <cell r="S4">
            <v>20000</v>
          </cell>
        </row>
        <row r="5">
          <cell r="D5">
            <v>110201</v>
          </cell>
          <cell r="E5">
            <v>5125.6000000000004</v>
          </cell>
          <cell r="F5">
            <v>902972.08</v>
          </cell>
          <cell r="G5">
            <v>-250000</v>
          </cell>
          <cell r="H5">
            <v>13271</v>
          </cell>
          <cell r="I5">
            <v>0</v>
          </cell>
          <cell r="J5">
            <v>8000</v>
          </cell>
          <cell r="K5">
            <v>7000</v>
          </cell>
          <cell r="L5">
            <v>28271</v>
          </cell>
          <cell r="M5">
            <v>0</v>
          </cell>
          <cell r="N5">
            <v>0</v>
          </cell>
          <cell r="O5">
            <v>28271</v>
          </cell>
          <cell r="P5">
            <v>-236945</v>
          </cell>
          <cell r="Q5">
            <v>0</v>
          </cell>
          <cell r="R5">
            <v>50000</v>
          </cell>
          <cell r="S5">
            <v>50000</v>
          </cell>
        </row>
        <row r="6">
          <cell r="D6">
            <v>110202</v>
          </cell>
          <cell r="E6">
            <v>487886</v>
          </cell>
          <cell r="F6">
            <v>887285.28</v>
          </cell>
          <cell r="G6">
            <v>-427890</v>
          </cell>
          <cell r="H6">
            <v>100276.64</v>
          </cell>
          <cell r="I6">
            <v>0</v>
          </cell>
          <cell r="J6">
            <v>15000</v>
          </cell>
          <cell r="K6">
            <v>15000</v>
          </cell>
          <cell r="L6">
            <v>130276.64</v>
          </cell>
          <cell r="M6">
            <v>0</v>
          </cell>
          <cell r="N6">
            <v>0</v>
          </cell>
          <cell r="O6">
            <v>130276.64</v>
          </cell>
          <cell r="P6">
            <v>-367938.56</v>
          </cell>
          <cell r="Q6">
            <v>0</v>
          </cell>
          <cell r="R6">
            <v>120000</v>
          </cell>
          <cell r="S6">
            <v>150000</v>
          </cell>
        </row>
        <row r="7">
          <cell r="D7">
            <v>110301</v>
          </cell>
          <cell r="E7">
            <v>1321672.05</v>
          </cell>
          <cell r="F7">
            <v>3509146.99</v>
          </cell>
          <cell r="G7">
            <v>-2509146.9900000002</v>
          </cell>
          <cell r="H7">
            <v>1645836.15</v>
          </cell>
          <cell r="I7">
            <v>0</v>
          </cell>
          <cell r="J7">
            <v>72651</v>
          </cell>
          <cell r="K7">
            <v>89277</v>
          </cell>
          <cell r="L7">
            <v>1807764.15</v>
          </cell>
          <cell r="M7">
            <v>0</v>
          </cell>
          <cell r="N7">
            <v>0</v>
          </cell>
          <cell r="O7">
            <v>1807764.15</v>
          </cell>
          <cell r="P7">
            <v>-1279999.67</v>
          </cell>
          <cell r="Q7">
            <v>0</v>
          </cell>
          <cell r="R7">
            <v>2100000</v>
          </cell>
          <cell r="S7">
            <v>2000000</v>
          </cell>
        </row>
        <row r="8">
          <cell r="D8">
            <v>120101</v>
          </cell>
          <cell r="E8">
            <v>180044494.69999999</v>
          </cell>
          <cell r="F8">
            <v>188494532.86000001</v>
          </cell>
          <cell r="G8">
            <v>-190290422.63</v>
          </cell>
          <cell r="H8">
            <v>190640726.28999999</v>
          </cell>
          <cell r="I8">
            <v>0</v>
          </cell>
          <cell r="J8">
            <v>703081.4</v>
          </cell>
          <cell r="K8">
            <v>313637.98</v>
          </cell>
          <cell r="L8">
            <v>191657445.66999999</v>
          </cell>
          <cell r="M8">
            <v>0</v>
          </cell>
          <cell r="N8">
            <v>0</v>
          </cell>
          <cell r="O8">
            <v>191657445.66999999</v>
          </cell>
          <cell r="P8">
            <v>-1022387.14</v>
          </cell>
          <cell r="Q8">
            <v>0</v>
          </cell>
          <cell r="R8">
            <v>205290422.63</v>
          </cell>
          <cell r="S8">
            <v>232772544.85600001</v>
          </cell>
        </row>
        <row r="9">
          <cell r="D9">
            <v>120102</v>
          </cell>
          <cell r="E9">
            <v>2578936.2200000002</v>
          </cell>
          <cell r="F9">
            <v>2699779.04</v>
          </cell>
          <cell r="G9">
            <v>-2922583.78</v>
          </cell>
          <cell r="H9">
            <v>2595365.38</v>
          </cell>
          <cell r="I9">
            <v>0</v>
          </cell>
          <cell r="J9">
            <v>6646.12</v>
          </cell>
          <cell r="K9">
            <v>7246.09</v>
          </cell>
          <cell r="L9">
            <v>2609257.59</v>
          </cell>
          <cell r="M9">
            <v>0</v>
          </cell>
          <cell r="N9">
            <v>0</v>
          </cell>
          <cell r="O9">
            <v>2609257.59</v>
          </cell>
          <cell r="P9">
            <v>-329667.67</v>
          </cell>
          <cell r="Q9">
            <v>0</v>
          </cell>
          <cell r="R9">
            <v>2624685</v>
          </cell>
          <cell r="S9">
            <v>2712323.2648050007</v>
          </cell>
        </row>
        <row r="10">
          <cell r="D10">
            <v>120103</v>
          </cell>
          <cell r="E10">
            <v>51028693.590000004</v>
          </cell>
          <cell r="F10">
            <v>49713376.759999998</v>
          </cell>
          <cell r="G10">
            <v>-56677673.539999999</v>
          </cell>
          <cell r="H10">
            <v>49387624.07</v>
          </cell>
          <cell r="I10">
            <v>0</v>
          </cell>
          <cell r="J10">
            <v>4150813.65</v>
          </cell>
          <cell r="K10">
            <v>11209923.039999999</v>
          </cell>
          <cell r="L10">
            <v>64748360.759999998</v>
          </cell>
          <cell r="M10">
            <v>0</v>
          </cell>
          <cell r="N10">
            <v>0</v>
          </cell>
          <cell r="O10">
            <v>64748360.759999998</v>
          </cell>
          <cell r="P10">
            <v>-15819244.34</v>
          </cell>
          <cell r="Q10">
            <v>0</v>
          </cell>
          <cell r="R10">
            <v>60000000</v>
          </cell>
          <cell r="S10">
            <v>60000000</v>
          </cell>
        </row>
        <row r="11">
          <cell r="D11">
            <v>120104</v>
          </cell>
          <cell r="E11">
            <v>975594.33</v>
          </cell>
          <cell r="F11">
            <v>958997.4</v>
          </cell>
          <cell r="G11">
            <v>-1647688.26</v>
          </cell>
          <cell r="H11">
            <v>1289758.75</v>
          </cell>
          <cell r="I11">
            <v>0</v>
          </cell>
          <cell r="J11">
            <v>71476.710000000006</v>
          </cell>
          <cell r="K11">
            <v>156269.56</v>
          </cell>
          <cell r="L11">
            <v>1517505.02</v>
          </cell>
          <cell r="M11">
            <v>0</v>
          </cell>
          <cell r="N11">
            <v>0</v>
          </cell>
          <cell r="O11">
            <v>1517505.02</v>
          </cell>
          <cell r="P11">
            <v>-594094.61</v>
          </cell>
          <cell r="Q11">
            <v>0</v>
          </cell>
          <cell r="R11">
            <v>0</v>
          </cell>
          <cell r="S11">
            <v>1577446.4682900002</v>
          </cell>
        </row>
        <row r="12">
          <cell r="D12">
            <v>120105</v>
          </cell>
          <cell r="E12">
            <v>0</v>
          </cell>
          <cell r="F12">
            <v>28672.16</v>
          </cell>
          <cell r="G12">
            <v>-750000</v>
          </cell>
          <cell r="H12">
            <v>1483383.98</v>
          </cell>
          <cell r="I12">
            <v>0</v>
          </cell>
          <cell r="J12">
            <v>80000</v>
          </cell>
          <cell r="K12">
            <v>100000</v>
          </cell>
          <cell r="L12">
            <v>1663383.98</v>
          </cell>
          <cell r="M12">
            <v>0</v>
          </cell>
          <cell r="N12">
            <v>0</v>
          </cell>
          <cell r="O12">
            <v>1663383.98</v>
          </cell>
          <cell r="P12">
            <v>377104.24</v>
          </cell>
          <cell r="Q12">
            <v>0</v>
          </cell>
          <cell r="R12">
            <v>1700000</v>
          </cell>
          <cell r="S12">
            <v>1650000</v>
          </cell>
        </row>
        <row r="13">
          <cell r="D13">
            <v>120106</v>
          </cell>
          <cell r="E13">
            <v>0</v>
          </cell>
          <cell r="F13">
            <v>240736.46</v>
          </cell>
          <cell r="G13">
            <v>-240736.46</v>
          </cell>
          <cell r="H13">
            <v>240238.93</v>
          </cell>
          <cell r="I13">
            <v>0</v>
          </cell>
          <cell r="J13">
            <v>5000</v>
          </cell>
          <cell r="K13">
            <v>10000</v>
          </cell>
          <cell r="L13">
            <v>255238.93</v>
          </cell>
          <cell r="M13">
            <v>0</v>
          </cell>
          <cell r="N13">
            <v>0</v>
          </cell>
          <cell r="O13">
            <v>255238.93</v>
          </cell>
          <cell r="P13">
            <v>-13493.78</v>
          </cell>
          <cell r="Q13">
            <v>0</v>
          </cell>
          <cell r="R13">
            <v>250000</v>
          </cell>
          <cell r="S13">
            <v>260000</v>
          </cell>
        </row>
        <row r="14">
          <cell r="D14">
            <v>120201</v>
          </cell>
          <cell r="E14">
            <v>2915628.65</v>
          </cell>
          <cell r="F14">
            <v>2686823.29</v>
          </cell>
          <cell r="G14">
            <v>-2915628.65</v>
          </cell>
          <cell r="H14">
            <v>3229520.68</v>
          </cell>
          <cell r="I14">
            <v>0</v>
          </cell>
          <cell r="J14">
            <v>102830.12</v>
          </cell>
          <cell r="K14">
            <v>190751.22</v>
          </cell>
          <cell r="L14">
            <v>3523102.0200000005</v>
          </cell>
          <cell r="M14">
            <v>0</v>
          </cell>
          <cell r="N14">
            <v>0</v>
          </cell>
          <cell r="O14">
            <v>3523102.0200000005</v>
          </cell>
          <cell r="P14">
            <v>-46871.65</v>
          </cell>
          <cell r="Q14">
            <v>0</v>
          </cell>
          <cell r="R14">
            <v>3500000</v>
          </cell>
          <cell r="S14">
            <v>3700000</v>
          </cell>
        </row>
        <row r="15">
          <cell r="D15">
            <v>120202</v>
          </cell>
          <cell r="E15">
            <v>8126823.7300000004</v>
          </cell>
          <cell r="F15">
            <v>8704458.6899999995</v>
          </cell>
          <cell r="G15">
            <v>-8704459</v>
          </cell>
          <cell r="H15">
            <v>2388996.5099999998</v>
          </cell>
          <cell r="I15">
            <v>0</v>
          </cell>
          <cell r="J15">
            <v>592131.06000000006</v>
          </cell>
          <cell r="K15">
            <v>115525.05</v>
          </cell>
          <cell r="L15">
            <v>3096652.6199999996</v>
          </cell>
          <cell r="M15">
            <v>0</v>
          </cell>
          <cell r="N15">
            <v>0</v>
          </cell>
          <cell r="O15">
            <v>3096652.6199999996</v>
          </cell>
          <cell r="P15">
            <v>-6853847.75</v>
          </cell>
          <cell r="Q15">
            <v>0</v>
          </cell>
          <cell r="R15">
            <v>6126823.7300000004</v>
          </cell>
          <cell r="S15">
            <v>5126823.7300000004</v>
          </cell>
        </row>
        <row r="16">
          <cell r="D16">
            <v>130101</v>
          </cell>
          <cell r="E16">
            <v>0</v>
          </cell>
          <cell r="F16">
            <v>10000</v>
          </cell>
          <cell r="G16">
            <v>-10000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-10000</v>
          </cell>
          <cell r="Q16">
            <v>10000</v>
          </cell>
          <cell r="R16">
            <v>10000</v>
          </cell>
          <cell r="S16">
            <v>10000</v>
          </cell>
        </row>
        <row r="17">
          <cell r="D17">
            <v>130201</v>
          </cell>
          <cell r="E17">
            <v>76240472.180000007</v>
          </cell>
          <cell r="F17">
            <v>58794465.880000003</v>
          </cell>
          <cell r="G17">
            <v>-58794465.880000003</v>
          </cell>
          <cell r="H17">
            <v>66523093.700000003</v>
          </cell>
          <cell r="I17">
            <v>0</v>
          </cell>
          <cell r="J17">
            <v>6112568.7699999996</v>
          </cell>
          <cell r="K17">
            <v>4131489.32</v>
          </cell>
          <cell r="L17">
            <v>76767151.789999992</v>
          </cell>
          <cell r="M17">
            <v>0</v>
          </cell>
          <cell r="N17">
            <v>0</v>
          </cell>
          <cell r="O17">
            <v>76767151.789999992</v>
          </cell>
          <cell r="P17">
            <v>-4211420.5</v>
          </cell>
          <cell r="Q17">
            <v>0</v>
          </cell>
          <cell r="R17">
            <v>75000000</v>
          </cell>
          <cell r="S17">
            <v>70000000</v>
          </cell>
        </row>
        <row r="18">
          <cell r="D18">
            <v>130301</v>
          </cell>
          <cell r="E18">
            <v>180911.17</v>
          </cell>
          <cell r="F18">
            <v>100000</v>
          </cell>
          <cell r="G18">
            <v>-200000</v>
          </cell>
          <cell r="H18">
            <v>237132.92</v>
          </cell>
          <cell r="I18">
            <v>0</v>
          </cell>
          <cell r="J18">
            <v>7988.18</v>
          </cell>
          <cell r="K18">
            <v>14450.16</v>
          </cell>
          <cell r="L18">
            <v>259571.26</v>
          </cell>
          <cell r="M18">
            <v>0</v>
          </cell>
          <cell r="N18">
            <v>0</v>
          </cell>
          <cell r="O18">
            <v>259571.26</v>
          </cell>
          <cell r="P18">
            <v>31378.9</v>
          </cell>
          <cell r="Q18">
            <v>0</v>
          </cell>
          <cell r="R18">
            <v>300000</v>
          </cell>
          <cell r="S18">
            <v>330000</v>
          </cell>
        </row>
        <row r="19">
          <cell r="D19">
            <v>170101</v>
          </cell>
          <cell r="E19">
            <v>9758933.4199999999</v>
          </cell>
          <cell r="F19">
            <v>13664399.039999999</v>
          </cell>
          <cell r="G19">
            <v>-14664399.039999999</v>
          </cell>
          <cell r="H19">
            <v>15868068.33</v>
          </cell>
          <cell r="I19">
            <v>0</v>
          </cell>
          <cell r="J19">
            <v>558233.25</v>
          </cell>
          <cell r="K19">
            <v>1307478.1100000001</v>
          </cell>
          <cell r="L19">
            <v>17733779.690000001</v>
          </cell>
          <cell r="M19">
            <v>0</v>
          </cell>
          <cell r="N19">
            <v>0</v>
          </cell>
          <cell r="O19">
            <v>17733779.690000001</v>
          </cell>
          <cell r="P19">
            <v>-1750347.62</v>
          </cell>
          <cell r="Q19">
            <v>0</v>
          </cell>
          <cell r="R19">
            <v>15000000</v>
          </cell>
          <cell r="S19">
            <v>17522402.16573</v>
          </cell>
        </row>
        <row r="20">
          <cell r="D20">
            <v>170102</v>
          </cell>
          <cell r="E20">
            <v>1596510.42</v>
          </cell>
          <cell r="F20">
            <v>1999565.27</v>
          </cell>
          <cell r="G20">
            <v>-1999565.27</v>
          </cell>
          <cell r="H20">
            <v>2159378.0299999998</v>
          </cell>
          <cell r="I20">
            <v>0</v>
          </cell>
          <cell r="J20">
            <v>216988.09</v>
          </cell>
          <cell r="K20">
            <v>82649.64</v>
          </cell>
          <cell r="L20">
            <v>2459015.7599999998</v>
          </cell>
          <cell r="M20">
            <v>0</v>
          </cell>
          <cell r="N20">
            <v>0</v>
          </cell>
          <cell r="O20">
            <v>2459015.7599999998</v>
          </cell>
          <cell r="P20">
            <v>-236856.43</v>
          </cell>
          <cell r="Q20">
            <v>0</v>
          </cell>
          <cell r="R20">
            <v>2000000</v>
          </cell>
          <cell r="S20">
            <v>2496297.6596250003</v>
          </cell>
        </row>
        <row r="21">
          <cell r="D21">
            <v>170103</v>
          </cell>
          <cell r="E21">
            <v>24515.02</v>
          </cell>
          <cell r="F21">
            <v>18632.34</v>
          </cell>
          <cell r="G21">
            <v>-24515</v>
          </cell>
          <cell r="H21">
            <v>17642.259999999998</v>
          </cell>
          <cell r="I21">
            <v>0</v>
          </cell>
          <cell r="J21">
            <v>880.87</v>
          </cell>
          <cell r="K21">
            <v>4167.72</v>
          </cell>
          <cell r="L21">
            <v>22690.85</v>
          </cell>
          <cell r="M21">
            <v>0</v>
          </cell>
          <cell r="N21">
            <v>0</v>
          </cell>
          <cell r="O21">
            <v>22690.85</v>
          </cell>
          <cell r="P21">
            <v>-8802.49</v>
          </cell>
          <cell r="Q21">
            <v>0</v>
          </cell>
          <cell r="R21">
            <v>24515.02</v>
          </cell>
          <cell r="S21">
            <v>21865.612230000002</v>
          </cell>
        </row>
        <row r="22">
          <cell r="D22">
            <v>170201</v>
          </cell>
          <cell r="E22">
            <v>2605940.9500000002</v>
          </cell>
          <cell r="F22">
            <v>2361663.11</v>
          </cell>
          <cell r="G22">
            <v>-2605940.9500000002</v>
          </cell>
          <cell r="H22">
            <v>1712723.76</v>
          </cell>
          <cell r="I22">
            <v>0</v>
          </cell>
          <cell r="J22">
            <v>152256.16</v>
          </cell>
          <cell r="K22">
            <v>142614.97</v>
          </cell>
          <cell r="L22">
            <v>2007594.89</v>
          </cell>
          <cell r="M22">
            <v>0</v>
          </cell>
          <cell r="N22">
            <v>0</v>
          </cell>
          <cell r="O22">
            <v>2007594.89</v>
          </cell>
          <cell r="P22">
            <v>-1214039.5900000001</v>
          </cell>
          <cell r="Q22">
            <v>0</v>
          </cell>
          <cell r="R22">
            <v>2200000</v>
          </cell>
          <cell r="S22">
            <v>2054464.3280699998</v>
          </cell>
        </row>
        <row r="23">
          <cell r="D23">
            <v>170301</v>
          </cell>
          <cell r="E23">
            <v>3914405.06</v>
          </cell>
          <cell r="F23">
            <v>3211835.66</v>
          </cell>
          <cell r="G23">
            <v>-3914405.06</v>
          </cell>
          <cell r="H23">
            <v>5038954.6399999997</v>
          </cell>
          <cell r="I23">
            <v>0</v>
          </cell>
          <cell r="J23">
            <v>294117.13</v>
          </cell>
          <cell r="K23">
            <v>800618.84</v>
          </cell>
          <cell r="L23">
            <v>6133690.6099999994</v>
          </cell>
          <cell r="M23">
            <v>0</v>
          </cell>
          <cell r="N23">
            <v>0</v>
          </cell>
          <cell r="O23">
            <v>6133690.6099999994</v>
          </cell>
          <cell r="P23">
            <v>159470.39000000001</v>
          </cell>
          <cell r="Q23">
            <v>0</v>
          </cell>
          <cell r="R23">
            <v>4500000</v>
          </cell>
          <cell r="S23">
            <v>6270686.2345049996</v>
          </cell>
        </row>
        <row r="24">
          <cell r="D24">
            <v>170401</v>
          </cell>
          <cell r="E24">
            <v>169005.16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D25">
            <v>170501</v>
          </cell>
          <cell r="E25">
            <v>238636.82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D26">
            <v>0</v>
          </cell>
          <cell r="E26">
            <v>1760136.6</v>
          </cell>
          <cell r="F26">
            <v>0</v>
          </cell>
          <cell r="G26">
            <v>-1500000</v>
          </cell>
          <cell r="H26">
            <v>680081.57000000007</v>
          </cell>
          <cell r="I26">
            <v>0</v>
          </cell>
          <cell r="J26">
            <v>0</v>
          </cell>
          <cell r="K26">
            <v>0</v>
          </cell>
          <cell r="L26">
            <v>680081.57000000007</v>
          </cell>
          <cell r="M26">
            <v>0</v>
          </cell>
          <cell r="N26">
            <v>0</v>
          </cell>
          <cell r="O26">
            <v>680081.57000000007</v>
          </cell>
          <cell r="P26">
            <v>-929170.95</v>
          </cell>
          <cell r="Q26">
            <v>0</v>
          </cell>
          <cell r="R26">
            <v>900000</v>
          </cell>
          <cell r="S26">
            <v>900000</v>
          </cell>
        </row>
        <row r="27">
          <cell r="D27">
            <v>310201</v>
          </cell>
          <cell r="E27">
            <v>0</v>
          </cell>
          <cell r="F27">
            <v>0</v>
          </cell>
          <cell r="G27">
            <v>0</v>
          </cell>
          <cell r="H27">
            <v>159426.54</v>
          </cell>
          <cell r="I27">
            <v>0</v>
          </cell>
          <cell r="J27">
            <v>0</v>
          </cell>
          <cell r="K27">
            <v>0</v>
          </cell>
          <cell r="L27">
            <v>159426.54</v>
          </cell>
          <cell r="M27">
            <v>0</v>
          </cell>
          <cell r="N27">
            <v>0</v>
          </cell>
          <cell r="O27">
            <v>0</v>
          </cell>
          <cell r="P27">
            <v>159426.54</v>
          </cell>
          <cell r="Q27">
            <v>0</v>
          </cell>
          <cell r="R27">
            <v>0</v>
          </cell>
          <cell r="S27">
            <v>0</v>
          </cell>
        </row>
        <row r="28">
          <cell r="D28">
            <v>390101</v>
          </cell>
          <cell r="E28">
            <v>0</v>
          </cell>
          <cell r="F28">
            <v>0</v>
          </cell>
          <cell r="G28">
            <v>-1500000</v>
          </cell>
          <cell r="H28">
            <v>520655.03</v>
          </cell>
          <cell r="I28">
            <v>0</v>
          </cell>
          <cell r="J28">
            <v>0</v>
          </cell>
          <cell r="K28">
            <v>0</v>
          </cell>
          <cell r="L28">
            <v>520655.03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900000</v>
          </cell>
          <cell r="S28">
            <v>0</v>
          </cell>
        </row>
        <row r="29">
          <cell r="D29">
            <v>310101</v>
          </cell>
          <cell r="E29">
            <v>1760136.6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680081.57000000007</v>
          </cell>
          <cell r="P29">
            <v>-1088597.49</v>
          </cell>
          <cell r="Q29">
            <v>0</v>
          </cell>
          <cell r="R29">
            <v>0</v>
          </cell>
          <cell r="S29">
            <v>900000</v>
          </cell>
        </row>
        <row r="30">
          <cell r="D30">
            <v>0</v>
          </cell>
          <cell r="E30">
            <v>149592455.81</v>
          </cell>
          <cell r="F30">
            <v>159938489.99000001</v>
          </cell>
          <cell r="G30">
            <v>-162658514.43000001</v>
          </cell>
          <cell r="H30">
            <v>122852794.31</v>
          </cell>
          <cell r="I30">
            <v>0</v>
          </cell>
          <cell r="J30">
            <v>12383771.339166665</v>
          </cell>
          <cell r="K30">
            <v>19851658.859166671</v>
          </cell>
          <cell r="L30">
            <v>155088224.50833333</v>
          </cell>
          <cell r="M30">
            <v>0</v>
          </cell>
          <cell r="N30">
            <v>0</v>
          </cell>
          <cell r="O30">
            <v>155088224.50833333</v>
          </cell>
          <cell r="P30">
            <v>-64824844.770000011</v>
          </cell>
          <cell r="Q30">
            <v>51854768</v>
          </cell>
          <cell r="R30">
            <v>154692295.0948</v>
          </cell>
          <cell r="S30">
            <v>167703840.28900197</v>
          </cell>
        </row>
        <row r="31">
          <cell r="D31">
            <v>410101</v>
          </cell>
          <cell r="E31">
            <v>3274982.86</v>
          </cell>
          <cell r="F31">
            <v>3823605.5</v>
          </cell>
          <cell r="G31">
            <v>-4823605.5</v>
          </cell>
          <cell r="H31">
            <v>4517680.29</v>
          </cell>
          <cell r="I31">
            <v>0</v>
          </cell>
          <cell r="J31">
            <v>456588.17555555556</v>
          </cell>
          <cell r="K31">
            <v>456588.17555555556</v>
          </cell>
          <cell r="L31">
            <v>5430856.6411111103</v>
          </cell>
          <cell r="M31">
            <v>0</v>
          </cell>
          <cell r="N31">
            <v>1</v>
          </cell>
          <cell r="O31">
            <v>5430856.6411111103</v>
          </cell>
          <cell r="P31">
            <v>-1181378.45</v>
          </cell>
          <cell r="Q31">
            <v>4790720</v>
          </cell>
          <cell r="R31">
            <v>5800000</v>
          </cell>
          <cell r="S31">
            <v>5645375.4784349995</v>
          </cell>
        </row>
        <row r="32">
          <cell r="D32">
            <v>410102</v>
          </cell>
          <cell r="E32">
            <v>613331</v>
          </cell>
          <cell r="F32">
            <v>1081879</v>
          </cell>
          <cell r="G32">
            <v>-781879</v>
          </cell>
          <cell r="H32">
            <v>335477.69</v>
          </cell>
          <cell r="I32">
            <v>0</v>
          </cell>
          <cell r="J32">
            <v>6018.41</v>
          </cell>
          <cell r="K32">
            <v>6018.41</v>
          </cell>
          <cell r="L32">
            <v>347514.50999999995</v>
          </cell>
          <cell r="M32">
            <v>0</v>
          </cell>
          <cell r="N32">
            <v>0</v>
          </cell>
          <cell r="O32">
            <v>347514.50999999995</v>
          </cell>
          <cell r="P32">
            <v>-732197.57</v>
          </cell>
          <cell r="Q32">
            <v>1808928</v>
          </cell>
          <cell r="R32">
            <v>100000</v>
          </cell>
          <cell r="S32">
            <v>100000</v>
          </cell>
        </row>
        <row r="33">
          <cell r="D33">
            <v>410104</v>
          </cell>
          <cell r="E33">
            <v>9360</v>
          </cell>
          <cell r="F33">
            <v>76954.179999999993</v>
          </cell>
          <cell r="G33">
            <v>-76954</v>
          </cell>
          <cell r="H33">
            <v>2550.6</v>
          </cell>
          <cell r="I33">
            <v>0</v>
          </cell>
          <cell r="J33">
            <v>0</v>
          </cell>
          <cell r="K33">
            <v>312</v>
          </cell>
          <cell r="L33">
            <v>2862.6</v>
          </cell>
          <cell r="M33">
            <v>0</v>
          </cell>
          <cell r="N33">
            <v>0</v>
          </cell>
          <cell r="O33">
            <v>2862.6</v>
          </cell>
          <cell r="P33">
            <v>-74726.320000000007</v>
          </cell>
          <cell r="Q33">
            <v>73077</v>
          </cell>
          <cell r="R33">
            <v>10000</v>
          </cell>
          <cell r="S33">
            <v>10000</v>
          </cell>
        </row>
        <row r="34">
          <cell r="D34">
            <v>410201</v>
          </cell>
          <cell r="E34">
            <v>16944</v>
          </cell>
          <cell r="F34">
            <v>17537.04</v>
          </cell>
          <cell r="G34">
            <v>-16944</v>
          </cell>
          <cell r="H34">
            <v>14120</v>
          </cell>
          <cell r="I34">
            <v>0</v>
          </cell>
          <cell r="J34">
            <v>1412</v>
          </cell>
          <cell r="K34">
            <v>1412</v>
          </cell>
          <cell r="L34">
            <v>16944</v>
          </cell>
          <cell r="M34">
            <v>0</v>
          </cell>
          <cell r="N34">
            <v>1</v>
          </cell>
          <cell r="O34">
            <v>16944</v>
          </cell>
          <cell r="P34">
            <v>-5648</v>
          </cell>
          <cell r="Q34">
            <v>17544</v>
          </cell>
          <cell r="R34">
            <v>17613.288</v>
          </cell>
          <cell r="S34">
            <v>17613.288</v>
          </cell>
        </row>
        <row r="35">
          <cell r="D35">
            <v>410202</v>
          </cell>
          <cell r="E35">
            <v>47678.400000000001</v>
          </cell>
          <cell r="F35">
            <v>47678.400000000001</v>
          </cell>
          <cell r="G35">
            <v>-47678.400000000001</v>
          </cell>
          <cell r="H35">
            <v>39730.400000000001</v>
          </cell>
          <cell r="I35">
            <v>0</v>
          </cell>
          <cell r="J35">
            <v>3973.2</v>
          </cell>
          <cell r="K35">
            <v>3973.2</v>
          </cell>
          <cell r="L35">
            <v>47676.799999999996</v>
          </cell>
          <cell r="M35">
            <v>0</v>
          </cell>
          <cell r="N35">
            <v>1</v>
          </cell>
          <cell r="O35">
            <v>47676.799999999996</v>
          </cell>
          <cell r="P35">
            <v>-15894</v>
          </cell>
          <cell r="Q35">
            <v>49344</v>
          </cell>
          <cell r="R35">
            <v>49561.696800000005</v>
          </cell>
          <cell r="S35">
            <v>49560.033600000002</v>
          </cell>
        </row>
        <row r="36">
          <cell r="D36">
            <v>410203</v>
          </cell>
          <cell r="E36">
            <v>56680</v>
          </cell>
          <cell r="F36">
            <v>65210</v>
          </cell>
          <cell r="G36">
            <v>-61080</v>
          </cell>
          <cell r="H36">
            <v>50900</v>
          </cell>
          <cell r="I36">
            <v>0</v>
          </cell>
          <cell r="J36">
            <v>5090</v>
          </cell>
          <cell r="K36">
            <v>5090</v>
          </cell>
          <cell r="L36">
            <v>61080</v>
          </cell>
          <cell r="M36">
            <v>0</v>
          </cell>
          <cell r="N36">
            <v>1</v>
          </cell>
          <cell r="O36">
            <v>61080</v>
          </cell>
          <cell r="P36">
            <v>-20360</v>
          </cell>
          <cell r="Q36">
            <v>63228</v>
          </cell>
          <cell r="R36">
            <v>63492.66</v>
          </cell>
          <cell r="S36">
            <v>63492.66</v>
          </cell>
        </row>
        <row r="37">
          <cell r="D37">
            <v>410204</v>
          </cell>
          <cell r="E37">
            <v>65680</v>
          </cell>
          <cell r="F37">
            <v>60590</v>
          </cell>
          <cell r="G37">
            <v>-60000</v>
          </cell>
          <cell r="H37">
            <v>50000</v>
          </cell>
          <cell r="I37">
            <v>0</v>
          </cell>
          <cell r="J37">
            <v>5000</v>
          </cell>
          <cell r="K37">
            <v>5000</v>
          </cell>
          <cell r="L37">
            <v>60000</v>
          </cell>
          <cell r="M37">
            <v>0</v>
          </cell>
          <cell r="N37">
            <v>1</v>
          </cell>
          <cell r="O37">
            <v>60000</v>
          </cell>
          <cell r="P37">
            <v>-20000</v>
          </cell>
          <cell r="Q37">
            <v>62100</v>
          </cell>
          <cell r="R37">
            <v>62370.000000000007</v>
          </cell>
          <cell r="S37">
            <v>62370.000000000007</v>
          </cell>
        </row>
        <row r="38">
          <cell r="D38">
            <v>410205</v>
          </cell>
          <cell r="E38">
            <v>9200</v>
          </cell>
          <cell r="F38">
            <v>10550</v>
          </cell>
          <cell r="G38">
            <v>-10550</v>
          </cell>
          <cell r="H38">
            <v>5731.4</v>
          </cell>
          <cell r="I38">
            <v>0</v>
          </cell>
          <cell r="J38">
            <v>675</v>
          </cell>
          <cell r="K38">
            <v>1600</v>
          </cell>
          <cell r="L38">
            <v>8006.4</v>
          </cell>
          <cell r="M38">
            <v>0</v>
          </cell>
          <cell r="N38">
            <v>1</v>
          </cell>
          <cell r="O38">
            <v>8006.4</v>
          </cell>
          <cell r="P38">
            <v>-6077.92</v>
          </cell>
          <cell r="Q38">
            <v>0</v>
          </cell>
          <cell r="R38">
            <v>9200</v>
          </cell>
          <cell r="S38">
            <v>8322.6527999999998</v>
          </cell>
        </row>
        <row r="39">
          <cell r="D39">
            <v>410206</v>
          </cell>
          <cell r="E39">
            <v>0</v>
          </cell>
          <cell r="F39">
            <v>5000</v>
          </cell>
          <cell r="G39">
            <v>-5000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-5000</v>
          </cell>
          <cell r="Q39">
            <v>0</v>
          </cell>
          <cell r="R39">
            <v>5000</v>
          </cell>
          <cell r="S39">
            <v>5000</v>
          </cell>
        </row>
        <row r="40">
          <cell r="D40">
            <v>410207</v>
          </cell>
          <cell r="E40">
            <v>44925</v>
          </cell>
          <cell r="F40">
            <v>262406.96000000002</v>
          </cell>
          <cell r="G40">
            <v>-150000</v>
          </cell>
          <cell r="H40">
            <v>23670</v>
          </cell>
          <cell r="I40">
            <v>0</v>
          </cell>
          <cell r="J40">
            <v>1972.5</v>
          </cell>
          <cell r="K40">
            <v>1972.5</v>
          </cell>
          <cell r="L40">
            <v>27615</v>
          </cell>
          <cell r="M40">
            <v>0</v>
          </cell>
          <cell r="N40">
            <v>0</v>
          </cell>
          <cell r="O40">
            <v>27615</v>
          </cell>
          <cell r="P40">
            <v>-126330</v>
          </cell>
          <cell r="Q40">
            <v>150000</v>
          </cell>
          <cell r="R40">
            <v>100000</v>
          </cell>
          <cell r="S40">
            <v>100000</v>
          </cell>
        </row>
        <row r="41">
          <cell r="D41">
            <v>410208</v>
          </cell>
          <cell r="E41">
            <v>1867</v>
          </cell>
          <cell r="F41">
            <v>11836</v>
          </cell>
          <cell r="G41">
            <v>-5000</v>
          </cell>
          <cell r="H41">
            <v>1932.35</v>
          </cell>
          <cell r="I41">
            <v>0</v>
          </cell>
          <cell r="J41">
            <v>161.02916666666667</v>
          </cell>
          <cell r="K41">
            <v>161.02916666666667</v>
          </cell>
          <cell r="L41">
            <v>2254.4083333333333</v>
          </cell>
          <cell r="M41">
            <v>0</v>
          </cell>
          <cell r="N41">
            <v>1</v>
          </cell>
          <cell r="O41">
            <v>2254.4083333333333</v>
          </cell>
          <cell r="P41">
            <v>-3067.65</v>
          </cell>
          <cell r="Q41">
            <v>0</v>
          </cell>
          <cell r="R41">
            <v>2500</v>
          </cell>
          <cell r="S41">
            <v>2343.4574625</v>
          </cell>
        </row>
        <row r="42">
          <cell r="D42">
            <v>410209</v>
          </cell>
          <cell r="E42">
            <v>0</v>
          </cell>
          <cell r="F42">
            <v>1000</v>
          </cell>
          <cell r="G42">
            <v>-1000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-1000</v>
          </cell>
          <cell r="Q42">
            <v>0</v>
          </cell>
          <cell r="R42">
            <v>1000</v>
          </cell>
          <cell r="S42">
            <v>1000</v>
          </cell>
        </row>
        <row r="43">
          <cell r="D43">
            <v>430101</v>
          </cell>
          <cell r="E43">
            <v>2700094.08</v>
          </cell>
          <cell r="F43">
            <v>3200656</v>
          </cell>
          <cell r="G43">
            <v>-3200656</v>
          </cell>
          <cell r="H43">
            <v>2437952.7200000002</v>
          </cell>
          <cell r="I43">
            <v>0</v>
          </cell>
          <cell r="J43">
            <v>251278.11888888886</v>
          </cell>
          <cell r="K43">
            <v>251278.11888888886</v>
          </cell>
          <cell r="L43">
            <v>2940508.9577777782</v>
          </cell>
          <cell r="M43">
            <v>0</v>
          </cell>
          <cell r="N43">
            <v>1</v>
          </cell>
          <cell r="O43">
            <v>2940508.9577777782</v>
          </cell>
          <cell r="P43">
            <v>-1129336.1299999999</v>
          </cell>
          <cell r="Q43">
            <v>3200000</v>
          </cell>
          <cell r="R43">
            <v>3200000</v>
          </cell>
          <cell r="S43">
            <v>3056659.0616100007</v>
          </cell>
        </row>
        <row r="44">
          <cell r="D44">
            <v>430102</v>
          </cell>
          <cell r="E44">
            <v>945623.2</v>
          </cell>
          <cell r="F44">
            <v>850000</v>
          </cell>
          <cell r="G44">
            <v>-945623</v>
          </cell>
          <cell r="H44">
            <v>899662.8</v>
          </cell>
          <cell r="I44">
            <v>0</v>
          </cell>
          <cell r="J44">
            <v>74668.7</v>
          </cell>
          <cell r="K44">
            <v>85644.52</v>
          </cell>
          <cell r="L44">
            <v>1059976.02</v>
          </cell>
          <cell r="M44">
            <v>0</v>
          </cell>
          <cell r="N44">
            <v>1</v>
          </cell>
          <cell r="O44">
            <v>1059976.02</v>
          </cell>
          <cell r="P44">
            <v>-264162.59999999998</v>
          </cell>
          <cell r="Q44">
            <v>1100000</v>
          </cell>
          <cell r="R44">
            <v>1100000</v>
          </cell>
          <cell r="S44">
            <v>1101845.0727900001</v>
          </cell>
        </row>
        <row r="45">
          <cell r="D45">
            <v>430103</v>
          </cell>
          <cell r="E45">
            <v>10688</v>
          </cell>
          <cell r="F45">
            <v>29842.84</v>
          </cell>
          <cell r="G45">
            <v>-29843</v>
          </cell>
          <cell r="H45">
            <v>13611.33</v>
          </cell>
          <cell r="I45">
            <v>0</v>
          </cell>
          <cell r="J45">
            <v>1000</v>
          </cell>
          <cell r="K45">
            <v>1000</v>
          </cell>
          <cell r="L45">
            <v>15611.33</v>
          </cell>
          <cell r="M45">
            <v>0</v>
          </cell>
          <cell r="N45">
            <v>1</v>
          </cell>
          <cell r="O45">
            <v>15611.33</v>
          </cell>
          <cell r="P45">
            <v>-16563.59</v>
          </cell>
          <cell r="Q45">
            <v>0</v>
          </cell>
          <cell r="R45">
            <v>17000</v>
          </cell>
          <cell r="S45">
            <v>16227.977535000002</v>
          </cell>
        </row>
        <row r="46">
          <cell r="D46">
            <v>430104</v>
          </cell>
          <cell r="E46">
            <v>0</v>
          </cell>
          <cell r="F46">
            <v>60000</v>
          </cell>
          <cell r="G46">
            <v>-60000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-60000</v>
          </cell>
          <cell r="Q46">
            <v>60000</v>
          </cell>
          <cell r="R46">
            <v>60000</v>
          </cell>
          <cell r="S46">
            <v>60000</v>
          </cell>
        </row>
        <row r="47">
          <cell r="D47">
            <v>430105</v>
          </cell>
          <cell r="E47">
            <v>172364.79999999999</v>
          </cell>
          <cell r="F47">
            <v>167268.18</v>
          </cell>
          <cell r="G47">
            <v>-172365</v>
          </cell>
          <cell r="H47">
            <v>152235.20000000001</v>
          </cell>
          <cell r="I47">
            <v>0</v>
          </cell>
          <cell r="J47">
            <v>15379</v>
          </cell>
          <cell r="K47">
            <v>20431</v>
          </cell>
          <cell r="L47">
            <v>188045.2</v>
          </cell>
          <cell r="M47">
            <v>0</v>
          </cell>
          <cell r="N47">
            <v>1</v>
          </cell>
          <cell r="O47">
            <v>188045.2</v>
          </cell>
          <cell r="P47">
            <v>-57901.4</v>
          </cell>
          <cell r="Q47">
            <v>0</v>
          </cell>
          <cell r="R47">
            <v>172365</v>
          </cell>
          <cell r="S47">
            <v>195472.98540000003</v>
          </cell>
        </row>
        <row r="48">
          <cell r="D48">
            <v>430106</v>
          </cell>
          <cell r="E48">
            <v>284270</v>
          </cell>
          <cell r="F48">
            <v>243674.92</v>
          </cell>
          <cell r="G48">
            <v>-533764.5</v>
          </cell>
          <cell r="H48">
            <v>559946</v>
          </cell>
          <cell r="I48">
            <v>0</v>
          </cell>
          <cell r="J48">
            <v>59173</v>
          </cell>
          <cell r="K48">
            <v>17697</v>
          </cell>
          <cell r="L48">
            <v>636816</v>
          </cell>
          <cell r="M48">
            <v>0</v>
          </cell>
          <cell r="N48">
            <v>1</v>
          </cell>
          <cell r="O48">
            <v>636816</v>
          </cell>
          <cell r="P48">
            <v>-104023.5</v>
          </cell>
          <cell r="Q48">
            <v>0</v>
          </cell>
          <cell r="R48">
            <v>550000</v>
          </cell>
          <cell r="S48">
            <v>661970.23200000008</v>
          </cell>
        </row>
        <row r="49">
          <cell r="D49">
            <v>430107</v>
          </cell>
          <cell r="E49">
            <v>57099.64</v>
          </cell>
          <cell r="F49">
            <v>68264.800000000003</v>
          </cell>
          <cell r="G49">
            <v>-68265</v>
          </cell>
          <cell r="H49">
            <v>61665.68</v>
          </cell>
          <cell r="I49">
            <v>0</v>
          </cell>
          <cell r="J49">
            <v>874.47</v>
          </cell>
          <cell r="K49">
            <v>0</v>
          </cell>
          <cell r="L49">
            <v>62540.15</v>
          </cell>
          <cell r="M49">
            <v>0</v>
          </cell>
          <cell r="N49">
            <v>1</v>
          </cell>
          <cell r="O49">
            <v>62540.15</v>
          </cell>
          <cell r="P49">
            <v>-17464.03</v>
          </cell>
          <cell r="Q49">
            <v>84267</v>
          </cell>
          <cell r="R49">
            <v>60000</v>
          </cell>
          <cell r="S49">
            <v>65010.485925000008</v>
          </cell>
        </row>
        <row r="50">
          <cell r="D50">
            <v>430201</v>
          </cell>
          <cell r="E50">
            <v>4556197.92</v>
          </cell>
          <cell r="F50">
            <v>4522998.1500000004</v>
          </cell>
          <cell r="G50">
            <v>-5315664.84</v>
          </cell>
          <cell r="H50">
            <v>4164360.2</v>
          </cell>
          <cell r="I50">
            <v>0</v>
          </cell>
          <cell r="J50">
            <v>510251.65</v>
          </cell>
          <cell r="K50">
            <v>547814.54</v>
          </cell>
          <cell r="L50">
            <v>5222426.3900000006</v>
          </cell>
          <cell r="M50">
            <v>0</v>
          </cell>
          <cell r="N50">
            <v>1</v>
          </cell>
          <cell r="O50">
            <v>5222426.3900000006</v>
          </cell>
          <cell r="P50">
            <v>-2014732.89</v>
          </cell>
          <cell r="Q50">
            <v>0</v>
          </cell>
          <cell r="R50">
            <v>4000000</v>
          </cell>
          <cell r="S50">
            <v>5428712.2324050013</v>
          </cell>
        </row>
        <row r="51">
          <cell r="D51">
            <v>430202</v>
          </cell>
          <cell r="E51">
            <v>331094.40000000002</v>
          </cell>
          <cell r="F51">
            <v>307276.21000000002</v>
          </cell>
          <cell r="G51">
            <v>-437247</v>
          </cell>
          <cell r="H51">
            <v>316668.79999999999</v>
          </cell>
          <cell r="I51">
            <v>0</v>
          </cell>
          <cell r="J51">
            <v>33996.300000000003</v>
          </cell>
          <cell r="K51">
            <v>36361.26</v>
          </cell>
          <cell r="L51">
            <v>387026.36</v>
          </cell>
          <cell r="M51">
            <v>0</v>
          </cell>
          <cell r="N51">
            <v>1</v>
          </cell>
          <cell r="O51">
            <v>387026.36</v>
          </cell>
          <cell r="P51">
            <v>-183913.99</v>
          </cell>
          <cell r="Q51">
            <v>0</v>
          </cell>
          <cell r="R51">
            <v>270000</v>
          </cell>
          <cell r="S51">
            <v>402313.90122</v>
          </cell>
        </row>
        <row r="52">
          <cell r="D52">
            <v>430203</v>
          </cell>
          <cell r="E52">
            <v>143064.62</v>
          </cell>
          <cell r="F52">
            <v>228818.93</v>
          </cell>
          <cell r="G52">
            <v>-143064.62</v>
          </cell>
          <cell r="H52">
            <v>237536.71</v>
          </cell>
          <cell r="I52">
            <v>0</v>
          </cell>
          <cell r="J52">
            <v>9813.06</v>
          </cell>
          <cell r="K52">
            <v>35058.639999999999</v>
          </cell>
          <cell r="L52">
            <v>282408.40999999997</v>
          </cell>
          <cell r="M52">
            <v>0</v>
          </cell>
          <cell r="N52">
            <v>1</v>
          </cell>
          <cell r="O52">
            <v>282408.40999999997</v>
          </cell>
          <cell r="P52">
            <v>3943.61</v>
          </cell>
          <cell r="Q52">
            <v>0</v>
          </cell>
          <cell r="R52">
            <v>160000</v>
          </cell>
          <cell r="S52">
            <v>293563.54219499999</v>
          </cell>
        </row>
        <row r="53">
          <cell r="D53">
            <v>430204</v>
          </cell>
          <cell r="E53">
            <v>1313161.07</v>
          </cell>
          <cell r="F53">
            <v>835731.44</v>
          </cell>
          <cell r="G53">
            <v>-1713161.07</v>
          </cell>
          <cell r="H53">
            <v>1267176.99</v>
          </cell>
          <cell r="I53">
            <v>0</v>
          </cell>
          <cell r="J53">
            <v>146840.37</v>
          </cell>
          <cell r="K53">
            <v>222461.16</v>
          </cell>
          <cell r="L53">
            <v>1636478.5199999998</v>
          </cell>
          <cell r="M53">
            <v>0</v>
          </cell>
          <cell r="N53">
            <v>1</v>
          </cell>
          <cell r="O53">
            <v>1636478.5199999998</v>
          </cell>
          <cell r="P53">
            <v>-674158.58</v>
          </cell>
          <cell r="Q53">
            <v>0</v>
          </cell>
          <cell r="R53">
            <v>1000000</v>
          </cell>
          <cell r="S53">
            <v>1701119.42154</v>
          </cell>
        </row>
        <row r="54">
          <cell r="D54">
            <v>430205</v>
          </cell>
          <cell r="E54">
            <v>1989463.91</v>
          </cell>
          <cell r="F54">
            <v>970506.8</v>
          </cell>
          <cell r="G54">
            <v>-1989463.91</v>
          </cell>
          <cell r="H54">
            <v>1713815.21</v>
          </cell>
          <cell r="I54">
            <v>0</v>
          </cell>
          <cell r="J54">
            <v>186171.06</v>
          </cell>
          <cell r="K54">
            <v>178712.82</v>
          </cell>
          <cell r="L54">
            <v>2078699.09</v>
          </cell>
          <cell r="M54">
            <v>0</v>
          </cell>
          <cell r="N54">
            <v>1</v>
          </cell>
          <cell r="O54">
            <v>2078699.09</v>
          </cell>
          <cell r="P54">
            <v>-716234.23999999999</v>
          </cell>
          <cell r="Q54">
            <v>0</v>
          </cell>
          <cell r="R54">
            <v>1200000</v>
          </cell>
          <cell r="S54">
            <v>2160807.7040550001</v>
          </cell>
        </row>
        <row r="55">
          <cell r="D55">
            <v>430301</v>
          </cell>
          <cell r="E55">
            <v>2974683.96</v>
          </cell>
          <cell r="F55">
            <v>3135324.71</v>
          </cell>
          <cell r="G55">
            <v>-3135324.71</v>
          </cell>
          <cell r="H55">
            <v>2587506.35</v>
          </cell>
          <cell r="I55">
            <v>0</v>
          </cell>
          <cell r="J55">
            <v>250346.97</v>
          </cell>
          <cell r="K55">
            <v>326349.27</v>
          </cell>
          <cell r="L55">
            <v>3164202.5900000003</v>
          </cell>
          <cell r="M55">
            <v>0</v>
          </cell>
          <cell r="N55">
            <v>1</v>
          </cell>
          <cell r="O55">
            <v>3164202.5900000003</v>
          </cell>
          <cell r="P55">
            <v>-1059122.01</v>
          </cell>
          <cell r="Q55">
            <v>4015823</v>
          </cell>
          <cell r="R55">
            <v>3200000</v>
          </cell>
          <cell r="S55">
            <v>3289188.5923050004</v>
          </cell>
        </row>
        <row r="56">
          <cell r="D56">
            <v>430302</v>
          </cell>
          <cell r="E56">
            <v>4748845.6399999997</v>
          </cell>
          <cell r="F56">
            <v>4542475.83</v>
          </cell>
          <cell r="G56">
            <v>-4748845.6399999997</v>
          </cell>
          <cell r="H56">
            <v>3543741.7</v>
          </cell>
          <cell r="I56">
            <v>0</v>
          </cell>
          <cell r="J56">
            <v>383292</v>
          </cell>
          <cell r="K56">
            <v>514402.2</v>
          </cell>
          <cell r="L56">
            <v>4441435.9000000004</v>
          </cell>
          <cell r="M56">
            <v>0</v>
          </cell>
          <cell r="N56">
            <v>1</v>
          </cell>
          <cell r="O56">
            <v>4441435.9000000004</v>
          </cell>
          <cell r="P56">
            <v>-1826722.79</v>
          </cell>
          <cell r="Q56">
            <v>5744204</v>
          </cell>
          <cell r="R56">
            <v>4748845</v>
          </cell>
          <cell r="S56">
            <v>4616872.6180500006</v>
          </cell>
        </row>
        <row r="57">
          <cell r="D57">
            <v>430303</v>
          </cell>
          <cell r="E57">
            <v>3628.35</v>
          </cell>
          <cell r="F57">
            <v>2998.54</v>
          </cell>
          <cell r="G57">
            <v>-3628.35</v>
          </cell>
          <cell r="H57">
            <v>113.79</v>
          </cell>
          <cell r="I57">
            <v>0</v>
          </cell>
          <cell r="J57">
            <v>183.25</v>
          </cell>
          <cell r="K57">
            <v>0</v>
          </cell>
          <cell r="L57">
            <v>297.04000000000002</v>
          </cell>
          <cell r="M57">
            <v>0</v>
          </cell>
          <cell r="N57">
            <v>0</v>
          </cell>
          <cell r="O57">
            <v>297.04000000000002</v>
          </cell>
          <cell r="P57">
            <v>-3628.35</v>
          </cell>
          <cell r="Q57" t="str">
            <v xml:space="preserve">                          -  </v>
          </cell>
          <cell r="R57">
            <v>3000</v>
          </cell>
          <cell r="S57">
            <v>3000</v>
          </cell>
        </row>
        <row r="58">
          <cell r="D58">
            <v>430304</v>
          </cell>
          <cell r="E58">
            <v>229496.2</v>
          </cell>
          <cell r="F58">
            <v>224921.06</v>
          </cell>
          <cell r="G58">
            <v>-229496.2</v>
          </cell>
          <cell r="H58">
            <v>151053.9</v>
          </cell>
          <cell r="I58">
            <v>0</v>
          </cell>
          <cell r="J58">
            <v>15660</v>
          </cell>
          <cell r="K58">
            <v>16624.599999999999</v>
          </cell>
          <cell r="L58">
            <v>183338.5</v>
          </cell>
          <cell r="M58">
            <v>0</v>
          </cell>
          <cell r="N58">
            <v>1</v>
          </cell>
          <cell r="O58">
            <v>183338.5</v>
          </cell>
          <cell r="P58">
            <v>-109668.75</v>
          </cell>
          <cell r="Q58">
            <v>221400</v>
          </cell>
          <cell r="R58">
            <v>229496.2</v>
          </cell>
          <cell r="S58">
            <v>190580.37075000003</v>
          </cell>
        </row>
        <row r="59">
          <cell r="D59">
            <v>430305</v>
          </cell>
          <cell r="E59">
            <v>888141.48</v>
          </cell>
          <cell r="F59">
            <v>787912.82</v>
          </cell>
          <cell r="G59">
            <v>-888141.48</v>
          </cell>
          <cell r="H59">
            <v>823516.72</v>
          </cell>
          <cell r="I59">
            <v>0</v>
          </cell>
          <cell r="J59">
            <v>72217.320000000007</v>
          </cell>
          <cell r="K59">
            <v>105244.8</v>
          </cell>
          <cell r="L59">
            <v>1000978.8400000001</v>
          </cell>
          <cell r="M59">
            <v>0</v>
          </cell>
          <cell r="N59">
            <v>1</v>
          </cell>
          <cell r="O59">
            <v>1000978.8400000001</v>
          </cell>
          <cell r="P59">
            <v>-221918.46</v>
          </cell>
          <cell r="Q59">
            <v>1266134</v>
          </cell>
          <cell r="R59">
            <v>888141.48</v>
          </cell>
          <cell r="S59">
            <v>1040517.5041800002</v>
          </cell>
        </row>
        <row r="60">
          <cell r="D60">
            <v>430306</v>
          </cell>
          <cell r="E60">
            <v>14238.65</v>
          </cell>
          <cell r="F60">
            <v>12567.68</v>
          </cell>
          <cell r="G60">
            <v>-14238.65</v>
          </cell>
          <cell r="H60">
            <v>8555.2199999999993</v>
          </cell>
          <cell r="I60">
            <v>0</v>
          </cell>
          <cell r="J60">
            <v>768.4</v>
          </cell>
          <cell r="K60">
            <v>1027.6199999999999</v>
          </cell>
          <cell r="L60">
            <v>10351.239999999998</v>
          </cell>
          <cell r="M60">
            <v>0</v>
          </cell>
          <cell r="N60">
            <v>1</v>
          </cell>
          <cell r="O60">
            <v>10351.239999999998</v>
          </cell>
          <cell r="P60">
            <v>-9342.6299999999992</v>
          </cell>
          <cell r="Q60">
            <v>8532</v>
          </cell>
          <cell r="R60">
            <v>8532</v>
          </cell>
          <cell r="S60">
            <v>10760.113979999998</v>
          </cell>
        </row>
        <row r="61">
          <cell r="D61">
            <v>430307</v>
          </cell>
          <cell r="E61">
            <v>64550</v>
          </cell>
          <cell r="F61">
            <v>58265</v>
          </cell>
          <cell r="G61">
            <v>-64550</v>
          </cell>
          <cell r="H61">
            <v>55718.86</v>
          </cell>
          <cell r="I61">
            <v>0</v>
          </cell>
          <cell r="J61">
            <v>5420</v>
          </cell>
          <cell r="K61">
            <v>7055</v>
          </cell>
          <cell r="L61">
            <v>68193.86</v>
          </cell>
          <cell r="M61">
            <v>0</v>
          </cell>
          <cell r="N61">
            <v>1</v>
          </cell>
          <cell r="O61">
            <v>68193.86</v>
          </cell>
          <cell r="P61">
            <v>-19942.240000000002</v>
          </cell>
          <cell r="Q61">
            <v>84354</v>
          </cell>
          <cell r="R61">
            <v>64550</v>
          </cell>
          <cell r="S61">
            <v>70887.517470000006</v>
          </cell>
        </row>
        <row r="62">
          <cell r="D62">
            <v>430308</v>
          </cell>
          <cell r="E62">
            <v>32645</v>
          </cell>
          <cell r="F62">
            <v>27371.9</v>
          </cell>
          <cell r="G62">
            <v>-32645</v>
          </cell>
          <cell r="H62">
            <v>10555.52</v>
          </cell>
          <cell r="I62">
            <v>0</v>
          </cell>
          <cell r="J62">
            <v>1740</v>
          </cell>
          <cell r="K62">
            <v>2425</v>
          </cell>
          <cell r="L62">
            <v>14720.52</v>
          </cell>
          <cell r="M62">
            <v>0</v>
          </cell>
          <cell r="N62">
            <v>1</v>
          </cell>
          <cell r="O62">
            <v>14720.52</v>
          </cell>
          <cell r="P62">
            <v>-24513.72</v>
          </cell>
          <cell r="Q62">
            <v>15228</v>
          </cell>
          <cell r="R62">
            <v>32645</v>
          </cell>
          <cell r="S62">
            <v>15301.980540000002</v>
          </cell>
        </row>
        <row r="63">
          <cell r="D63">
            <v>430401</v>
          </cell>
          <cell r="E63">
            <v>5633896.25</v>
          </cell>
          <cell r="F63">
            <v>6160000.2000000002</v>
          </cell>
          <cell r="G63">
            <v>-6160000.2000000002</v>
          </cell>
          <cell r="H63">
            <v>3031272.76</v>
          </cell>
          <cell r="I63">
            <v>0</v>
          </cell>
          <cell r="J63">
            <v>311919.19555555552</v>
          </cell>
          <cell r="K63">
            <v>311919.19555555552</v>
          </cell>
          <cell r="L63">
            <v>3655111.151111111</v>
          </cell>
          <cell r="M63">
            <v>0</v>
          </cell>
          <cell r="N63">
            <v>0</v>
          </cell>
          <cell r="O63">
            <v>3655111.151111111</v>
          </cell>
          <cell r="P63">
            <v>-3672727.44</v>
          </cell>
          <cell r="Q63">
            <v>3865222</v>
          </cell>
          <cell r="R63">
            <v>3865222</v>
          </cell>
          <cell r="S63">
            <v>3655111.151111111</v>
          </cell>
        </row>
        <row r="64">
          <cell r="D64">
            <v>430402</v>
          </cell>
          <cell r="E64">
            <v>1307664</v>
          </cell>
          <cell r="F64">
            <v>2064415.89</v>
          </cell>
          <cell r="G64">
            <v>-1307664</v>
          </cell>
          <cell r="H64">
            <v>1186200</v>
          </cell>
          <cell r="I64">
            <v>0</v>
          </cell>
          <cell r="J64">
            <v>90086.1</v>
          </cell>
          <cell r="K64">
            <v>46373.96</v>
          </cell>
          <cell r="L64">
            <v>1322660.06</v>
          </cell>
          <cell r="M64">
            <v>0</v>
          </cell>
          <cell r="N64" t="str">
            <v>POR CANTIDAD DE SERVICIO</v>
          </cell>
          <cell r="O64">
            <v>1322660.06</v>
          </cell>
          <cell r="P64">
            <v>-429024</v>
          </cell>
          <cell r="Q64">
            <v>1451816</v>
          </cell>
          <cell r="R64">
            <v>1307664</v>
          </cell>
          <cell r="S64">
            <v>1322660.06</v>
          </cell>
        </row>
        <row r="65">
          <cell r="D65">
            <v>430403</v>
          </cell>
          <cell r="E65">
            <v>205900</v>
          </cell>
          <cell r="F65">
            <v>171650</v>
          </cell>
          <cell r="G65">
            <v>-213106.5</v>
          </cell>
          <cell r="H65">
            <v>216780.75</v>
          </cell>
          <cell r="I65">
            <v>0</v>
          </cell>
          <cell r="J65">
            <v>21300</v>
          </cell>
          <cell r="K65">
            <v>24850</v>
          </cell>
          <cell r="L65">
            <v>262930.75</v>
          </cell>
          <cell r="M65">
            <v>0</v>
          </cell>
          <cell r="N65">
            <v>1</v>
          </cell>
          <cell r="O65">
            <v>262930.75</v>
          </cell>
          <cell r="P65">
            <v>-69810.75</v>
          </cell>
          <cell r="Q65">
            <v>280088</v>
          </cell>
          <cell r="R65">
            <v>205900</v>
          </cell>
          <cell r="S65">
            <v>273316.51462500001</v>
          </cell>
        </row>
        <row r="66">
          <cell r="D66">
            <v>430404</v>
          </cell>
          <cell r="E66">
            <v>65611.62</v>
          </cell>
          <cell r="F66">
            <v>235658.69</v>
          </cell>
          <cell r="G66">
            <v>-67908.02</v>
          </cell>
          <cell r="H66">
            <v>41203.699999999997</v>
          </cell>
          <cell r="I66">
            <v>0</v>
          </cell>
          <cell r="J66">
            <v>1299.24</v>
          </cell>
          <cell r="K66">
            <v>1299.24</v>
          </cell>
          <cell r="L66">
            <v>43802.179999999993</v>
          </cell>
          <cell r="M66">
            <v>0</v>
          </cell>
          <cell r="N66">
            <v>1</v>
          </cell>
          <cell r="O66">
            <v>43802.179999999993</v>
          </cell>
          <cell r="P66">
            <v>-40151.519999999997</v>
          </cell>
          <cell r="Q66">
            <v>223784</v>
          </cell>
          <cell r="R66">
            <v>65611.62</v>
          </cell>
          <cell r="S66">
            <v>45532.366109999995</v>
          </cell>
        </row>
        <row r="67">
          <cell r="D67">
            <v>430501</v>
          </cell>
          <cell r="E67">
            <v>354728.64</v>
          </cell>
          <cell r="F67">
            <v>444261.5</v>
          </cell>
          <cell r="G67">
            <v>-444261.5</v>
          </cell>
          <cell r="H67">
            <v>229649.42</v>
          </cell>
          <cell r="I67">
            <v>0</v>
          </cell>
          <cell r="J67">
            <v>0</v>
          </cell>
          <cell r="K67">
            <v>0</v>
          </cell>
          <cell r="L67">
            <v>229649.42</v>
          </cell>
          <cell r="M67">
            <v>0</v>
          </cell>
          <cell r="N67">
            <v>1</v>
          </cell>
          <cell r="O67">
            <v>229649.42</v>
          </cell>
          <cell r="P67">
            <v>-223499.42</v>
          </cell>
          <cell r="Q67">
            <v>459811</v>
          </cell>
          <cell r="R67">
            <v>370000</v>
          </cell>
          <cell r="S67">
            <v>238720.57209000003</v>
          </cell>
        </row>
        <row r="68">
          <cell r="D68">
            <v>430502</v>
          </cell>
          <cell r="E68">
            <v>152016.85</v>
          </cell>
          <cell r="F68">
            <v>144764.67000000001</v>
          </cell>
          <cell r="G68">
            <v>-157337.43</v>
          </cell>
          <cell r="H68">
            <v>169173.04</v>
          </cell>
          <cell r="I68">
            <v>0</v>
          </cell>
          <cell r="J68">
            <v>17014.73</v>
          </cell>
          <cell r="K68">
            <v>1394.65</v>
          </cell>
          <cell r="L68">
            <v>187582.42</v>
          </cell>
          <cell r="M68">
            <v>0</v>
          </cell>
          <cell r="N68">
            <v>1</v>
          </cell>
          <cell r="O68">
            <v>187582.42</v>
          </cell>
          <cell r="P68">
            <v>-33778.11</v>
          </cell>
          <cell r="Q68">
            <v>162844</v>
          </cell>
          <cell r="R68">
            <v>162844</v>
          </cell>
          <cell r="S68">
            <v>194991.92559000003</v>
          </cell>
        </row>
        <row r="69">
          <cell r="D69">
            <v>430503</v>
          </cell>
          <cell r="E69">
            <v>628063.4</v>
          </cell>
          <cell r="F69">
            <v>728453.86</v>
          </cell>
          <cell r="G69">
            <v>-728453.86</v>
          </cell>
          <cell r="H69">
            <v>480215.24</v>
          </cell>
          <cell r="I69">
            <v>0</v>
          </cell>
          <cell r="J69">
            <v>56100</v>
          </cell>
          <cell r="K69">
            <v>49723.4</v>
          </cell>
          <cell r="L69">
            <v>586038.64</v>
          </cell>
          <cell r="M69">
            <v>0</v>
          </cell>
          <cell r="N69">
            <v>1</v>
          </cell>
          <cell r="O69">
            <v>586038.64</v>
          </cell>
          <cell r="P69">
            <v>-332322.21999999997</v>
          </cell>
          <cell r="Q69">
            <v>691749</v>
          </cell>
          <cell r="R69">
            <v>728453</v>
          </cell>
          <cell r="S69">
            <v>609187.16628000012</v>
          </cell>
        </row>
        <row r="70">
          <cell r="D70">
            <v>430504</v>
          </cell>
          <cell r="E70">
            <v>0</v>
          </cell>
          <cell r="F70">
            <v>10000</v>
          </cell>
          <cell r="G70">
            <v>-10000</v>
          </cell>
          <cell r="H70">
            <v>75.56</v>
          </cell>
          <cell r="I70">
            <v>0</v>
          </cell>
          <cell r="J70">
            <v>0</v>
          </cell>
          <cell r="K70">
            <v>0</v>
          </cell>
          <cell r="L70">
            <v>75.56</v>
          </cell>
          <cell r="M70">
            <v>0</v>
          </cell>
          <cell r="N70">
            <v>0</v>
          </cell>
          <cell r="O70">
            <v>75.56</v>
          </cell>
          <cell r="P70">
            <v>-9924.44</v>
          </cell>
          <cell r="Q70">
            <v>10350</v>
          </cell>
          <cell r="R70">
            <v>10395</v>
          </cell>
          <cell r="S70">
            <v>10000</v>
          </cell>
        </row>
        <row r="71">
          <cell r="D71">
            <v>430505</v>
          </cell>
          <cell r="E71">
            <v>21989.360000000001</v>
          </cell>
          <cell r="F71">
            <v>78512.72</v>
          </cell>
          <cell r="G71">
            <v>-78512.72</v>
          </cell>
          <cell r="H71">
            <v>114079.69</v>
          </cell>
          <cell r="I71">
            <v>0</v>
          </cell>
          <cell r="J71">
            <v>0</v>
          </cell>
          <cell r="K71">
            <v>0</v>
          </cell>
          <cell r="L71">
            <v>114079.69</v>
          </cell>
          <cell r="M71">
            <v>0</v>
          </cell>
          <cell r="N71">
            <v>1</v>
          </cell>
          <cell r="O71">
            <v>114079.69</v>
          </cell>
          <cell r="P71">
            <v>1122.17</v>
          </cell>
          <cell r="Q71">
            <v>0</v>
          </cell>
          <cell r="R71">
            <v>90000</v>
          </cell>
          <cell r="S71">
            <v>118585.83775500002</v>
          </cell>
        </row>
        <row r="72">
          <cell r="D72">
            <v>430601</v>
          </cell>
          <cell r="E72">
            <v>1092582.6200000001</v>
          </cell>
          <cell r="F72">
            <v>952160.24</v>
          </cell>
          <cell r="G72">
            <v>-1092582.6200000001</v>
          </cell>
          <cell r="H72">
            <v>763976.43</v>
          </cell>
          <cell r="I72">
            <v>0</v>
          </cell>
          <cell r="J72">
            <v>173561.28</v>
          </cell>
          <cell r="K72">
            <v>207485.39</v>
          </cell>
          <cell r="L72">
            <v>1145023.1000000001</v>
          </cell>
          <cell r="M72">
            <v>0</v>
          </cell>
          <cell r="N72">
            <v>1</v>
          </cell>
          <cell r="O72">
            <v>1145023.1000000001</v>
          </cell>
          <cell r="P72">
            <v>-475762.67</v>
          </cell>
          <cell r="Q72">
            <v>1070731</v>
          </cell>
          <cell r="R72">
            <v>1070731</v>
          </cell>
          <cell r="S72">
            <v>1190251.5124500003</v>
          </cell>
        </row>
        <row r="73">
          <cell r="D73">
            <v>430602</v>
          </cell>
          <cell r="E73">
            <v>618133</v>
          </cell>
          <cell r="F73">
            <v>656901.02</v>
          </cell>
          <cell r="G73">
            <v>-656901.02</v>
          </cell>
          <cell r="H73">
            <v>673582.92</v>
          </cell>
          <cell r="I73">
            <v>0</v>
          </cell>
          <cell r="J73">
            <v>24269</v>
          </cell>
          <cell r="K73">
            <v>18052</v>
          </cell>
          <cell r="L73">
            <v>715903.92</v>
          </cell>
          <cell r="M73">
            <v>0</v>
          </cell>
          <cell r="N73">
            <v>1</v>
          </cell>
          <cell r="O73">
            <v>715903.92</v>
          </cell>
          <cell r="P73">
            <v>-72688.179999999993</v>
          </cell>
          <cell r="Q73">
            <v>858793</v>
          </cell>
          <cell r="R73">
            <v>858793</v>
          </cell>
          <cell r="S73">
            <v>744182.12484000006</v>
          </cell>
        </row>
        <row r="74">
          <cell r="D74">
            <v>430701</v>
          </cell>
          <cell r="E74">
            <v>36895.69</v>
          </cell>
          <cell r="F74">
            <v>36895.69</v>
          </cell>
          <cell r="G74">
            <v>-36895.69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-36895.69</v>
          </cell>
          <cell r="Q74">
            <v>0</v>
          </cell>
          <cell r="R74">
            <v>36895.69</v>
          </cell>
          <cell r="S74">
            <v>0</v>
          </cell>
        </row>
        <row r="75">
          <cell r="D75">
            <v>430801</v>
          </cell>
          <cell r="E75">
            <v>346197.2</v>
          </cell>
          <cell r="F75">
            <v>321995.2</v>
          </cell>
          <cell r="G75">
            <v>-358314.1</v>
          </cell>
          <cell r="H75">
            <v>432845.18</v>
          </cell>
          <cell r="I75">
            <v>0</v>
          </cell>
          <cell r="J75">
            <v>49074.44</v>
          </cell>
          <cell r="K75">
            <v>46623.65</v>
          </cell>
          <cell r="L75">
            <v>528543.27</v>
          </cell>
          <cell r="M75">
            <v>0</v>
          </cell>
          <cell r="N75">
            <v>1</v>
          </cell>
          <cell r="O75">
            <v>528543.27</v>
          </cell>
          <cell r="P75">
            <v>3947.08</v>
          </cell>
          <cell r="Q75">
            <v>562410</v>
          </cell>
          <cell r="R75">
            <v>562410</v>
          </cell>
          <cell r="S75">
            <v>549420.72916500003</v>
          </cell>
        </row>
        <row r="76">
          <cell r="D76">
            <v>430901</v>
          </cell>
          <cell r="E76">
            <v>1369578.98</v>
          </cell>
          <cell r="F76">
            <v>1780000</v>
          </cell>
          <cell r="G76">
            <v>-1780000</v>
          </cell>
          <cell r="H76">
            <v>1669535.71</v>
          </cell>
          <cell r="I76">
            <v>0</v>
          </cell>
          <cell r="J76">
            <v>138900.5</v>
          </cell>
          <cell r="K76">
            <v>102780.06</v>
          </cell>
          <cell r="L76">
            <v>1911216.27</v>
          </cell>
          <cell r="M76">
            <v>0</v>
          </cell>
          <cell r="N76">
            <v>1</v>
          </cell>
          <cell r="O76">
            <v>1911216.27</v>
          </cell>
          <cell r="P76">
            <v>-435978.75</v>
          </cell>
          <cell r="Q76">
            <v>2300000</v>
          </cell>
          <cell r="R76">
            <v>1500000</v>
          </cell>
          <cell r="S76">
            <v>1986709.3126650001</v>
          </cell>
        </row>
        <row r="77">
          <cell r="D77">
            <v>430902</v>
          </cell>
          <cell r="E77">
            <v>37452.519999999997</v>
          </cell>
          <cell r="F77">
            <v>75000</v>
          </cell>
          <cell r="G77">
            <v>-75000</v>
          </cell>
          <cell r="H77">
            <v>28129.67</v>
          </cell>
          <cell r="I77">
            <v>0</v>
          </cell>
          <cell r="J77">
            <v>854.48</v>
          </cell>
          <cell r="K77">
            <v>2908</v>
          </cell>
          <cell r="L77">
            <v>31892.149999999998</v>
          </cell>
          <cell r="M77">
            <v>0</v>
          </cell>
          <cell r="N77">
            <v>1</v>
          </cell>
          <cell r="O77">
            <v>31892.149999999998</v>
          </cell>
          <cell r="P77">
            <v>-56163.64</v>
          </cell>
          <cell r="Q77">
            <v>75000</v>
          </cell>
          <cell r="R77">
            <v>75000</v>
          </cell>
          <cell r="S77">
            <v>33151.889925000003</v>
          </cell>
        </row>
        <row r="78">
          <cell r="D78">
            <v>430903</v>
          </cell>
          <cell r="E78">
            <v>69250.5</v>
          </cell>
          <cell r="F78">
            <v>75000</v>
          </cell>
          <cell r="G78">
            <v>-75000</v>
          </cell>
          <cell r="H78">
            <v>65809.179999999993</v>
          </cell>
          <cell r="I78">
            <v>0</v>
          </cell>
          <cell r="J78">
            <v>0</v>
          </cell>
          <cell r="K78">
            <v>3147.75</v>
          </cell>
          <cell r="L78">
            <v>68956.929999999993</v>
          </cell>
          <cell r="M78">
            <v>0</v>
          </cell>
          <cell r="N78">
            <v>1</v>
          </cell>
          <cell r="O78">
            <v>68956.929999999993</v>
          </cell>
          <cell r="P78">
            <v>-17661.36</v>
          </cell>
          <cell r="Q78">
            <v>85000</v>
          </cell>
          <cell r="R78">
            <v>85000</v>
          </cell>
          <cell r="S78">
            <v>71680.728734999997</v>
          </cell>
        </row>
        <row r="79">
          <cell r="D79">
            <v>431002</v>
          </cell>
          <cell r="E79">
            <v>1711970.77</v>
          </cell>
          <cell r="F79">
            <v>2111781.36</v>
          </cell>
          <cell r="G79">
            <v>-2211970.77</v>
          </cell>
          <cell r="H79">
            <v>2165945.94</v>
          </cell>
          <cell r="I79">
            <v>0</v>
          </cell>
          <cell r="J79">
            <v>50405.599999999999</v>
          </cell>
          <cell r="K79">
            <v>95582.5</v>
          </cell>
          <cell r="L79">
            <v>2311934.04</v>
          </cell>
          <cell r="M79">
            <v>0</v>
          </cell>
          <cell r="N79">
            <v>1</v>
          </cell>
          <cell r="O79">
            <v>2311934.04</v>
          </cell>
          <cell r="P79">
            <v>-553525.94999999995</v>
          </cell>
          <cell r="Q79">
            <v>2582699</v>
          </cell>
          <cell r="R79">
            <v>2582699</v>
          </cell>
          <cell r="S79">
            <v>2403255.4345800001</v>
          </cell>
        </row>
        <row r="80">
          <cell r="D80">
            <v>431003</v>
          </cell>
          <cell r="E80">
            <v>1894678.83</v>
          </cell>
          <cell r="F80">
            <v>1913126.62</v>
          </cell>
          <cell r="G80">
            <v>-1913127</v>
          </cell>
          <cell r="H80">
            <v>870363.04</v>
          </cell>
          <cell r="I80">
            <v>0</v>
          </cell>
          <cell r="J80">
            <v>206930.97</v>
          </cell>
          <cell r="K80">
            <v>194573.47</v>
          </cell>
          <cell r="L80">
            <v>1271867.48</v>
          </cell>
          <cell r="M80">
            <v>0</v>
          </cell>
          <cell r="N80">
            <v>1</v>
          </cell>
          <cell r="O80">
            <v>1271867.48</v>
          </cell>
          <cell r="P80">
            <v>-1221504.44</v>
          </cell>
          <cell r="Q80">
            <v>1357501</v>
          </cell>
          <cell r="R80">
            <v>1357501</v>
          </cell>
          <cell r="S80">
            <v>1322106.2454600001</v>
          </cell>
        </row>
        <row r="81">
          <cell r="D81">
            <v>431004</v>
          </cell>
          <cell r="E81">
            <v>1157300.28</v>
          </cell>
          <cell r="F81">
            <v>1108340.95</v>
          </cell>
          <cell r="G81">
            <v>-1157300</v>
          </cell>
          <cell r="H81">
            <v>1340786.48</v>
          </cell>
          <cell r="I81">
            <v>0</v>
          </cell>
          <cell r="J81">
            <v>83957.53</v>
          </cell>
          <cell r="K81">
            <v>109816.37</v>
          </cell>
          <cell r="L81">
            <v>1534560.38</v>
          </cell>
          <cell r="M81">
            <v>0</v>
          </cell>
          <cell r="N81">
            <v>1</v>
          </cell>
          <cell r="O81">
            <v>1534560.38</v>
          </cell>
          <cell r="P81">
            <v>-81576.73</v>
          </cell>
          <cell r="Q81">
            <v>1726741</v>
          </cell>
          <cell r="R81">
            <v>1726741</v>
          </cell>
          <cell r="S81">
            <v>1595175.51501</v>
          </cell>
        </row>
        <row r="82">
          <cell r="D82">
            <v>431005</v>
          </cell>
          <cell r="E82">
            <v>572849.81000000006</v>
          </cell>
          <cell r="F82">
            <v>772020.39</v>
          </cell>
          <cell r="G82">
            <v>-772020</v>
          </cell>
          <cell r="H82">
            <v>637018.74</v>
          </cell>
          <cell r="I82">
            <v>0</v>
          </cell>
          <cell r="J82">
            <v>42042.6</v>
          </cell>
          <cell r="K82">
            <v>51803.07</v>
          </cell>
          <cell r="L82">
            <v>730864.40999999992</v>
          </cell>
          <cell r="M82">
            <v>0</v>
          </cell>
          <cell r="N82">
            <v>1</v>
          </cell>
          <cell r="O82">
            <v>730864.40999999992</v>
          </cell>
          <cell r="P82">
            <v>-289330.90999999997</v>
          </cell>
          <cell r="Q82">
            <v>624349</v>
          </cell>
          <cell r="R82">
            <v>624349</v>
          </cell>
          <cell r="S82">
            <v>759733.55419499998</v>
          </cell>
        </row>
        <row r="83">
          <cell r="D83">
            <v>431006</v>
          </cell>
          <cell r="E83">
            <v>2854268.7</v>
          </cell>
          <cell r="F83">
            <v>783574.45</v>
          </cell>
          <cell r="G83">
            <v>-2954168</v>
          </cell>
          <cell r="H83">
            <v>518046.76</v>
          </cell>
          <cell r="I83">
            <v>0</v>
          </cell>
          <cell r="J83">
            <v>16891.689999999999</v>
          </cell>
          <cell r="K83">
            <v>385842.84</v>
          </cell>
          <cell r="L83">
            <v>920781.29</v>
          </cell>
          <cell r="M83">
            <v>0</v>
          </cell>
          <cell r="N83">
            <v>0</v>
          </cell>
          <cell r="O83">
            <v>920781.29</v>
          </cell>
          <cell r="P83">
            <v>-2495629.96</v>
          </cell>
          <cell r="Q83">
            <v>1735435</v>
          </cell>
          <cell r="R83">
            <v>1735435</v>
          </cell>
          <cell r="S83">
            <v>920781.29</v>
          </cell>
        </row>
        <row r="84">
          <cell r="D84">
            <v>431007</v>
          </cell>
          <cell r="E84">
            <v>2254403.5</v>
          </cell>
          <cell r="F84">
            <v>1357313.57</v>
          </cell>
          <cell r="G84">
            <v>-2254403.5</v>
          </cell>
          <cell r="H84">
            <v>1254475.3799999999</v>
          </cell>
          <cell r="I84">
            <v>0</v>
          </cell>
          <cell r="J84">
            <v>136124.91666666666</v>
          </cell>
          <cell r="K84">
            <v>136124.91666666666</v>
          </cell>
          <cell r="L84">
            <v>1526725.2133333334</v>
          </cell>
          <cell r="M84">
            <v>0</v>
          </cell>
          <cell r="N84">
            <v>0</v>
          </cell>
          <cell r="O84">
            <v>1526725.2133333334</v>
          </cell>
          <cell r="P84">
            <v>-1120399.67</v>
          </cell>
          <cell r="Q84">
            <v>1664239</v>
          </cell>
          <cell r="R84">
            <v>1664239</v>
          </cell>
          <cell r="S84">
            <v>1526725.2133333334</v>
          </cell>
        </row>
        <row r="85">
          <cell r="D85">
            <v>431101</v>
          </cell>
          <cell r="E85">
            <v>94013.35</v>
          </cell>
          <cell r="F85">
            <v>104321.76</v>
          </cell>
          <cell r="G85">
            <v>-104321.76</v>
          </cell>
          <cell r="H85">
            <v>79639.179999999993</v>
          </cell>
          <cell r="I85">
            <v>0</v>
          </cell>
          <cell r="J85">
            <v>5682.52</v>
          </cell>
          <cell r="K85">
            <v>6531.28</v>
          </cell>
          <cell r="L85">
            <v>91852.98</v>
          </cell>
          <cell r="M85">
            <v>0</v>
          </cell>
          <cell r="N85">
            <v>1</v>
          </cell>
          <cell r="O85">
            <v>91852.98</v>
          </cell>
          <cell r="P85">
            <v>-40438.769999999997</v>
          </cell>
          <cell r="Q85">
            <v>0</v>
          </cell>
          <cell r="R85">
            <v>104000</v>
          </cell>
          <cell r="S85">
            <v>95481.172709999999</v>
          </cell>
        </row>
        <row r="86">
          <cell r="D86">
            <v>431102</v>
          </cell>
          <cell r="E86">
            <v>4616711.71</v>
          </cell>
          <cell r="F86">
            <v>5128232.1399999997</v>
          </cell>
          <cell r="G86">
            <v>-6128232.1399999997</v>
          </cell>
          <cell r="H86">
            <v>3216759.25</v>
          </cell>
          <cell r="I86">
            <v>0</v>
          </cell>
          <cell r="J86">
            <v>116856.24</v>
          </cell>
          <cell r="K86">
            <v>233208.95</v>
          </cell>
          <cell r="L86">
            <v>3566824.4400000004</v>
          </cell>
          <cell r="M86">
            <v>0</v>
          </cell>
          <cell r="N86">
            <v>1</v>
          </cell>
          <cell r="O86">
            <v>3566824.4400000004</v>
          </cell>
          <cell r="P86">
            <v>-3308328.25</v>
          </cell>
          <cell r="Q86">
            <v>0</v>
          </cell>
          <cell r="R86">
            <v>4616711.71</v>
          </cell>
          <cell r="S86">
            <v>3707714.0053800009</v>
          </cell>
        </row>
        <row r="87">
          <cell r="D87">
            <v>431103</v>
          </cell>
          <cell r="E87">
            <v>1416657.88</v>
          </cell>
          <cell r="F87">
            <v>1483901.46</v>
          </cell>
          <cell r="G87">
            <v>-1483901.46</v>
          </cell>
          <cell r="H87">
            <v>1338166.9099999999</v>
          </cell>
          <cell r="I87">
            <v>0</v>
          </cell>
          <cell r="J87">
            <v>97714.78</v>
          </cell>
          <cell r="K87">
            <v>157234.59</v>
          </cell>
          <cell r="L87">
            <v>1593116.28</v>
          </cell>
          <cell r="M87">
            <v>0</v>
          </cell>
          <cell r="N87">
            <v>1</v>
          </cell>
          <cell r="O87">
            <v>1593116.28</v>
          </cell>
          <cell r="P87">
            <v>-389191.45</v>
          </cell>
          <cell r="Q87">
            <v>0</v>
          </cell>
          <cell r="R87">
            <v>1416657.88</v>
          </cell>
          <cell r="S87">
            <v>1656044.3730600001</v>
          </cell>
        </row>
        <row r="88">
          <cell r="D88">
            <v>431104</v>
          </cell>
          <cell r="E88">
            <v>632.48</v>
          </cell>
          <cell r="F88">
            <v>542.63</v>
          </cell>
          <cell r="G88">
            <v>-20000</v>
          </cell>
          <cell r="H88">
            <v>0</v>
          </cell>
          <cell r="I88">
            <v>0</v>
          </cell>
          <cell r="J88">
            <v>0</v>
          </cell>
          <cell r="K88">
            <v>316.24</v>
          </cell>
          <cell r="L88">
            <v>316.24</v>
          </cell>
          <cell r="M88">
            <v>0</v>
          </cell>
          <cell r="N88">
            <v>0</v>
          </cell>
          <cell r="O88">
            <v>316.24</v>
          </cell>
          <cell r="P88">
            <v>-20000</v>
          </cell>
          <cell r="Q88">
            <v>0</v>
          </cell>
          <cell r="R88">
            <v>10000</v>
          </cell>
          <cell r="S88">
            <v>700</v>
          </cell>
        </row>
        <row r="89">
          <cell r="D89">
            <v>431105</v>
          </cell>
          <cell r="E89">
            <v>0</v>
          </cell>
          <cell r="F89">
            <v>0</v>
          </cell>
          <cell r="G89">
            <v>-27000</v>
          </cell>
          <cell r="H89">
            <v>36592.35</v>
          </cell>
          <cell r="I89">
            <v>0</v>
          </cell>
          <cell r="J89">
            <v>0</v>
          </cell>
          <cell r="K89">
            <v>0</v>
          </cell>
          <cell r="L89">
            <v>36592.35</v>
          </cell>
          <cell r="M89">
            <v>0</v>
          </cell>
          <cell r="N89">
            <v>1</v>
          </cell>
          <cell r="O89">
            <v>36592.35</v>
          </cell>
          <cell r="P89">
            <v>486.45</v>
          </cell>
          <cell r="Q89">
            <v>0</v>
          </cell>
          <cell r="R89">
            <v>30000</v>
          </cell>
          <cell r="S89">
            <v>38037.747824999999</v>
          </cell>
        </row>
        <row r="90">
          <cell r="D90">
            <v>431201</v>
          </cell>
          <cell r="E90">
            <v>437586.69</v>
          </cell>
          <cell r="F90">
            <v>429026.09</v>
          </cell>
          <cell r="G90">
            <v>-452902.22</v>
          </cell>
          <cell r="H90">
            <v>763499.82</v>
          </cell>
          <cell r="I90">
            <v>0</v>
          </cell>
          <cell r="J90">
            <v>9943.82</v>
          </cell>
          <cell r="K90">
            <v>36730.239999999998</v>
          </cell>
          <cell r="L90">
            <v>810173.87999999989</v>
          </cell>
          <cell r="M90">
            <v>0</v>
          </cell>
          <cell r="N90">
            <v>1</v>
          </cell>
          <cell r="O90">
            <v>810173.87999999989</v>
          </cell>
          <cell r="P90">
            <v>-101698.17</v>
          </cell>
          <cell r="Q90">
            <v>161555</v>
          </cell>
          <cell r="R90">
            <v>437586.69</v>
          </cell>
          <cell r="S90">
            <v>842175.74825999991</v>
          </cell>
        </row>
        <row r="91">
          <cell r="D91">
            <v>431202</v>
          </cell>
          <cell r="E91">
            <v>2097115.76</v>
          </cell>
          <cell r="F91">
            <v>2196290.65</v>
          </cell>
          <cell r="G91">
            <v>-2696290.65</v>
          </cell>
          <cell r="H91">
            <v>2651182.9500000002</v>
          </cell>
          <cell r="I91">
            <v>0</v>
          </cell>
          <cell r="J91">
            <v>279826.3133333333</v>
          </cell>
          <cell r="K91">
            <v>279826.3133333333</v>
          </cell>
          <cell r="L91">
            <v>3210835.5766666671</v>
          </cell>
          <cell r="M91">
            <v>0</v>
          </cell>
          <cell r="N91">
            <v>1</v>
          </cell>
          <cell r="O91">
            <v>3210835.5766666671</v>
          </cell>
          <cell r="P91">
            <v>-336552.65</v>
          </cell>
          <cell r="Q91">
            <v>2299000</v>
          </cell>
          <cell r="R91">
            <v>2500000</v>
          </cell>
          <cell r="S91">
            <v>3337663.5819450007</v>
          </cell>
        </row>
        <row r="92">
          <cell r="D92">
            <v>431203</v>
          </cell>
          <cell r="E92">
            <v>472464.13</v>
          </cell>
          <cell r="F92">
            <v>531625.93999999994</v>
          </cell>
          <cell r="G92">
            <v>-531625.93999999994</v>
          </cell>
          <cell r="H92">
            <v>388409.45</v>
          </cell>
          <cell r="I92">
            <v>0</v>
          </cell>
          <cell r="J92">
            <v>31241.4</v>
          </cell>
          <cell r="K92">
            <v>38671.620000000003</v>
          </cell>
          <cell r="L92">
            <v>458322.47000000003</v>
          </cell>
          <cell r="M92">
            <v>0</v>
          </cell>
          <cell r="N92">
            <v>1</v>
          </cell>
          <cell r="O92">
            <v>458322.47000000003</v>
          </cell>
          <cell r="P92">
            <v>-240494.85</v>
          </cell>
          <cell r="Q92">
            <v>0</v>
          </cell>
          <cell r="R92">
            <v>472464.13</v>
          </cell>
          <cell r="S92">
            <v>476426.20756500005</v>
          </cell>
        </row>
        <row r="93">
          <cell r="D93">
            <v>431204</v>
          </cell>
          <cell r="E93">
            <v>0</v>
          </cell>
          <cell r="F93">
            <v>542.63</v>
          </cell>
          <cell r="G93">
            <v>-542.63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-542.63</v>
          </cell>
          <cell r="Q93">
            <v>0</v>
          </cell>
          <cell r="R93">
            <v>1000</v>
          </cell>
          <cell r="S93">
            <v>500</v>
          </cell>
        </row>
        <row r="94">
          <cell r="D94">
            <v>431301</v>
          </cell>
          <cell r="E94">
            <v>3546385.73</v>
          </cell>
          <cell r="F94">
            <v>2836779.25</v>
          </cell>
          <cell r="G94">
            <v>-3546385.73</v>
          </cell>
          <cell r="H94">
            <v>3524910.9</v>
          </cell>
          <cell r="I94">
            <v>0</v>
          </cell>
          <cell r="J94">
            <v>382675.11</v>
          </cell>
          <cell r="K94">
            <v>303975.84000000003</v>
          </cell>
          <cell r="L94">
            <v>4211561.8499999996</v>
          </cell>
          <cell r="M94">
            <v>0</v>
          </cell>
          <cell r="N94">
            <v>1</v>
          </cell>
          <cell r="O94">
            <v>4211561.8499999996</v>
          </cell>
          <cell r="P94">
            <v>-582375.38</v>
          </cell>
          <cell r="Q94">
            <v>3698897</v>
          </cell>
          <cell r="R94">
            <v>3600000</v>
          </cell>
          <cell r="S94">
            <v>4377918.5430749999</v>
          </cell>
        </row>
        <row r="95">
          <cell r="D95">
            <v>431401</v>
          </cell>
          <cell r="E95">
            <v>48095.24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D96">
            <v>431402</v>
          </cell>
          <cell r="E96">
            <v>91715.32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D97">
            <v>431501</v>
          </cell>
          <cell r="E97">
            <v>207688.4</v>
          </cell>
          <cell r="F97">
            <v>268861.37</v>
          </cell>
          <cell r="G97">
            <v>-268861.37</v>
          </cell>
          <cell r="H97">
            <v>225572.27</v>
          </cell>
          <cell r="I97">
            <v>0</v>
          </cell>
          <cell r="J97">
            <v>25870.880000000001</v>
          </cell>
          <cell r="K97">
            <v>13859.4</v>
          </cell>
          <cell r="L97">
            <v>265302.55</v>
          </cell>
          <cell r="M97">
            <v>0</v>
          </cell>
          <cell r="N97">
            <v>1</v>
          </cell>
          <cell r="O97">
            <v>265302.55</v>
          </cell>
          <cell r="P97">
            <v>-90730.86</v>
          </cell>
          <cell r="Q97">
            <v>264690</v>
          </cell>
          <cell r="R97">
            <v>264690</v>
          </cell>
          <cell r="S97">
            <v>275782.00072499999</v>
          </cell>
        </row>
        <row r="98">
          <cell r="D98">
            <v>431502</v>
          </cell>
          <cell r="E98">
            <v>149712.75</v>
          </cell>
          <cell r="F98">
            <v>230345.83</v>
          </cell>
          <cell r="G98">
            <v>-150000</v>
          </cell>
          <cell r="H98">
            <v>194426.1</v>
          </cell>
          <cell r="I98">
            <v>0</v>
          </cell>
          <cell r="J98">
            <v>6072</v>
          </cell>
          <cell r="K98">
            <v>5313</v>
          </cell>
          <cell r="L98">
            <v>205811.1</v>
          </cell>
          <cell r="M98">
            <v>0</v>
          </cell>
          <cell r="N98">
            <v>1</v>
          </cell>
          <cell r="O98">
            <v>205811.1</v>
          </cell>
          <cell r="P98">
            <v>24983.49</v>
          </cell>
          <cell r="Q98">
            <v>160000</v>
          </cell>
          <cell r="R98">
            <v>190000</v>
          </cell>
          <cell r="S98">
            <v>213940.63845000003</v>
          </cell>
        </row>
        <row r="99">
          <cell r="D99">
            <v>431503</v>
          </cell>
          <cell r="E99">
            <v>51106.44</v>
          </cell>
          <cell r="F99">
            <v>59335.16</v>
          </cell>
          <cell r="G99">
            <v>-59335.16</v>
          </cell>
          <cell r="H99">
            <v>32458.32</v>
          </cell>
          <cell r="I99">
            <v>0</v>
          </cell>
          <cell r="J99">
            <v>15099.63</v>
          </cell>
          <cell r="K99">
            <v>1161.51</v>
          </cell>
          <cell r="L99">
            <v>48719.46</v>
          </cell>
          <cell r="M99">
            <v>0</v>
          </cell>
          <cell r="N99">
            <v>1</v>
          </cell>
          <cell r="O99">
            <v>48719.46</v>
          </cell>
          <cell r="P99">
            <v>-31685.48</v>
          </cell>
          <cell r="Q99">
            <v>84151</v>
          </cell>
          <cell r="R99">
            <v>84151</v>
          </cell>
          <cell r="S99">
            <v>50643.878670000006</v>
          </cell>
        </row>
        <row r="100">
          <cell r="D100">
            <v>431504</v>
          </cell>
          <cell r="E100">
            <v>86198.53</v>
          </cell>
          <cell r="F100">
            <v>150359.42000000001</v>
          </cell>
          <cell r="G100">
            <v>-100000</v>
          </cell>
          <cell r="H100">
            <v>50611.040000000001</v>
          </cell>
          <cell r="I100">
            <v>0</v>
          </cell>
          <cell r="J100">
            <v>2837.67</v>
          </cell>
          <cell r="K100">
            <v>515.94000000000005</v>
          </cell>
          <cell r="L100">
            <v>53964.65</v>
          </cell>
          <cell r="M100">
            <v>0</v>
          </cell>
          <cell r="N100">
            <v>1</v>
          </cell>
          <cell r="O100">
            <v>53964.65</v>
          </cell>
          <cell r="P100">
            <v>-53097.07</v>
          </cell>
          <cell r="Q100">
            <v>42427</v>
          </cell>
          <cell r="R100">
            <v>86198.53</v>
          </cell>
          <cell r="S100">
            <v>56096.253675000007</v>
          </cell>
        </row>
        <row r="101">
          <cell r="D101">
            <v>431505</v>
          </cell>
          <cell r="E101">
            <v>0</v>
          </cell>
          <cell r="F101">
            <v>13000</v>
          </cell>
          <cell r="G101">
            <v>-13000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-13000</v>
          </cell>
          <cell r="Q101">
            <v>4000</v>
          </cell>
          <cell r="R101">
            <v>4000</v>
          </cell>
          <cell r="S101">
            <v>4000</v>
          </cell>
        </row>
        <row r="102">
          <cell r="D102">
            <v>431506</v>
          </cell>
          <cell r="E102">
            <v>192545.5</v>
          </cell>
          <cell r="F102">
            <v>150000</v>
          </cell>
          <cell r="G102">
            <v>-192000</v>
          </cell>
          <cell r="H102">
            <v>268959.2</v>
          </cell>
          <cell r="I102">
            <v>0</v>
          </cell>
          <cell r="J102">
            <v>11490</v>
          </cell>
          <cell r="K102">
            <v>10908</v>
          </cell>
          <cell r="L102">
            <v>291357.2</v>
          </cell>
          <cell r="M102">
            <v>0</v>
          </cell>
          <cell r="N102">
            <v>1</v>
          </cell>
          <cell r="O102">
            <v>291357.2</v>
          </cell>
          <cell r="P102">
            <v>59546.16</v>
          </cell>
          <cell r="Q102">
            <v>198000</v>
          </cell>
          <cell r="R102">
            <v>260000</v>
          </cell>
          <cell r="S102">
            <v>302865.80940000003</v>
          </cell>
        </row>
        <row r="103">
          <cell r="D103">
            <v>431601</v>
          </cell>
          <cell r="E103">
            <v>182365.91</v>
          </cell>
          <cell r="F103">
            <v>245655.08</v>
          </cell>
          <cell r="G103">
            <v>-188748.71</v>
          </cell>
          <cell r="H103">
            <v>99284.61</v>
          </cell>
          <cell r="I103">
            <v>0</v>
          </cell>
          <cell r="J103">
            <v>16041.39</v>
          </cell>
          <cell r="K103">
            <v>20235.75</v>
          </cell>
          <cell r="L103">
            <v>135561.75</v>
          </cell>
          <cell r="M103">
            <v>0</v>
          </cell>
          <cell r="N103">
            <v>1</v>
          </cell>
          <cell r="O103">
            <v>135561.75</v>
          </cell>
          <cell r="P103">
            <v>-104261.21</v>
          </cell>
          <cell r="Q103">
            <v>0</v>
          </cell>
          <cell r="R103">
            <v>182365.91</v>
          </cell>
          <cell r="S103">
            <v>140916.439125</v>
          </cell>
        </row>
        <row r="104">
          <cell r="D104">
            <v>431602</v>
          </cell>
          <cell r="E104">
            <v>284728.96999999997</v>
          </cell>
          <cell r="F104">
            <v>281999.26</v>
          </cell>
          <cell r="G104">
            <v>-294979.21000000002</v>
          </cell>
          <cell r="H104">
            <v>412592.98</v>
          </cell>
          <cell r="I104">
            <v>0</v>
          </cell>
          <cell r="J104">
            <v>28479.18</v>
          </cell>
          <cell r="K104">
            <v>25162.47</v>
          </cell>
          <cell r="L104">
            <v>466234.63</v>
          </cell>
          <cell r="M104">
            <v>0</v>
          </cell>
          <cell r="N104">
            <v>1</v>
          </cell>
          <cell r="O104">
            <v>466234.63</v>
          </cell>
          <cell r="P104">
            <v>11090.98</v>
          </cell>
          <cell r="Q104">
            <v>324477</v>
          </cell>
          <cell r="R104">
            <v>330000</v>
          </cell>
          <cell r="S104">
            <v>484650.89788500004</v>
          </cell>
        </row>
        <row r="105">
          <cell r="D105">
            <v>431603</v>
          </cell>
          <cell r="E105">
            <v>378.15</v>
          </cell>
          <cell r="F105">
            <v>31000</v>
          </cell>
          <cell r="G105">
            <v>-20000</v>
          </cell>
          <cell r="H105">
            <v>10061.67</v>
          </cell>
          <cell r="I105">
            <v>0</v>
          </cell>
          <cell r="J105">
            <v>0</v>
          </cell>
          <cell r="K105">
            <v>0</v>
          </cell>
          <cell r="L105">
            <v>10061.67</v>
          </cell>
          <cell r="M105">
            <v>0</v>
          </cell>
          <cell r="N105">
            <v>1</v>
          </cell>
          <cell r="O105">
            <v>10061.67</v>
          </cell>
          <cell r="P105">
            <v>-12241.92</v>
          </cell>
          <cell r="Q105">
            <v>12056</v>
          </cell>
          <cell r="R105">
            <v>12056</v>
          </cell>
          <cell r="S105">
            <v>10459.105965000001</v>
          </cell>
        </row>
        <row r="106">
          <cell r="D106">
            <v>431604</v>
          </cell>
          <cell r="E106">
            <v>206241.07</v>
          </cell>
          <cell r="F106">
            <v>174299.8</v>
          </cell>
          <cell r="G106">
            <v>-206241.07</v>
          </cell>
          <cell r="H106">
            <v>296354.13</v>
          </cell>
          <cell r="I106">
            <v>0</v>
          </cell>
          <cell r="J106">
            <v>6396.89</v>
          </cell>
          <cell r="K106">
            <v>8815.86</v>
          </cell>
          <cell r="L106">
            <v>311566.88</v>
          </cell>
          <cell r="M106">
            <v>0</v>
          </cell>
          <cell r="N106">
            <v>0</v>
          </cell>
          <cell r="O106">
            <v>311566.88</v>
          </cell>
          <cell r="P106">
            <v>71506.42</v>
          </cell>
          <cell r="Q106">
            <v>0</v>
          </cell>
          <cell r="R106">
            <v>210000</v>
          </cell>
          <cell r="S106">
            <v>210000</v>
          </cell>
        </row>
        <row r="107">
          <cell r="D107">
            <v>431605</v>
          </cell>
          <cell r="E107">
            <v>1444946.95</v>
          </cell>
          <cell r="F107">
            <v>1370886.21</v>
          </cell>
          <cell r="G107">
            <v>-1444946.95</v>
          </cell>
          <cell r="H107">
            <v>1225824.06</v>
          </cell>
          <cell r="I107">
            <v>0</v>
          </cell>
          <cell r="J107">
            <v>101881.26</v>
          </cell>
          <cell r="K107">
            <v>97143.15</v>
          </cell>
          <cell r="L107">
            <v>1424848.47</v>
          </cell>
          <cell r="M107">
            <v>0</v>
          </cell>
          <cell r="N107">
            <v>1</v>
          </cell>
          <cell r="O107">
            <v>1424848.47</v>
          </cell>
          <cell r="P107">
            <v>-443627.8</v>
          </cell>
          <cell r="Q107">
            <v>0</v>
          </cell>
          <cell r="R107">
            <v>1500000</v>
          </cell>
          <cell r="S107">
            <v>1481129.984565</v>
          </cell>
        </row>
        <row r="108">
          <cell r="D108">
            <v>431606</v>
          </cell>
          <cell r="E108">
            <v>251416.64</v>
          </cell>
          <cell r="F108">
            <v>350000</v>
          </cell>
          <cell r="G108">
            <v>-350000</v>
          </cell>
          <cell r="H108">
            <v>281013.69</v>
          </cell>
          <cell r="I108">
            <v>0</v>
          </cell>
          <cell r="J108">
            <v>32361</v>
          </cell>
          <cell r="K108">
            <v>37213.870000000003</v>
          </cell>
          <cell r="L108">
            <v>350588.56</v>
          </cell>
          <cell r="M108">
            <v>0</v>
          </cell>
          <cell r="N108">
            <v>1</v>
          </cell>
          <cell r="O108">
            <v>350588.56</v>
          </cell>
          <cell r="P108">
            <v>-123266.3</v>
          </cell>
          <cell r="Q108">
            <v>0</v>
          </cell>
          <cell r="R108">
            <v>350000</v>
          </cell>
          <cell r="S108">
            <v>364436.80812</v>
          </cell>
        </row>
        <row r="109">
          <cell r="D109">
            <v>431607</v>
          </cell>
          <cell r="E109">
            <v>0</v>
          </cell>
          <cell r="F109">
            <v>1000</v>
          </cell>
          <cell r="G109">
            <v>-1000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-1000</v>
          </cell>
          <cell r="Q109">
            <v>0</v>
          </cell>
          <cell r="R109">
            <v>1000</v>
          </cell>
          <cell r="S109">
            <v>1000</v>
          </cell>
        </row>
        <row r="110">
          <cell r="D110">
            <v>431608</v>
          </cell>
          <cell r="E110">
            <v>1203387.3700000001</v>
          </cell>
          <cell r="F110">
            <v>1006485.36</v>
          </cell>
          <cell r="G110">
            <v>-1203387.3700000001</v>
          </cell>
          <cell r="H110">
            <v>595008.67000000004</v>
          </cell>
          <cell r="I110">
            <v>0</v>
          </cell>
          <cell r="J110">
            <v>64188.51</v>
          </cell>
          <cell r="K110">
            <v>45729.14</v>
          </cell>
          <cell r="L110">
            <v>704926.32000000007</v>
          </cell>
          <cell r="M110">
            <v>0</v>
          </cell>
          <cell r="N110">
            <v>1</v>
          </cell>
          <cell r="O110">
            <v>704926.32000000007</v>
          </cell>
          <cell r="P110">
            <v>-724412.55</v>
          </cell>
          <cell r="Q110">
            <v>0</v>
          </cell>
          <cell r="R110">
            <v>800000</v>
          </cell>
          <cell r="S110">
            <v>732770.90964000009</v>
          </cell>
        </row>
        <row r="111">
          <cell r="D111">
            <v>431609</v>
          </cell>
          <cell r="E111">
            <v>2000</v>
          </cell>
          <cell r="F111">
            <v>1375</v>
          </cell>
          <cell r="G111">
            <v>-2000</v>
          </cell>
          <cell r="H111">
            <v>1793.8</v>
          </cell>
          <cell r="I111">
            <v>0</v>
          </cell>
          <cell r="J111">
            <v>500</v>
          </cell>
          <cell r="K111">
            <v>125</v>
          </cell>
          <cell r="L111">
            <v>2418.8000000000002</v>
          </cell>
          <cell r="M111">
            <v>0</v>
          </cell>
          <cell r="N111">
            <v>1</v>
          </cell>
          <cell r="O111">
            <v>2418.8000000000002</v>
          </cell>
          <cell r="P111">
            <v>-594.34</v>
          </cell>
          <cell r="Q111">
            <v>2070</v>
          </cell>
          <cell r="R111">
            <v>2000</v>
          </cell>
          <cell r="S111">
            <v>2514.3426000000004</v>
          </cell>
        </row>
        <row r="112">
          <cell r="D112">
            <v>431701</v>
          </cell>
          <cell r="E112">
            <v>13340</v>
          </cell>
          <cell r="F112">
            <v>10530</v>
          </cell>
          <cell r="G112">
            <v>-18340</v>
          </cell>
          <cell r="H112">
            <v>34220</v>
          </cell>
          <cell r="I112">
            <v>0</v>
          </cell>
          <cell r="J112">
            <v>3430</v>
          </cell>
          <cell r="K112">
            <v>2160</v>
          </cell>
          <cell r="L112">
            <v>39810</v>
          </cell>
          <cell r="M112">
            <v>0</v>
          </cell>
          <cell r="N112">
            <v>0</v>
          </cell>
          <cell r="O112">
            <v>39810</v>
          </cell>
          <cell r="P112">
            <v>7840</v>
          </cell>
          <cell r="Q112">
            <v>0</v>
          </cell>
          <cell r="R112">
            <v>27000</v>
          </cell>
          <cell r="S112">
            <v>39810</v>
          </cell>
        </row>
        <row r="113">
          <cell r="D113">
            <v>431801</v>
          </cell>
          <cell r="E113">
            <v>78393123.519999996</v>
          </cell>
          <cell r="F113">
            <v>89659145.040000007</v>
          </cell>
          <cell r="G113">
            <v>-82242217.609999999</v>
          </cell>
          <cell r="H113">
            <v>60669804.390000001</v>
          </cell>
          <cell r="I113">
            <v>0</v>
          </cell>
          <cell r="J113">
            <v>6600000</v>
          </cell>
          <cell r="K113">
            <v>13200000</v>
          </cell>
          <cell r="L113">
            <v>80469804.390000001</v>
          </cell>
          <cell r="M113">
            <v>0</v>
          </cell>
          <cell r="N113">
            <v>0</v>
          </cell>
          <cell r="O113">
            <v>80469804.390000001</v>
          </cell>
          <cell r="P113">
            <v>-34788153.649999999</v>
          </cell>
          <cell r="Q113">
            <v>0</v>
          </cell>
          <cell r="R113">
            <v>82242217.609999999</v>
          </cell>
          <cell r="S113">
            <v>90643176.159999996</v>
          </cell>
        </row>
        <row r="114">
          <cell r="D114">
            <v>432101</v>
          </cell>
          <cell r="E114">
            <v>57390</v>
          </cell>
          <cell r="F114">
            <v>85000</v>
          </cell>
          <cell r="G114">
            <v>-85000</v>
          </cell>
          <cell r="H114">
            <v>79718.28</v>
          </cell>
          <cell r="I114">
            <v>0</v>
          </cell>
          <cell r="J114">
            <v>3928</v>
          </cell>
          <cell r="K114">
            <v>5103</v>
          </cell>
          <cell r="L114">
            <v>88749.28</v>
          </cell>
          <cell r="M114">
            <v>0</v>
          </cell>
          <cell r="N114">
            <v>1</v>
          </cell>
          <cell r="O114">
            <v>88749.28</v>
          </cell>
          <cell r="P114">
            <v>-28976.74</v>
          </cell>
          <cell r="Q114">
            <v>0</v>
          </cell>
          <cell r="R114">
            <v>85000</v>
          </cell>
          <cell r="S114">
            <v>92254.876560000004</v>
          </cell>
        </row>
        <row r="115">
          <cell r="D115">
            <v>432102</v>
          </cell>
          <cell r="E115">
            <v>6056648.6500000004</v>
          </cell>
          <cell r="F115">
            <v>5415000</v>
          </cell>
          <cell r="G115">
            <v>-6556648.6500000004</v>
          </cell>
          <cell r="H115">
            <v>6439578.2699999996</v>
          </cell>
          <cell r="I115">
            <v>0</v>
          </cell>
          <cell r="J115">
            <v>620558.49</v>
          </cell>
          <cell r="K115">
            <v>679702.37</v>
          </cell>
          <cell r="L115">
            <v>7739839.1299999999</v>
          </cell>
          <cell r="M115">
            <v>0</v>
          </cell>
          <cell r="N115">
            <v>1</v>
          </cell>
          <cell r="O115">
            <v>7739839.1299999999</v>
          </cell>
          <cell r="P115">
            <v>-1201255.3999999999</v>
          </cell>
          <cell r="Q115">
            <v>0</v>
          </cell>
          <cell r="R115">
            <v>7000000</v>
          </cell>
          <cell r="S115">
            <v>8045562.7756350003</v>
          </cell>
        </row>
        <row r="116">
          <cell r="D116">
            <v>450301</v>
          </cell>
          <cell r="E116">
            <v>2426.9699999999998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2000</v>
          </cell>
          <cell r="S116">
            <v>2000</v>
          </cell>
        </row>
        <row r="117">
          <cell r="D117">
            <v>0</v>
          </cell>
          <cell r="E117">
            <v>27262838.569999997</v>
          </cell>
          <cell r="F117">
            <v>25168726.48</v>
          </cell>
          <cell r="G117">
            <v>-26863440.48</v>
          </cell>
          <cell r="H117">
            <v>22259272.690000001</v>
          </cell>
          <cell r="I117">
            <v>0</v>
          </cell>
          <cell r="J117">
            <v>1015350.35</v>
          </cell>
          <cell r="K117">
            <v>1162050.4300000002</v>
          </cell>
          <cell r="L117">
            <v>24436673.470000003</v>
          </cell>
          <cell r="M117">
            <v>0</v>
          </cell>
          <cell r="N117">
            <v>0</v>
          </cell>
          <cell r="O117">
            <v>24436673.470000003</v>
          </cell>
          <cell r="P117">
            <v>-8180724.9499999993</v>
          </cell>
          <cell r="Q117">
            <v>0</v>
          </cell>
          <cell r="R117">
            <v>22038967.27</v>
          </cell>
          <cell r="S117">
            <v>26885990.139699467</v>
          </cell>
        </row>
        <row r="118">
          <cell r="D118">
            <v>510101</v>
          </cell>
          <cell r="E118">
            <v>18274453.370000001</v>
          </cell>
          <cell r="F118">
            <v>15497557.529999999</v>
          </cell>
          <cell r="G118">
            <v>-15497557.529999999</v>
          </cell>
          <cell r="H118">
            <v>11087629.02</v>
          </cell>
          <cell r="I118">
            <v>0</v>
          </cell>
          <cell r="J118">
            <v>980088.1</v>
          </cell>
          <cell r="K118">
            <v>1100366.6000000001</v>
          </cell>
          <cell r="L118">
            <v>13168083.719999999</v>
          </cell>
          <cell r="M118">
            <v>0</v>
          </cell>
          <cell r="N118">
            <v>0</v>
          </cell>
          <cell r="O118">
            <v>13168083.719999999</v>
          </cell>
          <cell r="P118">
            <v>-5963680.6399999997</v>
          </cell>
          <cell r="Q118">
            <v>0</v>
          </cell>
          <cell r="R118">
            <v>15497557.529999999</v>
          </cell>
          <cell r="S118">
            <v>16533779.721200747</v>
          </cell>
        </row>
        <row r="119">
          <cell r="D119">
            <v>510106</v>
          </cell>
          <cell r="E119">
            <v>0</v>
          </cell>
          <cell r="F119">
            <v>1450000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D120">
            <v>510102</v>
          </cell>
          <cell r="E120">
            <v>1592215.3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3290531.0915189572</v>
          </cell>
        </row>
        <row r="121">
          <cell r="D121">
            <v>510103</v>
          </cell>
          <cell r="E121">
            <v>1615760.75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1691695.6323261322</v>
          </cell>
        </row>
        <row r="122">
          <cell r="D122">
            <v>510104</v>
          </cell>
          <cell r="E122">
            <v>4460860.0599999996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2867017.5651036305</v>
          </cell>
        </row>
        <row r="123">
          <cell r="D123">
            <v>510105</v>
          </cell>
          <cell r="E123">
            <v>177215.27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D124">
            <v>510107</v>
          </cell>
          <cell r="E124">
            <v>0</v>
          </cell>
          <cell r="F124">
            <v>1306000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D125">
            <v>510108</v>
          </cell>
          <cell r="E125">
            <v>0</v>
          </cell>
          <cell r="F125">
            <v>4000000</v>
          </cell>
          <cell r="G125">
            <v>-4000000</v>
          </cell>
          <cell r="H125">
            <v>3391419.82</v>
          </cell>
          <cell r="I125">
            <v>0</v>
          </cell>
          <cell r="J125">
            <v>0</v>
          </cell>
          <cell r="K125">
            <v>0</v>
          </cell>
          <cell r="L125">
            <v>3391419.82</v>
          </cell>
          <cell r="M125">
            <v>0</v>
          </cell>
          <cell r="N125">
            <v>0</v>
          </cell>
          <cell r="O125">
            <v>3391419.82</v>
          </cell>
          <cell r="P125">
            <v>-1588003.45</v>
          </cell>
          <cell r="Q125">
            <v>0</v>
          </cell>
          <cell r="R125">
            <v>3500000</v>
          </cell>
          <cell r="S125">
            <v>0</v>
          </cell>
        </row>
        <row r="126">
          <cell r="D126">
            <v>510301</v>
          </cell>
          <cell r="E126">
            <v>123759.79</v>
          </cell>
          <cell r="F126">
            <v>118646.97</v>
          </cell>
          <cell r="G126">
            <v>-118646.97</v>
          </cell>
          <cell r="H126">
            <v>97323.61</v>
          </cell>
          <cell r="I126">
            <v>0</v>
          </cell>
          <cell r="J126">
            <v>8350</v>
          </cell>
          <cell r="K126">
            <v>7562.59</v>
          </cell>
          <cell r="L126">
            <v>113236.2</v>
          </cell>
          <cell r="M126">
            <v>0</v>
          </cell>
          <cell r="N126">
            <v>1</v>
          </cell>
          <cell r="O126">
            <v>113236.2</v>
          </cell>
          <cell r="P126">
            <v>-39622.160000000003</v>
          </cell>
          <cell r="Q126">
            <v>0</v>
          </cell>
          <cell r="R126">
            <v>123759.79</v>
          </cell>
          <cell r="S126">
            <v>117709.02990000001</v>
          </cell>
        </row>
        <row r="127">
          <cell r="D127">
            <v>510501</v>
          </cell>
          <cell r="E127">
            <v>646.95000000000005</v>
          </cell>
          <cell r="F127">
            <v>1340</v>
          </cell>
          <cell r="G127">
            <v>-1340</v>
          </cell>
          <cell r="H127">
            <v>72.959999999999994</v>
          </cell>
          <cell r="I127">
            <v>0</v>
          </cell>
          <cell r="J127">
            <v>0</v>
          </cell>
          <cell r="K127">
            <v>0</v>
          </cell>
          <cell r="L127">
            <v>72.959999999999994</v>
          </cell>
          <cell r="M127">
            <v>0</v>
          </cell>
          <cell r="N127">
            <v>0</v>
          </cell>
          <cell r="O127">
            <v>72.959999999999994</v>
          </cell>
          <cell r="P127">
            <v>-1267.04</v>
          </cell>
          <cell r="Q127">
            <v>0</v>
          </cell>
          <cell r="R127">
            <v>649.95000000000005</v>
          </cell>
          <cell r="S127">
            <v>500</v>
          </cell>
        </row>
        <row r="128">
          <cell r="D128">
            <v>510502</v>
          </cell>
          <cell r="E128">
            <v>9796</v>
          </cell>
          <cell r="F128">
            <v>7932.98</v>
          </cell>
          <cell r="G128">
            <v>-12932.98</v>
          </cell>
          <cell r="H128">
            <v>16571.259999999998</v>
          </cell>
          <cell r="I128">
            <v>0</v>
          </cell>
          <cell r="J128">
            <v>771</v>
          </cell>
          <cell r="K128">
            <v>880</v>
          </cell>
          <cell r="L128">
            <v>18222.259999999998</v>
          </cell>
          <cell r="M128">
            <v>0</v>
          </cell>
          <cell r="N128">
            <v>1</v>
          </cell>
          <cell r="O128">
            <v>18222.259999999998</v>
          </cell>
          <cell r="P128">
            <v>2411.91</v>
          </cell>
          <cell r="Q128">
            <v>0</v>
          </cell>
          <cell r="R128">
            <v>17000</v>
          </cell>
          <cell r="S128">
            <v>18942.039270000001</v>
          </cell>
        </row>
        <row r="129">
          <cell r="D129">
            <v>510601</v>
          </cell>
          <cell r="E129">
            <v>637594.69999999995</v>
          </cell>
          <cell r="F129">
            <v>1714286</v>
          </cell>
          <cell r="G129">
            <v>-5800000</v>
          </cell>
          <cell r="H129">
            <v>5346823</v>
          </cell>
          <cell r="I129">
            <v>0</v>
          </cell>
          <cell r="J129">
            <v>0</v>
          </cell>
          <cell r="K129">
            <v>0</v>
          </cell>
          <cell r="L129">
            <v>5346823</v>
          </cell>
          <cell r="M129">
            <v>0</v>
          </cell>
          <cell r="N129">
            <v>0</v>
          </cell>
          <cell r="O129">
            <v>5346823</v>
          </cell>
          <cell r="P129">
            <v>-1337640</v>
          </cell>
          <cell r="Q129">
            <v>0</v>
          </cell>
          <cell r="R129">
            <v>2000000</v>
          </cell>
          <cell r="S129">
            <v>1500000</v>
          </cell>
        </row>
        <row r="130">
          <cell r="D130">
            <v>510701</v>
          </cell>
          <cell r="E130">
            <v>0</v>
          </cell>
          <cell r="F130">
            <v>180000</v>
          </cell>
          <cell r="G130">
            <v>-540000</v>
          </cell>
          <cell r="H130">
            <v>2046901.07</v>
          </cell>
          <cell r="I130">
            <v>0</v>
          </cell>
          <cell r="J130">
            <v>0</v>
          </cell>
          <cell r="K130">
            <v>0</v>
          </cell>
          <cell r="L130">
            <v>2046901.07</v>
          </cell>
          <cell r="M130">
            <v>0</v>
          </cell>
          <cell r="N130">
            <v>0</v>
          </cell>
          <cell r="O130">
            <v>2046901.07</v>
          </cell>
          <cell r="P130">
            <v>1426017.1</v>
          </cell>
          <cell r="Q130">
            <v>0</v>
          </cell>
          <cell r="R130">
            <v>500000</v>
          </cell>
          <cell r="S130">
            <v>500000</v>
          </cell>
        </row>
        <row r="131">
          <cell r="D131">
            <v>510901</v>
          </cell>
          <cell r="E131">
            <v>370536.38</v>
          </cell>
          <cell r="F131">
            <v>892963</v>
          </cell>
          <cell r="G131">
            <v>-892963</v>
          </cell>
          <cell r="H131">
            <v>272531.95</v>
          </cell>
          <cell r="I131">
            <v>0</v>
          </cell>
          <cell r="J131">
            <v>26141.25</v>
          </cell>
          <cell r="K131">
            <v>53241.24</v>
          </cell>
          <cell r="L131">
            <v>351914.44</v>
          </cell>
          <cell r="M131">
            <v>0</v>
          </cell>
          <cell r="N131">
            <v>1</v>
          </cell>
          <cell r="O131">
            <v>351914.44</v>
          </cell>
          <cell r="P131">
            <v>-678940.67</v>
          </cell>
          <cell r="Q131">
            <v>0</v>
          </cell>
          <cell r="R131">
            <v>400000</v>
          </cell>
          <cell r="S131">
            <v>365815.06038000004</v>
          </cell>
        </row>
        <row r="132">
          <cell r="D132">
            <v>0</v>
          </cell>
          <cell r="E132">
            <v>64257698.31000001</v>
          </cell>
          <cell r="F132">
            <v>78683055.750000015</v>
          </cell>
          <cell r="G132">
            <v>-74897776.909999996</v>
          </cell>
          <cell r="H132">
            <v>66786818.61999999</v>
          </cell>
          <cell r="I132">
            <v>0</v>
          </cell>
          <cell r="J132">
            <v>4905637.3377777785</v>
          </cell>
          <cell r="K132">
            <v>6123308.857777779</v>
          </cell>
          <cell r="L132">
            <v>77815764.815555558</v>
          </cell>
          <cell r="M132">
            <v>0</v>
          </cell>
          <cell r="N132">
            <v>0</v>
          </cell>
          <cell r="O132">
            <v>77815764.815555558</v>
          </cell>
          <cell r="P132">
            <v>-24678127.959999997</v>
          </cell>
          <cell r="Q132">
            <v>69236432</v>
          </cell>
          <cell r="R132">
            <v>79524127.159999996</v>
          </cell>
          <cell r="S132">
            <v>73361300.187415004</v>
          </cell>
        </row>
        <row r="133">
          <cell r="D133">
            <v>610101</v>
          </cell>
          <cell r="E133">
            <v>185910</v>
          </cell>
          <cell r="F133">
            <v>168498</v>
          </cell>
          <cell r="G133">
            <v>-185910</v>
          </cell>
          <cell r="H133">
            <v>141421.4</v>
          </cell>
          <cell r="I133">
            <v>0</v>
          </cell>
          <cell r="J133">
            <v>17760</v>
          </cell>
          <cell r="K133">
            <v>14800</v>
          </cell>
          <cell r="L133">
            <v>173981.4</v>
          </cell>
          <cell r="M133">
            <v>0</v>
          </cell>
          <cell r="N133">
            <v>1</v>
          </cell>
          <cell r="O133">
            <v>173981.4</v>
          </cell>
          <cell r="P133">
            <v>-52147.6</v>
          </cell>
          <cell r="Q133">
            <v>0</v>
          </cell>
          <cell r="R133">
            <v>185910</v>
          </cell>
          <cell r="S133">
            <v>180853.66530000002</v>
          </cell>
        </row>
        <row r="134">
          <cell r="D134">
            <v>610102</v>
          </cell>
          <cell r="E134">
            <v>215190</v>
          </cell>
          <cell r="F134">
            <v>50000</v>
          </cell>
          <cell r="G134">
            <v>-215190</v>
          </cell>
          <cell r="H134">
            <v>113394.6</v>
          </cell>
          <cell r="I134">
            <v>0</v>
          </cell>
          <cell r="J134">
            <v>25380</v>
          </cell>
          <cell r="K134">
            <v>75480</v>
          </cell>
          <cell r="L134">
            <v>214254.6</v>
          </cell>
          <cell r="M134">
            <v>0</v>
          </cell>
          <cell r="N134">
            <v>1</v>
          </cell>
          <cell r="O134">
            <v>214254.6</v>
          </cell>
          <cell r="P134">
            <v>-103410</v>
          </cell>
          <cell r="Q134">
            <v>0</v>
          </cell>
          <cell r="R134">
            <v>215190</v>
          </cell>
          <cell r="S134">
            <v>222717.65670000002</v>
          </cell>
        </row>
        <row r="135">
          <cell r="D135">
            <v>610103</v>
          </cell>
          <cell r="E135">
            <v>80190</v>
          </cell>
          <cell r="F135">
            <v>70504.2</v>
          </cell>
          <cell r="G135">
            <v>-82996.649999999994</v>
          </cell>
          <cell r="H135">
            <v>84945.3</v>
          </cell>
          <cell r="I135">
            <v>0</v>
          </cell>
          <cell r="J135">
            <v>3630</v>
          </cell>
          <cell r="K135">
            <v>3300</v>
          </cell>
          <cell r="L135">
            <v>91875.3</v>
          </cell>
          <cell r="M135">
            <v>0</v>
          </cell>
          <cell r="N135">
            <v>1</v>
          </cell>
          <cell r="O135">
            <v>91875.3</v>
          </cell>
          <cell r="P135">
            <v>-6248.55</v>
          </cell>
          <cell r="Q135">
            <v>0</v>
          </cell>
          <cell r="R135">
            <v>83000</v>
          </cell>
          <cell r="S135">
            <v>95504.374350000013</v>
          </cell>
        </row>
        <row r="136">
          <cell r="D136">
            <v>610104</v>
          </cell>
          <cell r="E136">
            <v>217417</v>
          </cell>
          <cell r="F136">
            <v>230303.8</v>
          </cell>
          <cell r="G136">
            <v>-230303.8</v>
          </cell>
          <cell r="H136">
            <v>250564.97</v>
          </cell>
          <cell r="I136">
            <v>0</v>
          </cell>
          <cell r="J136">
            <v>6627</v>
          </cell>
          <cell r="K136">
            <v>7549</v>
          </cell>
          <cell r="L136">
            <v>264740.96999999997</v>
          </cell>
          <cell r="M136">
            <v>0</v>
          </cell>
          <cell r="N136">
            <v>1</v>
          </cell>
          <cell r="O136">
            <v>264740.96999999997</v>
          </cell>
          <cell r="P136">
            <v>-8613.5300000000007</v>
          </cell>
          <cell r="Q136">
            <v>172080</v>
          </cell>
          <cell r="R136">
            <v>230000</v>
          </cell>
          <cell r="S136">
            <v>275198.23831499997</v>
          </cell>
        </row>
        <row r="137">
          <cell r="D137">
            <v>610201</v>
          </cell>
          <cell r="E137">
            <v>0</v>
          </cell>
          <cell r="F137">
            <v>3865900.75</v>
          </cell>
          <cell r="G137">
            <v>-1000000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-1000000</v>
          </cell>
          <cell r="Q137">
            <v>0</v>
          </cell>
          <cell r="R137">
            <v>3865900.75</v>
          </cell>
          <cell r="S137">
            <v>3865900.75</v>
          </cell>
        </row>
        <row r="138">
          <cell r="D138">
            <v>610301</v>
          </cell>
          <cell r="E138">
            <v>2411929.81</v>
          </cell>
          <cell r="F138">
            <v>2061929.81</v>
          </cell>
          <cell r="G138">
            <v>-500000</v>
          </cell>
          <cell r="H138">
            <v>748000</v>
          </cell>
          <cell r="I138">
            <v>0</v>
          </cell>
          <cell r="J138">
            <v>0</v>
          </cell>
          <cell r="K138">
            <v>0</v>
          </cell>
          <cell r="L138">
            <v>748000</v>
          </cell>
          <cell r="M138">
            <v>0</v>
          </cell>
          <cell r="N138">
            <v>0</v>
          </cell>
          <cell r="O138">
            <v>748000</v>
          </cell>
          <cell r="P138">
            <v>-152000</v>
          </cell>
          <cell r="Q138">
            <v>0</v>
          </cell>
          <cell r="R138">
            <v>1000000</v>
          </cell>
          <cell r="S138">
            <v>1000000</v>
          </cell>
        </row>
        <row r="139">
          <cell r="D139">
            <v>610302</v>
          </cell>
          <cell r="E139">
            <v>2360100.13</v>
          </cell>
          <cell r="F139">
            <v>52807.199999999997</v>
          </cell>
          <cell r="G139">
            <v>-52807.199999999997</v>
          </cell>
          <cell r="H139">
            <v>2994555.2</v>
          </cell>
          <cell r="I139">
            <v>0</v>
          </cell>
          <cell r="J139">
            <v>1700</v>
          </cell>
          <cell r="K139">
            <v>0</v>
          </cell>
          <cell r="L139">
            <v>2996255.2</v>
          </cell>
          <cell r="M139">
            <v>0</v>
          </cell>
          <cell r="N139">
            <v>0</v>
          </cell>
          <cell r="O139">
            <v>2996255.2</v>
          </cell>
          <cell r="P139">
            <v>-52807.199999999997</v>
          </cell>
          <cell r="Q139">
            <v>0</v>
          </cell>
          <cell r="R139">
            <v>500000</v>
          </cell>
          <cell r="S139">
            <v>100000</v>
          </cell>
        </row>
        <row r="140">
          <cell r="D140">
            <v>610401</v>
          </cell>
          <cell r="E140">
            <v>1152702.9099999999</v>
          </cell>
          <cell r="F140">
            <v>793428.04</v>
          </cell>
          <cell r="G140">
            <v>-1000000</v>
          </cell>
          <cell r="H140">
            <v>843616.51</v>
          </cell>
          <cell r="I140">
            <v>0</v>
          </cell>
          <cell r="J140">
            <v>81895.047777777785</v>
          </cell>
          <cell r="K140">
            <v>81895.047777777785</v>
          </cell>
          <cell r="L140">
            <v>1007406.6055555556</v>
          </cell>
          <cell r="M140">
            <v>0</v>
          </cell>
          <cell r="N140">
            <v>1</v>
          </cell>
          <cell r="O140">
            <v>1007406.6055555556</v>
          </cell>
          <cell r="P140">
            <v>-380989.21</v>
          </cell>
          <cell r="Q140">
            <v>0</v>
          </cell>
          <cell r="R140">
            <v>1000000</v>
          </cell>
          <cell r="S140">
            <v>1047199.1664750001</v>
          </cell>
        </row>
        <row r="141">
          <cell r="D141">
            <v>610501</v>
          </cell>
          <cell r="E141">
            <v>30891.67</v>
          </cell>
          <cell r="F141">
            <v>2482722.91</v>
          </cell>
          <cell r="G141">
            <v>-500000</v>
          </cell>
          <cell r="H141">
            <v>1030912.79</v>
          </cell>
          <cell r="I141">
            <v>0</v>
          </cell>
          <cell r="J141">
            <v>0</v>
          </cell>
          <cell r="K141">
            <v>0</v>
          </cell>
          <cell r="L141">
            <v>1030912.79</v>
          </cell>
          <cell r="M141">
            <v>0</v>
          </cell>
          <cell r="N141">
            <v>1</v>
          </cell>
          <cell r="O141">
            <v>1030912.79</v>
          </cell>
          <cell r="P141">
            <v>176611.83</v>
          </cell>
          <cell r="Q141">
            <v>0</v>
          </cell>
          <cell r="R141">
            <v>800000</v>
          </cell>
          <cell r="S141">
            <v>1071633.8452050001</v>
          </cell>
        </row>
        <row r="142">
          <cell r="D142">
            <v>610502</v>
          </cell>
          <cell r="E142">
            <v>170573.82</v>
          </cell>
          <cell r="F142">
            <v>186300</v>
          </cell>
          <cell r="G142">
            <v>-186300</v>
          </cell>
          <cell r="H142">
            <v>0</v>
          </cell>
          <cell r="I142">
            <v>0</v>
          </cell>
          <cell r="J142">
            <v>0</v>
          </cell>
          <cell r="K142">
            <v>11193</v>
          </cell>
          <cell r="L142">
            <v>11193</v>
          </cell>
          <cell r="M142">
            <v>0</v>
          </cell>
          <cell r="N142">
            <v>1</v>
          </cell>
          <cell r="O142">
            <v>11193</v>
          </cell>
          <cell r="P142">
            <v>-186300</v>
          </cell>
          <cell r="Q142">
            <v>0</v>
          </cell>
          <cell r="R142">
            <v>100000</v>
          </cell>
          <cell r="S142">
            <v>11635.123500000002</v>
          </cell>
        </row>
        <row r="143">
          <cell r="D143">
            <v>610601</v>
          </cell>
          <cell r="E143">
            <v>22809843.75</v>
          </cell>
          <cell r="F143">
            <v>27483308.370000001</v>
          </cell>
          <cell r="G143">
            <v>-27983308.370000001</v>
          </cell>
          <cell r="H143">
            <v>22819768.390000001</v>
          </cell>
          <cell r="I143">
            <v>0</v>
          </cell>
          <cell r="J143">
            <v>1842940.8</v>
          </cell>
          <cell r="K143">
            <v>2621732.38</v>
          </cell>
          <cell r="L143">
            <v>27284441.57</v>
          </cell>
          <cell r="M143">
            <v>0</v>
          </cell>
          <cell r="N143">
            <v>0</v>
          </cell>
          <cell r="O143">
            <v>27284441.57</v>
          </cell>
          <cell r="P143">
            <v>-9497935.4800000004</v>
          </cell>
          <cell r="Q143">
            <v>28532173</v>
          </cell>
          <cell r="R143">
            <v>28532173</v>
          </cell>
          <cell r="S143">
            <v>29532173</v>
          </cell>
        </row>
        <row r="144">
          <cell r="D144">
            <v>610602</v>
          </cell>
          <cell r="E144">
            <v>1109889.5900000001</v>
          </cell>
          <cell r="F144">
            <v>2872936.05</v>
          </cell>
          <cell r="G144">
            <v>-2072936.05</v>
          </cell>
          <cell r="H144">
            <v>4201427.96</v>
          </cell>
          <cell r="I144">
            <v>0</v>
          </cell>
          <cell r="J144">
            <v>115060.86</v>
          </cell>
          <cell r="K144">
            <v>150152.13</v>
          </cell>
          <cell r="L144">
            <v>4466640.95</v>
          </cell>
          <cell r="M144">
            <v>0</v>
          </cell>
          <cell r="N144">
            <v>1</v>
          </cell>
          <cell r="O144">
            <v>4466640.95</v>
          </cell>
          <cell r="P144">
            <v>599877.55000000005</v>
          </cell>
          <cell r="Q144">
            <v>2000000</v>
          </cell>
          <cell r="R144">
            <v>3000000</v>
          </cell>
          <cell r="S144">
            <v>4643073.2675250005</v>
          </cell>
        </row>
        <row r="145">
          <cell r="D145">
            <v>610603</v>
          </cell>
          <cell r="E145">
            <v>856466.72</v>
          </cell>
          <cell r="F145">
            <v>2149540.2599999998</v>
          </cell>
          <cell r="G145">
            <v>-1849540.26</v>
          </cell>
          <cell r="H145">
            <v>925549.25</v>
          </cell>
          <cell r="I145">
            <v>0</v>
          </cell>
          <cell r="J145">
            <v>62727.360000000001</v>
          </cell>
          <cell r="K145">
            <v>84621.119999999995</v>
          </cell>
          <cell r="L145">
            <v>1072897.73</v>
          </cell>
          <cell r="M145">
            <v>0</v>
          </cell>
          <cell r="N145">
            <v>1</v>
          </cell>
          <cell r="O145">
            <v>1072897.73</v>
          </cell>
          <cell r="P145">
            <v>-1107087.6599999999</v>
          </cell>
          <cell r="Q145">
            <v>1153771</v>
          </cell>
          <cell r="R145">
            <v>1153771</v>
          </cell>
          <cell r="S145">
            <v>1115277.1903350002</v>
          </cell>
        </row>
        <row r="146">
          <cell r="D146">
            <v>610604</v>
          </cell>
          <cell r="E146">
            <v>140076.75</v>
          </cell>
          <cell r="F146">
            <v>140000</v>
          </cell>
          <cell r="G146">
            <v>-222075.72</v>
          </cell>
          <cell r="H146">
            <v>291949.40000000002</v>
          </cell>
          <cell r="I146">
            <v>0</v>
          </cell>
          <cell r="J146">
            <v>4734.6400000000003</v>
          </cell>
          <cell r="K146">
            <v>4617.92</v>
          </cell>
          <cell r="L146">
            <v>301301.96000000002</v>
          </cell>
          <cell r="M146">
            <v>0</v>
          </cell>
          <cell r="N146">
            <v>1</v>
          </cell>
          <cell r="O146">
            <v>301301.96000000002</v>
          </cell>
          <cell r="P146">
            <v>19831.169999999998</v>
          </cell>
          <cell r="Q146">
            <v>165000</v>
          </cell>
          <cell r="R146">
            <v>280000</v>
          </cell>
          <cell r="S146">
            <v>313203.38742000004</v>
          </cell>
        </row>
        <row r="147">
          <cell r="D147">
            <v>610605</v>
          </cell>
          <cell r="E147">
            <v>648796.35</v>
          </cell>
          <cell r="F147">
            <v>600000</v>
          </cell>
          <cell r="G147">
            <v>-1000000</v>
          </cell>
          <cell r="H147">
            <v>811884.07</v>
          </cell>
          <cell r="I147">
            <v>0</v>
          </cell>
          <cell r="J147">
            <v>52357.5</v>
          </cell>
          <cell r="K147">
            <v>43612.01</v>
          </cell>
          <cell r="L147">
            <v>907853.58</v>
          </cell>
          <cell r="M147">
            <v>0</v>
          </cell>
          <cell r="N147">
            <v>1</v>
          </cell>
          <cell r="O147">
            <v>907853.58</v>
          </cell>
          <cell r="P147">
            <v>-341938.83</v>
          </cell>
          <cell r="Q147">
            <v>966876</v>
          </cell>
          <cell r="R147">
            <v>1000000</v>
          </cell>
          <cell r="S147">
            <v>943713.79641000007</v>
          </cell>
        </row>
        <row r="148">
          <cell r="D148">
            <v>610606</v>
          </cell>
          <cell r="E148">
            <v>511905.24</v>
          </cell>
          <cell r="F148">
            <v>504275.29</v>
          </cell>
          <cell r="G148">
            <v>-1300000</v>
          </cell>
          <cell r="H148">
            <v>1176486.26</v>
          </cell>
          <cell r="I148">
            <v>0</v>
          </cell>
          <cell r="J148">
            <v>37632.25</v>
          </cell>
          <cell r="K148">
            <v>22008.57</v>
          </cell>
          <cell r="L148">
            <v>1236127.08</v>
          </cell>
          <cell r="M148">
            <v>0</v>
          </cell>
          <cell r="N148">
            <v>1</v>
          </cell>
          <cell r="O148">
            <v>1236127.08</v>
          </cell>
          <cell r="P148">
            <v>-246770.09</v>
          </cell>
          <cell r="Q148">
            <v>1365000</v>
          </cell>
          <cell r="R148">
            <v>1365000</v>
          </cell>
          <cell r="S148">
            <v>1284954.0996600003</v>
          </cell>
        </row>
        <row r="149">
          <cell r="D149">
            <v>610607</v>
          </cell>
          <cell r="E149">
            <v>1805326.4</v>
          </cell>
          <cell r="F149">
            <v>2292292.2200000002</v>
          </cell>
          <cell r="G149">
            <v>-1805326.4</v>
          </cell>
          <cell r="H149">
            <v>1338503.05</v>
          </cell>
          <cell r="I149">
            <v>0</v>
          </cell>
          <cell r="J149">
            <v>125789.94</v>
          </cell>
          <cell r="K149">
            <v>166772.43</v>
          </cell>
          <cell r="L149">
            <v>1631065.42</v>
          </cell>
          <cell r="M149">
            <v>0</v>
          </cell>
          <cell r="N149">
            <v>1</v>
          </cell>
          <cell r="O149">
            <v>1631065.42</v>
          </cell>
          <cell r="P149">
            <v>-709611.46</v>
          </cell>
          <cell r="Q149">
            <v>2176789</v>
          </cell>
          <cell r="R149">
            <v>2176789</v>
          </cell>
          <cell r="S149">
            <v>1695492.5040900002</v>
          </cell>
        </row>
        <row r="150">
          <cell r="D150">
            <v>610608</v>
          </cell>
          <cell r="E150">
            <v>401451.85</v>
          </cell>
          <cell r="F150">
            <v>800897.2</v>
          </cell>
          <cell r="G150">
            <v>-800897.2</v>
          </cell>
          <cell r="H150">
            <v>565749.21</v>
          </cell>
          <cell r="I150">
            <v>0</v>
          </cell>
          <cell r="J150">
            <v>27877.82</v>
          </cell>
          <cell r="K150">
            <v>23513.200000000001</v>
          </cell>
          <cell r="L150">
            <v>617140.22999999986</v>
          </cell>
          <cell r="M150">
            <v>0</v>
          </cell>
          <cell r="N150">
            <v>1</v>
          </cell>
          <cell r="O150">
            <v>617140.22999999986</v>
          </cell>
          <cell r="P150">
            <v>-318201.53999999998</v>
          </cell>
          <cell r="Q150">
            <v>500000</v>
          </cell>
          <cell r="R150">
            <v>700000</v>
          </cell>
          <cell r="S150">
            <v>641517.26908499992</v>
          </cell>
        </row>
        <row r="151">
          <cell r="D151">
            <v>610609</v>
          </cell>
          <cell r="E151">
            <v>395502.7</v>
          </cell>
          <cell r="F151">
            <v>473771.05</v>
          </cell>
          <cell r="G151">
            <v>-1473771.05</v>
          </cell>
          <cell r="H151">
            <v>1059002.44</v>
          </cell>
          <cell r="I151">
            <v>0</v>
          </cell>
          <cell r="J151">
            <v>35259.160000000003</v>
          </cell>
          <cell r="K151">
            <v>25876.18</v>
          </cell>
          <cell r="L151">
            <v>1120137.7799999998</v>
          </cell>
          <cell r="M151">
            <v>0</v>
          </cell>
          <cell r="N151">
            <v>1</v>
          </cell>
          <cell r="O151">
            <v>1120137.7799999998</v>
          </cell>
          <cell r="P151">
            <v>-501436.54</v>
          </cell>
          <cell r="Q151">
            <v>1544554</v>
          </cell>
          <cell r="R151">
            <v>1300000</v>
          </cell>
          <cell r="S151">
            <v>1164383.2223099999</v>
          </cell>
        </row>
        <row r="152">
          <cell r="D152">
            <v>610610</v>
          </cell>
          <cell r="E152">
            <v>738686.31</v>
          </cell>
          <cell r="F152">
            <v>1037180.32</v>
          </cell>
          <cell r="G152">
            <v>-1037180.32</v>
          </cell>
          <cell r="H152">
            <v>491245</v>
          </cell>
          <cell r="I152">
            <v>0</v>
          </cell>
          <cell r="J152">
            <v>36517.86</v>
          </cell>
          <cell r="K152">
            <v>74554.820000000007</v>
          </cell>
          <cell r="L152">
            <v>602317.67999999993</v>
          </cell>
          <cell r="M152">
            <v>0</v>
          </cell>
          <cell r="N152">
            <v>1</v>
          </cell>
          <cell r="O152">
            <v>602317.67999999993</v>
          </cell>
          <cell r="P152">
            <v>-646557.06999999995</v>
          </cell>
          <cell r="Q152">
            <v>1073482</v>
          </cell>
          <cell r="R152">
            <v>1073482</v>
          </cell>
          <cell r="S152">
            <v>626109.22835999995</v>
          </cell>
        </row>
        <row r="153">
          <cell r="D153">
            <v>610611</v>
          </cell>
          <cell r="E153">
            <v>62138.239999999998</v>
          </cell>
          <cell r="F153">
            <v>95000</v>
          </cell>
          <cell r="G153">
            <v>-300000</v>
          </cell>
          <cell r="H153">
            <v>302631.44</v>
          </cell>
          <cell r="I153">
            <v>0</v>
          </cell>
          <cell r="J153">
            <v>0</v>
          </cell>
          <cell r="K153">
            <v>8514.24</v>
          </cell>
          <cell r="L153">
            <v>311145.68</v>
          </cell>
          <cell r="M153">
            <v>0</v>
          </cell>
          <cell r="N153">
            <v>1</v>
          </cell>
          <cell r="O153">
            <v>311145.68</v>
          </cell>
          <cell r="P153">
            <v>-38054.81</v>
          </cell>
          <cell r="Q153">
            <v>450000</v>
          </cell>
          <cell r="R153">
            <v>320000</v>
          </cell>
          <cell r="S153">
            <v>323435.93436000001</v>
          </cell>
        </row>
        <row r="154">
          <cell r="D154">
            <v>610613</v>
          </cell>
          <cell r="E154">
            <v>69570.67</v>
          </cell>
          <cell r="F154">
            <v>28273.99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D155">
            <v>610614</v>
          </cell>
          <cell r="E155">
            <v>0</v>
          </cell>
          <cell r="F155">
            <v>23640.2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D156">
            <v>610615</v>
          </cell>
          <cell r="E156">
            <v>0</v>
          </cell>
          <cell r="F156">
            <v>40000</v>
          </cell>
          <cell r="G156">
            <v>-40000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-40000</v>
          </cell>
          <cell r="Q156">
            <v>0</v>
          </cell>
          <cell r="R156">
            <v>10000</v>
          </cell>
          <cell r="S156">
            <v>10000</v>
          </cell>
        </row>
        <row r="157">
          <cell r="D157">
            <v>610701</v>
          </cell>
          <cell r="E157">
            <v>2522901.7599999998</v>
          </cell>
          <cell r="F157">
            <v>3029851.6</v>
          </cell>
          <cell r="G157">
            <v>-1070323.08</v>
          </cell>
          <cell r="H157">
            <v>1391516.19</v>
          </cell>
          <cell r="I157">
            <v>0</v>
          </cell>
          <cell r="J157">
            <v>53076.13</v>
          </cell>
          <cell r="K157">
            <v>50000</v>
          </cell>
          <cell r="L157">
            <v>1494592.3199999998</v>
          </cell>
          <cell r="M157">
            <v>0</v>
          </cell>
          <cell r="N157">
            <v>0</v>
          </cell>
          <cell r="O157">
            <v>1494592.3199999998</v>
          </cell>
          <cell r="P157">
            <v>-388990.53</v>
          </cell>
          <cell r="Q157">
            <v>0</v>
          </cell>
          <cell r="R157">
            <v>1000000</v>
          </cell>
          <cell r="S157">
            <v>1000000</v>
          </cell>
        </row>
        <row r="158">
          <cell r="D158">
            <v>610702</v>
          </cell>
          <cell r="E158">
            <v>0</v>
          </cell>
          <cell r="F158">
            <v>20000</v>
          </cell>
          <cell r="G158">
            <v>-2000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-2000</v>
          </cell>
          <cell r="Q158">
            <v>0</v>
          </cell>
          <cell r="R158">
            <v>2000</v>
          </cell>
          <cell r="S158">
            <v>2000</v>
          </cell>
        </row>
        <row r="159">
          <cell r="D159">
            <v>610703</v>
          </cell>
          <cell r="E159">
            <v>7411.41</v>
          </cell>
          <cell r="F159">
            <v>9677.27</v>
          </cell>
          <cell r="G159">
            <v>-9677.27</v>
          </cell>
          <cell r="H159">
            <v>3788.5</v>
          </cell>
          <cell r="I159">
            <v>0</v>
          </cell>
          <cell r="J159">
            <v>0</v>
          </cell>
          <cell r="K159">
            <v>768.4</v>
          </cell>
          <cell r="L159">
            <v>4556.8999999999996</v>
          </cell>
          <cell r="M159">
            <v>0</v>
          </cell>
          <cell r="N159">
            <v>0</v>
          </cell>
          <cell r="O159">
            <v>4556.8999999999996</v>
          </cell>
          <cell r="P159">
            <v>-6669.11</v>
          </cell>
          <cell r="Q159">
            <v>0</v>
          </cell>
          <cell r="R159">
            <v>7411.41</v>
          </cell>
          <cell r="S159">
            <v>7411.41</v>
          </cell>
        </row>
        <row r="160">
          <cell r="D160">
            <v>610704</v>
          </cell>
          <cell r="E160">
            <v>17548408</v>
          </cell>
          <cell r="F160">
            <v>18250004</v>
          </cell>
          <cell r="G160">
            <v>-21250004</v>
          </cell>
          <cell r="H160">
            <v>17776798</v>
          </cell>
          <cell r="I160">
            <v>0</v>
          </cell>
          <cell r="J160">
            <v>1738012</v>
          </cell>
          <cell r="K160">
            <v>2135722</v>
          </cell>
          <cell r="L160">
            <v>21650532</v>
          </cell>
          <cell r="M160">
            <v>0</v>
          </cell>
          <cell r="N160">
            <v>1</v>
          </cell>
          <cell r="O160">
            <v>21650532</v>
          </cell>
          <cell r="P160">
            <v>-6983050</v>
          </cell>
          <cell r="Q160">
            <v>23233207</v>
          </cell>
          <cell r="R160">
            <v>21000000</v>
          </cell>
          <cell r="S160">
            <v>13128341.34</v>
          </cell>
        </row>
        <row r="161">
          <cell r="D161">
            <v>610705</v>
          </cell>
          <cell r="E161">
            <v>2962197.83</v>
          </cell>
          <cell r="F161">
            <v>1968128.22</v>
          </cell>
          <cell r="G161">
            <v>-724128.22</v>
          </cell>
          <cell r="H161">
            <v>310230</v>
          </cell>
          <cell r="I161">
            <v>0</v>
          </cell>
          <cell r="J161">
            <v>0</v>
          </cell>
          <cell r="K161">
            <v>0</v>
          </cell>
          <cell r="L161">
            <v>310230</v>
          </cell>
          <cell r="M161">
            <v>0</v>
          </cell>
          <cell r="N161">
            <v>0</v>
          </cell>
          <cell r="O161">
            <v>310230</v>
          </cell>
          <cell r="P161">
            <v>-413898.22</v>
          </cell>
          <cell r="Q161">
            <v>0</v>
          </cell>
          <cell r="R161">
            <v>1000000</v>
          </cell>
          <cell r="S161">
            <v>500000</v>
          </cell>
        </row>
        <row r="162">
          <cell r="D162">
            <v>610706</v>
          </cell>
          <cell r="E162">
            <v>2831140</v>
          </cell>
          <cell r="F162">
            <v>4439172</v>
          </cell>
          <cell r="G162">
            <v>-4939172</v>
          </cell>
          <cell r="H162">
            <v>4345380</v>
          </cell>
          <cell r="I162">
            <v>0</v>
          </cell>
          <cell r="J162">
            <v>402480</v>
          </cell>
          <cell r="K162">
            <v>291200</v>
          </cell>
          <cell r="L162">
            <v>5039060</v>
          </cell>
          <cell r="M162">
            <v>0</v>
          </cell>
          <cell r="N162">
            <v>1</v>
          </cell>
          <cell r="O162">
            <v>5039060</v>
          </cell>
          <cell r="P162">
            <v>-1503012</v>
          </cell>
          <cell r="Q162">
            <v>4368000</v>
          </cell>
          <cell r="R162">
            <v>4368000</v>
          </cell>
          <cell r="S162">
            <v>5238102.87</v>
          </cell>
        </row>
        <row r="163">
          <cell r="D163">
            <v>610707</v>
          </cell>
          <cell r="E163">
            <v>642578</v>
          </cell>
          <cell r="F163">
            <v>1034372</v>
          </cell>
          <cell r="G163">
            <v>-1034372</v>
          </cell>
          <cell r="H163">
            <v>1002840</v>
          </cell>
          <cell r="I163">
            <v>0</v>
          </cell>
          <cell r="J163">
            <v>92880</v>
          </cell>
          <cell r="K163">
            <v>67200</v>
          </cell>
          <cell r="L163">
            <v>1162920</v>
          </cell>
          <cell r="M163">
            <v>0</v>
          </cell>
          <cell r="N163">
            <v>1</v>
          </cell>
          <cell r="O163">
            <v>1162920</v>
          </cell>
          <cell r="P163">
            <v>-241352</v>
          </cell>
          <cell r="Q163">
            <v>1152000</v>
          </cell>
          <cell r="R163">
            <v>1152000</v>
          </cell>
          <cell r="S163">
            <v>1208855.3400000001</v>
          </cell>
        </row>
        <row r="164">
          <cell r="D164">
            <v>610708</v>
          </cell>
          <cell r="E164">
            <v>172390</v>
          </cell>
          <cell r="F164">
            <v>280640.78000000003</v>
          </cell>
          <cell r="G164">
            <v>-280640.78000000003</v>
          </cell>
          <cell r="H164">
            <v>259410</v>
          </cell>
          <cell r="I164">
            <v>0</v>
          </cell>
          <cell r="J164">
            <v>23596</v>
          </cell>
          <cell r="K164">
            <v>17510</v>
          </cell>
          <cell r="L164">
            <v>300516</v>
          </cell>
          <cell r="M164">
            <v>0</v>
          </cell>
          <cell r="N164">
            <v>1</v>
          </cell>
          <cell r="O164">
            <v>300516</v>
          </cell>
          <cell r="P164">
            <v>-77346.78</v>
          </cell>
          <cell r="Q164">
            <v>374400</v>
          </cell>
          <cell r="R164">
            <v>374400</v>
          </cell>
          <cell r="S164">
            <v>312386.38200000004</v>
          </cell>
        </row>
        <row r="165">
          <cell r="D165">
            <v>610709</v>
          </cell>
          <cell r="E165">
            <v>5980</v>
          </cell>
          <cell r="F165">
            <v>19671</v>
          </cell>
          <cell r="G165">
            <v>-19671</v>
          </cell>
          <cell r="H165">
            <v>11180</v>
          </cell>
          <cell r="I165">
            <v>0</v>
          </cell>
          <cell r="J165">
            <v>520</v>
          </cell>
          <cell r="K165">
            <v>2860</v>
          </cell>
          <cell r="L165">
            <v>14560</v>
          </cell>
          <cell r="M165">
            <v>0</v>
          </cell>
          <cell r="N165">
            <v>1</v>
          </cell>
          <cell r="O165">
            <v>14560</v>
          </cell>
          <cell r="P165">
            <v>-10571</v>
          </cell>
          <cell r="Q165">
            <v>9100</v>
          </cell>
          <cell r="R165">
            <v>9100</v>
          </cell>
          <cell r="S165">
            <v>15135.12</v>
          </cell>
        </row>
        <row r="166">
          <cell r="D166">
            <v>610801</v>
          </cell>
          <cell r="E166">
            <v>0</v>
          </cell>
          <cell r="F166">
            <v>0</v>
          </cell>
          <cell r="G166">
            <v>-20000</v>
          </cell>
          <cell r="H166">
            <v>757.31</v>
          </cell>
          <cell r="I166">
            <v>0</v>
          </cell>
          <cell r="J166">
            <v>0</v>
          </cell>
          <cell r="K166">
            <v>0</v>
          </cell>
          <cell r="L166">
            <v>757.31</v>
          </cell>
          <cell r="M166">
            <v>0</v>
          </cell>
          <cell r="N166">
            <v>0</v>
          </cell>
          <cell r="O166">
            <v>757.31</v>
          </cell>
          <cell r="P166">
            <v>-19242.689999999999</v>
          </cell>
          <cell r="Q166">
            <v>0</v>
          </cell>
          <cell r="R166">
            <v>10000</v>
          </cell>
          <cell r="S166">
            <v>10000</v>
          </cell>
        </row>
        <row r="167">
          <cell r="D167">
            <v>630101</v>
          </cell>
          <cell r="E167">
            <v>549534.94999999995</v>
          </cell>
          <cell r="F167">
            <v>504127.87</v>
          </cell>
          <cell r="G167">
            <v>-1049534.95</v>
          </cell>
          <cell r="H167">
            <v>942996.33</v>
          </cell>
          <cell r="I167">
            <v>0</v>
          </cell>
          <cell r="J167">
            <v>58539.199999999997</v>
          </cell>
          <cell r="K167">
            <v>69821.66</v>
          </cell>
          <cell r="L167">
            <v>1071357.19</v>
          </cell>
          <cell r="M167">
            <v>0</v>
          </cell>
          <cell r="N167">
            <v>0</v>
          </cell>
          <cell r="O167">
            <v>1071357.19</v>
          </cell>
          <cell r="P167">
            <v>-224971.04</v>
          </cell>
          <cell r="Q167">
            <v>0</v>
          </cell>
          <cell r="R167">
            <v>1000000</v>
          </cell>
          <cell r="S167">
            <v>1071357.19</v>
          </cell>
        </row>
        <row r="168">
          <cell r="D168">
            <v>630102</v>
          </cell>
          <cell r="E168">
            <v>87677.42</v>
          </cell>
          <cell r="F168">
            <v>106791.56</v>
          </cell>
          <cell r="G168">
            <v>-106791.56</v>
          </cell>
          <cell r="H168">
            <v>58306.83</v>
          </cell>
          <cell r="I168">
            <v>0</v>
          </cell>
          <cell r="J168">
            <v>1300</v>
          </cell>
          <cell r="K168">
            <v>11736.53</v>
          </cell>
          <cell r="L168">
            <v>71343.360000000001</v>
          </cell>
          <cell r="M168">
            <v>0</v>
          </cell>
          <cell r="N168">
            <v>1</v>
          </cell>
          <cell r="O168">
            <v>71343.360000000001</v>
          </cell>
          <cell r="P168">
            <v>-57686.04</v>
          </cell>
          <cell r="Q168">
            <v>0</v>
          </cell>
          <cell r="R168">
            <v>100000</v>
          </cell>
          <cell r="S168">
            <v>74161.422720000002</v>
          </cell>
        </row>
        <row r="169">
          <cell r="D169">
            <v>630201</v>
          </cell>
          <cell r="E169">
            <v>543649.67000000004</v>
          </cell>
          <cell r="F169">
            <v>511400.73</v>
          </cell>
          <cell r="G169">
            <v>-543649.67000000004</v>
          </cell>
          <cell r="H169">
            <v>484942.3</v>
          </cell>
          <cell r="I169">
            <v>0</v>
          </cell>
          <cell r="J169">
            <v>56127.45</v>
          </cell>
          <cell r="K169">
            <v>54734.400000000001</v>
          </cell>
          <cell r="L169">
            <v>595804.15</v>
          </cell>
          <cell r="M169">
            <v>0</v>
          </cell>
          <cell r="N169">
            <v>1</v>
          </cell>
          <cell r="O169">
            <v>595804.15</v>
          </cell>
          <cell r="P169">
            <v>-152987.60999999999</v>
          </cell>
          <cell r="Q169">
            <v>0</v>
          </cell>
          <cell r="R169">
            <v>600000</v>
          </cell>
          <cell r="S169">
            <v>619338.41392500012</v>
          </cell>
        </row>
        <row r="170">
          <cell r="D170">
            <v>630202</v>
          </cell>
          <cell r="E170">
            <v>9269.36</v>
          </cell>
          <cell r="F170">
            <v>5709.06</v>
          </cell>
          <cell r="G170">
            <v>-9269.36</v>
          </cell>
          <cell r="H170">
            <v>7065.92</v>
          </cell>
          <cell r="I170">
            <v>0</v>
          </cell>
          <cell r="J170">
            <v>1216.32</v>
          </cell>
          <cell r="K170">
            <v>1563.82</v>
          </cell>
          <cell r="L170">
            <v>9846.06</v>
          </cell>
          <cell r="M170">
            <v>0</v>
          </cell>
          <cell r="N170">
            <v>1</v>
          </cell>
          <cell r="O170">
            <v>9846.06</v>
          </cell>
          <cell r="P170">
            <v>-2561.92</v>
          </cell>
          <cell r="Q170">
            <v>0</v>
          </cell>
          <cell r="R170">
            <v>10000</v>
          </cell>
          <cell r="S170">
            <v>10234.979370000001</v>
          </cell>
        </row>
        <row r="171">
          <cell r="D171">
            <v>0</v>
          </cell>
          <cell r="E171">
            <v>1464050029.5900002</v>
          </cell>
          <cell r="F171">
            <v>1182061955.5</v>
          </cell>
          <cell r="G171">
            <v>-1343609713.3900001</v>
          </cell>
          <cell r="H171">
            <v>1092361619.3699999</v>
          </cell>
          <cell r="I171">
            <v>0</v>
          </cell>
          <cell r="J171">
            <v>80502912.440000027</v>
          </cell>
          <cell r="K171">
            <v>201278974.41999999</v>
          </cell>
          <cell r="L171">
            <v>1374143506.2299998</v>
          </cell>
          <cell r="M171">
            <v>0</v>
          </cell>
          <cell r="N171">
            <v>0</v>
          </cell>
          <cell r="O171">
            <v>1374143506.2299998</v>
          </cell>
          <cell r="P171">
            <v>-455573921.73000002</v>
          </cell>
          <cell r="Q171">
            <v>0</v>
          </cell>
          <cell r="R171">
            <v>1113645541.75</v>
          </cell>
          <cell r="S171">
            <v>1130446304.0899999</v>
          </cell>
        </row>
        <row r="172">
          <cell r="D172">
            <v>810101</v>
          </cell>
          <cell r="E172">
            <v>492466529.67000002</v>
          </cell>
          <cell r="F172">
            <v>470453536.5</v>
          </cell>
          <cell r="G172">
            <v>-490188075</v>
          </cell>
          <cell r="H172">
            <v>419033454.19999999</v>
          </cell>
          <cell r="I172">
            <v>0</v>
          </cell>
          <cell r="J172">
            <v>36894050.130000003</v>
          </cell>
          <cell r="K172">
            <v>46224655.979999997</v>
          </cell>
          <cell r="L172">
            <v>502152160.31</v>
          </cell>
          <cell r="M172">
            <v>0</v>
          </cell>
          <cell r="N172">
            <v>0</v>
          </cell>
          <cell r="O172">
            <v>502152160.31</v>
          </cell>
          <cell r="P172">
            <v>-145781776.75999999</v>
          </cell>
          <cell r="Q172">
            <v>0</v>
          </cell>
          <cell r="R172">
            <v>490188075</v>
          </cell>
          <cell r="S172">
            <v>502152160.31</v>
          </cell>
        </row>
        <row r="173">
          <cell r="D173">
            <v>810201</v>
          </cell>
          <cell r="E173">
            <v>85006379.859999999</v>
          </cell>
          <cell r="F173">
            <v>81466457.670000002</v>
          </cell>
          <cell r="G173">
            <v>-63144358</v>
          </cell>
          <cell r="H173">
            <v>55509927.189999998</v>
          </cell>
          <cell r="I173">
            <v>0</v>
          </cell>
          <cell r="J173">
            <v>3500000</v>
          </cell>
          <cell r="K173">
            <v>3500000</v>
          </cell>
          <cell r="L173">
            <v>62509927.189999998</v>
          </cell>
          <cell r="M173">
            <v>0</v>
          </cell>
          <cell r="N173">
            <v>0</v>
          </cell>
          <cell r="O173">
            <v>62509927.189999998</v>
          </cell>
          <cell r="P173">
            <v>-15981336.75</v>
          </cell>
          <cell r="Q173">
            <v>0</v>
          </cell>
          <cell r="R173">
            <v>63144358</v>
          </cell>
          <cell r="S173">
            <v>62509927.189999998</v>
          </cell>
        </row>
        <row r="174">
          <cell r="D174">
            <v>810301</v>
          </cell>
          <cell r="E174">
            <v>43998269.829999998</v>
          </cell>
          <cell r="F174">
            <v>43010007.829999998</v>
          </cell>
          <cell r="G174">
            <v>-41847412</v>
          </cell>
          <cell r="H174">
            <v>35107627.409999996</v>
          </cell>
          <cell r="I174">
            <v>0</v>
          </cell>
          <cell r="J174">
            <v>6670189.4199999999</v>
          </cell>
          <cell r="K174">
            <v>2037750.45</v>
          </cell>
          <cell r="L174">
            <v>43815567.280000001</v>
          </cell>
          <cell r="M174">
            <v>0</v>
          </cell>
          <cell r="N174">
            <v>0</v>
          </cell>
          <cell r="O174">
            <v>43815567.280000001</v>
          </cell>
          <cell r="P174">
            <v>-10612736.83</v>
          </cell>
          <cell r="Q174">
            <v>0</v>
          </cell>
          <cell r="R174">
            <v>41847412</v>
          </cell>
          <cell r="S174">
            <v>43815567.280000001</v>
          </cell>
        </row>
        <row r="175">
          <cell r="D175">
            <v>810401</v>
          </cell>
          <cell r="E175">
            <v>6058919.2199999997</v>
          </cell>
          <cell r="F175">
            <v>5524034.1699999999</v>
          </cell>
          <cell r="G175">
            <v>-5999817</v>
          </cell>
          <cell r="H175">
            <v>5490330.5499999998</v>
          </cell>
          <cell r="I175">
            <v>0</v>
          </cell>
          <cell r="J175">
            <v>701471.94</v>
          </cell>
          <cell r="K175">
            <v>512638.42</v>
          </cell>
          <cell r="L175">
            <v>6704440.9100000001</v>
          </cell>
          <cell r="M175">
            <v>0</v>
          </cell>
          <cell r="N175">
            <v>0</v>
          </cell>
          <cell r="O175">
            <v>6704440.9100000001</v>
          </cell>
          <cell r="P175">
            <v>-1623591.8</v>
          </cell>
          <cell r="Q175">
            <v>0</v>
          </cell>
          <cell r="R175">
            <v>5999817</v>
          </cell>
          <cell r="S175">
            <v>6704440.9100000001</v>
          </cell>
        </row>
        <row r="176">
          <cell r="D176">
            <v>810501</v>
          </cell>
          <cell r="E176">
            <v>11595058.449999999</v>
          </cell>
          <cell r="F176">
            <v>11108720</v>
          </cell>
          <cell r="G176">
            <v>-13718204</v>
          </cell>
          <cell r="H176">
            <v>8718329.5899999999</v>
          </cell>
          <cell r="I176">
            <v>0</v>
          </cell>
          <cell r="J176">
            <v>816115.34</v>
          </cell>
          <cell r="K176">
            <v>942454.97</v>
          </cell>
          <cell r="L176">
            <v>10476899.9</v>
          </cell>
          <cell r="M176">
            <v>0</v>
          </cell>
          <cell r="N176">
            <v>0</v>
          </cell>
          <cell r="O176">
            <v>10476899.9</v>
          </cell>
          <cell r="P176">
            <v>-6743642.6799999997</v>
          </cell>
          <cell r="Q176">
            <v>0</v>
          </cell>
          <cell r="R176">
            <v>13718204</v>
          </cell>
          <cell r="S176">
            <v>10476899.9</v>
          </cell>
        </row>
        <row r="177">
          <cell r="D177">
            <v>810601</v>
          </cell>
          <cell r="E177">
            <v>76060723</v>
          </cell>
          <cell r="F177">
            <v>50000000</v>
          </cell>
          <cell r="G177">
            <v>-53500000</v>
          </cell>
          <cell r="H177">
            <v>59723346</v>
          </cell>
          <cell r="I177">
            <v>0</v>
          </cell>
          <cell r="J177">
            <v>3000000</v>
          </cell>
          <cell r="K177">
            <v>3000000</v>
          </cell>
          <cell r="L177">
            <v>65723346</v>
          </cell>
          <cell r="M177">
            <v>0</v>
          </cell>
          <cell r="N177">
            <v>0</v>
          </cell>
          <cell r="O177">
            <v>65723346</v>
          </cell>
          <cell r="P177">
            <v>-10494850</v>
          </cell>
          <cell r="Q177">
            <v>0</v>
          </cell>
          <cell r="R177">
            <v>50000000</v>
          </cell>
          <cell r="S177">
            <v>55000000</v>
          </cell>
        </row>
        <row r="178">
          <cell r="D178">
            <v>810701</v>
          </cell>
          <cell r="E178">
            <v>0</v>
          </cell>
          <cell r="F178">
            <v>0</v>
          </cell>
          <cell r="G178">
            <v>-1865545.44</v>
          </cell>
          <cell r="H178">
            <v>4978385.1900000004</v>
          </cell>
          <cell r="I178">
            <v>0</v>
          </cell>
          <cell r="J178">
            <v>0</v>
          </cell>
          <cell r="K178">
            <v>0</v>
          </cell>
          <cell r="L178">
            <v>4978385.1900000004</v>
          </cell>
          <cell r="M178">
            <v>0</v>
          </cell>
          <cell r="N178">
            <v>0</v>
          </cell>
          <cell r="O178">
            <v>4978385.1900000004</v>
          </cell>
          <cell r="P178">
            <v>-410053.45</v>
          </cell>
          <cell r="Q178">
            <v>0</v>
          </cell>
          <cell r="R178">
            <v>1865545.44</v>
          </cell>
          <cell r="S178">
            <v>1000000</v>
          </cell>
        </row>
        <row r="179">
          <cell r="D179">
            <v>810801</v>
          </cell>
          <cell r="E179">
            <v>1367804.16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D180">
            <v>820101</v>
          </cell>
          <cell r="E180">
            <v>97167424</v>
          </cell>
          <cell r="F180">
            <v>92989224.760000005</v>
          </cell>
          <cell r="G180">
            <v>-95943134</v>
          </cell>
          <cell r="H180">
            <v>95943134</v>
          </cell>
          <cell r="I180">
            <v>0</v>
          </cell>
          <cell r="J180">
            <v>0</v>
          </cell>
          <cell r="K180">
            <v>0</v>
          </cell>
          <cell r="L180">
            <v>95943134</v>
          </cell>
          <cell r="M180">
            <v>0</v>
          </cell>
          <cell r="N180">
            <v>0</v>
          </cell>
          <cell r="O180">
            <v>95943134</v>
          </cell>
          <cell r="P180">
            <v>-19188622</v>
          </cell>
          <cell r="Q180">
            <v>0</v>
          </cell>
          <cell r="R180">
            <v>95943134</v>
          </cell>
          <cell r="S180">
            <v>95943134</v>
          </cell>
        </row>
        <row r="181">
          <cell r="D181">
            <v>820102</v>
          </cell>
          <cell r="E181">
            <v>0</v>
          </cell>
          <cell r="F181">
            <v>0</v>
          </cell>
          <cell r="G181">
            <v>-1306000</v>
          </cell>
          <cell r="H181">
            <v>767465.85</v>
          </cell>
          <cell r="I181">
            <v>0</v>
          </cell>
          <cell r="J181">
            <v>0</v>
          </cell>
          <cell r="K181">
            <v>0</v>
          </cell>
          <cell r="L181">
            <v>767465.85</v>
          </cell>
          <cell r="M181">
            <v>0</v>
          </cell>
          <cell r="N181">
            <v>0</v>
          </cell>
          <cell r="O181">
            <v>767465.85</v>
          </cell>
          <cell r="P181">
            <v>-764003.69</v>
          </cell>
          <cell r="Q181">
            <v>0</v>
          </cell>
          <cell r="R181">
            <v>1306000</v>
          </cell>
          <cell r="S181">
            <v>500000</v>
          </cell>
        </row>
        <row r="182">
          <cell r="D182">
            <v>820201</v>
          </cell>
          <cell r="E182">
            <v>344071327</v>
          </cell>
          <cell r="F182">
            <v>327899974.63</v>
          </cell>
          <cell r="G182">
            <v>-338859284</v>
          </cell>
          <cell r="H182">
            <v>282382740</v>
          </cell>
          <cell r="I182">
            <v>0</v>
          </cell>
          <cell r="J182">
            <v>28238274</v>
          </cell>
          <cell r="K182">
            <v>28238270</v>
          </cell>
          <cell r="L182">
            <v>338859284</v>
          </cell>
          <cell r="M182">
            <v>0</v>
          </cell>
          <cell r="N182">
            <v>0</v>
          </cell>
          <cell r="O182">
            <v>338859284</v>
          </cell>
          <cell r="P182">
            <v>-112953092</v>
          </cell>
          <cell r="Q182">
            <v>0</v>
          </cell>
          <cell r="R182">
            <v>338859284</v>
          </cell>
          <cell r="S182">
            <v>338859284</v>
          </cell>
        </row>
        <row r="183">
          <cell r="D183">
            <v>820202</v>
          </cell>
          <cell r="E183">
            <v>0</v>
          </cell>
          <cell r="F183">
            <v>0</v>
          </cell>
          <cell r="G183">
            <v>-1450000</v>
          </cell>
          <cell r="H183">
            <v>1387282.64</v>
          </cell>
          <cell r="I183">
            <v>0</v>
          </cell>
          <cell r="J183">
            <v>0</v>
          </cell>
          <cell r="K183">
            <v>0</v>
          </cell>
          <cell r="L183">
            <v>1387282.64</v>
          </cell>
          <cell r="M183">
            <v>0</v>
          </cell>
          <cell r="N183">
            <v>0</v>
          </cell>
          <cell r="O183">
            <v>1387282.64</v>
          </cell>
          <cell r="P183">
            <v>-420422.2</v>
          </cell>
          <cell r="Q183">
            <v>0</v>
          </cell>
          <cell r="R183">
            <v>1450000</v>
          </cell>
          <cell r="S183">
            <v>1000000</v>
          </cell>
        </row>
        <row r="184">
          <cell r="D184">
            <v>830101</v>
          </cell>
          <cell r="E184">
            <v>17213553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D185">
            <v>830301</v>
          </cell>
          <cell r="E185">
            <v>0</v>
          </cell>
          <cell r="F185">
            <v>800000</v>
          </cell>
          <cell r="G185">
            <v>-800000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-800000</v>
          </cell>
          <cell r="Q185">
            <v>0</v>
          </cell>
          <cell r="R185">
            <v>0</v>
          </cell>
          <cell r="S185">
            <v>0</v>
          </cell>
        </row>
        <row r="186">
          <cell r="D186">
            <v>830302</v>
          </cell>
          <cell r="E186">
            <v>7266773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D187">
            <v>830305</v>
          </cell>
          <cell r="E187">
            <v>1625065</v>
          </cell>
          <cell r="F187">
            <v>1800000</v>
          </cell>
          <cell r="G187">
            <v>-1800000</v>
          </cell>
          <cell r="H187">
            <v>0</v>
          </cell>
          <cell r="I187">
            <v>0</v>
          </cell>
          <cell r="J187">
            <v>0</v>
          </cell>
          <cell r="K187">
            <v>1800000</v>
          </cell>
          <cell r="L187">
            <v>1800000</v>
          </cell>
          <cell r="M187">
            <v>0</v>
          </cell>
          <cell r="N187">
            <v>0</v>
          </cell>
          <cell r="O187">
            <v>1800000</v>
          </cell>
          <cell r="P187">
            <v>-1800000</v>
          </cell>
          <cell r="Q187">
            <v>0</v>
          </cell>
          <cell r="R187">
            <v>0</v>
          </cell>
          <cell r="S187">
            <v>0</v>
          </cell>
        </row>
        <row r="188">
          <cell r="D188">
            <v>830306</v>
          </cell>
          <cell r="E188">
            <v>494000</v>
          </cell>
          <cell r="F188">
            <v>500000</v>
          </cell>
          <cell r="G188">
            <v>-500000</v>
          </cell>
          <cell r="H188">
            <v>500000</v>
          </cell>
          <cell r="I188">
            <v>0</v>
          </cell>
          <cell r="J188">
            <v>0</v>
          </cell>
          <cell r="K188">
            <v>0</v>
          </cell>
          <cell r="L188">
            <v>500000</v>
          </cell>
          <cell r="M188">
            <v>0</v>
          </cell>
          <cell r="N188">
            <v>0</v>
          </cell>
          <cell r="O188">
            <v>500000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D189">
            <v>830307</v>
          </cell>
          <cell r="E189">
            <v>499800</v>
          </cell>
          <cell r="F189">
            <v>500000</v>
          </cell>
          <cell r="G189">
            <v>-500000</v>
          </cell>
          <cell r="H189">
            <v>126033.60000000001</v>
          </cell>
          <cell r="I189">
            <v>0</v>
          </cell>
          <cell r="J189">
            <v>0</v>
          </cell>
          <cell r="K189">
            <v>0</v>
          </cell>
          <cell r="L189">
            <v>126033.60000000001</v>
          </cell>
          <cell r="M189">
            <v>0</v>
          </cell>
          <cell r="N189">
            <v>0</v>
          </cell>
          <cell r="O189">
            <v>126033.60000000001</v>
          </cell>
          <cell r="P189">
            <v>-373966.4</v>
          </cell>
          <cell r="Q189">
            <v>0</v>
          </cell>
          <cell r="R189">
            <v>0</v>
          </cell>
          <cell r="S189">
            <v>0</v>
          </cell>
        </row>
        <row r="190">
          <cell r="D190">
            <v>830310</v>
          </cell>
          <cell r="E190">
            <v>50000</v>
          </cell>
          <cell r="F190">
            <v>50000</v>
          </cell>
          <cell r="G190">
            <v>-50000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-50000</v>
          </cell>
          <cell r="Q190">
            <v>0</v>
          </cell>
          <cell r="R190">
            <v>0</v>
          </cell>
          <cell r="S190">
            <v>0</v>
          </cell>
        </row>
        <row r="191">
          <cell r="D191">
            <v>830312</v>
          </cell>
          <cell r="E191">
            <v>0</v>
          </cell>
          <cell r="F191">
            <v>5000000</v>
          </cell>
          <cell r="G191">
            <v>-5000000</v>
          </cell>
          <cell r="H191">
            <v>0</v>
          </cell>
          <cell r="I191">
            <v>0</v>
          </cell>
          <cell r="J191">
            <v>0</v>
          </cell>
          <cell r="K191">
            <v>5000000</v>
          </cell>
          <cell r="L191">
            <v>5000000</v>
          </cell>
          <cell r="M191">
            <v>0</v>
          </cell>
          <cell r="N191">
            <v>0</v>
          </cell>
          <cell r="O191">
            <v>5000000</v>
          </cell>
          <cell r="P191">
            <v>-5000000</v>
          </cell>
          <cell r="Q191">
            <v>0</v>
          </cell>
          <cell r="R191">
            <v>0</v>
          </cell>
          <cell r="S191">
            <v>0</v>
          </cell>
        </row>
        <row r="192">
          <cell r="D192">
            <v>830313</v>
          </cell>
          <cell r="E192">
            <v>3054764.39</v>
          </cell>
          <cell r="F192">
            <v>53952993.880000003</v>
          </cell>
          <cell r="G192">
            <v>-48831448.57</v>
          </cell>
          <cell r="H192">
            <v>29258774.690000001</v>
          </cell>
          <cell r="I192">
            <v>0</v>
          </cell>
          <cell r="J192">
            <v>0</v>
          </cell>
          <cell r="K192">
            <v>19572673.879999999</v>
          </cell>
          <cell r="L192">
            <v>48831448.57</v>
          </cell>
          <cell r="M192">
            <v>0</v>
          </cell>
          <cell r="N192">
            <v>0</v>
          </cell>
          <cell r="O192">
            <v>48831448.57</v>
          </cell>
          <cell r="P192">
            <v>-19572673.879999999</v>
          </cell>
          <cell r="Q192">
            <v>0</v>
          </cell>
          <cell r="R192">
            <v>0</v>
          </cell>
          <cell r="S192">
            <v>0</v>
          </cell>
        </row>
        <row r="193">
          <cell r="D193">
            <v>830314</v>
          </cell>
          <cell r="E193">
            <v>1286815.9099999999</v>
          </cell>
          <cell r="F193">
            <v>1301000</v>
          </cell>
          <cell r="G193">
            <v>-23191717.539999999</v>
          </cell>
          <cell r="H193">
            <v>0</v>
          </cell>
          <cell r="I193">
            <v>0</v>
          </cell>
          <cell r="J193">
            <v>0</v>
          </cell>
          <cell r="K193">
            <v>23191717.539999999</v>
          </cell>
          <cell r="L193">
            <v>23191717.539999999</v>
          </cell>
          <cell r="M193">
            <v>0</v>
          </cell>
          <cell r="N193">
            <v>0</v>
          </cell>
          <cell r="O193">
            <v>23191717.539999999</v>
          </cell>
          <cell r="P193">
            <v>-23191717.539999999</v>
          </cell>
          <cell r="Q193">
            <v>0</v>
          </cell>
          <cell r="R193">
            <v>0</v>
          </cell>
          <cell r="S193">
            <v>0</v>
          </cell>
        </row>
        <row r="194">
          <cell r="D194">
            <v>830315</v>
          </cell>
          <cell r="E194">
            <v>11500000</v>
          </cell>
          <cell r="F194">
            <v>0</v>
          </cell>
          <cell r="G194">
            <v>0</v>
          </cell>
          <cell r="H194">
            <v>153728.09</v>
          </cell>
          <cell r="I194">
            <v>0</v>
          </cell>
          <cell r="J194">
            <v>0</v>
          </cell>
          <cell r="K194">
            <v>0</v>
          </cell>
          <cell r="L194">
            <v>153728.09</v>
          </cell>
          <cell r="M194">
            <v>0</v>
          </cell>
          <cell r="N194">
            <v>0</v>
          </cell>
          <cell r="O194">
            <v>153728.09</v>
          </cell>
          <cell r="P194">
            <v>153728.09</v>
          </cell>
          <cell r="Q194">
            <v>0</v>
          </cell>
          <cell r="R194">
            <v>0</v>
          </cell>
          <cell r="S194">
            <v>0</v>
          </cell>
        </row>
        <row r="195">
          <cell r="D195">
            <v>830316</v>
          </cell>
          <cell r="E195">
            <v>116309434.77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D196">
            <v>830317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D197">
            <v>830318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D198">
            <v>830319</v>
          </cell>
          <cell r="E198">
            <v>708896.84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D199">
            <v>830320</v>
          </cell>
          <cell r="E199">
            <v>764449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D200">
            <v>830321</v>
          </cell>
          <cell r="E200">
            <v>7759735.7999999998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D201">
            <v>830322</v>
          </cell>
          <cell r="E201">
            <v>4749997.58</v>
          </cell>
          <cell r="F201">
            <v>362000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D202">
            <v>830323</v>
          </cell>
          <cell r="E202">
            <v>7718296.5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D203">
            <v>830324</v>
          </cell>
          <cell r="E203">
            <v>10000000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D204">
            <v>830325</v>
          </cell>
          <cell r="E204">
            <v>12539288.92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D205">
            <v>830326</v>
          </cell>
          <cell r="E205">
            <v>1650000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D206">
            <v>830327</v>
          </cell>
          <cell r="E206">
            <v>650000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D207">
            <v>830328</v>
          </cell>
          <cell r="E207">
            <v>0</v>
          </cell>
          <cell r="F207">
            <v>4645547.04</v>
          </cell>
          <cell r="G207">
            <v>-4645547.04</v>
          </cell>
          <cell r="H207">
            <v>1909812.8</v>
          </cell>
          <cell r="I207">
            <v>0</v>
          </cell>
          <cell r="J207">
            <v>0</v>
          </cell>
          <cell r="K207">
            <v>2735734.24</v>
          </cell>
          <cell r="L207">
            <v>4645547.04</v>
          </cell>
          <cell r="M207">
            <v>0</v>
          </cell>
          <cell r="N207">
            <v>0</v>
          </cell>
          <cell r="O207">
            <v>4645547.04</v>
          </cell>
          <cell r="P207">
            <v>-2735734.24</v>
          </cell>
          <cell r="Q207">
            <v>0</v>
          </cell>
          <cell r="R207">
            <v>0</v>
          </cell>
          <cell r="S207">
            <v>0</v>
          </cell>
        </row>
        <row r="208">
          <cell r="D208">
            <v>830329</v>
          </cell>
          <cell r="E208">
            <v>0</v>
          </cell>
          <cell r="F208">
            <v>300000</v>
          </cell>
          <cell r="G208">
            <v>-300000</v>
          </cell>
          <cell r="H208">
            <v>0</v>
          </cell>
          <cell r="I208">
            <v>0</v>
          </cell>
          <cell r="J208">
            <v>0</v>
          </cell>
          <cell r="K208">
            <v>300000</v>
          </cell>
          <cell r="L208">
            <v>300000</v>
          </cell>
          <cell r="M208">
            <v>0</v>
          </cell>
          <cell r="N208">
            <v>0</v>
          </cell>
          <cell r="O208">
            <v>300000</v>
          </cell>
          <cell r="P208">
            <v>-300000</v>
          </cell>
          <cell r="Q208">
            <v>0</v>
          </cell>
          <cell r="R208">
            <v>0</v>
          </cell>
          <cell r="S208">
            <v>0</v>
          </cell>
        </row>
        <row r="209">
          <cell r="D209">
            <v>830330</v>
          </cell>
          <cell r="E209">
            <v>300000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D210">
            <v>830331</v>
          </cell>
          <cell r="E210">
            <v>0</v>
          </cell>
          <cell r="F210">
            <v>1590624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D211">
            <v>830332</v>
          </cell>
          <cell r="E211">
            <v>0</v>
          </cell>
          <cell r="F211">
            <v>1010000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D212">
            <v>830333</v>
          </cell>
          <cell r="E212">
            <v>0</v>
          </cell>
          <cell r="F212">
            <v>165000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D213">
            <v>830334</v>
          </cell>
          <cell r="E213">
            <v>0</v>
          </cell>
          <cell r="F213">
            <v>0</v>
          </cell>
          <cell r="G213">
            <v>-10149826.5</v>
          </cell>
          <cell r="H213">
            <v>9164918.0399999991</v>
          </cell>
          <cell r="I213">
            <v>0</v>
          </cell>
          <cell r="J213">
            <v>0</v>
          </cell>
          <cell r="K213">
            <v>984908.46000000089</v>
          </cell>
          <cell r="L213">
            <v>10149826.5</v>
          </cell>
          <cell r="M213">
            <v>0</v>
          </cell>
          <cell r="N213">
            <v>0</v>
          </cell>
          <cell r="O213">
            <v>10149826.5</v>
          </cell>
          <cell r="P213">
            <v>-7596836.0199999996</v>
          </cell>
          <cell r="Q213">
            <v>0</v>
          </cell>
          <cell r="R213">
            <v>0</v>
          </cell>
          <cell r="S213">
            <v>0</v>
          </cell>
        </row>
        <row r="214">
          <cell r="D214">
            <v>830335</v>
          </cell>
          <cell r="E214">
            <v>0</v>
          </cell>
          <cell r="F214">
            <v>0</v>
          </cell>
          <cell r="G214">
            <v>-5000000</v>
          </cell>
          <cell r="H214">
            <v>1333592.82</v>
          </cell>
          <cell r="I214">
            <v>0</v>
          </cell>
          <cell r="J214">
            <v>0</v>
          </cell>
          <cell r="K214">
            <v>3666407.1799999997</v>
          </cell>
          <cell r="L214">
            <v>5000000</v>
          </cell>
          <cell r="M214">
            <v>0</v>
          </cell>
          <cell r="N214">
            <v>0</v>
          </cell>
          <cell r="O214">
            <v>5000000</v>
          </cell>
          <cell r="P214">
            <v>-4217641.49</v>
          </cell>
          <cell r="Q214">
            <v>0</v>
          </cell>
          <cell r="R214">
            <v>0</v>
          </cell>
          <cell r="S214">
            <v>0</v>
          </cell>
        </row>
        <row r="215">
          <cell r="D215">
            <v>830336</v>
          </cell>
          <cell r="E215">
            <v>0</v>
          </cell>
          <cell r="F215">
            <v>0</v>
          </cell>
          <cell r="G215">
            <v>-617797.85</v>
          </cell>
          <cell r="H215">
            <v>0</v>
          </cell>
          <cell r="I215">
            <v>0</v>
          </cell>
          <cell r="J215">
            <v>0</v>
          </cell>
          <cell r="K215">
            <v>617797.85</v>
          </cell>
          <cell r="L215">
            <v>617797.85</v>
          </cell>
          <cell r="M215">
            <v>0</v>
          </cell>
          <cell r="N215">
            <v>0</v>
          </cell>
          <cell r="O215">
            <v>617797.85</v>
          </cell>
          <cell r="P215">
            <v>-617797.85</v>
          </cell>
          <cell r="Q215">
            <v>0</v>
          </cell>
          <cell r="R215">
            <v>0</v>
          </cell>
          <cell r="S215">
            <v>0</v>
          </cell>
        </row>
        <row r="216">
          <cell r="D216">
            <v>830337</v>
          </cell>
          <cell r="E216">
            <v>0</v>
          </cell>
          <cell r="F216">
            <v>0</v>
          </cell>
          <cell r="G216">
            <v>-12819101.529999999</v>
          </cell>
          <cell r="H216">
            <v>0</v>
          </cell>
          <cell r="I216">
            <v>0</v>
          </cell>
          <cell r="J216">
            <v>0</v>
          </cell>
          <cell r="K216">
            <v>12819101.529999999</v>
          </cell>
          <cell r="L216">
            <v>12819101.529999999</v>
          </cell>
          <cell r="M216">
            <v>0</v>
          </cell>
          <cell r="N216">
            <v>0</v>
          </cell>
          <cell r="O216">
            <v>12819101.529999999</v>
          </cell>
          <cell r="P216">
            <v>-12819101.529999999</v>
          </cell>
          <cell r="Q216">
            <v>0</v>
          </cell>
          <cell r="R216">
            <v>0</v>
          </cell>
          <cell r="S216">
            <v>0</v>
          </cell>
        </row>
        <row r="217">
          <cell r="D217">
            <v>830338</v>
          </cell>
          <cell r="E217">
            <v>0</v>
          </cell>
          <cell r="F217">
            <v>0</v>
          </cell>
          <cell r="G217">
            <v>-153728.09</v>
          </cell>
          <cell r="H217">
            <v>0</v>
          </cell>
          <cell r="I217">
            <v>0</v>
          </cell>
          <cell r="J217">
            <v>0</v>
          </cell>
          <cell r="K217">
            <v>153728.09</v>
          </cell>
          <cell r="L217">
            <v>153728.09</v>
          </cell>
          <cell r="M217">
            <v>0</v>
          </cell>
          <cell r="N217">
            <v>0</v>
          </cell>
          <cell r="O217">
            <v>153728.09</v>
          </cell>
          <cell r="P217">
            <v>-153728.09</v>
          </cell>
          <cell r="Q217">
            <v>0</v>
          </cell>
          <cell r="R217">
            <v>0</v>
          </cell>
          <cell r="S217">
            <v>0</v>
          </cell>
        </row>
        <row r="218">
          <cell r="D218">
            <v>830339</v>
          </cell>
          <cell r="E218">
            <v>0</v>
          </cell>
          <cell r="F218">
            <v>0</v>
          </cell>
          <cell r="G218">
            <v>-2634960</v>
          </cell>
          <cell r="H218">
            <v>0</v>
          </cell>
          <cell r="I218">
            <v>0</v>
          </cell>
          <cell r="J218">
            <v>0</v>
          </cell>
          <cell r="K218">
            <v>2634960</v>
          </cell>
          <cell r="L218">
            <v>2634960</v>
          </cell>
          <cell r="M218">
            <v>0</v>
          </cell>
          <cell r="N218">
            <v>0</v>
          </cell>
          <cell r="O218">
            <v>2634960</v>
          </cell>
          <cell r="P218">
            <v>-2634960</v>
          </cell>
          <cell r="Q218">
            <v>0</v>
          </cell>
          <cell r="R218">
            <v>0</v>
          </cell>
          <cell r="S218">
            <v>0</v>
          </cell>
        </row>
        <row r="219">
          <cell r="D219">
            <v>830340</v>
          </cell>
          <cell r="E219">
            <v>0</v>
          </cell>
          <cell r="F219">
            <v>0</v>
          </cell>
          <cell r="G219">
            <v>-42372356.259999998</v>
          </cell>
          <cell r="H219">
            <v>19283268.82</v>
          </cell>
          <cell r="I219">
            <v>0</v>
          </cell>
          <cell r="J219">
            <v>0</v>
          </cell>
          <cell r="K219">
            <v>23089087.439999998</v>
          </cell>
          <cell r="L219">
            <v>42372356.259999998</v>
          </cell>
          <cell r="M219">
            <v>0</v>
          </cell>
          <cell r="N219">
            <v>0</v>
          </cell>
          <cell r="O219">
            <v>42372356.259999998</v>
          </cell>
          <cell r="P219">
            <v>-28344517.960000001</v>
          </cell>
          <cell r="Q219">
            <v>0</v>
          </cell>
          <cell r="R219">
            <v>0</v>
          </cell>
          <cell r="S219">
            <v>0</v>
          </cell>
        </row>
        <row r="220">
          <cell r="D220">
            <v>830341</v>
          </cell>
          <cell r="E220">
            <v>0</v>
          </cell>
          <cell r="F220">
            <v>0</v>
          </cell>
          <cell r="G220">
            <v>-900000</v>
          </cell>
          <cell r="H220">
            <v>0</v>
          </cell>
          <cell r="I220">
            <v>0</v>
          </cell>
          <cell r="J220">
            <v>0</v>
          </cell>
          <cell r="K220">
            <v>900000</v>
          </cell>
          <cell r="L220">
            <v>900000</v>
          </cell>
          <cell r="M220">
            <v>0</v>
          </cell>
          <cell r="N220">
            <v>0</v>
          </cell>
          <cell r="O220">
            <v>900000</v>
          </cell>
          <cell r="P220">
            <v>-900000</v>
          </cell>
          <cell r="Q220">
            <v>0</v>
          </cell>
          <cell r="R220">
            <v>0</v>
          </cell>
          <cell r="S220">
            <v>0</v>
          </cell>
        </row>
        <row r="221">
          <cell r="D221">
            <v>830342</v>
          </cell>
          <cell r="E221">
            <v>0</v>
          </cell>
          <cell r="F221">
            <v>0</v>
          </cell>
          <cell r="G221">
            <v>-2092280.39</v>
          </cell>
          <cell r="H221">
            <v>2085216</v>
          </cell>
          <cell r="I221">
            <v>0</v>
          </cell>
          <cell r="J221">
            <v>0</v>
          </cell>
          <cell r="K221">
            <v>7064.3899999998976</v>
          </cell>
          <cell r="L221">
            <v>2092280.39</v>
          </cell>
          <cell r="M221">
            <v>0</v>
          </cell>
          <cell r="N221">
            <v>0</v>
          </cell>
          <cell r="O221">
            <v>2092280.39</v>
          </cell>
          <cell r="P221">
            <v>-7064.39</v>
          </cell>
          <cell r="Q221">
            <v>0</v>
          </cell>
          <cell r="R221">
            <v>0</v>
          </cell>
          <cell r="S221">
            <v>0</v>
          </cell>
        </row>
        <row r="222">
          <cell r="D222">
            <v>830343</v>
          </cell>
          <cell r="E222">
            <v>0</v>
          </cell>
          <cell r="F222">
            <v>0</v>
          </cell>
          <cell r="G222">
            <v>-1107549</v>
          </cell>
          <cell r="H222">
            <v>1050459</v>
          </cell>
          <cell r="I222">
            <v>0</v>
          </cell>
          <cell r="J222">
            <v>0</v>
          </cell>
          <cell r="K222">
            <v>57090</v>
          </cell>
          <cell r="L222">
            <v>1107549</v>
          </cell>
          <cell r="M222">
            <v>0</v>
          </cell>
          <cell r="N222">
            <v>0</v>
          </cell>
          <cell r="O222">
            <v>1107549</v>
          </cell>
          <cell r="P222">
            <v>-57090</v>
          </cell>
          <cell r="Q222">
            <v>0</v>
          </cell>
          <cell r="R222">
            <v>0</v>
          </cell>
          <cell r="S222">
            <v>0</v>
          </cell>
        </row>
        <row r="223">
          <cell r="D223">
            <v>830344</v>
          </cell>
          <cell r="E223">
            <v>0</v>
          </cell>
          <cell r="F223">
            <v>0</v>
          </cell>
          <cell r="G223">
            <v>-13000000</v>
          </cell>
          <cell r="H223">
            <v>1971380.78</v>
          </cell>
          <cell r="I223">
            <v>0</v>
          </cell>
          <cell r="J223">
            <v>0</v>
          </cell>
          <cell r="K223">
            <v>11028619.220000001</v>
          </cell>
          <cell r="L223">
            <v>13000000</v>
          </cell>
          <cell r="M223">
            <v>0</v>
          </cell>
          <cell r="N223">
            <v>0</v>
          </cell>
          <cell r="O223">
            <v>13000000</v>
          </cell>
          <cell r="P223">
            <v>-13000000</v>
          </cell>
          <cell r="Q223">
            <v>0</v>
          </cell>
          <cell r="R223">
            <v>0</v>
          </cell>
          <cell r="S223">
            <v>0</v>
          </cell>
        </row>
        <row r="224">
          <cell r="D224">
            <v>830345</v>
          </cell>
          <cell r="E224">
            <v>0</v>
          </cell>
          <cell r="F224">
            <v>0</v>
          </cell>
          <cell r="G224">
            <v>-350000</v>
          </cell>
          <cell r="H224">
            <v>0</v>
          </cell>
          <cell r="I224">
            <v>0</v>
          </cell>
          <cell r="J224">
            <v>0</v>
          </cell>
          <cell r="K224">
            <v>350000</v>
          </cell>
          <cell r="L224">
            <v>350000</v>
          </cell>
          <cell r="M224">
            <v>0</v>
          </cell>
          <cell r="N224">
            <v>0</v>
          </cell>
          <cell r="O224">
            <v>350000</v>
          </cell>
          <cell r="P224">
            <v>-350000</v>
          </cell>
          <cell r="Q224">
            <v>0</v>
          </cell>
          <cell r="R224">
            <v>0</v>
          </cell>
          <cell r="S224">
            <v>0</v>
          </cell>
        </row>
        <row r="225">
          <cell r="D225">
            <v>830346</v>
          </cell>
          <cell r="E225">
            <v>0</v>
          </cell>
          <cell r="F225">
            <v>0</v>
          </cell>
          <cell r="G225">
            <v>-250000</v>
          </cell>
          <cell r="H225">
            <v>0</v>
          </cell>
          <cell r="I225">
            <v>0</v>
          </cell>
          <cell r="J225">
            <v>0</v>
          </cell>
          <cell r="K225">
            <v>250000</v>
          </cell>
          <cell r="L225">
            <v>250000</v>
          </cell>
          <cell r="M225">
            <v>0</v>
          </cell>
          <cell r="N225">
            <v>0</v>
          </cell>
          <cell r="O225">
            <v>250000</v>
          </cell>
          <cell r="P225">
            <v>-250000</v>
          </cell>
          <cell r="Q225">
            <v>0</v>
          </cell>
          <cell r="R225">
            <v>0</v>
          </cell>
          <cell r="S225">
            <v>0</v>
          </cell>
        </row>
        <row r="226">
          <cell r="D226">
            <v>830347</v>
          </cell>
          <cell r="E226">
            <v>0</v>
          </cell>
          <cell r="F226">
            <v>0</v>
          </cell>
          <cell r="G226">
            <v>-250000</v>
          </cell>
          <cell r="H226">
            <v>0</v>
          </cell>
          <cell r="I226">
            <v>0</v>
          </cell>
          <cell r="J226">
            <v>0</v>
          </cell>
          <cell r="K226">
            <v>250000</v>
          </cell>
          <cell r="L226">
            <v>250000</v>
          </cell>
          <cell r="M226">
            <v>0</v>
          </cell>
          <cell r="N226">
            <v>0</v>
          </cell>
          <cell r="O226">
            <v>250000</v>
          </cell>
          <cell r="P226">
            <v>-250000</v>
          </cell>
          <cell r="Q226">
            <v>0</v>
          </cell>
          <cell r="R226">
            <v>0</v>
          </cell>
          <cell r="S226">
            <v>0</v>
          </cell>
        </row>
        <row r="227">
          <cell r="D227">
            <v>830348</v>
          </cell>
          <cell r="E227">
            <v>0</v>
          </cell>
          <cell r="F227">
            <v>0</v>
          </cell>
          <cell r="G227">
            <v>-2204000</v>
          </cell>
          <cell r="H227">
            <v>0</v>
          </cell>
          <cell r="I227">
            <v>0</v>
          </cell>
          <cell r="J227">
            <v>0</v>
          </cell>
          <cell r="K227">
            <v>2204000</v>
          </cell>
          <cell r="L227">
            <v>2204000</v>
          </cell>
          <cell r="M227">
            <v>0</v>
          </cell>
          <cell r="N227">
            <v>0</v>
          </cell>
          <cell r="O227">
            <v>2204000</v>
          </cell>
          <cell r="P227">
            <v>-2204000</v>
          </cell>
          <cell r="Q227">
            <v>0</v>
          </cell>
          <cell r="R227">
            <v>0</v>
          </cell>
          <cell r="S227">
            <v>0</v>
          </cell>
        </row>
        <row r="228">
          <cell r="D228">
            <v>830349</v>
          </cell>
          <cell r="E228">
            <v>0</v>
          </cell>
          <cell r="F228">
            <v>0</v>
          </cell>
          <cell r="G228">
            <v>-2000000</v>
          </cell>
          <cell r="H228">
            <v>2000000</v>
          </cell>
          <cell r="I228">
            <v>0</v>
          </cell>
          <cell r="J228">
            <v>0</v>
          </cell>
          <cell r="K228">
            <v>0</v>
          </cell>
          <cell r="L228">
            <v>2000000</v>
          </cell>
          <cell r="M228">
            <v>0</v>
          </cell>
          <cell r="N228">
            <v>0</v>
          </cell>
          <cell r="O228">
            <v>2000000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D229">
            <v>830350</v>
          </cell>
          <cell r="E229">
            <v>0</v>
          </cell>
          <cell r="F229">
            <v>0</v>
          </cell>
          <cell r="G229">
            <v>0</v>
          </cell>
          <cell r="H229">
            <v>1350000</v>
          </cell>
          <cell r="I229">
            <v>0</v>
          </cell>
          <cell r="J229">
            <v>0</v>
          </cell>
          <cell r="K229">
            <v>0</v>
          </cell>
          <cell r="L229">
            <v>1350000</v>
          </cell>
          <cell r="M229">
            <v>0</v>
          </cell>
          <cell r="N229">
            <v>0</v>
          </cell>
          <cell r="O229">
            <v>1350000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D230">
            <v>830390</v>
          </cell>
          <cell r="E230">
            <v>13292890</v>
          </cell>
          <cell r="F230">
            <v>6377472.9000000004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D231">
            <v>830391</v>
          </cell>
          <cell r="E231">
            <v>2443000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D232">
            <v>830392</v>
          </cell>
          <cell r="E232">
            <v>2398073.83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D233">
            <v>830393</v>
          </cell>
          <cell r="E233">
            <v>69912269.790000007</v>
          </cell>
          <cell r="F233">
            <v>7111000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D234">
            <v>830394</v>
          </cell>
          <cell r="E234">
            <v>0</v>
          </cell>
          <cell r="F234">
            <v>0</v>
          </cell>
          <cell r="G234">
            <v>-46540648</v>
          </cell>
          <cell r="H234">
            <v>42040174.450000003</v>
          </cell>
          <cell r="I234">
            <v>0</v>
          </cell>
          <cell r="J234">
            <v>0</v>
          </cell>
          <cell r="K234">
            <v>4500473.549999997</v>
          </cell>
          <cell r="L234">
            <v>46540648</v>
          </cell>
          <cell r="M234">
            <v>0</v>
          </cell>
          <cell r="N234">
            <v>0</v>
          </cell>
          <cell r="O234">
            <v>46540648</v>
          </cell>
          <cell r="P234">
            <v>-4806788.5999999996</v>
          </cell>
          <cell r="Q234">
            <v>0</v>
          </cell>
          <cell r="R234">
            <v>0</v>
          </cell>
          <cell r="S234">
            <v>0</v>
          </cell>
        </row>
        <row r="235">
          <cell r="D235">
            <v>830501</v>
          </cell>
          <cell r="E235">
            <v>768864.88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D236">
            <v>830502</v>
          </cell>
          <cell r="E236">
            <v>0</v>
          </cell>
          <cell r="F236">
            <v>1500000</v>
          </cell>
          <cell r="G236">
            <v>-100000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-100000</v>
          </cell>
          <cell r="Q236">
            <v>0</v>
          </cell>
          <cell r="R236">
            <v>0</v>
          </cell>
          <cell r="S236">
            <v>0</v>
          </cell>
        </row>
        <row r="237">
          <cell r="D237">
            <v>830901</v>
          </cell>
          <cell r="E237">
            <v>0</v>
          </cell>
          <cell r="F237">
            <v>0</v>
          </cell>
          <cell r="G237">
            <v>0</v>
          </cell>
          <cell r="H237">
            <v>1087900</v>
          </cell>
          <cell r="I237">
            <v>0</v>
          </cell>
          <cell r="J237">
            <v>0</v>
          </cell>
          <cell r="K237">
            <v>0</v>
          </cell>
          <cell r="L237">
            <v>1087900</v>
          </cell>
          <cell r="M237">
            <v>0</v>
          </cell>
          <cell r="N237">
            <v>0</v>
          </cell>
          <cell r="O237">
            <v>1087900</v>
          </cell>
          <cell r="P237">
            <v>1087900</v>
          </cell>
          <cell r="Q237">
            <v>0</v>
          </cell>
          <cell r="R237">
            <v>1500000</v>
          </cell>
          <cell r="S237">
            <v>1087900</v>
          </cell>
        </row>
        <row r="238">
          <cell r="D238">
            <v>840101</v>
          </cell>
          <cell r="E238">
            <v>105845.68</v>
          </cell>
          <cell r="F238">
            <v>89127.31</v>
          </cell>
          <cell r="G238">
            <v>-89127.31</v>
          </cell>
          <cell r="H238">
            <v>76318.289999999994</v>
          </cell>
          <cell r="I238">
            <v>0</v>
          </cell>
          <cell r="J238">
            <v>9759.44</v>
          </cell>
          <cell r="K238">
            <v>15366.49</v>
          </cell>
          <cell r="L238">
            <v>101444.22</v>
          </cell>
          <cell r="M238">
            <v>0</v>
          </cell>
          <cell r="N238">
            <v>0</v>
          </cell>
          <cell r="O238">
            <v>101444.22</v>
          </cell>
          <cell r="P238">
            <v>-19700.78</v>
          </cell>
          <cell r="Q238">
            <v>0</v>
          </cell>
          <cell r="R238">
            <v>89127.31</v>
          </cell>
          <cell r="S238">
            <v>101444.22</v>
          </cell>
        </row>
        <row r="239">
          <cell r="D239">
            <v>840201</v>
          </cell>
          <cell r="E239">
            <v>5173022.66</v>
          </cell>
          <cell r="F239">
            <v>4883362.7</v>
          </cell>
          <cell r="G239">
            <v>-1458590</v>
          </cell>
          <cell r="H239">
            <v>1205798.5</v>
          </cell>
          <cell r="I239">
            <v>0</v>
          </cell>
          <cell r="J239">
            <v>117715.2</v>
          </cell>
          <cell r="K239">
            <v>117715.2</v>
          </cell>
          <cell r="L239">
            <v>1441228.9</v>
          </cell>
          <cell r="M239">
            <v>0</v>
          </cell>
          <cell r="N239">
            <v>0</v>
          </cell>
          <cell r="O239">
            <v>1441228.9</v>
          </cell>
          <cell r="P239">
            <v>-493951.2</v>
          </cell>
          <cell r="Q239">
            <v>0</v>
          </cell>
          <cell r="R239">
            <v>1458590</v>
          </cell>
          <cell r="S239">
            <v>1441228.9</v>
          </cell>
        </row>
        <row r="240">
          <cell r="D240">
            <v>840301</v>
          </cell>
          <cell r="E240">
            <v>5611417.6100000003</v>
          </cell>
          <cell r="F240">
            <v>5280256.25</v>
          </cell>
          <cell r="G240">
            <v>-4599845</v>
          </cell>
          <cell r="H240">
            <v>6134883.5499999998</v>
          </cell>
          <cell r="I240">
            <v>0</v>
          </cell>
          <cell r="J240">
            <v>512722.18</v>
          </cell>
          <cell r="K240">
            <v>534106.89</v>
          </cell>
          <cell r="L240">
            <v>7181712.6199999992</v>
          </cell>
          <cell r="M240">
            <v>0</v>
          </cell>
          <cell r="N240">
            <v>0</v>
          </cell>
          <cell r="O240">
            <v>7181712.6199999992</v>
          </cell>
          <cell r="P240">
            <v>265108.89</v>
          </cell>
          <cell r="Q240">
            <v>0</v>
          </cell>
          <cell r="R240">
            <v>4599845</v>
          </cell>
          <cell r="S240">
            <v>7181712.6199999992</v>
          </cell>
        </row>
        <row r="241">
          <cell r="D241">
            <v>840401</v>
          </cell>
          <cell r="E241">
            <v>0</v>
          </cell>
          <cell r="F241">
            <v>2009318.8</v>
          </cell>
          <cell r="G241">
            <v>-1001452</v>
          </cell>
          <cell r="H241">
            <v>1772397.11</v>
          </cell>
          <cell r="I241">
            <v>0</v>
          </cell>
          <cell r="J241">
            <v>0</v>
          </cell>
          <cell r="K241">
            <v>0</v>
          </cell>
          <cell r="L241">
            <v>1772397.11</v>
          </cell>
          <cell r="M241">
            <v>0</v>
          </cell>
          <cell r="N241">
            <v>0</v>
          </cell>
          <cell r="O241">
            <v>1772397.11</v>
          </cell>
          <cell r="P241">
            <v>370304.14</v>
          </cell>
          <cell r="Q241">
            <v>0</v>
          </cell>
          <cell r="R241">
            <v>1001452</v>
          </cell>
          <cell r="S241">
            <v>1772397.11</v>
          </cell>
        </row>
        <row r="242">
          <cell r="D242">
            <v>840501</v>
          </cell>
          <cell r="E242">
            <v>0</v>
          </cell>
          <cell r="F242">
            <v>0</v>
          </cell>
          <cell r="G242">
            <v>0</v>
          </cell>
          <cell r="H242">
            <v>35918.199999999997</v>
          </cell>
          <cell r="I242">
            <v>0</v>
          </cell>
          <cell r="J242">
            <v>0</v>
          </cell>
          <cell r="K242">
            <v>0</v>
          </cell>
          <cell r="L242">
            <v>35918.199999999997</v>
          </cell>
          <cell r="M242">
            <v>0</v>
          </cell>
          <cell r="N242">
            <v>0</v>
          </cell>
          <cell r="O242">
            <v>35918.199999999997</v>
          </cell>
          <cell r="P242">
            <v>0</v>
          </cell>
          <cell r="Q242">
            <v>0</v>
          </cell>
          <cell r="R242">
            <v>0</v>
          </cell>
          <cell r="S242">
            <v>35918.199999999997</v>
          </cell>
        </row>
        <row r="243">
          <cell r="D243">
            <v>840601</v>
          </cell>
          <cell r="E243">
            <v>411339.24</v>
          </cell>
          <cell r="F243">
            <v>382297.06</v>
          </cell>
          <cell r="G243">
            <v>-364698</v>
          </cell>
          <cell r="H243">
            <v>568847.51</v>
          </cell>
          <cell r="I243">
            <v>0</v>
          </cell>
          <cell r="J243">
            <v>42614.79</v>
          </cell>
          <cell r="K243">
            <v>42652.65</v>
          </cell>
          <cell r="L243">
            <v>654114.95000000007</v>
          </cell>
          <cell r="M243">
            <v>0</v>
          </cell>
          <cell r="N243">
            <v>0</v>
          </cell>
          <cell r="O243">
            <v>654114.95000000007</v>
          </cell>
          <cell r="P243">
            <v>106382.57</v>
          </cell>
          <cell r="Q243">
            <v>0</v>
          </cell>
          <cell r="R243">
            <v>364698</v>
          </cell>
          <cell r="S243">
            <v>654114.95000000007</v>
          </cell>
        </row>
        <row r="244">
          <cell r="D244">
            <v>840801</v>
          </cell>
          <cell r="E244">
            <v>0</v>
          </cell>
          <cell r="F244">
            <v>0</v>
          </cell>
          <cell r="G244">
            <v>-69570.67</v>
          </cell>
          <cell r="H244">
            <v>32482.21</v>
          </cell>
          <cell r="I244">
            <v>0</v>
          </cell>
          <cell r="J244">
            <v>0</v>
          </cell>
          <cell r="K244">
            <v>0</v>
          </cell>
          <cell r="L244">
            <v>32482.21</v>
          </cell>
          <cell r="M244">
            <v>0</v>
          </cell>
          <cell r="N244">
            <v>1</v>
          </cell>
          <cell r="O244">
            <v>32482.21</v>
          </cell>
          <cell r="P244">
            <v>-41121.199999999997</v>
          </cell>
          <cell r="Q244">
            <v>0</v>
          </cell>
          <cell r="R244">
            <v>50000</v>
          </cell>
          <cell r="S244">
            <v>32482.21</v>
          </cell>
        </row>
        <row r="245">
          <cell r="D245">
            <v>840802</v>
          </cell>
          <cell r="E245">
            <v>0</v>
          </cell>
          <cell r="F245">
            <v>0</v>
          </cell>
          <cell r="G245">
            <v>-23640.2</v>
          </cell>
          <cell r="H245">
            <v>27351.05</v>
          </cell>
          <cell r="I245">
            <v>0</v>
          </cell>
          <cell r="J245">
            <v>0</v>
          </cell>
          <cell r="K245">
            <v>0</v>
          </cell>
          <cell r="L245">
            <v>27351.05</v>
          </cell>
          <cell r="M245">
            <v>0</v>
          </cell>
          <cell r="N245">
            <v>1</v>
          </cell>
          <cell r="O245">
            <v>27351.05</v>
          </cell>
          <cell r="P245">
            <v>2472.75</v>
          </cell>
          <cell r="Q245">
            <v>0</v>
          </cell>
          <cell r="R245">
            <v>40000</v>
          </cell>
          <cell r="S245">
            <v>27351.05</v>
          </cell>
        </row>
        <row r="246">
          <cell r="D246">
            <v>840901</v>
          </cell>
          <cell r="E246">
            <v>0</v>
          </cell>
          <cell r="F246">
            <v>0</v>
          </cell>
          <cell r="G246">
            <v>-20000</v>
          </cell>
          <cell r="H246">
            <v>32172.97</v>
          </cell>
          <cell r="I246">
            <v>0</v>
          </cell>
          <cell r="J246">
            <v>0</v>
          </cell>
          <cell r="K246">
            <v>0</v>
          </cell>
          <cell r="L246">
            <v>32172.97</v>
          </cell>
          <cell r="M246">
            <v>0</v>
          </cell>
          <cell r="N246">
            <v>0</v>
          </cell>
          <cell r="O246">
            <v>32172.97</v>
          </cell>
          <cell r="P246">
            <v>-15467.11</v>
          </cell>
          <cell r="Q246">
            <v>0</v>
          </cell>
          <cell r="R246">
            <v>20000</v>
          </cell>
          <cell r="S246">
            <v>32172.97</v>
          </cell>
        </row>
        <row r="247">
          <cell r="D247">
            <v>841001</v>
          </cell>
          <cell r="E247">
            <v>0</v>
          </cell>
          <cell r="F247">
            <v>0</v>
          </cell>
          <cell r="G247">
            <v>0</v>
          </cell>
          <cell r="H247">
            <v>118168.27</v>
          </cell>
          <cell r="I247">
            <v>0</v>
          </cell>
          <cell r="J247">
            <v>0</v>
          </cell>
          <cell r="K247">
            <v>0</v>
          </cell>
          <cell r="L247">
            <v>118168.27</v>
          </cell>
          <cell r="M247">
            <v>0</v>
          </cell>
          <cell r="N247">
            <v>0</v>
          </cell>
          <cell r="O247">
            <v>118168.27</v>
          </cell>
          <cell r="P247">
            <v>118168.27</v>
          </cell>
          <cell r="Q247">
            <v>0</v>
          </cell>
          <cell r="R247">
            <v>200000</v>
          </cell>
          <cell r="S247">
            <v>118168.27</v>
          </cell>
        </row>
        <row r="248">
          <cell r="D248">
            <v>0</v>
          </cell>
          <cell r="E248">
            <v>183471766</v>
          </cell>
          <cell r="F248">
            <v>250837549.97000003</v>
          </cell>
          <cell r="G248">
            <v>-299876245.99000001</v>
          </cell>
          <cell r="H248">
            <v>194163549.38</v>
          </cell>
          <cell r="I248">
            <v>0</v>
          </cell>
          <cell r="J248">
            <v>16225287.060000001</v>
          </cell>
          <cell r="K248">
            <v>29080969.859999999</v>
          </cell>
          <cell r="L248">
            <v>239469806.29999998</v>
          </cell>
          <cell r="M248">
            <v>0</v>
          </cell>
          <cell r="N248">
            <v>0</v>
          </cell>
          <cell r="O248">
            <v>299876245.17000002</v>
          </cell>
          <cell r="P248">
            <v>-143098068.37</v>
          </cell>
          <cell r="Q248">
            <v>0</v>
          </cell>
          <cell r="R248">
            <v>0</v>
          </cell>
          <cell r="S248">
            <v>299876245.17000002</v>
          </cell>
        </row>
        <row r="249">
          <cell r="D249">
            <v>80302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D250" t="str">
            <v>080401</v>
          </cell>
          <cell r="E250">
            <v>19112827.989999998</v>
          </cell>
          <cell r="F250">
            <v>57444392.170000002</v>
          </cell>
          <cell r="G250">
            <v>-5081806.8600000003</v>
          </cell>
          <cell r="H250">
            <v>5081806.04</v>
          </cell>
          <cell r="I250">
            <v>0</v>
          </cell>
          <cell r="J250">
            <v>0</v>
          </cell>
          <cell r="K250">
            <v>0</v>
          </cell>
          <cell r="L250">
            <v>5081806.04</v>
          </cell>
          <cell r="M250">
            <v>0</v>
          </cell>
          <cell r="N250">
            <v>0</v>
          </cell>
          <cell r="O250">
            <v>5081806.04</v>
          </cell>
          <cell r="P250">
            <v>-0.82</v>
          </cell>
          <cell r="Q250">
            <v>0</v>
          </cell>
          <cell r="R250">
            <v>0</v>
          </cell>
          <cell r="S250">
            <v>5081806.04</v>
          </cell>
        </row>
        <row r="251">
          <cell r="D251" t="str">
            <v>080801</v>
          </cell>
          <cell r="E251">
            <v>163217190.09</v>
          </cell>
          <cell r="F251">
            <v>176968793.11000001</v>
          </cell>
          <cell r="G251">
            <v>-294794439.13</v>
          </cell>
          <cell r="H251">
            <v>189081743.34</v>
          </cell>
          <cell r="I251">
            <v>0</v>
          </cell>
          <cell r="J251">
            <v>16225287.060000001</v>
          </cell>
          <cell r="K251">
            <v>29080969.859999999</v>
          </cell>
          <cell r="L251">
            <v>234388000.25999999</v>
          </cell>
          <cell r="M251">
            <v>0</v>
          </cell>
          <cell r="N251">
            <v>0</v>
          </cell>
          <cell r="O251">
            <v>294794439.13</v>
          </cell>
          <cell r="P251">
            <v>-143098067.55000001</v>
          </cell>
          <cell r="Q251">
            <v>0</v>
          </cell>
          <cell r="R251">
            <v>0</v>
          </cell>
          <cell r="S251">
            <v>294794439.13</v>
          </cell>
        </row>
        <row r="252">
          <cell r="D252">
            <v>81003</v>
          </cell>
          <cell r="E252">
            <v>1141747.92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D253">
            <v>81009</v>
          </cell>
          <cell r="E253">
            <v>0</v>
          </cell>
          <cell r="F253">
            <v>16424364.689999999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D254">
            <v>0</v>
          </cell>
          <cell r="E254">
            <v>2232609109.9499998</v>
          </cell>
          <cell r="F254">
            <v>2035702120</v>
          </cell>
          <cell r="G254">
            <v>-2258980211.71</v>
          </cell>
          <cell r="H254">
            <v>1843676127.9599998</v>
          </cell>
          <cell r="I254">
            <v>0</v>
          </cell>
          <cell r="J254">
            <v>128183621.03694448</v>
          </cell>
          <cell r="K254">
            <v>276195061.12694442</v>
          </cell>
          <cell r="L254">
            <v>2248054810.1238885</v>
          </cell>
          <cell r="M254">
            <v>0</v>
          </cell>
          <cell r="N254">
            <v>0</v>
          </cell>
          <cell r="O254">
            <v>2308461248.9938884</v>
          </cell>
          <cell r="P254">
            <v>-730737862</v>
          </cell>
          <cell r="Q254">
            <v>121101200</v>
          </cell>
          <cell r="R254">
            <v>1751617377.6547999</v>
          </cell>
          <cell r="S254">
            <v>2107898534.1953712</v>
          </cell>
        </row>
        <row r="255">
          <cell r="E255">
            <v>0</v>
          </cell>
          <cell r="F255">
            <v>0</v>
          </cell>
          <cell r="S255">
            <v>0</v>
          </cell>
        </row>
        <row r="256">
          <cell r="S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6744164430.371666</v>
          </cell>
          <cell r="M257">
            <v>0</v>
          </cell>
          <cell r="N257">
            <v>0</v>
          </cell>
          <cell r="O257">
            <v>0</v>
          </cell>
          <cell r="P257">
            <v>-2192213585.9999995</v>
          </cell>
          <cell r="Q257">
            <v>363303600</v>
          </cell>
          <cell r="R257">
            <v>0</v>
          </cell>
          <cell r="S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6744164430.371666</v>
          </cell>
          <cell r="M258">
            <v>0</v>
          </cell>
          <cell r="N258">
            <v>0</v>
          </cell>
          <cell r="O258">
            <v>0</v>
          </cell>
          <cell r="P258">
            <v>-2192213585.9999995</v>
          </cell>
          <cell r="Q258">
            <v>363303600</v>
          </cell>
          <cell r="R258">
            <v>0</v>
          </cell>
          <cell r="S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N259">
            <v>0</v>
          </cell>
          <cell r="O259">
            <v>0</v>
          </cell>
          <cell r="S259">
            <v>0</v>
          </cell>
        </row>
        <row r="260">
          <cell r="G260">
            <v>0</v>
          </cell>
          <cell r="H260">
            <v>0</v>
          </cell>
          <cell r="O260">
            <v>0</v>
          </cell>
          <cell r="S260">
            <v>0</v>
          </cell>
        </row>
        <row r="261">
          <cell r="S261">
            <v>0</v>
          </cell>
        </row>
        <row r="262">
          <cell r="S262">
            <v>0</v>
          </cell>
        </row>
        <row r="263">
          <cell r="I263">
            <v>0</v>
          </cell>
          <cell r="J263">
            <v>0</v>
          </cell>
          <cell r="S263">
            <v>0</v>
          </cell>
        </row>
        <row r="264">
          <cell r="S264">
            <v>0</v>
          </cell>
        </row>
        <row r="265">
          <cell r="S265">
            <v>0</v>
          </cell>
        </row>
        <row r="266">
          <cell r="S266">
            <v>0</v>
          </cell>
        </row>
        <row r="267">
          <cell r="S267">
            <v>0</v>
          </cell>
        </row>
        <row r="268">
          <cell r="S268">
            <v>0</v>
          </cell>
        </row>
        <row r="269">
          <cell r="S269">
            <v>0</v>
          </cell>
        </row>
        <row r="270">
          <cell r="S270">
            <v>0</v>
          </cell>
        </row>
        <row r="271">
          <cell r="S271">
            <v>0</v>
          </cell>
        </row>
        <row r="272">
          <cell r="S272">
            <v>0</v>
          </cell>
        </row>
        <row r="273">
          <cell r="S273">
            <v>0</v>
          </cell>
        </row>
        <row r="274">
          <cell r="S274">
            <v>0</v>
          </cell>
        </row>
        <row r="275">
          <cell r="S275">
            <v>0</v>
          </cell>
        </row>
        <row r="276">
          <cell r="S276">
            <v>0</v>
          </cell>
        </row>
        <row r="277">
          <cell r="S277">
            <v>0</v>
          </cell>
        </row>
        <row r="278">
          <cell r="S278">
            <v>0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S283">
            <v>0</v>
          </cell>
        </row>
        <row r="284">
          <cell r="S284">
            <v>0</v>
          </cell>
        </row>
        <row r="285">
          <cell r="S285">
            <v>0</v>
          </cell>
        </row>
        <row r="286">
          <cell r="S286">
            <v>0</v>
          </cell>
        </row>
        <row r="287">
          <cell r="S287">
            <v>0</v>
          </cell>
        </row>
        <row r="288">
          <cell r="S288">
            <v>0</v>
          </cell>
        </row>
        <row r="289">
          <cell r="S289">
            <v>0</v>
          </cell>
        </row>
        <row r="290">
          <cell r="S290">
            <v>0</v>
          </cell>
        </row>
        <row r="291">
          <cell r="S291">
            <v>0</v>
          </cell>
        </row>
        <row r="292">
          <cell r="S292">
            <v>0</v>
          </cell>
        </row>
        <row r="293">
          <cell r="S293">
            <v>0</v>
          </cell>
        </row>
        <row r="294">
          <cell r="S294">
            <v>0</v>
          </cell>
        </row>
        <row r="295">
          <cell r="S295">
            <v>0</v>
          </cell>
        </row>
        <row r="296">
          <cell r="S296">
            <v>0</v>
          </cell>
        </row>
        <row r="297">
          <cell r="S297">
            <v>0</v>
          </cell>
        </row>
        <row r="298">
          <cell r="S298">
            <v>0</v>
          </cell>
        </row>
        <row r="299">
          <cell r="S299">
            <v>0</v>
          </cell>
        </row>
        <row r="300">
          <cell r="S300">
            <v>0</v>
          </cell>
        </row>
        <row r="301">
          <cell r="S301">
            <v>0</v>
          </cell>
        </row>
        <row r="302">
          <cell r="S302">
            <v>0</v>
          </cell>
        </row>
        <row r="303">
          <cell r="S303">
            <v>0</v>
          </cell>
        </row>
        <row r="304">
          <cell r="S304">
            <v>0</v>
          </cell>
        </row>
        <row r="305">
          <cell r="S305">
            <v>0</v>
          </cell>
        </row>
        <row r="306">
          <cell r="S306">
            <v>0</v>
          </cell>
        </row>
        <row r="307">
          <cell r="S307">
            <v>0</v>
          </cell>
        </row>
        <row r="308">
          <cell r="S308">
            <v>0</v>
          </cell>
        </row>
        <row r="309">
          <cell r="S309">
            <v>0</v>
          </cell>
        </row>
        <row r="310">
          <cell r="S310">
            <v>0</v>
          </cell>
        </row>
        <row r="311">
          <cell r="S311">
            <v>0</v>
          </cell>
        </row>
        <row r="312">
          <cell r="S312">
            <v>0</v>
          </cell>
        </row>
        <row r="313">
          <cell r="S313">
            <v>0</v>
          </cell>
        </row>
        <row r="314">
          <cell r="S314">
            <v>0</v>
          </cell>
        </row>
        <row r="315">
          <cell r="S315">
            <v>0</v>
          </cell>
        </row>
        <row r="316">
          <cell r="S316">
            <v>0</v>
          </cell>
        </row>
        <row r="317">
          <cell r="S317">
            <v>0</v>
          </cell>
        </row>
        <row r="318">
          <cell r="S318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S321">
            <v>0</v>
          </cell>
        </row>
        <row r="322">
          <cell r="S322">
            <v>0</v>
          </cell>
        </row>
        <row r="323">
          <cell r="S323">
            <v>0</v>
          </cell>
        </row>
        <row r="324">
          <cell r="S324">
            <v>0</v>
          </cell>
        </row>
        <row r="325">
          <cell r="S325">
            <v>0</v>
          </cell>
        </row>
        <row r="326">
          <cell r="S326">
            <v>0</v>
          </cell>
        </row>
        <row r="327">
          <cell r="S327">
            <v>0</v>
          </cell>
        </row>
        <row r="328">
          <cell r="S328">
            <v>0</v>
          </cell>
        </row>
        <row r="329">
          <cell r="S329">
            <v>0</v>
          </cell>
        </row>
        <row r="330">
          <cell r="S330">
            <v>0</v>
          </cell>
        </row>
        <row r="331">
          <cell r="S331">
            <v>0</v>
          </cell>
        </row>
        <row r="332">
          <cell r="S332">
            <v>0</v>
          </cell>
        </row>
        <row r="333">
          <cell r="S333">
            <v>0</v>
          </cell>
        </row>
        <row r="334">
          <cell r="S334">
            <v>0</v>
          </cell>
        </row>
        <row r="335">
          <cell r="S335">
            <v>0</v>
          </cell>
        </row>
        <row r="336">
          <cell r="S336">
            <v>0</v>
          </cell>
        </row>
        <row r="337">
          <cell r="S337">
            <v>0</v>
          </cell>
        </row>
        <row r="338">
          <cell r="S338">
            <v>0</v>
          </cell>
        </row>
        <row r="339">
          <cell r="S339">
            <v>0</v>
          </cell>
        </row>
        <row r="340">
          <cell r="S340">
            <v>0</v>
          </cell>
        </row>
        <row r="341">
          <cell r="S341">
            <v>0</v>
          </cell>
        </row>
        <row r="342">
          <cell r="S342">
            <v>0</v>
          </cell>
        </row>
        <row r="343">
          <cell r="S343">
            <v>0</v>
          </cell>
        </row>
        <row r="344">
          <cell r="S344">
            <v>0</v>
          </cell>
        </row>
        <row r="345">
          <cell r="S345">
            <v>0</v>
          </cell>
        </row>
        <row r="346">
          <cell r="S346">
            <v>0</v>
          </cell>
        </row>
        <row r="347">
          <cell r="S347">
            <v>0</v>
          </cell>
        </row>
        <row r="348">
          <cell r="S348">
            <v>0</v>
          </cell>
        </row>
        <row r="349">
          <cell r="S349">
            <v>0</v>
          </cell>
        </row>
        <row r="350">
          <cell r="S350">
            <v>0</v>
          </cell>
        </row>
        <row r="351">
          <cell r="S351">
            <v>0</v>
          </cell>
        </row>
        <row r="352">
          <cell r="S352">
            <v>0</v>
          </cell>
        </row>
        <row r="353">
          <cell r="S353">
            <v>0</v>
          </cell>
        </row>
        <row r="354">
          <cell r="S354">
            <v>0</v>
          </cell>
        </row>
        <row r="355">
          <cell r="S355">
            <v>0</v>
          </cell>
        </row>
        <row r="356">
          <cell r="S356">
            <v>0</v>
          </cell>
        </row>
        <row r="357">
          <cell r="S357">
            <v>0</v>
          </cell>
        </row>
        <row r="358">
          <cell r="S358">
            <v>0</v>
          </cell>
        </row>
        <row r="359">
          <cell r="S359">
            <v>0</v>
          </cell>
        </row>
        <row r="360">
          <cell r="S360">
            <v>0</v>
          </cell>
        </row>
        <row r="361">
          <cell r="S361">
            <v>0</v>
          </cell>
        </row>
        <row r="362">
          <cell r="S362">
            <v>0</v>
          </cell>
        </row>
        <row r="363">
          <cell r="S363">
            <v>0</v>
          </cell>
        </row>
        <row r="364">
          <cell r="S364">
            <v>0</v>
          </cell>
        </row>
        <row r="365">
          <cell r="S365">
            <v>0</v>
          </cell>
        </row>
        <row r="366">
          <cell r="S366">
            <v>0</v>
          </cell>
        </row>
        <row r="367">
          <cell r="S367">
            <v>0</v>
          </cell>
        </row>
        <row r="368">
          <cell r="S368">
            <v>0</v>
          </cell>
        </row>
        <row r="369">
          <cell r="S369">
            <v>0</v>
          </cell>
        </row>
        <row r="370">
          <cell r="S370">
            <v>0</v>
          </cell>
        </row>
        <row r="371">
          <cell r="S371">
            <v>0</v>
          </cell>
        </row>
        <row r="372">
          <cell r="S372">
            <v>0</v>
          </cell>
        </row>
        <row r="373">
          <cell r="S373">
            <v>0</v>
          </cell>
        </row>
        <row r="374">
          <cell r="S374">
            <v>0</v>
          </cell>
        </row>
        <row r="375">
          <cell r="S375">
            <v>0</v>
          </cell>
        </row>
        <row r="376">
          <cell r="S376">
            <v>0</v>
          </cell>
        </row>
        <row r="377">
          <cell r="S377">
            <v>0</v>
          </cell>
        </row>
        <row r="378">
          <cell r="S378">
            <v>0</v>
          </cell>
        </row>
        <row r="379">
          <cell r="S379">
            <v>0</v>
          </cell>
        </row>
        <row r="380">
          <cell r="S380">
            <v>0</v>
          </cell>
        </row>
        <row r="381">
          <cell r="S381">
            <v>0</v>
          </cell>
        </row>
        <row r="382">
          <cell r="S382">
            <v>0</v>
          </cell>
        </row>
        <row r="383">
          <cell r="S383">
            <v>0</v>
          </cell>
        </row>
        <row r="384">
          <cell r="S384">
            <v>0</v>
          </cell>
        </row>
        <row r="385">
          <cell r="S385">
            <v>0</v>
          </cell>
        </row>
        <row r="386">
          <cell r="S386">
            <v>0</v>
          </cell>
        </row>
        <row r="387">
          <cell r="S387">
            <v>0</v>
          </cell>
        </row>
        <row r="388">
          <cell r="S388">
            <v>0</v>
          </cell>
        </row>
        <row r="389">
          <cell r="S389">
            <v>0</v>
          </cell>
        </row>
        <row r="390">
          <cell r="S390">
            <v>0</v>
          </cell>
        </row>
        <row r="391">
          <cell r="S391">
            <v>0</v>
          </cell>
        </row>
        <row r="392">
          <cell r="S392">
            <v>0</v>
          </cell>
        </row>
        <row r="393">
          <cell r="S393">
            <v>0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S397">
            <v>0</v>
          </cell>
        </row>
        <row r="398">
          <cell r="S398">
            <v>0</v>
          </cell>
        </row>
        <row r="399">
          <cell r="S399">
            <v>0</v>
          </cell>
        </row>
        <row r="400">
          <cell r="S400">
            <v>0</v>
          </cell>
        </row>
        <row r="401">
          <cell r="S401">
            <v>0</v>
          </cell>
        </row>
        <row r="402">
          <cell r="S402">
            <v>0</v>
          </cell>
        </row>
        <row r="403">
          <cell r="S403">
            <v>0</v>
          </cell>
        </row>
        <row r="404">
          <cell r="S404">
            <v>0</v>
          </cell>
        </row>
        <row r="405">
          <cell r="S405">
            <v>0</v>
          </cell>
        </row>
        <row r="406">
          <cell r="S406">
            <v>0</v>
          </cell>
        </row>
        <row r="407">
          <cell r="S407">
            <v>0</v>
          </cell>
        </row>
        <row r="408">
          <cell r="S408">
            <v>0</v>
          </cell>
        </row>
        <row r="409">
          <cell r="S409">
            <v>0</v>
          </cell>
        </row>
        <row r="410">
          <cell r="S410">
            <v>0</v>
          </cell>
        </row>
        <row r="411">
          <cell r="S411">
            <v>0</v>
          </cell>
        </row>
        <row r="412">
          <cell r="S412">
            <v>0</v>
          </cell>
        </row>
        <row r="413">
          <cell r="S413">
            <v>0</v>
          </cell>
        </row>
        <row r="414">
          <cell r="S414">
            <v>0</v>
          </cell>
        </row>
        <row r="415">
          <cell r="S415">
            <v>0</v>
          </cell>
        </row>
        <row r="416">
          <cell r="S416">
            <v>0</v>
          </cell>
        </row>
        <row r="417">
          <cell r="S417">
            <v>0</v>
          </cell>
        </row>
        <row r="418">
          <cell r="S418">
            <v>0</v>
          </cell>
        </row>
        <row r="419">
          <cell r="S419">
            <v>0</v>
          </cell>
        </row>
        <row r="420">
          <cell r="S420">
            <v>0</v>
          </cell>
        </row>
        <row r="421">
          <cell r="S421">
            <v>0</v>
          </cell>
        </row>
        <row r="422">
          <cell r="S422">
            <v>0</v>
          </cell>
        </row>
        <row r="423">
          <cell r="S423">
            <v>0</v>
          </cell>
        </row>
        <row r="424">
          <cell r="S424">
            <v>0</v>
          </cell>
        </row>
        <row r="425">
          <cell r="S425">
            <v>0</v>
          </cell>
        </row>
        <row r="426">
          <cell r="S426">
            <v>0</v>
          </cell>
        </row>
        <row r="427">
          <cell r="S427">
            <v>0</v>
          </cell>
        </row>
        <row r="428">
          <cell r="S428">
            <v>0</v>
          </cell>
        </row>
        <row r="429">
          <cell r="S429">
            <v>0</v>
          </cell>
        </row>
        <row r="430">
          <cell r="S430">
            <v>0</v>
          </cell>
        </row>
        <row r="431">
          <cell r="S431">
            <v>0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S434">
            <v>0</v>
          </cell>
        </row>
        <row r="435">
          <cell r="S435">
            <v>0</v>
          </cell>
        </row>
        <row r="436">
          <cell r="S436">
            <v>0</v>
          </cell>
        </row>
        <row r="437">
          <cell r="S437">
            <v>0</v>
          </cell>
        </row>
        <row r="438">
          <cell r="S438">
            <v>0</v>
          </cell>
        </row>
        <row r="439">
          <cell r="S439">
            <v>0</v>
          </cell>
        </row>
        <row r="440">
          <cell r="S440">
            <v>0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6">
          <cell r="S446">
            <v>0</v>
          </cell>
        </row>
        <row r="447">
          <cell r="S447">
            <v>0</v>
          </cell>
        </row>
        <row r="448">
          <cell r="S448">
            <v>0</v>
          </cell>
        </row>
        <row r="449">
          <cell r="S449">
            <v>0</v>
          </cell>
        </row>
        <row r="450">
          <cell r="S450">
            <v>0</v>
          </cell>
        </row>
        <row r="451">
          <cell r="S451">
            <v>0</v>
          </cell>
        </row>
        <row r="452">
          <cell r="S452">
            <v>0</v>
          </cell>
        </row>
        <row r="453">
          <cell r="S453">
            <v>0</v>
          </cell>
        </row>
        <row r="454">
          <cell r="S454">
            <v>0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8">
          <cell r="S458">
            <v>0</v>
          </cell>
        </row>
        <row r="459">
          <cell r="S459">
            <v>0</v>
          </cell>
        </row>
        <row r="460">
          <cell r="S460">
            <v>0</v>
          </cell>
        </row>
        <row r="461">
          <cell r="S461">
            <v>0</v>
          </cell>
        </row>
        <row r="462">
          <cell r="S462">
            <v>0</v>
          </cell>
        </row>
        <row r="463">
          <cell r="S463">
            <v>0</v>
          </cell>
        </row>
        <row r="464">
          <cell r="S464">
            <v>0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S467">
            <v>0</v>
          </cell>
        </row>
        <row r="468">
          <cell r="S468">
            <v>0</v>
          </cell>
        </row>
        <row r="469">
          <cell r="S469">
            <v>0</v>
          </cell>
        </row>
        <row r="470">
          <cell r="S470">
            <v>0</v>
          </cell>
        </row>
        <row r="471">
          <cell r="S471">
            <v>0</v>
          </cell>
        </row>
        <row r="472">
          <cell r="S472">
            <v>0</v>
          </cell>
        </row>
        <row r="473">
          <cell r="S473">
            <v>0</v>
          </cell>
        </row>
        <row r="474">
          <cell r="S474">
            <v>0</v>
          </cell>
        </row>
        <row r="475">
          <cell r="S475">
            <v>0</v>
          </cell>
        </row>
        <row r="476">
          <cell r="S476">
            <v>0</v>
          </cell>
        </row>
        <row r="477">
          <cell r="S477">
            <v>0</v>
          </cell>
        </row>
        <row r="478">
          <cell r="S478">
            <v>0</v>
          </cell>
        </row>
        <row r="479">
          <cell r="S479">
            <v>0</v>
          </cell>
        </row>
        <row r="480">
          <cell r="S480">
            <v>0</v>
          </cell>
        </row>
        <row r="481">
          <cell r="S481">
            <v>0</v>
          </cell>
        </row>
        <row r="482">
          <cell r="S482">
            <v>0</v>
          </cell>
        </row>
        <row r="483">
          <cell r="S483">
            <v>0</v>
          </cell>
        </row>
        <row r="484">
          <cell r="S484">
            <v>0</v>
          </cell>
        </row>
        <row r="485">
          <cell r="S485">
            <v>0</v>
          </cell>
        </row>
        <row r="486">
          <cell r="S486">
            <v>0</v>
          </cell>
        </row>
        <row r="487">
          <cell r="S487">
            <v>0</v>
          </cell>
        </row>
        <row r="488">
          <cell r="S488">
            <v>0</v>
          </cell>
        </row>
        <row r="489">
          <cell r="S489">
            <v>0</v>
          </cell>
        </row>
        <row r="490">
          <cell r="S490">
            <v>0</v>
          </cell>
        </row>
        <row r="491">
          <cell r="S491">
            <v>0</v>
          </cell>
        </row>
        <row r="492">
          <cell r="S492">
            <v>0</v>
          </cell>
        </row>
        <row r="493">
          <cell r="S493">
            <v>0</v>
          </cell>
        </row>
        <row r="494">
          <cell r="S494">
            <v>0</v>
          </cell>
        </row>
        <row r="495">
          <cell r="S495">
            <v>0</v>
          </cell>
        </row>
        <row r="496">
          <cell r="S496">
            <v>0</v>
          </cell>
        </row>
        <row r="497">
          <cell r="S497">
            <v>0</v>
          </cell>
        </row>
        <row r="498">
          <cell r="S498">
            <v>0</v>
          </cell>
        </row>
        <row r="499">
          <cell r="S499">
            <v>0</v>
          </cell>
        </row>
        <row r="500">
          <cell r="S500">
            <v>0</v>
          </cell>
        </row>
        <row r="501">
          <cell r="S501">
            <v>0</v>
          </cell>
        </row>
        <row r="502">
          <cell r="S502">
            <v>0</v>
          </cell>
        </row>
        <row r="503">
          <cell r="S503">
            <v>0</v>
          </cell>
        </row>
        <row r="504">
          <cell r="S504">
            <v>0</v>
          </cell>
        </row>
        <row r="505">
          <cell r="S505">
            <v>0</v>
          </cell>
        </row>
        <row r="506">
          <cell r="S506">
            <v>0</v>
          </cell>
        </row>
        <row r="507">
          <cell r="S507">
            <v>0</v>
          </cell>
        </row>
        <row r="508">
          <cell r="S508">
            <v>0</v>
          </cell>
        </row>
        <row r="509">
          <cell r="S509">
            <v>0</v>
          </cell>
        </row>
        <row r="510">
          <cell r="S510">
            <v>0</v>
          </cell>
        </row>
        <row r="511">
          <cell r="S511">
            <v>0</v>
          </cell>
        </row>
        <row r="512">
          <cell r="S512">
            <v>0</v>
          </cell>
        </row>
        <row r="513">
          <cell r="S513">
            <v>0</v>
          </cell>
        </row>
        <row r="514">
          <cell r="S514">
            <v>0</v>
          </cell>
        </row>
        <row r="515">
          <cell r="S515">
            <v>0</v>
          </cell>
        </row>
        <row r="516">
          <cell r="S516">
            <v>0</v>
          </cell>
        </row>
        <row r="517">
          <cell r="S517">
            <v>0</v>
          </cell>
        </row>
        <row r="518">
          <cell r="S518">
            <v>0</v>
          </cell>
        </row>
        <row r="519">
          <cell r="S519">
            <v>0</v>
          </cell>
        </row>
        <row r="520">
          <cell r="S520">
            <v>0</v>
          </cell>
        </row>
        <row r="521">
          <cell r="S521">
            <v>0</v>
          </cell>
        </row>
        <row r="522">
          <cell r="S522">
            <v>0</v>
          </cell>
        </row>
        <row r="523">
          <cell r="S523">
            <v>0</v>
          </cell>
        </row>
        <row r="524">
          <cell r="S524">
            <v>0</v>
          </cell>
        </row>
        <row r="525">
          <cell r="S525">
            <v>0</v>
          </cell>
        </row>
        <row r="526">
          <cell r="S526">
            <v>0</v>
          </cell>
        </row>
        <row r="527">
          <cell r="S527">
            <v>0</v>
          </cell>
        </row>
        <row r="528">
          <cell r="S528">
            <v>0</v>
          </cell>
        </row>
        <row r="529">
          <cell r="S529">
            <v>0</v>
          </cell>
        </row>
        <row r="530">
          <cell r="S530">
            <v>0</v>
          </cell>
        </row>
        <row r="531">
          <cell r="S531">
            <v>0</v>
          </cell>
        </row>
        <row r="532">
          <cell r="S532">
            <v>0</v>
          </cell>
        </row>
        <row r="533">
          <cell r="S533">
            <v>0</v>
          </cell>
        </row>
        <row r="534">
          <cell r="S534">
            <v>0</v>
          </cell>
        </row>
        <row r="535">
          <cell r="S535">
            <v>0</v>
          </cell>
        </row>
        <row r="536">
          <cell r="S536">
            <v>0</v>
          </cell>
        </row>
        <row r="537">
          <cell r="S537">
            <v>0</v>
          </cell>
        </row>
        <row r="538">
          <cell r="S538">
            <v>0</v>
          </cell>
        </row>
        <row r="539">
          <cell r="S539">
            <v>0</v>
          </cell>
        </row>
        <row r="540">
          <cell r="S540">
            <v>0</v>
          </cell>
        </row>
        <row r="541">
          <cell r="S541">
            <v>0</v>
          </cell>
        </row>
        <row r="542">
          <cell r="S542">
            <v>0</v>
          </cell>
        </row>
        <row r="543">
          <cell r="S543">
            <v>0</v>
          </cell>
        </row>
        <row r="544">
          <cell r="S544">
            <v>0</v>
          </cell>
        </row>
        <row r="545">
          <cell r="S545">
            <v>0</v>
          </cell>
        </row>
        <row r="546">
          <cell r="S546">
            <v>0</v>
          </cell>
        </row>
        <row r="547">
          <cell r="S547">
            <v>0</v>
          </cell>
        </row>
        <row r="548">
          <cell r="S548">
            <v>0</v>
          </cell>
        </row>
        <row r="549">
          <cell r="S549">
            <v>0</v>
          </cell>
        </row>
        <row r="550">
          <cell r="S550">
            <v>0</v>
          </cell>
        </row>
        <row r="551">
          <cell r="S551">
            <v>0</v>
          </cell>
        </row>
        <row r="552">
          <cell r="S552">
            <v>0</v>
          </cell>
        </row>
        <row r="553">
          <cell r="S553">
            <v>0</v>
          </cell>
        </row>
        <row r="554">
          <cell r="S554">
            <v>0</v>
          </cell>
        </row>
        <row r="555">
          <cell r="S555">
            <v>0</v>
          </cell>
        </row>
        <row r="556">
          <cell r="S556">
            <v>0</v>
          </cell>
        </row>
        <row r="557">
          <cell r="S557">
            <v>0</v>
          </cell>
        </row>
        <row r="558">
          <cell r="S558">
            <v>0</v>
          </cell>
        </row>
        <row r="559">
          <cell r="S559">
            <v>0</v>
          </cell>
        </row>
        <row r="560">
          <cell r="S560">
            <v>0</v>
          </cell>
        </row>
        <row r="561">
          <cell r="S561">
            <v>0</v>
          </cell>
        </row>
        <row r="562">
          <cell r="S562">
            <v>0</v>
          </cell>
        </row>
        <row r="563">
          <cell r="S563">
            <v>0</v>
          </cell>
        </row>
        <row r="564">
          <cell r="S564">
            <v>0</v>
          </cell>
        </row>
        <row r="565">
          <cell r="S565">
            <v>0</v>
          </cell>
        </row>
        <row r="566">
          <cell r="S566">
            <v>0</v>
          </cell>
        </row>
        <row r="567">
          <cell r="S567">
            <v>0</v>
          </cell>
        </row>
        <row r="568">
          <cell r="S568">
            <v>0</v>
          </cell>
        </row>
        <row r="569">
          <cell r="S569">
            <v>0</v>
          </cell>
        </row>
        <row r="570">
          <cell r="S570">
            <v>0</v>
          </cell>
        </row>
        <row r="571">
          <cell r="S571">
            <v>0</v>
          </cell>
        </row>
        <row r="572">
          <cell r="S572">
            <v>0</v>
          </cell>
        </row>
        <row r="573">
          <cell r="S573">
            <v>0</v>
          </cell>
        </row>
        <row r="574">
          <cell r="S574">
            <v>0</v>
          </cell>
        </row>
        <row r="575">
          <cell r="S575">
            <v>0</v>
          </cell>
        </row>
        <row r="576">
          <cell r="S576">
            <v>0</v>
          </cell>
        </row>
        <row r="577">
          <cell r="S577">
            <v>0</v>
          </cell>
        </row>
        <row r="578">
          <cell r="S578">
            <v>0</v>
          </cell>
        </row>
        <row r="579">
          <cell r="S579">
            <v>0</v>
          </cell>
        </row>
        <row r="580">
          <cell r="S580">
            <v>0</v>
          </cell>
        </row>
        <row r="581">
          <cell r="S581">
            <v>0</v>
          </cell>
        </row>
        <row r="582">
          <cell r="S582">
            <v>0</v>
          </cell>
        </row>
        <row r="583">
          <cell r="S583">
            <v>0</v>
          </cell>
        </row>
        <row r="584">
          <cell r="S584">
            <v>0</v>
          </cell>
        </row>
        <row r="585">
          <cell r="S585">
            <v>0</v>
          </cell>
        </row>
        <row r="586">
          <cell r="S586">
            <v>0</v>
          </cell>
        </row>
        <row r="587">
          <cell r="S587">
            <v>0</v>
          </cell>
        </row>
        <row r="588">
          <cell r="S588">
            <v>0</v>
          </cell>
        </row>
        <row r="589">
          <cell r="S589">
            <v>0</v>
          </cell>
        </row>
        <row r="590">
          <cell r="S590">
            <v>0</v>
          </cell>
        </row>
        <row r="591">
          <cell r="S591">
            <v>0</v>
          </cell>
        </row>
        <row r="592">
          <cell r="S592">
            <v>0</v>
          </cell>
        </row>
        <row r="593">
          <cell r="S593">
            <v>0</v>
          </cell>
        </row>
        <row r="594">
          <cell r="S594">
            <v>0</v>
          </cell>
        </row>
        <row r="595">
          <cell r="S595">
            <v>0</v>
          </cell>
        </row>
        <row r="596">
          <cell r="S596">
            <v>0</v>
          </cell>
        </row>
        <row r="597">
          <cell r="S597">
            <v>0</v>
          </cell>
        </row>
        <row r="598">
          <cell r="S598">
            <v>0</v>
          </cell>
        </row>
        <row r="599">
          <cell r="S599">
            <v>0</v>
          </cell>
        </row>
        <row r="600">
          <cell r="S600">
            <v>0</v>
          </cell>
        </row>
        <row r="601">
          <cell r="S601">
            <v>0</v>
          </cell>
        </row>
        <row r="602">
          <cell r="S602">
            <v>0</v>
          </cell>
        </row>
        <row r="603">
          <cell r="S603">
            <v>0</v>
          </cell>
        </row>
        <row r="604">
          <cell r="S604">
            <v>0</v>
          </cell>
        </row>
        <row r="605">
          <cell r="S605">
            <v>0</v>
          </cell>
        </row>
        <row r="606">
          <cell r="S606">
            <v>0</v>
          </cell>
        </row>
        <row r="607">
          <cell r="S607">
            <v>0</v>
          </cell>
        </row>
        <row r="608">
          <cell r="S608">
            <v>0</v>
          </cell>
        </row>
        <row r="609">
          <cell r="S609">
            <v>0</v>
          </cell>
        </row>
        <row r="610">
          <cell r="S610">
            <v>0</v>
          </cell>
        </row>
        <row r="611">
          <cell r="S611">
            <v>0</v>
          </cell>
        </row>
        <row r="612">
          <cell r="S612">
            <v>0</v>
          </cell>
        </row>
        <row r="613">
          <cell r="S613">
            <v>0</v>
          </cell>
        </row>
        <row r="614">
          <cell r="S614">
            <v>0</v>
          </cell>
        </row>
        <row r="615">
          <cell r="S615">
            <v>0</v>
          </cell>
        </row>
        <row r="616">
          <cell r="S616">
            <v>0</v>
          </cell>
        </row>
        <row r="617">
          <cell r="S617">
            <v>0</v>
          </cell>
        </row>
        <row r="618">
          <cell r="S618">
            <v>0</v>
          </cell>
        </row>
        <row r="619">
          <cell r="S619">
            <v>0</v>
          </cell>
        </row>
        <row r="620">
          <cell r="S620">
            <v>0</v>
          </cell>
        </row>
        <row r="621">
          <cell r="S621">
            <v>0</v>
          </cell>
        </row>
        <row r="622">
          <cell r="S622">
            <v>0</v>
          </cell>
        </row>
        <row r="623">
          <cell r="S623">
            <v>0</v>
          </cell>
        </row>
        <row r="624">
          <cell r="S624">
            <v>0</v>
          </cell>
        </row>
        <row r="625">
          <cell r="S625">
            <v>0</v>
          </cell>
        </row>
        <row r="626">
          <cell r="S626">
            <v>0</v>
          </cell>
        </row>
        <row r="627">
          <cell r="S627">
            <v>0</v>
          </cell>
        </row>
        <row r="628">
          <cell r="S628">
            <v>0</v>
          </cell>
        </row>
        <row r="629">
          <cell r="S629">
            <v>0</v>
          </cell>
        </row>
        <row r="630">
          <cell r="S630">
            <v>0</v>
          </cell>
        </row>
        <row r="631">
          <cell r="S631">
            <v>0</v>
          </cell>
        </row>
        <row r="632">
          <cell r="S632">
            <v>0</v>
          </cell>
        </row>
        <row r="633">
          <cell r="S633">
            <v>0</v>
          </cell>
        </row>
        <row r="634">
          <cell r="S634">
            <v>0</v>
          </cell>
        </row>
        <row r="635">
          <cell r="S635">
            <v>0</v>
          </cell>
        </row>
        <row r="636">
          <cell r="S636">
            <v>0</v>
          </cell>
        </row>
        <row r="637">
          <cell r="S637">
            <v>0</v>
          </cell>
        </row>
        <row r="638">
          <cell r="S638">
            <v>0</v>
          </cell>
        </row>
        <row r="639">
          <cell r="S639">
            <v>0</v>
          </cell>
        </row>
        <row r="640">
          <cell r="S640">
            <v>0</v>
          </cell>
        </row>
        <row r="641">
          <cell r="S641">
            <v>0</v>
          </cell>
        </row>
        <row r="642">
          <cell r="S642">
            <v>0</v>
          </cell>
        </row>
        <row r="643">
          <cell r="S643">
            <v>0</v>
          </cell>
        </row>
        <row r="644">
          <cell r="S644">
            <v>0</v>
          </cell>
        </row>
        <row r="645">
          <cell r="S645">
            <v>0</v>
          </cell>
        </row>
        <row r="646">
          <cell r="S646">
            <v>0</v>
          </cell>
        </row>
        <row r="647">
          <cell r="S647">
            <v>0</v>
          </cell>
        </row>
        <row r="648">
          <cell r="S648">
            <v>0</v>
          </cell>
        </row>
        <row r="649">
          <cell r="S649">
            <v>0</v>
          </cell>
        </row>
        <row r="650">
          <cell r="S650">
            <v>0</v>
          </cell>
        </row>
        <row r="651">
          <cell r="S651">
            <v>0</v>
          </cell>
        </row>
        <row r="652">
          <cell r="S652">
            <v>0</v>
          </cell>
        </row>
        <row r="653">
          <cell r="S653">
            <v>0</v>
          </cell>
        </row>
        <row r="654">
          <cell r="S654">
            <v>0</v>
          </cell>
        </row>
        <row r="655">
          <cell r="S655">
            <v>0</v>
          </cell>
        </row>
        <row r="656">
          <cell r="S656">
            <v>0</v>
          </cell>
        </row>
        <row r="657">
          <cell r="S657">
            <v>0</v>
          </cell>
        </row>
        <row r="658">
          <cell r="S658">
            <v>0</v>
          </cell>
        </row>
        <row r="659">
          <cell r="S659">
            <v>0</v>
          </cell>
        </row>
        <row r="660">
          <cell r="S660">
            <v>0</v>
          </cell>
        </row>
        <row r="661">
          <cell r="S661">
            <v>0</v>
          </cell>
        </row>
        <row r="662">
          <cell r="S662">
            <v>0</v>
          </cell>
        </row>
        <row r="663">
          <cell r="S663">
            <v>0</v>
          </cell>
        </row>
        <row r="664">
          <cell r="S664">
            <v>0</v>
          </cell>
        </row>
        <row r="665">
          <cell r="S665">
            <v>0</v>
          </cell>
        </row>
        <row r="666">
          <cell r="S666">
            <v>0</v>
          </cell>
        </row>
        <row r="667">
          <cell r="S667">
            <v>0</v>
          </cell>
        </row>
        <row r="668">
          <cell r="S668">
            <v>0</v>
          </cell>
        </row>
        <row r="669">
          <cell r="S669">
            <v>0</v>
          </cell>
        </row>
        <row r="670">
          <cell r="S670">
            <v>0</v>
          </cell>
        </row>
        <row r="671">
          <cell r="S671">
            <v>0</v>
          </cell>
        </row>
        <row r="672">
          <cell r="S672">
            <v>0</v>
          </cell>
        </row>
        <row r="673">
          <cell r="S673">
            <v>0</v>
          </cell>
        </row>
        <row r="674">
          <cell r="S674">
            <v>0</v>
          </cell>
        </row>
        <row r="675">
          <cell r="S675">
            <v>0</v>
          </cell>
        </row>
        <row r="676">
          <cell r="S676">
            <v>0</v>
          </cell>
        </row>
        <row r="677">
          <cell r="S677">
            <v>0</v>
          </cell>
        </row>
        <row r="678">
          <cell r="S678">
            <v>0</v>
          </cell>
        </row>
        <row r="679">
          <cell r="S679">
            <v>0</v>
          </cell>
        </row>
        <row r="680">
          <cell r="S680">
            <v>0</v>
          </cell>
        </row>
        <row r="681">
          <cell r="S681">
            <v>0</v>
          </cell>
        </row>
        <row r="682">
          <cell r="S682">
            <v>0</v>
          </cell>
        </row>
        <row r="683">
          <cell r="S683">
            <v>0</v>
          </cell>
        </row>
        <row r="684">
          <cell r="S684">
            <v>0</v>
          </cell>
        </row>
        <row r="685">
          <cell r="S685">
            <v>0</v>
          </cell>
        </row>
        <row r="686">
          <cell r="S686">
            <v>0</v>
          </cell>
        </row>
        <row r="687">
          <cell r="S687">
            <v>0</v>
          </cell>
        </row>
        <row r="688">
          <cell r="S688">
            <v>0</v>
          </cell>
        </row>
        <row r="689">
          <cell r="S689">
            <v>0</v>
          </cell>
        </row>
        <row r="690">
          <cell r="S690">
            <v>0</v>
          </cell>
        </row>
        <row r="691">
          <cell r="S691">
            <v>0</v>
          </cell>
        </row>
        <row r="692">
          <cell r="S692">
            <v>0</v>
          </cell>
        </row>
        <row r="693">
          <cell r="S693">
            <v>0</v>
          </cell>
        </row>
        <row r="694">
          <cell r="S694">
            <v>0</v>
          </cell>
        </row>
        <row r="695">
          <cell r="S695">
            <v>0</v>
          </cell>
        </row>
        <row r="696">
          <cell r="S696">
            <v>0</v>
          </cell>
        </row>
        <row r="697">
          <cell r="S697">
            <v>0</v>
          </cell>
        </row>
        <row r="698">
          <cell r="S698">
            <v>0</v>
          </cell>
        </row>
        <row r="699">
          <cell r="S699">
            <v>0</v>
          </cell>
        </row>
        <row r="700">
          <cell r="S700">
            <v>0</v>
          </cell>
        </row>
        <row r="701">
          <cell r="S701">
            <v>0</v>
          </cell>
        </row>
        <row r="702">
          <cell r="S702">
            <v>0</v>
          </cell>
        </row>
        <row r="703">
          <cell r="S703">
            <v>0</v>
          </cell>
        </row>
        <row r="704">
          <cell r="S704">
            <v>0</v>
          </cell>
        </row>
        <row r="705">
          <cell r="S705">
            <v>0</v>
          </cell>
        </row>
        <row r="706">
          <cell r="S706">
            <v>0</v>
          </cell>
        </row>
        <row r="707">
          <cell r="S707">
            <v>0</v>
          </cell>
        </row>
        <row r="708">
          <cell r="S708">
            <v>0</v>
          </cell>
        </row>
        <row r="709">
          <cell r="S709">
            <v>0</v>
          </cell>
        </row>
        <row r="710">
          <cell r="S710">
            <v>0</v>
          </cell>
        </row>
        <row r="711">
          <cell r="S711">
            <v>0</v>
          </cell>
        </row>
        <row r="712">
          <cell r="S712">
            <v>0</v>
          </cell>
        </row>
        <row r="713">
          <cell r="S713">
            <v>0</v>
          </cell>
        </row>
        <row r="714">
          <cell r="S714">
            <v>0</v>
          </cell>
        </row>
        <row r="715">
          <cell r="S715">
            <v>0</v>
          </cell>
        </row>
        <row r="716">
          <cell r="S716">
            <v>0</v>
          </cell>
        </row>
        <row r="717">
          <cell r="S717">
            <v>0</v>
          </cell>
        </row>
        <row r="718">
          <cell r="S718">
            <v>0</v>
          </cell>
        </row>
        <row r="719">
          <cell r="S719">
            <v>0</v>
          </cell>
        </row>
        <row r="720">
          <cell r="S720">
            <v>0</v>
          </cell>
        </row>
        <row r="721">
          <cell r="S721">
            <v>0</v>
          </cell>
        </row>
        <row r="722">
          <cell r="S722">
            <v>0</v>
          </cell>
        </row>
        <row r="723">
          <cell r="S723">
            <v>0</v>
          </cell>
        </row>
        <row r="724">
          <cell r="S724">
            <v>0</v>
          </cell>
        </row>
        <row r="725">
          <cell r="S725">
            <v>0</v>
          </cell>
        </row>
        <row r="726">
          <cell r="S726">
            <v>0</v>
          </cell>
        </row>
        <row r="727">
          <cell r="S727">
            <v>0</v>
          </cell>
        </row>
        <row r="728">
          <cell r="S728">
            <v>0</v>
          </cell>
        </row>
        <row r="729">
          <cell r="S729">
            <v>0</v>
          </cell>
        </row>
        <row r="730">
          <cell r="S730">
            <v>0</v>
          </cell>
        </row>
        <row r="731">
          <cell r="S731">
            <v>0</v>
          </cell>
        </row>
        <row r="732">
          <cell r="S732">
            <v>0</v>
          </cell>
        </row>
        <row r="733">
          <cell r="S733">
            <v>0</v>
          </cell>
        </row>
        <row r="734">
          <cell r="S734">
            <v>0</v>
          </cell>
        </row>
        <row r="735">
          <cell r="S735">
            <v>0</v>
          </cell>
        </row>
        <row r="736">
          <cell r="S736">
            <v>0</v>
          </cell>
        </row>
        <row r="737">
          <cell r="S737">
            <v>0</v>
          </cell>
        </row>
        <row r="738">
          <cell r="S738">
            <v>0</v>
          </cell>
        </row>
        <row r="739">
          <cell r="S739">
            <v>0</v>
          </cell>
        </row>
        <row r="740">
          <cell r="S740">
            <v>0</v>
          </cell>
        </row>
        <row r="741">
          <cell r="S741">
            <v>0</v>
          </cell>
        </row>
        <row r="742">
          <cell r="S742">
            <v>0</v>
          </cell>
        </row>
        <row r="743">
          <cell r="S743">
            <v>0</v>
          </cell>
        </row>
        <row r="744">
          <cell r="S744">
            <v>0</v>
          </cell>
        </row>
        <row r="745">
          <cell r="S745">
            <v>0</v>
          </cell>
        </row>
        <row r="746">
          <cell r="S746">
            <v>0</v>
          </cell>
        </row>
        <row r="747">
          <cell r="S747">
            <v>0</v>
          </cell>
        </row>
        <row r="748">
          <cell r="S748">
            <v>0</v>
          </cell>
        </row>
        <row r="749">
          <cell r="S749">
            <v>0</v>
          </cell>
        </row>
        <row r="750">
          <cell r="S750">
            <v>0</v>
          </cell>
        </row>
        <row r="751">
          <cell r="S751">
            <v>0</v>
          </cell>
        </row>
        <row r="752">
          <cell r="S752">
            <v>0</v>
          </cell>
        </row>
        <row r="753">
          <cell r="S753">
            <v>0</v>
          </cell>
        </row>
        <row r="754">
          <cell r="S754">
            <v>0</v>
          </cell>
        </row>
        <row r="755">
          <cell r="S755">
            <v>0</v>
          </cell>
        </row>
        <row r="756">
          <cell r="S756">
            <v>0</v>
          </cell>
        </row>
        <row r="757">
          <cell r="S757">
            <v>0</v>
          </cell>
        </row>
        <row r="758">
          <cell r="S758">
            <v>0</v>
          </cell>
        </row>
        <row r="759">
          <cell r="S759">
            <v>0</v>
          </cell>
        </row>
        <row r="760">
          <cell r="S760">
            <v>0</v>
          </cell>
        </row>
        <row r="761">
          <cell r="S761">
            <v>0</v>
          </cell>
        </row>
        <row r="762">
          <cell r="S762">
            <v>0</v>
          </cell>
        </row>
        <row r="763">
          <cell r="S763">
            <v>0</v>
          </cell>
        </row>
        <row r="764">
          <cell r="S764">
            <v>0</v>
          </cell>
        </row>
        <row r="765">
          <cell r="S765">
            <v>0</v>
          </cell>
        </row>
        <row r="766">
          <cell r="S766">
            <v>0</v>
          </cell>
        </row>
        <row r="767">
          <cell r="S767">
            <v>0</v>
          </cell>
        </row>
        <row r="768">
          <cell r="S768">
            <v>0</v>
          </cell>
        </row>
        <row r="769">
          <cell r="S769">
            <v>0</v>
          </cell>
        </row>
        <row r="770">
          <cell r="S770">
            <v>0</v>
          </cell>
        </row>
        <row r="771">
          <cell r="S771">
            <v>0</v>
          </cell>
        </row>
        <row r="772">
          <cell r="S772">
            <v>0</v>
          </cell>
        </row>
        <row r="773">
          <cell r="S773">
            <v>0</v>
          </cell>
        </row>
        <row r="774">
          <cell r="S774">
            <v>0</v>
          </cell>
        </row>
        <row r="775">
          <cell r="S775">
            <v>0</v>
          </cell>
        </row>
        <row r="776">
          <cell r="S776">
            <v>0</v>
          </cell>
        </row>
        <row r="777">
          <cell r="S777">
            <v>0</v>
          </cell>
        </row>
        <row r="778">
          <cell r="S778">
            <v>0</v>
          </cell>
        </row>
        <row r="779">
          <cell r="S779">
            <v>0</v>
          </cell>
        </row>
        <row r="780">
          <cell r="S780">
            <v>0</v>
          </cell>
        </row>
        <row r="781">
          <cell r="S781">
            <v>0</v>
          </cell>
        </row>
        <row r="782">
          <cell r="S782">
            <v>0</v>
          </cell>
        </row>
        <row r="783">
          <cell r="S783">
            <v>0</v>
          </cell>
        </row>
        <row r="784">
          <cell r="S784">
            <v>0</v>
          </cell>
        </row>
        <row r="785">
          <cell r="S785">
            <v>0</v>
          </cell>
        </row>
        <row r="786">
          <cell r="S786">
            <v>0</v>
          </cell>
        </row>
        <row r="787">
          <cell r="S787">
            <v>0</v>
          </cell>
        </row>
        <row r="788">
          <cell r="S788">
            <v>0</v>
          </cell>
        </row>
        <row r="789">
          <cell r="S789">
            <v>0</v>
          </cell>
        </row>
        <row r="790">
          <cell r="S790">
            <v>0</v>
          </cell>
        </row>
        <row r="791">
          <cell r="S791">
            <v>0</v>
          </cell>
        </row>
        <row r="792">
          <cell r="S792">
            <v>0</v>
          </cell>
        </row>
        <row r="793">
          <cell r="S793">
            <v>0</v>
          </cell>
        </row>
        <row r="794">
          <cell r="S794">
            <v>0</v>
          </cell>
        </row>
        <row r="795">
          <cell r="S795">
            <v>0</v>
          </cell>
        </row>
        <row r="796">
          <cell r="S796">
            <v>0</v>
          </cell>
        </row>
        <row r="797">
          <cell r="S797">
            <v>0</v>
          </cell>
        </row>
        <row r="798">
          <cell r="S798">
            <v>0</v>
          </cell>
        </row>
        <row r="799">
          <cell r="S799">
            <v>0</v>
          </cell>
        </row>
        <row r="800">
          <cell r="S800">
            <v>0</v>
          </cell>
        </row>
        <row r="801">
          <cell r="S801">
            <v>0</v>
          </cell>
        </row>
        <row r="802">
          <cell r="S802">
            <v>0</v>
          </cell>
        </row>
        <row r="803">
          <cell r="S803">
            <v>0</v>
          </cell>
        </row>
        <row r="804">
          <cell r="S804">
            <v>0</v>
          </cell>
        </row>
        <row r="805">
          <cell r="S805">
            <v>0</v>
          </cell>
        </row>
        <row r="806">
          <cell r="S806">
            <v>0</v>
          </cell>
        </row>
        <row r="807">
          <cell r="S807">
            <v>0</v>
          </cell>
        </row>
        <row r="808">
          <cell r="S808">
            <v>0</v>
          </cell>
        </row>
        <row r="809">
          <cell r="S809">
            <v>0</v>
          </cell>
        </row>
        <row r="810">
          <cell r="S810">
            <v>0</v>
          </cell>
        </row>
        <row r="811">
          <cell r="S811">
            <v>0</v>
          </cell>
        </row>
        <row r="812">
          <cell r="S812">
            <v>0</v>
          </cell>
        </row>
        <row r="813">
          <cell r="S813">
            <v>0</v>
          </cell>
        </row>
        <row r="814">
          <cell r="S814">
            <v>0</v>
          </cell>
        </row>
        <row r="815">
          <cell r="S815">
            <v>0</v>
          </cell>
        </row>
        <row r="816">
          <cell r="S816">
            <v>0</v>
          </cell>
        </row>
        <row r="817">
          <cell r="S817">
            <v>0</v>
          </cell>
        </row>
        <row r="818">
          <cell r="S818">
            <v>0</v>
          </cell>
        </row>
        <row r="819">
          <cell r="S819">
            <v>0</v>
          </cell>
        </row>
        <row r="820">
          <cell r="S820">
            <v>0</v>
          </cell>
        </row>
        <row r="821">
          <cell r="S821">
            <v>0</v>
          </cell>
        </row>
        <row r="822">
          <cell r="S822">
            <v>0</v>
          </cell>
        </row>
        <row r="823">
          <cell r="S823">
            <v>0</v>
          </cell>
        </row>
        <row r="824">
          <cell r="S824">
            <v>0</v>
          </cell>
        </row>
        <row r="825">
          <cell r="S825">
            <v>0</v>
          </cell>
        </row>
        <row r="826">
          <cell r="S826">
            <v>0</v>
          </cell>
        </row>
        <row r="827">
          <cell r="S827">
            <v>0</v>
          </cell>
        </row>
        <row r="828">
          <cell r="S828">
            <v>0</v>
          </cell>
        </row>
        <row r="829">
          <cell r="S829">
            <v>0</v>
          </cell>
        </row>
        <row r="830">
          <cell r="S830">
            <v>0</v>
          </cell>
        </row>
        <row r="831">
          <cell r="S831">
            <v>0</v>
          </cell>
        </row>
        <row r="832">
          <cell r="S832">
            <v>0</v>
          </cell>
        </row>
        <row r="833">
          <cell r="S833">
            <v>0</v>
          </cell>
        </row>
        <row r="834">
          <cell r="S834">
            <v>0</v>
          </cell>
        </row>
        <row r="835">
          <cell r="S835">
            <v>0</v>
          </cell>
        </row>
        <row r="836">
          <cell r="S836">
            <v>0</v>
          </cell>
        </row>
        <row r="837">
          <cell r="S837">
            <v>0</v>
          </cell>
        </row>
        <row r="838">
          <cell r="S838">
            <v>0</v>
          </cell>
        </row>
        <row r="839">
          <cell r="S839">
            <v>0</v>
          </cell>
        </row>
        <row r="840">
          <cell r="S840">
            <v>0</v>
          </cell>
        </row>
        <row r="841">
          <cell r="S841">
            <v>0</v>
          </cell>
        </row>
        <row r="842">
          <cell r="S842">
            <v>0</v>
          </cell>
        </row>
        <row r="843">
          <cell r="S843">
            <v>0</v>
          </cell>
        </row>
        <row r="844">
          <cell r="S844">
            <v>0</v>
          </cell>
        </row>
        <row r="845">
          <cell r="S845">
            <v>0</v>
          </cell>
        </row>
        <row r="846">
          <cell r="S846">
            <v>0</v>
          </cell>
        </row>
        <row r="847">
          <cell r="S847">
            <v>0</v>
          </cell>
        </row>
        <row r="848">
          <cell r="S848">
            <v>0</v>
          </cell>
        </row>
        <row r="849">
          <cell r="S849">
            <v>0</v>
          </cell>
        </row>
        <row r="850">
          <cell r="S850">
            <v>0</v>
          </cell>
        </row>
        <row r="851">
          <cell r="S851">
            <v>0</v>
          </cell>
        </row>
        <row r="852">
          <cell r="S852">
            <v>0</v>
          </cell>
        </row>
        <row r="853">
          <cell r="S853">
            <v>0</v>
          </cell>
        </row>
        <row r="854">
          <cell r="S854">
            <v>0</v>
          </cell>
        </row>
        <row r="855">
          <cell r="S855">
            <v>0</v>
          </cell>
        </row>
        <row r="856">
          <cell r="S856">
            <v>0</v>
          </cell>
        </row>
        <row r="857">
          <cell r="S857">
            <v>0</v>
          </cell>
        </row>
        <row r="858">
          <cell r="S858">
            <v>0</v>
          </cell>
        </row>
        <row r="859">
          <cell r="S859">
            <v>0</v>
          </cell>
        </row>
        <row r="860">
          <cell r="S860">
            <v>0</v>
          </cell>
        </row>
        <row r="861">
          <cell r="S861">
            <v>0</v>
          </cell>
        </row>
        <row r="862">
          <cell r="S862">
            <v>0</v>
          </cell>
        </row>
        <row r="863">
          <cell r="S863">
            <v>0</v>
          </cell>
        </row>
        <row r="864">
          <cell r="S864">
            <v>0</v>
          </cell>
        </row>
        <row r="865">
          <cell r="S865">
            <v>0</v>
          </cell>
        </row>
        <row r="866">
          <cell r="S866">
            <v>0</v>
          </cell>
        </row>
        <row r="867">
          <cell r="S867">
            <v>0</v>
          </cell>
        </row>
        <row r="868">
          <cell r="S868">
            <v>0</v>
          </cell>
        </row>
        <row r="869">
          <cell r="S869">
            <v>0</v>
          </cell>
        </row>
        <row r="870">
          <cell r="S870">
            <v>0</v>
          </cell>
        </row>
        <row r="871">
          <cell r="S871">
            <v>0</v>
          </cell>
        </row>
        <row r="872">
          <cell r="S872">
            <v>0</v>
          </cell>
        </row>
        <row r="873">
          <cell r="S873">
            <v>0</v>
          </cell>
        </row>
        <row r="874">
          <cell r="S874">
            <v>0</v>
          </cell>
        </row>
        <row r="875">
          <cell r="S875">
            <v>0</v>
          </cell>
        </row>
        <row r="876">
          <cell r="S876">
            <v>0</v>
          </cell>
        </row>
        <row r="877">
          <cell r="S877">
            <v>0</v>
          </cell>
        </row>
        <row r="878">
          <cell r="S878">
            <v>0</v>
          </cell>
        </row>
        <row r="879">
          <cell r="S879">
            <v>0</v>
          </cell>
        </row>
        <row r="880">
          <cell r="S880">
            <v>0</v>
          </cell>
        </row>
        <row r="881">
          <cell r="S881">
            <v>0</v>
          </cell>
        </row>
        <row r="882">
          <cell r="S882">
            <v>0</v>
          </cell>
        </row>
        <row r="883">
          <cell r="S883">
            <v>0</v>
          </cell>
        </row>
        <row r="884">
          <cell r="S884">
            <v>0</v>
          </cell>
        </row>
        <row r="885">
          <cell r="S885">
            <v>0</v>
          </cell>
        </row>
        <row r="886">
          <cell r="S886">
            <v>0</v>
          </cell>
        </row>
        <row r="887">
          <cell r="S887">
            <v>0</v>
          </cell>
        </row>
        <row r="888">
          <cell r="S888">
            <v>0</v>
          </cell>
        </row>
        <row r="889">
          <cell r="S889">
            <v>0</v>
          </cell>
        </row>
        <row r="890">
          <cell r="S890">
            <v>0</v>
          </cell>
        </row>
        <row r="891">
          <cell r="S891">
            <v>0</v>
          </cell>
        </row>
        <row r="892">
          <cell r="S892">
            <v>0</v>
          </cell>
        </row>
        <row r="893">
          <cell r="S893">
            <v>0</v>
          </cell>
        </row>
        <row r="894">
          <cell r="S894">
            <v>0</v>
          </cell>
        </row>
        <row r="895">
          <cell r="S895">
            <v>0</v>
          </cell>
        </row>
        <row r="896">
          <cell r="S896">
            <v>0</v>
          </cell>
        </row>
        <row r="897">
          <cell r="S897">
            <v>0</v>
          </cell>
        </row>
        <row r="898">
          <cell r="S898">
            <v>0</v>
          </cell>
        </row>
        <row r="899">
          <cell r="S899">
            <v>0</v>
          </cell>
        </row>
        <row r="900">
          <cell r="S900">
            <v>0</v>
          </cell>
        </row>
        <row r="901">
          <cell r="S901">
            <v>0</v>
          </cell>
        </row>
        <row r="902">
          <cell r="S902">
            <v>0</v>
          </cell>
        </row>
        <row r="903">
          <cell r="S903">
            <v>0</v>
          </cell>
        </row>
        <row r="904">
          <cell r="S904">
            <v>0</v>
          </cell>
        </row>
        <row r="905">
          <cell r="S905">
            <v>0</v>
          </cell>
        </row>
        <row r="906">
          <cell r="S906">
            <v>0</v>
          </cell>
        </row>
        <row r="907">
          <cell r="S907">
            <v>0</v>
          </cell>
        </row>
        <row r="908">
          <cell r="S908">
            <v>0</v>
          </cell>
        </row>
        <row r="909">
          <cell r="S909">
            <v>0</v>
          </cell>
        </row>
        <row r="910">
          <cell r="S910">
            <v>0</v>
          </cell>
        </row>
        <row r="911">
          <cell r="S911">
            <v>0</v>
          </cell>
        </row>
        <row r="912">
          <cell r="S912">
            <v>0</v>
          </cell>
        </row>
        <row r="913">
          <cell r="S913">
            <v>0</v>
          </cell>
        </row>
        <row r="914">
          <cell r="S914">
            <v>0</v>
          </cell>
        </row>
        <row r="915">
          <cell r="S915">
            <v>0</v>
          </cell>
        </row>
        <row r="916">
          <cell r="S916">
            <v>0</v>
          </cell>
        </row>
        <row r="917">
          <cell r="S917">
            <v>0</v>
          </cell>
        </row>
        <row r="918">
          <cell r="S918">
            <v>0</v>
          </cell>
        </row>
        <row r="919">
          <cell r="S919">
            <v>0</v>
          </cell>
        </row>
        <row r="920">
          <cell r="S920">
            <v>0</v>
          </cell>
        </row>
        <row r="921">
          <cell r="S921">
            <v>0</v>
          </cell>
        </row>
        <row r="922">
          <cell r="S922">
            <v>0</v>
          </cell>
        </row>
        <row r="923">
          <cell r="S923">
            <v>0</v>
          </cell>
        </row>
        <row r="924">
          <cell r="S924">
            <v>0</v>
          </cell>
        </row>
        <row r="925">
          <cell r="S925">
            <v>0</v>
          </cell>
        </row>
        <row r="926">
          <cell r="S926">
            <v>0</v>
          </cell>
        </row>
        <row r="927">
          <cell r="S927">
            <v>0</v>
          </cell>
        </row>
        <row r="928">
          <cell r="S928">
            <v>0</v>
          </cell>
        </row>
        <row r="929">
          <cell r="S929">
            <v>0</v>
          </cell>
        </row>
        <row r="930">
          <cell r="S930">
            <v>0</v>
          </cell>
        </row>
        <row r="931">
          <cell r="S931">
            <v>0</v>
          </cell>
        </row>
        <row r="932">
          <cell r="S932">
            <v>0</v>
          </cell>
        </row>
        <row r="933">
          <cell r="S933">
            <v>0</v>
          </cell>
        </row>
        <row r="934">
          <cell r="S934">
            <v>0</v>
          </cell>
        </row>
        <row r="935">
          <cell r="S935">
            <v>0</v>
          </cell>
        </row>
        <row r="936">
          <cell r="S936">
            <v>0</v>
          </cell>
        </row>
        <row r="937">
          <cell r="S937">
            <v>0</v>
          </cell>
        </row>
        <row r="938">
          <cell r="S938">
            <v>0</v>
          </cell>
        </row>
        <row r="939">
          <cell r="S939">
            <v>0</v>
          </cell>
        </row>
        <row r="940">
          <cell r="S940">
            <v>0</v>
          </cell>
        </row>
        <row r="941">
          <cell r="S941">
            <v>0</v>
          </cell>
        </row>
        <row r="942">
          <cell r="S942">
            <v>0</v>
          </cell>
        </row>
        <row r="943">
          <cell r="S943">
            <v>0</v>
          </cell>
        </row>
        <row r="944">
          <cell r="S944">
            <v>0</v>
          </cell>
        </row>
        <row r="945">
          <cell r="S945">
            <v>0</v>
          </cell>
        </row>
        <row r="946">
          <cell r="S946">
            <v>0</v>
          </cell>
        </row>
        <row r="947">
          <cell r="S947">
            <v>0</v>
          </cell>
        </row>
        <row r="948">
          <cell r="S948">
            <v>0</v>
          </cell>
        </row>
        <row r="949">
          <cell r="S949">
            <v>0</v>
          </cell>
        </row>
        <row r="950">
          <cell r="S950">
            <v>0</v>
          </cell>
        </row>
        <row r="951">
          <cell r="S951">
            <v>0</v>
          </cell>
        </row>
        <row r="952">
          <cell r="S952">
            <v>0</v>
          </cell>
        </row>
        <row r="953">
          <cell r="S953">
            <v>0</v>
          </cell>
        </row>
        <row r="954">
          <cell r="S954">
            <v>0</v>
          </cell>
        </row>
        <row r="955">
          <cell r="S955">
            <v>0</v>
          </cell>
        </row>
        <row r="956">
          <cell r="S956">
            <v>0</v>
          </cell>
        </row>
        <row r="957">
          <cell r="S957">
            <v>0</v>
          </cell>
        </row>
        <row r="958">
          <cell r="S958">
            <v>0</v>
          </cell>
        </row>
        <row r="959">
          <cell r="S959">
            <v>0</v>
          </cell>
        </row>
        <row r="960">
          <cell r="S960">
            <v>0</v>
          </cell>
        </row>
        <row r="961">
          <cell r="S961">
            <v>0</v>
          </cell>
        </row>
        <row r="962">
          <cell r="S962">
            <v>0</v>
          </cell>
        </row>
        <row r="963">
          <cell r="S963">
            <v>0</v>
          </cell>
        </row>
        <row r="964">
          <cell r="S964">
            <v>0</v>
          </cell>
        </row>
        <row r="965">
          <cell r="S965">
            <v>0</v>
          </cell>
        </row>
        <row r="966">
          <cell r="S966">
            <v>0</v>
          </cell>
        </row>
        <row r="967">
          <cell r="S967">
            <v>0</v>
          </cell>
        </row>
        <row r="968">
          <cell r="S968">
            <v>0</v>
          </cell>
        </row>
        <row r="969">
          <cell r="S969">
            <v>0</v>
          </cell>
        </row>
        <row r="970">
          <cell r="S970">
            <v>0</v>
          </cell>
        </row>
        <row r="971">
          <cell r="S971">
            <v>0</v>
          </cell>
        </row>
        <row r="972">
          <cell r="S972">
            <v>0</v>
          </cell>
        </row>
        <row r="973">
          <cell r="S973">
            <v>0</v>
          </cell>
        </row>
        <row r="974">
          <cell r="S974">
            <v>0</v>
          </cell>
        </row>
        <row r="975">
          <cell r="S975">
            <v>0</v>
          </cell>
        </row>
        <row r="976">
          <cell r="S976">
            <v>0</v>
          </cell>
        </row>
        <row r="977">
          <cell r="S977">
            <v>0</v>
          </cell>
        </row>
        <row r="978">
          <cell r="S978">
            <v>0</v>
          </cell>
        </row>
        <row r="979">
          <cell r="S979">
            <v>0</v>
          </cell>
        </row>
        <row r="980">
          <cell r="S980">
            <v>0</v>
          </cell>
        </row>
        <row r="981">
          <cell r="S981">
            <v>0</v>
          </cell>
        </row>
        <row r="982">
          <cell r="S982">
            <v>0</v>
          </cell>
        </row>
        <row r="983">
          <cell r="S983">
            <v>0</v>
          </cell>
        </row>
        <row r="984">
          <cell r="S984">
            <v>0</v>
          </cell>
        </row>
        <row r="985">
          <cell r="S985">
            <v>0</v>
          </cell>
        </row>
        <row r="986">
          <cell r="S986">
            <v>0</v>
          </cell>
        </row>
        <row r="987">
          <cell r="S987">
            <v>0</v>
          </cell>
        </row>
        <row r="988">
          <cell r="S988">
            <v>0</v>
          </cell>
        </row>
        <row r="989">
          <cell r="S989">
            <v>0</v>
          </cell>
        </row>
        <row r="990">
          <cell r="S990">
            <v>0</v>
          </cell>
        </row>
        <row r="991">
          <cell r="S991">
            <v>0</v>
          </cell>
        </row>
        <row r="992">
          <cell r="S992">
            <v>0</v>
          </cell>
        </row>
        <row r="993">
          <cell r="S993">
            <v>0</v>
          </cell>
        </row>
        <row r="994">
          <cell r="S994">
            <v>0</v>
          </cell>
        </row>
        <row r="995">
          <cell r="S995">
            <v>0</v>
          </cell>
        </row>
        <row r="996">
          <cell r="S996">
            <v>0</v>
          </cell>
        </row>
        <row r="997">
          <cell r="S997">
            <v>0</v>
          </cell>
        </row>
        <row r="998">
          <cell r="S998">
            <v>0</v>
          </cell>
        </row>
        <row r="999">
          <cell r="S999">
            <v>0</v>
          </cell>
        </row>
        <row r="1000">
          <cell r="S1000">
            <v>0</v>
          </cell>
        </row>
        <row r="1001">
          <cell r="S1001">
            <v>0</v>
          </cell>
        </row>
        <row r="1002">
          <cell r="S1002">
            <v>0</v>
          </cell>
        </row>
        <row r="1003">
          <cell r="S1003">
            <v>0</v>
          </cell>
        </row>
        <row r="1004">
          <cell r="S1004">
            <v>0</v>
          </cell>
        </row>
        <row r="1005">
          <cell r="S1005">
            <v>0</v>
          </cell>
        </row>
        <row r="1006">
          <cell r="S1006">
            <v>0</v>
          </cell>
        </row>
        <row r="1007">
          <cell r="S1007">
            <v>0</v>
          </cell>
        </row>
        <row r="1008">
          <cell r="S1008">
            <v>0</v>
          </cell>
        </row>
        <row r="1009">
          <cell r="S1009">
            <v>0</v>
          </cell>
        </row>
        <row r="1010">
          <cell r="S1010">
            <v>0</v>
          </cell>
        </row>
        <row r="1011">
          <cell r="S1011">
            <v>0</v>
          </cell>
        </row>
        <row r="1012">
          <cell r="S1012">
            <v>0</v>
          </cell>
        </row>
        <row r="1013">
          <cell r="S1013">
            <v>0</v>
          </cell>
        </row>
        <row r="1014">
          <cell r="S1014">
            <v>0</v>
          </cell>
        </row>
        <row r="1015">
          <cell r="S1015">
            <v>0</v>
          </cell>
        </row>
        <row r="1016">
          <cell r="S1016">
            <v>0</v>
          </cell>
        </row>
        <row r="1017">
          <cell r="S1017">
            <v>0</v>
          </cell>
        </row>
        <row r="1018">
          <cell r="S1018">
            <v>0</v>
          </cell>
        </row>
        <row r="1019">
          <cell r="S1019">
            <v>0</v>
          </cell>
        </row>
        <row r="1020">
          <cell r="S1020">
            <v>0</v>
          </cell>
        </row>
        <row r="1021">
          <cell r="S1021">
            <v>0</v>
          </cell>
        </row>
        <row r="1022">
          <cell r="S1022">
            <v>0</v>
          </cell>
        </row>
        <row r="1023">
          <cell r="S1023">
            <v>0</v>
          </cell>
        </row>
        <row r="1024">
          <cell r="S1024">
            <v>0</v>
          </cell>
        </row>
        <row r="1025">
          <cell r="S1025">
            <v>0</v>
          </cell>
        </row>
        <row r="1026">
          <cell r="S1026">
            <v>0</v>
          </cell>
        </row>
        <row r="1027">
          <cell r="S1027">
            <v>0</v>
          </cell>
        </row>
        <row r="1028">
          <cell r="S1028">
            <v>0</v>
          </cell>
        </row>
        <row r="1029">
          <cell r="S1029">
            <v>0</v>
          </cell>
        </row>
        <row r="1030">
          <cell r="S1030">
            <v>0</v>
          </cell>
        </row>
        <row r="1031">
          <cell r="S1031">
            <v>0</v>
          </cell>
        </row>
        <row r="1032">
          <cell r="S1032">
            <v>0</v>
          </cell>
        </row>
        <row r="1033">
          <cell r="S1033">
            <v>0</v>
          </cell>
        </row>
        <row r="1034">
          <cell r="S1034">
            <v>0</v>
          </cell>
        </row>
        <row r="1035">
          <cell r="S1035">
            <v>0</v>
          </cell>
        </row>
        <row r="1036">
          <cell r="S1036">
            <v>0</v>
          </cell>
        </row>
        <row r="1037">
          <cell r="S1037">
            <v>0</v>
          </cell>
        </row>
        <row r="1038">
          <cell r="S1038">
            <v>0</v>
          </cell>
        </row>
        <row r="1039">
          <cell r="S1039">
            <v>0</v>
          </cell>
        </row>
        <row r="1040">
          <cell r="S1040">
            <v>0</v>
          </cell>
        </row>
        <row r="1041">
          <cell r="S1041">
            <v>0</v>
          </cell>
        </row>
        <row r="1042">
          <cell r="S1042">
            <v>0</v>
          </cell>
        </row>
        <row r="1043">
          <cell r="S1043">
            <v>0</v>
          </cell>
        </row>
        <row r="1044">
          <cell r="S1044">
            <v>0</v>
          </cell>
        </row>
        <row r="1045">
          <cell r="S1045">
            <v>0</v>
          </cell>
        </row>
        <row r="1046">
          <cell r="S1046">
            <v>0</v>
          </cell>
        </row>
        <row r="1047">
          <cell r="S1047">
            <v>0</v>
          </cell>
        </row>
        <row r="1048">
          <cell r="S1048">
            <v>0</v>
          </cell>
        </row>
        <row r="1049">
          <cell r="S1049">
            <v>0</v>
          </cell>
        </row>
        <row r="1050">
          <cell r="S1050">
            <v>0</v>
          </cell>
        </row>
        <row r="1051">
          <cell r="S1051">
            <v>0</v>
          </cell>
        </row>
        <row r="1052">
          <cell r="S1052">
            <v>0</v>
          </cell>
        </row>
        <row r="1053">
          <cell r="S1053">
            <v>0</v>
          </cell>
        </row>
        <row r="1054">
          <cell r="S1054">
            <v>0</v>
          </cell>
        </row>
        <row r="1055">
          <cell r="S1055">
            <v>0</v>
          </cell>
        </row>
        <row r="1056">
          <cell r="S1056">
            <v>0</v>
          </cell>
        </row>
        <row r="1057">
          <cell r="S1057">
            <v>0</v>
          </cell>
        </row>
        <row r="1058">
          <cell r="S1058">
            <v>0</v>
          </cell>
        </row>
        <row r="1059">
          <cell r="S1059">
            <v>0</v>
          </cell>
        </row>
        <row r="1060">
          <cell r="S1060">
            <v>0</v>
          </cell>
        </row>
        <row r="1061">
          <cell r="S1061">
            <v>0</v>
          </cell>
        </row>
        <row r="1062">
          <cell r="S1062">
            <v>0</v>
          </cell>
        </row>
        <row r="1063">
          <cell r="S1063">
            <v>0</v>
          </cell>
        </row>
        <row r="1064">
          <cell r="S1064">
            <v>0</v>
          </cell>
        </row>
        <row r="1065">
          <cell r="S1065">
            <v>0</v>
          </cell>
        </row>
        <row r="1066">
          <cell r="S1066">
            <v>0</v>
          </cell>
        </row>
        <row r="1067">
          <cell r="S1067">
            <v>0</v>
          </cell>
        </row>
        <row r="1068">
          <cell r="S1068">
            <v>0</v>
          </cell>
        </row>
        <row r="1069">
          <cell r="S1069">
            <v>0</v>
          </cell>
        </row>
        <row r="1070">
          <cell r="S1070">
            <v>0</v>
          </cell>
        </row>
        <row r="1071">
          <cell r="S1071">
            <v>0</v>
          </cell>
        </row>
        <row r="1072">
          <cell r="S1072">
            <v>0</v>
          </cell>
        </row>
        <row r="1073">
          <cell r="S1073">
            <v>0</v>
          </cell>
        </row>
        <row r="1074">
          <cell r="S1074">
            <v>0</v>
          </cell>
        </row>
        <row r="1075">
          <cell r="S1075">
            <v>0</v>
          </cell>
        </row>
        <row r="1076">
          <cell r="S1076">
            <v>0</v>
          </cell>
        </row>
        <row r="1077">
          <cell r="S1077">
            <v>0</v>
          </cell>
        </row>
        <row r="1078">
          <cell r="S1078">
            <v>0</v>
          </cell>
        </row>
        <row r="1079">
          <cell r="S1079">
            <v>0</v>
          </cell>
        </row>
        <row r="1080">
          <cell r="S1080">
            <v>0</v>
          </cell>
        </row>
        <row r="1081">
          <cell r="S1081">
            <v>0</v>
          </cell>
        </row>
        <row r="1082">
          <cell r="S1082">
            <v>0</v>
          </cell>
        </row>
        <row r="1083">
          <cell r="S1083">
            <v>0</v>
          </cell>
        </row>
        <row r="1084">
          <cell r="S1084">
            <v>0</v>
          </cell>
        </row>
        <row r="1085">
          <cell r="S1085">
            <v>0</v>
          </cell>
        </row>
        <row r="1086">
          <cell r="S1086">
            <v>0</v>
          </cell>
        </row>
        <row r="1087">
          <cell r="S1087">
            <v>0</v>
          </cell>
        </row>
        <row r="1088">
          <cell r="S1088">
            <v>0</v>
          </cell>
        </row>
        <row r="1089">
          <cell r="S1089">
            <v>0</v>
          </cell>
        </row>
        <row r="1090">
          <cell r="S1090">
            <v>0</v>
          </cell>
        </row>
        <row r="1091">
          <cell r="S1091">
            <v>0</v>
          </cell>
        </row>
        <row r="1092">
          <cell r="S1092">
            <v>0</v>
          </cell>
        </row>
        <row r="1093">
          <cell r="S1093">
            <v>0</v>
          </cell>
        </row>
        <row r="1094">
          <cell r="S1094">
            <v>0</v>
          </cell>
        </row>
        <row r="1095">
          <cell r="S1095">
            <v>0</v>
          </cell>
        </row>
        <row r="1096">
          <cell r="S1096">
            <v>0</v>
          </cell>
        </row>
        <row r="1097">
          <cell r="S1097">
            <v>0</v>
          </cell>
        </row>
        <row r="1098">
          <cell r="S1098">
            <v>0</v>
          </cell>
        </row>
        <row r="1099">
          <cell r="S1099">
            <v>0</v>
          </cell>
        </row>
        <row r="1100">
          <cell r="S1100">
            <v>0</v>
          </cell>
        </row>
        <row r="1101">
          <cell r="S1101">
            <v>0</v>
          </cell>
        </row>
        <row r="1102">
          <cell r="S1102">
            <v>0</v>
          </cell>
        </row>
        <row r="1103">
          <cell r="S1103">
            <v>0</v>
          </cell>
        </row>
        <row r="1104">
          <cell r="S1104">
            <v>0</v>
          </cell>
        </row>
        <row r="1105">
          <cell r="S1105">
            <v>0</v>
          </cell>
        </row>
        <row r="1106">
          <cell r="S1106">
            <v>0</v>
          </cell>
        </row>
        <row r="1107">
          <cell r="S1107">
            <v>0</v>
          </cell>
        </row>
        <row r="1108">
          <cell r="S1108">
            <v>0</v>
          </cell>
        </row>
        <row r="1109">
          <cell r="S1109">
            <v>0</v>
          </cell>
        </row>
        <row r="1110">
          <cell r="S1110">
            <v>0</v>
          </cell>
        </row>
        <row r="1111">
          <cell r="S1111">
            <v>0</v>
          </cell>
        </row>
        <row r="1112">
          <cell r="S1112">
            <v>0</v>
          </cell>
        </row>
        <row r="1113">
          <cell r="S1113">
            <v>0</v>
          </cell>
        </row>
        <row r="1114">
          <cell r="S1114">
            <v>0</v>
          </cell>
        </row>
        <row r="1115">
          <cell r="S1115">
            <v>0</v>
          </cell>
        </row>
        <row r="1116">
          <cell r="S1116">
            <v>0</v>
          </cell>
        </row>
        <row r="1117">
          <cell r="S1117">
            <v>0</v>
          </cell>
        </row>
        <row r="1118">
          <cell r="S1118">
            <v>0</v>
          </cell>
        </row>
        <row r="1119">
          <cell r="S1119">
            <v>0</v>
          </cell>
        </row>
        <row r="1120">
          <cell r="S1120">
            <v>0</v>
          </cell>
        </row>
        <row r="1121">
          <cell r="S1121">
            <v>0</v>
          </cell>
        </row>
        <row r="1122">
          <cell r="S1122">
            <v>0</v>
          </cell>
        </row>
        <row r="1123">
          <cell r="S1123">
            <v>0</v>
          </cell>
        </row>
        <row r="1124">
          <cell r="S1124">
            <v>0</v>
          </cell>
        </row>
        <row r="1125">
          <cell r="S1125">
            <v>0</v>
          </cell>
        </row>
        <row r="1126">
          <cell r="S1126">
            <v>0</v>
          </cell>
        </row>
        <row r="1127">
          <cell r="S1127">
            <v>0</v>
          </cell>
        </row>
        <row r="1128">
          <cell r="S1128">
            <v>0</v>
          </cell>
        </row>
        <row r="1129">
          <cell r="S1129">
            <v>0</v>
          </cell>
        </row>
        <row r="1130">
          <cell r="S1130">
            <v>0</v>
          </cell>
        </row>
        <row r="1131">
          <cell r="S1131">
            <v>0</v>
          </cell>
        </row>
        <row r="1132">
          <cell r="S1132">
            <v>0</v>
          </cell>
        </row>
        <row r="1133">
          <cell r="S1133">
            <v>0</v>
          </cell>
        </row>
        <row r="1134">
          <cell r="S1134">
            <v>0</v>
          </cell>
        </row>
        <row r="1135">
          <cell r="S1135">
            <v>0</v>
          </cell>
        </row>
        <row r="1136">
          <cell r="S1136">
            <v>0</v>
          </cell>
        </row>
        <row r="1137">
          <cell r="S1137">
            <v>0</v>
          </cell>
        </row>
        <row r="1138">
          <cell r="S1138">
            <v>0</v>
          </cell>
        </row>
        <row r="1139">
          <cell r="S1139">
            <v>0</v>
          </cell>
        </row>
        <row r="1140">
          <cell r="S1140">
            <v>0</v>
          </cell>
        </row>
        <row r="1141">
          <cell r="S1141">
            <v>0</v>
          </cell>
        </row>
        <row r="1142">
          <cell r="S1142">
            <v>0</v>
          </cell>
        </row>
        <row r="1143">
          <cell r="S1143">
            <v>0</v>
          </cell>
        </row>
        <row r="1144">
          <cell r="S1144">
            <v>0</v>
          </cell>
        </row>
        <row r="1145">
          <cell r="S1145">
            <v>0</v>
          </cell>
        </row>
        <row r="1146">
          <cell r="S1146">
            <v>0</v>
          </cell>
        </row>
        <row r="1147">
          <cell r="S1147">
            <v>0</v>
          </cell>
        </row>
        <row r="1148">
          <cell r="S1148">
            <v>0</v>
          </cell>
        </row>
        <row r="1149">
          <cell r="S1149">
            <v>0</v>
          </cell>
        </row>
        <row r="1150">
          <cell r="S1150">
            <v>0</v>
          </cell>
        </row>
        <row r="1151">
          <cell r="S1151">
            <v>0</v>
          </cell>
        </row>
        <row r="1152">
          <cell r="S1152">
            <v>0</v>
          </cell>
        </row>
        <row r="1153">
          <cell r="S1153">
            <v>0</v>
          </cell>
        </row>
        <row r="1154">
          <cell r="S1154">
            <v>0</v>
          </cell>
        </row>
        <row r="1155">
          <cell r="S1155">
            <v>0</v>
          </cell>
        </row>
        <row r="1156">
          <cell r="S1156">
            <v>0</v>
          </cell>
        </row>
        <row r="1157">
          <cell r="S1157">
            <v>0</v>
          </cell>
        </row>
        <row r="1158">
          <cell r="S1158">
            <v>0</v>
          </cell>
        </row>
        <row r="1159">
          <cell r="S1159">
            <v>0</v>
          </cell>
        </row>
        <row r="1160">
          <cell r="S1160">
            <v>0</v>
          </cell>
        </row>
        <row r="1161">
          <cell r="S1161">
            <v>0</v>
          </cell>
        </row>
        <row r="1162">
          <cell r="S1162">
            <v>0</v>
          </cell>
        </row>
        <row r="1163">
          <cell r="S1163">
            <v>0</v>
          </cell>
        </row>
        <row r="1164">
          <cell r="S1164">
            <v>0</v>
          </cell>
        </row>
        <row r="1165">
          <cell r="S1165">
            <v>0</v>
          </cell>
        </row>
        <row r="1166">
          <cell r="S1166">
            <v>0</v>
          </cell>
        </row>
        <row r="1167">
          <cell r="S1167">
            <v>0</v>
          </cell>
        </row>
        <row r="1168">
          <cell r="S1168">
            <v>0</v>
          </cell>
        </row>
        <row r="1169">
          <cell r="S1169">
            <v>0</v>
          </cell>
        </row>
        <row r="1170">
          <cell r="S1170">
            <v>0</v>
          </cell>
        </row>
        <row r="1171">
          <cell r="S1171">
            <v>0</v>
          </cell>
        </row>
        <row r="1172">
          <cell r="S1172">
            <v>0</v>
          </cell>
        </row>
        <row r="1173">
          <cell r="S1173">
            <v>0</v>
          </cell>
        </row>
        <row r="1174">
          <cell r="S1174">
            <v>0</v>
          </cell>
        </row>
        <row r="1175">
          <cell r="S1175">
            <v>0</v>
          </cell>
        </row>
        <row r="1176">
          <cell r="S1176">
            <v>0</v>
          </cell>
        </row>
        <row r="1177">
          <cell r="S1177">
            <v>0</v>
          </cell>
        </row>
        <row r="1178">
          <cell r="S1178">
            <v>0</v>
          </cell>
        </row>
        <row r="1179">
          <cell r="S1179">
            <v>0</v>
          </cell>
        </row>
        <row r="1180">
          <cell r="S1180">
            <v>0</v>
          </cell>
        </row>
        <row r="1181">
          <cell r="S1181">
            <v>0</v>
          </cell>
        </row>
        <row r="1182">
          <cell r="S1182">
            <v>0</v>
          </cell>
        </row>
        <row r="1183">
          <cell r="S1183">
            <v>0</v>
          </cell>
        </row>
        <row r="1184">
          <cell r="S1184">
            <v>0</v>
          </cell>
        </row>
        <row r="1185">
          <cell r="S1185">
            <v>0</v>
          </cell>
        </row>
        <row r="1186">
          <cell r="S1186">
            <v>0</v>
          </cell>
        </row>
        <row r="1187">
          <cell r="S1187">
            <v>0</v>
          </cell>
        </row>
        <row r="1188">
          <cell r="S1188">
            <v>0</v>
          </cell>
        </row>
        <row r="1189">
          <cell r="S1189">
            <v>0</v>
          </cell>
        </row>
        <row r="1190">
          <cell r="S1190">
            <v>0</v>
          </cell>
        </row>
        <row r="1191">
          <cell r="S1191">
            <v>0</v>
          </cell>
        </row>
        <row r="1192">
          <cell r="S1192">
            <v>0</v>
          </cell>
        </row>
        <row r="1193">
          <cell r="S1193">
            <v>0</v>
          </cell>
        </row>
        <row r="1194">
          <cell r="S1194">
            <v>0</v>
          </cell>
        </row>
        <row r="1195">
          <cell r="S1195">
            <v>0</v>
          </cell>
        </row>
        <row r="1196">
          <cell r="S1196">
            <v>0</v>
          </cell>
        </row>
        <row r="1197">
          <cell r="S1197">
            <v>0</v>
          </cell>
        </row>
        <row r="1198">
          <cell r="S1198">
            <v>0</v>
          </cell>
        </row>
        <row r="1199">
          <cell r="S1199">
            <v>0</v>
          </cell>
        </row>
        <row r="1200">
          <cell r="S1200">
            <v>0</v>
          </cell>
        </row>
        <row r="1201">
          <cell r="S1201">
            <v>0</v>
          </cell>
        </row>
        <row r="1202">
          <cell r="S1202">
            <v>0</v>
          </cell>
        </row>
        <row r="1203">
          <cell r="S1203">
            <v>0</v>
          </cell>
        </row>
        <row r="1204">
          <cell r="S1204">
            <v>0</v>
          </cell>
        </row>
        <row r="1205">
          <cell r="S1205">
            <v>0</v>
          </cell>
        </row>
        <row r="1206">
          <cell r="S1206">
            <v>0</v>
          </cell>
        </row>
        <row r="1207">
          <cell r="S1207">
            <v>0</v>
          </cell>
        </row>
        <row r="1208">
          <cell r="S1208">
            <v>0</v>
          </cell>
        </row>
        <row r="1209">
          <cell r="S1209">
            <v>0</v>
          </cell>
        </row>
        <row r="1210">
          <cell r="S1210">
            <v>0</v>
          </cell>
        </row>
        <row r="1211">
          <cell r="S1211">
            <v>0</v>
          </cell>
        </row>
        <row r="1212">
          <cell r="S1212">
            <v>0</v>
          </cell>
        </row>
        <row r="1213">
          <cell r="S1213">
            <v>0</v>
          </cell>
        </row>
        <row r="1214">
          <cell r="S1214">
            <v>0</v>
          </cell>
        </row>
        <row r="1215">
          <cell r="S1215">
            <v>0</v>
          </cell>
        </row>
        <row r="1216">
          <cell r="S1216">
            <v>0</v>
          </cell>
        </row>
        <row r="1217">
          <cell r="S1217">
            <v>0</v>
          </cell>
        </row>
        <row r="1218">
          <cell r="S1218">
            <v>0</v>
          </cell>
        </row>
        <row r="1219">
          <cell r="S1219">
            <v>0</v>
          </cell>
        </row>
        <row r="1220">
          <cell r="S1220">
            <v>0</v>
          </cell>
        </row>
        <row r="1221">
          <cell r="S1221">
            <v>0</v>
          </cell>
        </row>
        <row r="1222">
          <cell r="S1222">
            <v>0</v>
          </cell>
        </row>
        <row r="1223">
          <cell r="S1223">
            <v>0</v>
          </cell>
        </row>
        <row r="1224">
          <cell r="S1224">
            <v>0</v>
          </cell>
        </row>
        <row r="1225">
          <cell r="S1225">
            <v>0</v>
          </cell>
        </row>
        <row r="1226">
          <cell r="S1226">
            <v>0</v>
          </cell>
        </row>
        <row r="1227">
          <cell r="S1227">
            <v>0</v>
          </cell>
        </row>
        <row r="1228">
          <cell r="S1228">
            <v>0</v>
          </cell>
        </row>
        <row r="1229">
          <cell r="S1229">
            <v>0</v>
          </cell>
        </row>
        <row r="1230">
          <cell r="S1230">
            <v>0</v>
          </cell>
        </row>
        <row r="1231">
          <cell r="S1231">
            <v>0</v>
          </cell>
        </row>
        <row r="1232">
          <cell r="S1232">
            <v>0</v>
          </cell>
        </row>
        <row r="1233">
          <cell r="S1233">
            <v>0</v>
          </cell>
        </row>
        <row r="1234">
          <cell r="S1234">
            <v>0</v>
          </cell>
        </row>
        <row r="1235">
          <cell r="S1235">
            <v>0</v>
          </cell>
        </row>
        <row r="1236">
          <cell r="S1236">
            <v>0</v>
          </cell>
        </row>
        <row r="1237">
          <cell r="S1237">
            <v>0</v>
          </cell>
        </row>
        <row r="1238">
          <cell r="S1238">
            <v>0</v>
          </cell>
        </row>
        <row r="1239">
          <cell r="S1239">
            <v>0</v>
          </cell>
        </row>
        <row r="1240">
          <cell r="S1240">
            <v>0</v>
          </cell>
        </row>
        <row r="1241">
          <cell r="S1241">
            <v>0</v>
          </cell>
        </row>
        <row r="1242">
          <cell r="S1242">
            <v>0</v>
          </cell>
        </row>
        <row r="1243">
          <cell r="S1243">
            <v>0</v>
          </cell>
        </row>
        <row r="1244">
          <cell r="S1244">
            <v>0</v>
          </cell>
        </row>
        <row r="1245">
          <cell r="S1245">
            <v>0</v>
          </cell>
        </row>
        <row r="1246">
          <cell r="S1246">
            <v>0</v>
          </cell>
        </row>
        <row r="1247">
          <cell r="S1247">
            <v>0</v>
          </cell>
        </row>
        <row r="1248">
          <cell r="S1248">
            <v>0</v>
          </cell>
        </row>
        <row r="1249">
          <cell r="S1249">
            <v>0</v>
          </cell>
        </row>
        <row r="1250">
          <cell r="S1250">
            <v>0</v>
          </cell>
        </row>
        <row r="1251">
          <cell r="S1251">
            <v>0</v>
          </cell>
        </row>
        <row r="1252">
          <cell r="S1252">
            <v>0</v>
          </cell>
        </row>
        <row r="1253">
          <cell r="S1253">
            <v>0</v>
          </cell>
        </row>
        <row r="1254">
          <cell r="S1254">
            <v>0</v>
          </cell>
        </row>
        <row r="1255">
          <cell r="S1255">
            <v>0</v>
          </cell>
        </row>
        <row r="1256">
          <cell r="S1256">
            <v>0</v>
          </cell>
        </row>
        <row r="1257">
          <cell r="S1257">
            <v>0</v>
          </cell>
        </row>
        <row r="1258">
          <cell r="S1258">
            <v>0</v>
          </cell>
        </row>
        <row r="1259">
          <cell r="S1259">
            <v>0</v>
          </cell>
        </row>
        <row r="1260">
          <cell r="S1260">
            <v>0</v>
          </cell>
        </row>
        <row r="1261">
          <cell r="S1261">
            <v>0</v>
          </cell>
        </row>
        <row r="1262">
          <cell r="S1262">
            <v>0</v>
          </cell>
        </row>
        <row r="1263">
          <cell r="S1263">
            <v>0</v>
          </cell>
        </row>
        <row r="1264">
          <cell r="S1264">
            <v>0</v>
          </cell>
        </row>
        <row r="1265">
          <cell r="S1265">
            <v>0</v>
          </cell>
        </row>
        <row r="1266">
          <cell r="S1266">
            <v>0</v>
          </cell>
        </row>
        <row r="1267">
          <cell r="S1267">
            <v>0</v>
          </cell>
        </row>
        <row r="1268">
          <cell r="S1268">
            <v>0</v>
          </cell>
        </row>
        <row r="1269">
          <cell r="S1269">
            <v>0</v>
          </cell>
        </row>
        <row r="1270">
          <cell r="S1270">
            <v>0</v>
          </cell>
        </row>
        <row r="1271">
          <cell r="S1271">
            <v>0</v>
          </cell>
        </row>
        <row r="1272">
          <cell r="S1272">
            <v>0</v>
          </cell>
        </row>
        <row r="1273">
          <cell r="S1273">
            <v>0</v>
          </cell>
        </row>
        <row r="1274">
          <cell r="S1274">
            <v>0</v>
          </cell>
        </row>
        <row r="1275">
          <cell r="S1275">
            <v>0</v>
          </cell>
        </row>
        <row r="1276">
          <cell r="S1276">
            <v>0</v>
          </cell>
        </row>
        <row r="1277">
          <cell r="S1277">
            <v>0</v>
          </cell>
        </row>
        <row r="1278">
          <cell r="S1278">
            <v>0</v>
          </cell>
        </row>
        <row r="1279">
          <cell r="S1279">
            <v>0</v>
          </cell>
        </row>
        <row r="1280">
          <cell r="S1280">
            <v>0</v>
          </cell>
        </row>
        <row r="1281">
          <cell r="S1281">
            <v>0</v>
          </cell>
        </row>
        <row r="1282">
          <cell r="S1282">
            <v>0</v>
          </cell>
        </row>
        <row r="1283">
          <cell r="S1283">
            <v>0</v>
          </cell>
        </row>
        <row r="1284">
          <cell r="S1284">
            <v>0</v>
          </cell>
        </row>
        <row r="1285">
          <cell r="S1285">
            <v>0</v>
          </cell>
        </row>
        <row r="1286">
          <cell r="S1286">
            <v>0</v>
          </cell>
        </row>
        <row r="1287">
          <cell r="S1287">
            <v>0</v>
          </cell>
        </row>
        <row r="1288">
          <cell r="S1288">
            <v>0</v>
          </cell>
        </row>
        <row r="1289">
          <cell r="S1289">
            <v>0</v>
          </cell>
        </row>
        <row r="1290">
          <cell r="S1290">
            <v>0</v>
          </cell>
        </row>
        <row r="1291">
          <cell r="S1291">
            <v>0</v>
          </cell>
        </row>
        <row r="1292">
          <cell r="S1292">
            <v>0</v>
          </cell>
        </row>
        <row r="1293">
          <cell r="S1293">
            <v>0</v>
          </cell>
        </row>
        <row r="1294">
          <cell r="S1294">
            <v>0</v>
          </cell>
        </row>
        <row r="1295">
          <cell r="S1295">
            <v>0</v>
          </cell>
        </row>
        <row r="1296">
          <cell r="S1296">
            <v>0</v>
          </cell>
        </row>
        <row r="1297">
          <cell r="S1297">
            <v>0</v>
          </cell>
        </row>
        <row r="1298">
          <cell r="S1298">
            <v>0</v>
          </cell>
        </row>
        <row r="1299">
          <cell r="S1299">
            <v>0</v>
          </cell>
        </row>
        <row r="1300">
          <cell r="S1300">
            <v>0</v>
          </cell>
        </row>
        <row r="1301">
          <cell r="S1301">
            <v>0</v>
          </cell>
        </row>
        <row r="1302">
          <cell r="S1302">
            <v>0</v>
          </cell>
        </row>
        <row r="1303">
          <cell r="S1303">
            <v>0</v>
          </cell>
        </row>
        <row r="1304">
          <cell r="S1304">
            <v>0</v>
          </cell>
        </row>
        <row r="1305">
          <cell r="S1305">
            <v>0</v>
          </cell>
        </row>
        <row r="1306">
          <cell r="S1306">
            <v>0</v>
          </cell>
        </row>
        <row r="1307">
          <cell r="S1307">
            <v>0</v>
          </cell>
        </row>
        <row r="1308">
          <cell r="S1308">
            <v>0</v>
          </cell>
        </row>
        <row r="1309">
          <cell r="S1309">
            <v>0</v>
          </cell>
        </row>
        <row r="1310">
          <cell r="S1310">
            <v>0</v>
          </cell>
        </row>
        <row r="1311">
          <cell r="S1311">
            <v>0</v>
          </cell>
        </row>
        <row r="1312">
          <cell r="S1312">
            <v>0</v>
          </cell>
        </row>
        <row r="1313">
          <cell r="S1313">
            <v>0</v>
          </cell>
        </row>
        <row r="1314">
          <cell r="S1314">
            <v>0</v>
          </cell>
        </row>
        <row r="1315">
          <cell r="S1315">
            <v>0</v>
          </cell>
        </row>
        <row r="1316">
          <cell r="S1316">
            <v>0</v>
          </cell>
        </row>
        <row r="1317">
          <cell r="S1317">
            <v>0</v>
          </cell>
        </row>
        <row r="1318">
          <cell r="S1318">
            <v>0</v>
          </cell>
        </row>
        <row r="1319">
          <cell r="S1319">
            <v>0</v>
          </cell>
        </row>
        <row r="1320">
          <cell r="S1320">
            <v>0</v>
          </cell>
        </row>
        <row r="1321">
          <cell r="S1321">
            <v>0</v>
          </cell>
        </row>
        <row r="1322">
          <cell r="S1322">
            <v>0</v>
          </cell>
        </row>
        <row r="1323">
          <cell r="S1323">
            <v>0</v>
          </cell>
        </row>
        <row r="1324">
          <cell r="S1324">
            <v>0</v>
          </cell>
        </row>
        <row r="1325">
          <cell r="S1325">
            <v>0</v>
          </cell>
        </row>
        <row r="1326">
          <cell r="S1326">
            <v>0</v>
          </cell>
        </row>
        <row r="1327">
          <cell r="S1327">
            <v>0</v>
          </cell>
        </row>
        <row r="1328">
          <cell r="S1328">
            <v>0</v>
          </cell>
        </row>
        <row r="1329">
          <cell r="S1329">
            <v>0</v>
          </cell>
        </row>
        <row r="1330">
          <cell r="S1330">
            <v>0</v>
          </cell>
        </row>
        <row r="1331">
          <cell r="S1331">
            <v>0</v>
          </cell>
        </row>
        <row r="1332">
          <cell r="S1332">
            <v>0</v>
          </cell>
        </row>
        <row r="1333">
          <cell r="S1333">
            <v>0</v>
          </cell>
        </row>
        <row r="1334">
          <cell r="S1334">
            <v>0</v>
          </cell>
        </row>
        <row r="1335">
          <cell r="S1335">
            <v>0</v>
          </cell>
        </row>
        <row r="1336">
          <cell r="S1336">
            <v>0</v>
          </cell>
        </row>
        <row r="1337">
          <cell r="S1337">
            <v>0</v>
          </cell>
        </row>
        <row r="1338">
          <cell r="S1338">
            <v>0</v>
          </cell>
        </row>
        <row r="1339">
          <cell r="S1339">
            <v>0</v>
          </cell>
        </row>
        <row r="1340">
          <cell r="S1340">
            <v>0</v>
          </cell>
        </row>
        <row r="1341">
          <cell r="S1341">
            <v>0</v>
          </cell>
        </row>
        <row r="1342">
          <cell r="S1342">
            <v>0</v>
          </cell>
        </row>
        <row r="1343">
          <cell r="S1343">
            <v>0</v>
          </cell>
        </row>
        <row r="1344">
          <cell r="S1344">
            <v>0</v>
          </cell>
        </row>
        <row r="1345">
          <cell r="S1345">
            <v>0</v>
          </cell>
        </row>
        <row r="1346">
          <cell r="S1346">
            <v>0</v>
          </cell>
        </row>
        <row r="1347">
          <cell r="S1347">
            <v>0</v>
          </cell>
        </row>
        <row r="1348">
          <cell r="S1348">
            <v>0</v>
          </cell>
        </row>
        <row r="1349">
          <cell r="S1349">
            <v>0</v>
          </cell>
        </row>
        <row r="1350">
          <cell r="S1350">
            <v>0</v>
          </cell>
        </row>
        <row r="1351">
          <cell r="S1351">
            <v>0</v>
          </cell>
        </row>
        <row r="1352">
          <cell r="S1352">
            <v>0</v>
          </cell>
        </row>
        <row r="1353">
          <cell r="S1353">
            <v>0</v>
          </cell>
        </row>
        <row r="1354">
          <cell r="S1354">
            <v>0</v>
          </cell>
        </row>
        <row r="1355">
          <cell r="S1355">
            <v>0</v>
          </cell>
        </row>
        <row r="1356">
          <cell r="S1356">
            <v>0</v>
          </cell>
        </row>
        <row r="1357">
          <cell r="S1357">
            <v>0</v>
          </cell>
        </row>
        <row r="1358">
          <cell r="S1358">
            <v>0</v>
          </cell>
        </row>
        <row r="1359">
          <cell r="S1359">
            <v>0</v>
          </cell>
        </row>
        <row r="1360">
          <cell r="S1360">
            <v>0</v>
          </cell>
        </row>
        <row r="1361">
          <cell r="S1361">
            <v>0</v>
          </cell>
        </row>
        <row r="1362">
          <cell r="S1362">
            <v>0</v>
          </cell>
        </row>
        <row r="1363">
          <cell r="S1363">
            <v>0</v>
          </cell>
        </row>
        <row r="1364">
          <cell r="S1364">
            <v>0</v>
          </cell>
        </row>
        <row r="1365">
          <cell r="S1365">
            <v>0</v>
          </cell>
        </row>
        <row r="1366">
          <cell r="S1366">
            <v>0</v>
          </cell>
        </row>
        <row r="1367">
          <cell r="S1367">
            <v>0</v>
          </cell>
        </row>
        <row r="1368">
          <cell r="S1368">
            <v>0</v>
          </cell>
        </row>
        <row r="1369">
          <cell r="S1369">
            <v>0</v>
          </cell>
        </row>
        <row r="1370">
          <cell r="S1370">
            <v>0</v>
          </cell>
        </row>
        <row r="1371">
          <cell r="S1371">
            <v>0</v>
          </cell>
        </row>
        <row r="1372">
          <cell r="S1372">
            <v>0</v>
          </cell>
        </row>
        <row r="1373">
          <cell r="S1373">
            <v>0</v>
          </cell>
        </row>
        <row r="1374">
          <cell r="S1374">
            <v>0</v>
          </cell>
        </row>
        <row r="1375">
          <cell r="S1375">
            <v>0</v>
          </cell>
        </row>
        <row r="1376">
          <cell r="S1376">
            <v>0</v>
          </cell>
        </row>
        <row r="1377">
          <cell r="S1377">
            <v>0</v>
          </cell>
        </row>
        <row r="1378">
          <cell r="S1378">
            <v>0</v>
          </cell>
        </row>
        <row r="1379">
          <cell r="S1379">
            <v>0</v>
          </cell>
        </row>
        <row r="1380">
          <cell r="S1380">
            <v>0</v>
          </cell>
        </row>
        <row r="1381">
          <cell r="S1381">
            <v>0</v>
          </cell>
        </row>
        <row r="1382">
          <cell r="S1382">
            <v>0</v>
          </cell>
        </row>
        <row r="1383">
          <cell r="S1383">
            <v>0</v>
          </cell>
        </row>
        <row r="1384">
          <cell r="S1384">
            <v>0</v>
          </cell>
        </row>
        <row r="1385">
          <cell r="S1385">
            <v>0</v>
          </cell>
        </row>
        <row r="1386">
          <cell r="S1386">
            <v>0</v>
          </cell>
        </row>
        <row r="1387">
          <cell r="S1387">
            <v>0</v>
          </cell>
        </row>
        <row r="1388">
          <cell r="S1388">
            <v>0</v>
          </cell>
        </row>
        <row r="1389">
          <cell r="S1389">
            <v>0</v>
          </cell>
        </row>
        <row r="1390">
          <cell r="S1390">
            <v>0</v>
          </cell>
        </row>
        <row r="1391">
          <cell r="S1391">
            <v>0</v>
          </cell>
        </row>
        <row r="1392">
          <cell r="S1392">
            <v>0</v>
          </cell>
        </row>
        <row r="1393">
          <cell r="S1393">
            <v>0</v>
          </cell>
        </row>
        <row r="1394">
          <cell r="S1394">
            <v>0</v>
          </cell>
        </row>
        <row r="1395">
          <cell r="S1395">
            <v>0</v>
          </cell>
        </row>
        <row r="1396">
          <cell r="S1396">
            <v>0</v>
          </cell>
        </row>
        <row r="1397">
          <cell r="S1397">
            <v>0</v>
          </cell>
        </row>
        <row r="1398">
          <cell r="S1398">
            <v>0</v>
          </cell>
        </row>
        <row r="1399">
          <cell r="S1399">
            <v>0</v>
          </cell>
        </row>
        <row r="1400">
          <cell r="S1400">
            <v>0</v>
          </cell>
        </row>
        <row r="1401">
          <cell r="S1401">
            <v>0</v>
          </cell>
        </row>
        <row r="1402">
          <cell r="S1402">
            <v>0</v>
          </cell>
        </row>
        <row r="1403">
          <cell r="S1403">
            <v>0</v>
          </cell>
        </row>
        <row r="1404">
          <cell r="S1404">
            <v>0</v>
          </cell>
        </row>
        <row r="1405">
          <cell r="S1405">
            <v>0</v>
          </cell>
        </row>
        <row r="1406">
          <cell r="S1406">
            <v>0</v>
          </cell>
        </row>
        <row r="1407">
          <cell r="S1407">
            <v>0</v>
          </cell>
        </row>
        <row r="1408">
          <cell r="S1408">
            <v>0</v>
          </cell>
        </row>
        <row r="1409">
          <cell r="S1409">
            <v>0</v>
          </cell>
        </row>
        <row r="1410">
          <cell r="S1410">
            <v>0</v>
          </cell>
        </row>
        <row r="1411">
          <cell r="S1411">
            <v>0</v>
          </cell>
        </row>
        <row r="1412">
          <cell r="S1412">
            <v>0</v>
          </cell>
        </row>
        <row r="1413">
          <cell r="S1413">
            <v>0</v>
          </cell>
        </row>
        <row r="1414">
          <cell r="S1414">
            <v>0</v>
          </cell>
        </row>
        <row r="1415">
          <cell r="S1415">
            <v>0</v>
          </cell>
        </row>
        <row r="1416">
          <cell r="S1416">
            <v>0</v>
          </cell>
        </row>
        <row r="1417">
          <cell r="S1417">
            <v>0</v>
          </cell>
        </row>
        <row r="1418">
          <cell r="S1418">
            <v>0</v>
          </cell>
        </row>
        <row r="1419">
          <cell r="S1419">
            <v>0</v>
          </cell>
        </row>
        <row r="1420">
          <cell r="S1420">
            <v>0</v>
          </cell>
        </row>
        <row r="1421">
          <cell r="S1421">
            <v>0</v>
          </cell>
        </row>
        <row r="1422">
          <cell r="S1422">
            <v>0</v>
          </cell>
        </row>
        <row r="1423">
          <cell r="S1423">
            <v>0</v>
          </cell>
        </row>
        <row r="1424">
          <cell r="S1424">
            <v>0</v>
          </cell>
        </row>
        <row r="1425">
          <cell r="S1425">
            <v>0</v>
          </cell>
        </row>
        <row r="1426">
          <cell r="S1426">
            <v>0</v>
          </cell>
        </row>
        <row r="1427">
          <cell r="S1427">
            <v>0</v>
          </cell>
        </row>
        <row r="1428">
          <cell r="S1428">
            <v>0</v>
          </cell>
        </row>
        <row r="1429">
          <cell r="S1429">
            <v>0</v>
          </cell>
        </row>
        <row r="1430">
          <cell r="S1430">
            <v>0</v>
          </cell>
        </row>
        <row r="1431">
          <cell r="S1431">
            <v>0</v>
          </cell>
        </row>
        <row r="1432">
          <cell r="S1432">
            <v>0</v>
          </cell>
        </row>
        <row r="1433">
          <cell r="S1433">
            <v>0</v>
          </cell>
        </row>
        <row r="1434">
          <cell r="S1434">
            <v>0</v>
          </cell>
        </row>
        <row r="1435">
          <cell r="S1435">
            <v>0</v>
          </cell>
        </row>
        <row r="1436">
          <cell r="S1436">
            <v>0</v>
          </cell>
        </row>
        <row r="1437">
          <cell r="S1437">
            <v>0</v>
          </cell>
        </row>
        <row r="1438">
          <cell r="S1438">
            <v>0</v>
          </cell>
        </row>
        <row r="1439">
          <cell r="S1439">
            <v>0</v>
          </cell>
        </row>
        <row r="1440">
          <cell r="S1440">
            <v>0</v>
          </cell>
        </row>
        <row r="1441">
          <cell r="S1441">
            <v>0</v>
          </cell>
        </row>
        <row r="1442">
          <cell r="S1442">
            <v>0</v>
          </cell>
        </row>
        <row r="1443">
          <cell r="S1443">
            <v>0</v>
          </cell>
        </row>
        <row r="1444">
          <cell r="S1444">
            <v>0</v>
          </cell>
        </row>
        <row r="1445">
          <cell r="S1445">
            <v>0</v>
          </cell>
        </row>
        <row r="1446">
          <cell r="S1446">
            <v>0</v>
          </cell>
        </row>
        <row r="1447">
          <cell r="S1447">
            <v>0</v>
          </cell>
        </row>
        <row r="1448">
          <cell r="S1448">
            <v>0</v>
          </cell>
        </row>
        <row r="1449">
          <cell r="S1449">
            <v>0</v>
          </cell>
        </row>
        <row r="1450">
          <cell r="S1450">
            <v>0</v>
          </cell>
        </row>
        <row r="1451">
          <cell r="S1451">
            <v>0</v>
          </cell>
        </row>
        <row r="1452">
          <cell r="S1452">
            <v>0</v>
          </cell>
        </row>
        <row r="1453">
          <cell r="S1453">
            <v>0</v>
          </cell>
        </row>
        <row r="1454">
          <cell r="S1454">
            <v>0</v>
          </cell>
        </row>
        <row r="1455">
          <cell r="S1455">
            <v>0</v>
          </cell>
        </row>
        <row r="1456">
          <cell r="S1456">
            <v>0</v>
          </cell>
        </row>
        <row r="1457">
          <cell r="S1457">
            <v>0</v>
          </cell>
        </row>
        <row r="1458">
          <cell r="S1458">
            <v>0</v>
          </cell>
        </row>
        <row r="1459">
          <cell r="S1459">
            <v>0</v>
          </cell>
        </row>
        <row r="1460">
          <cell r="S1460">
            <v>0</v>
          </cell>
        </row>
        <row r="1461">
          <cell r="S1461">
            <v>0</v>
          </cell>
        </row>
        <row r="1462">
          <cell r="S1462">
            <v>0</v>
          </cell>
        </row>
        <row r="1463">
          <cell r="S1463">
            <v>0</v>
          </cell>
        </row>
        <row r="1464">
          <cell r="S1464">
            <v>0</v>
          </cell>
        </row>
        <row r="1465">
          <cell r="S1465">
            <v>0</v>
          </cell>
        </row>
        <row r="1466">
          <cell r="S1466">
            <v>0</v>
          </cell>
        </row>
        <row r="1467">
          <cell r="S1467">
            <v>0</v>
          </cell>
        </row>
        <row r="1468">
          <cell r="S1468">
            <v>0</v>
          </cell>
        </row>
        <row r="1469">
          <cell r="S1469">
            <v>0</v>
          </cell>
        </row>
        <row r="1470">
          <cell r="S1470">
            <v>0</v>
          </cell>
        </row>
        <row r="1471">
          <cell r="S1471">
            <v>0</v>
          </cell>
        </row>
        <row r="1472">
          <cell r="S1472">
            <v>0</v>
          </cell>
        </row>
        <row r="1473">
          <cell r="S1473">
            <v>0</v>
          </cell>
        </row>
        <row r="1474">
          <cell r="S1474">
            <v>0</v>
          </cell>
        </row>
        <row r="1475">
          <cell r="S1475">
            <v>0</v>
          </cell>
        </row>
        <row r="1476">
          <cell r="S1476">
            <v>0</v>
          </cell>
        </row>
        <row r="1477">
          <cell r="S1477">
            <v>0</v>
          </cell>
        </row>
        <row r="1478">
          <cell r="S1478">
            <v>0</v>
          </cell>
        </row>
        <row r="1479">
          <cell r="S1479">
            <v>0</v>
          </cell>
        </row>
        <row r="1480">
          <cell r="S1480">
            <v>0</v>
          </cell>
        </row>
        <row r="1481">
          <cell r="S1481">
            <v>0</v>
          </cell>
        </row>
        <row r="1482">
          <cell r="S1482">
            <v>0</v>
          </cell>
        </row>
        <row r="1483">
          <cell r="S1483">
            <v>0</v>
          </cell>
        </row>
        <row r="1484">
          <cell r="S1484">
            <v>0</v>
          </cell>
        </row>
        <row r="1485">
          <cell r="S1485">
            <v>0</v>
          </cell>
        </row>
        <row r="1486">
          <cell r="S1486">
            <v>0</v>
          </cell>
        </row>
        <row r="1487">
          <cell r="S1487">
            <v>0</v>
          </cell>
        </row>
        <row r="1488">
          <cell r="S1488">
            <v>0</v>
          </cell>
        </row>
        <row r="1489">
          <cell r="S1489">
            <v>0</v>
          </cell>
        </row>
        <row r="1490">
          <cell r="S1490">
            <v>0</v>
          </cell>
        </row>
        <row r="1491">
          <cell r="S1491">
            <v>0</v>
          </cell>
        </row>
        <row r="1492">
          <cell r="S1492">
            <v>0</v>
          </cell>
        </row>
        <row r="1493">
          <cell r="S1493">
            <v>0</v>
          </cell>
        </row>
        <row r="1494">
          <cell r="S1494">
            <v>0</v>
          </cell>
        </row>
        <row r="1495">
          <cell r="S1495">
            <v>0</v>
          </cell>
        </row>
        <row r="1496">
          <cell r="S1496">
            <v>0</v>
          </cell>
        </row>
        <row r="1497">
          <cell r="S1497">
            <v>0</v>
          </cell>
        </row>
        <row r="1498">
          <cell r="S1498">
            <v>0</v>
          </cell>
        </row>
        <row r="1499">
          <cell r="S1499">
            <v>0</v>
          </cell>
        </row>
        <row r="1500">
          <cell r="S1500">
            <v>0</v>
          </cell>
        </row>
        <row r="1501">
          <cell r="S1501">
            <v>0</v>
          </cell>
        </row>
        <row r="1502">
          <cell r="S1502">
            <v>0</v>
          </cell>
        </row>
        <row r="1503">
          <cell r="S1503">
            <v>0</v>
          </cell>
        </row>
        <row r="1504">
          <cell r="S1504">
            <v>0</v>
          </cell>
        </row>
        <row r="1505">
          <cell r="S1505">
            <v>0</v>
          </cell>
        </row>
        <row r="1506">
          <cell r="S1506">
            <v>0</v>
          </cell>
        </row>
        <row r="1507">
          <cell r="S1507">
            <v>0</v>
          </cell>
        </row>
        <row r="1508">
          <cell r="S1508">
            <v>0</v>
          </cell>
        </row>
        <row r="1509">
          <cell r="S1509">
            <v>0</v>
          </cell>
        </row>
        <row r="1510">
          <cell r="S1510">
            <v>0</v>
          </cell>
        </row>
        <row r="1511">
          <cell r="S1511">
            <v>0</v>
          </cell>
        </row>
        <row r="1512">
          <cell r="S1512">
            <v>0</v>
          </cell>
        </row>
        <row r="1513">
          <cell r="S1513">
            <v>0</v>
          </cell>
        </row>
        <row r="1514">
          <cell r="S1514">
            <v>0</v>
          </cell>
        </row>
        <row r="1515">
          <cell r="S1515">
            <v>0</v>
          </cell>
        </row>
        <row r="1516">
          <cell r="S1516">
            <v>0</v>
          </cell>
        </row>
        <row r="1517">
          <cell r="S1517">
            <v>0</v>
          </cell>
        </row>
        <row r="1518">
          <cell r="S1518">
            <v>0</v>
          </cell>
        </row>
        <row r="1519">
          <cell r="S1519">
            <v>0</v>
          </cell>
        </row>
        <row r="1520">
          <cell r="S1520">
            <v>0</v>
          </cell>
        </row>
        <row r="1521">
          <cell r="S1521">
            <v>0</v>
          </cell>
        </row>
        <row r="1522">
          <cell r="S1522">
            <v>0</v>
          </cell>
        </row>
        <row r="1523">
          <cell r="S1523">
            <v>0</v>
          </cell>
        </row>
        <row r="1524">
          <cell r="S1524">
            <v>0</v>
          </cell>
        </row>
        <row r="1525">
          <cell r="S1525">
            <v>0</v>
          </cell>
        </row>
        <row r="1526">
          <cell r="S1526">
            <v>0</v>
          </cell>
        </row>
        <row r="1527">
          <cell r="S1527">
            <v>0</v>
          </cell>
        </row>
        <row r="1528">
          <cell r="S1528">
            <v>0</v>
          </cell>
        </row>
        <row r="1529">
          <cell r="S1529">
            <v>0</v>
          </cell>
        </row>
        <row r="1530">
          <cell r="S1530">
            <v>0</v>
          </cell>
        </row>
        <row r="1531">
          <cell r="S1531">
            <v>0</v>
          </cell>
        </row>
        <row r="1532">
          <cell r="S1532">
            <v>0</v>
          </cell>
        </row>
        <row r="1533">
          <cell r="S1533">
            <v>0</v>
          </cell>
        </row>
        <row r="1534">
          <cell r="S1534">
            <v>0</v>
          </cell>
        </row>
        <row r="1535">
          <cell r="S1535">
            <v>0</v>
          </cell>
        </row>
        <row r="1536">
          <cell r="S1536">
            <v>0</v>
          </cell>
        </row>
        <row r="1537">
          <cell r="S1537">
            <v>0</v>
          </cell>
        </row>
        <row r="1538">
          <cell r="S1538">
            <v>0</v>
          </cell>
        </row>
        <row r="1539">
          <cell r="S1539">
            <v>0</v>
          </cell>
        </row>
        <row r="1540">
          <cell r="S1540">
            <v>0</v>
          </cell>
        </row>
        <row r="1541">
          <cell r="S1541">
            <v>0</v>
          </cell>
        </row>
        <row r="1542">
          <cell r="S1542">
            <v>0</v>
          </cell>
        </row>
        <row r="1543">
          <cell r="S1543">
            <v>0</v>
          </cell>
        </row>
        <row r="1544">
          <cell r="S1544">
            <v>0</v>
          </cell>
        </row>
        <row r="1545">
          <cell r="S1545">
            <v>0</v>
          </cell>
        </row>
        <row r="1546">
          <cell r="S1546">
            <v>0</v>
          </cell>
        </row>
        <row r="1547">
          <cell r="S1547">
            <v>0</v>
          </cell>
        </row>
        <row r="1548">
          <cell r="S1548">
            <v>0</v>
          </cell>
        </row>
        <row r="1549">
          <cell r="S1549">
            <v>0</v>
          </cell>
        </row>
        <row r="1550">
          <cell r="S1550">
            <v>0</v>
          </cell>
        </row>
        <row r="1551">
          <cell r="S1551">
            <v>0</v>
          </cell>
        </row>
        <row r="1552">
          <cell r="S1552">
            <v>0</v>
          </cell>
        </row>
        <row r="1553">
          <cell r="S1553">
            <v>0</v>
          </cell>
        </row>
        <row r="1554">
          <cell r="S1554">
            <v>0</v>
          </cell>
        </row>
        <row r="1555">
          <cell r="S1555">
            <v>0</v>
          </cell>
        </row>
        <row r="1556">
          <cell r="S1556">
            <v>0</v>
          </cell>
        </row>
        <row r="1557">
          <cell r="S1557">
            <v>0</v>
          </cell>
        </row>
        <row r="1558">
          <cell r="S1558">
            <v>0</v>
          </cell>
        </row>
        <row r="1559">
          <cell r="S1559">
            <v>0</v>
          </cell>
        </row>
        <row r="1560">
          <cell r="S1560">
            <v>0</v>
          </cell>
        </row>
        <row r="1561">
          <cell r="S1561">
            <v>0</v>
          </cell>
        </row>
        <row r="1562">
          <cell r="S1562">
            <v>0</v>
          </cell>
        </row>
        <row r="1563">
          <cell r="S1563">
            <v>0</v>
          </cell>
        </row>
        <row r="1564">
          <cell r="S1564">
            <v>0</v>
          </cell>
        </row>
        <row r="1565">
          <cell r="S1565">
            <v>0</v>
          </cell>
        </row>
        <row r="1566">
          <cell r="S1566">
            <v>0</v>
          </cell>
        </row>
        <row r="1567">
          <cell r="S1567">
            <v>0</v>
          </cell>
        </row>
        <row r="1568">
          <cell r="S1568">
            <v>0</v>
          </cell>
        </row>
        <row r="1569">
          <cell r="S1569">
            <v>0</v>
          </cell>
        </row>
        <row r="1570">
          <cell r="S1570">
            <v>0</v>
          </cell>
        </row>
        <row r="1571">
          <cell r="S1571">
            <v>0</v>
          </cell>
        </row>
        <row r="1572">
          <cell r="S1572">
            <v>0</v>
          </cell>
        </row>
        <row r="1573">
          <cell r="S1573">
            <v>0</v>
          </cell>
        </row>
        <row r="1574">
          <cell r="S1574">
            <v>0</v>
          </cell>
        </row>
        <row r="1575">
          <cell r="S1575">
            <v>0</v>
          </cell>
        </row>
        <row r="1576">
          <cell r="S1576">
            <v>0</v>
          </cell>
        </row>
        <row r="1577">
          <cell r="S1577">
            <v>0</v>
          </cell>
        </row>
        <row r="1578">
          <cell r="S1578">
            <v>0</v>
          </cell>
        </row>
        <row r="1579">
          <cell r="S1579">
            <v>0</v>
          </cell>
        </row>
        <row r="1580">
          <cell r="S1580">
            <v>0</v>
          </cell>
        </row>
        <row r="1581">
          <cell r="S1581">
            <v>0</v>
          </cell>
        </row>
        <row r="1582">
          <cell r="S1582">
            <v>0</v>
          </cell>
        </row>
        <row r="1583">
          <cell r="S1583">
            <v>0</v>
          </cell>
        </row>
        <row r="1584">
          <cell r="S1584">
            <v>0</v>
          </cell>
        </row>
        <row r="1585">
          <cell r="S1585">
            <v>0</v>
          </cell>
        </row>
        <row r="1586">
          <cell r="S1586">
            <v>0</v>
          </cell>
        </row>
        <row r="1587">
          <cell r="S1587">
            <v>0</v>
          </cell>
        </row>
        <row r="1588">
          <cell r="S1588">
            <v>0</v>
          </cell>
        </row>
        <row r="1589">
          <cell r="S1589">
            <v>0</v>
          </cell>
        </row>
        <row r="1590">
          <cell r="S1590">
            <v>0</v>
          </cell>
        </row>
        <row r="1591">
          <cell r="S1591">
            <v>0</v>
          </cell>
        </row>
        <row r="1592">
          <cell r="S1592">
            <v>0</v>
          </cell>
        </row>
        <row r="1593">
          <cell r="S1593">
            <v>0</v>
          </cell>
        </row>
        <row r="1594">
          <cell r="S1594">
            <v>0</v>
          </cell>
        </row>
        <row r="1595">
          <cell r="S1595">
            <v>0</v>
          </cell>
        </row>
        <row r="1596">
          <cell r="S1596">
            <v>0</v>
          </cell>
        </row>
        <row r="1597">
          <cell r="S1597">
            <v>0</v>
          </cell>
        </row>
        <row r="1598">
          <cell r="S1598">
            <v>0</v>
          </cell>
        </row>
        <row r="1599">
          <cell r="S1599">
            <v>0</v>
          </cell>
        </row>
        <row r="1600">
          <cell r="S1600">
            <v>0</v>
          </cell>
        </row>
        <row r="1601">
          <cell r="S1601">
            <v>0</v>
          </cell>
        </row>
        <row r="1602">
          <cell r="S1602">
            <v>0</v>
          </cell>
        </row>
        <row r="1603">
          <cell r="S1603">
            <v>0</v>
          </cell>
        </row>
        <row r="1604">
          <cell r="S1604">
            <v>0</v>
          </cell>
        </row>
        <row r="1605">
          <cell r="S1605">
            <v>0</v>
          </cell>
        </row>
        <row r="1606">
          <cell r="S1606">
            <v>0</v>
          </cell>
        </row>
        <row r="1607">
          <cell r="S1607">
            <v>0</v>
          </cell>
        </row>
        <row r="1608">
          <cell r="S1608">
            <v>0</v>
          </cell>
        </row>
        <row r="1609">
          <cell r="S1609">
            <v>0</v>
          </cell>
        </row>
        <row r="1610">
          <cell r="S1610">
            <v>0</v>
          </cell>
        </row>
        <row r="1611">
          <cell r="S1611">
            <v>0</v>
          </cell>
        </row>
        <row r="1612">
          <cell r="S1612">
            <v>0</v>
          </cell>
        </row>
        <row r="1613">
          <cell r="S1613">
            <v>0</v>
          </cell>
        </row>
        <row r="1614">
          <cell r="S1614">
            <v>0</v>
          </cell>
        </row>
        <row r="1615">
          <cell r="S1615">
            <v>0</v>
          </cell>
        </row>
        <row r="1616">
          <cell r="S1616">
            <v>0</v>
          </cell>
        </row>
        <row r="1617">
          <cell r="S1617">
            <v>0</v>
          </cell>
        </row>
        <row r="1618">
          <cell r="S1618">
            <v>0</v>
          </cell>
        </row>
        <row r="1619">
          <cell r="S1619">
            <v>0</v>
          </cell>
        </row>
        <row r="1620">
          <cell r="S1620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3">
          <cell r="S1623">
            <v>0</v>
          </cell>
        </row>
        <row r="1624">
          <cell r="S1624">
            <v>0</v>
          </cell>
        </row>
        <row r="1625">
          <cell r="S1625">
            <v>0</v>
          </cell>
        </row>
        <row r="1626">
          <cell r="S1626">
            <v>0</v>
          </cell>
        </row>
        <row r="1627">
          <cell r="S1627">
            <v>0</v>
          </cell>
        </row>
        <row r="1628">
          <cell r="S1628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1">
          <cell r="S1631">
            <v>0</v>
          </cell>
        </row>
        <row r="1632">
          <cell r="S1632">
            <v>0</v>
          </cell>
        </row>
        <row r="1633">
          <cell r="S1633">
            <v>0</v>
          </cell>
        </row>
        <row r="1634">
          <cell r="S1634">
            <v>0</v>
          </cell>
        </row>
        <row r="1635">
          <cell r="S1635">
            <v>0</v>
          </cell>
        </row>
        <row r="1636">
          <cell r="S1636">
            <v>0</v>
          </cell>
        </row>
        <row r="1637">
          <cell r="S1637">
            <v>0</v>
          </cell>
        </row>
        <row r="1638">
          <cell r="S1638">
            <v>0</v>
          </cell>
        </row>
        <row r="1639">
          <cell r="S1639">
            <v>0</v>
          </cell>
        </row>
        <row r="1640">
          <cell r="S1640">
            <v>0</v>
          </cell>
        </row>
        <row r="1641">
          <cell r="S1641">
            <v>0</v>
          </cell>
        </row>
        <row r="1642">
          <cell r="S1642">
            <v>0</v>
          </cell>
        </row>
        <row r="1643">
          <cell r="S1643">
            <v>0</v>
          </cell>
        </row>
        <row r="1644">
          <cell r="S1644">
            <v>0</v>
          </cell>
        </row>
        <row r="1645">
          <cell r="S1645">
            <v>0</v>
          </cell>
        </row>
        <row r="1646">
          <cell r="S1646">
            <v>0</v>
          </cell>
        </row>
        <row r="1647">
          <cell r="S1647">
            <v>0</v>
          </cell>
        </row>
        <row r="1648">
          <cell r="S1648">
            <v>0</v>
          </cell>
        </row>
        <row r="1649">
          <cell r="S1649">
            <v>0</v>
          </cell>
        </row>
        <row r="1650">
          <cell r="S1650">
            <v>0</v>
          </cell>
        </row>
        <row r="1651">
          <cell r="S1651">
            <v>0</v>
          </cell>
        </row>
        <row r="1652">
          <cell r="S1652">
            <v>0</v>
          </cell>
        </row>
        <row r="1653">
          <cell r="S1653">
            <v>0</v>
          </cell>
        </row>
        <row r="1654">
          <cell r="S1654">
            <v>0</v>
          </cell>
        </row>
        <row r="1655">
          <cell r="S1655">
            <v>0</v>
          </cell>
        </row>
        <row r="1656">
          <cell r="S1656">
            <v>0</v>
          </cell>
        </row>
        <row r="1657">
          <cell r="S1657">
            <v>0</v>
          </cell>
        </row>
        <row r="1658">
          <cell r="S1658">
            <v>0</v>
          </cell>
        </row>
        <row r="1659">
          <cell r="S1659">
            <v>0</v>
          </cell>
        </row>
        <row r="1660">
          <cell r="S1660">
            <v>0</v>
          </cell>
        </row>
        <row r="1661">
          <cell r="S1661">
            <v>0</v>
          </cell>
        </row>
        <row r="1662">
          <cell r="S1662">
            <v>0</v>
          </cell>
        </row>
        <row r="1663">
          <cell r="S1663">
            <v>0</v>
          </cell>
        </row>
        <row r="1664">
          <cell r="S1664">
            <v>0</v>
          </cell>
        </row>
        <row r="1665">
          <cell r="S1665">
            <v>0</v>
          </cell>
        </row>
        <row r="1666">
          <cell r="S1666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69">
          <cell r="S1669">
            <v>0</v>
          </cell>
        </row>
        <row r="1670">
          <cell r="S1670">
            <v>0</v>
          </cell>
        </row>
        <row r="1671">
          <cell r="S1671">
            <v>0</v>
          </cell>
        </row>
        <row r="1672">
          <cell r="S1672">
            <v>0</v>
          </cell>
        </row>
        <row r="1673">
          <cell r="S1673">
            <v>0</v>
          </cell>
        </row>
        <row r="1674">
          <cell r="S1674">
            <v>0</v>
          </cell>
        </row>
        <row r="1675">
          <cell r="S1675">
            <v>0</v>
          </cell>
        </row>
        <row r="1676">
          <cell r="S1676">
            <v>0</v>
          </cell>
        </row>
        <row r="1677">
          <cell r="S1677">
            <v>0</v>
          </cell>
        </row>
        <row r="1678">
          <cell r="S1678">
            <v>0</v>
          </cell>
        </row>
        <row r="1679">
          <cell r="S1679">
            <v>0</v>
          </cell>
        </row>
        <row r="1680">
          <cell r="S1680">
            <v>0</v>
          </cell>
        </row>
        <row r="1681">
          <cell r="S1681">
            <v>0</v>
          </cell>
        </row>
        <row r="1682">
          <cell r="S1682">
            <v>0</v>
          </cell>
        </row>
        <row r="1683">
          <cell r="S1683">
            <v>0</v>
          </cell>
        </row>
        <row r="1684">
          <cell r="S1684">
            <v>0</v>
          </cell>
        </row>
        <row r="1685">
          <cell r="S1685">
            <v>0</v>
          </cell>
        </row>
        <row r="1686">
          <cell r="S1686">
            <v>0</v>
          </cell>
        </row>
        <row r="1687">
          <cell r="S1687">
            <v>0</v>
          </cell>
        </row>
        <row r="1688">
          <cell r="S1688">
            <v>0</v>
          </cell>
        </row>
        <row r="1689">
          <cell r="S1689">
            <v>0</v>
          </cell>
        </row>
        <row r="1690">
          <cell r="S1690">
            <v>0</v>
          </cell>
        </row>
        <row r="1691">
          <cell r="S1691">
            <v>0</v>
          </cell>
        </row>
        <row r="1692">
          <cell r="S1692">
            <v>0</v>
          </cell>
        </row>
        <row r="1693">
          <cell r="S1693">
            <v>0</v>
          </cell>
        </row>
        <row r="1694">
          <cell r="S1694">
            <v>0</v>
          </cell>
        </row>
        <row r="1695">
          <cell r="S1695">
            <v>0</v>
          </cell>
        </row>
        <row r="1696">
          <cell r="S1696">
            <v>0</v>
          </cell>
        </row>
        <row r="1697">
          <cell r="S1697">
            <v>0</v>
          </cell>
        </row>
        <row r="1698">
          <cell r="S1698">
            <v>0</v>
          </cell>
        </row>
        <row r="1699">
          <cell r="S1699">
            <v>0</v>
          </cell>
        </row>
        <row r="1700">
          <cell r="S1700">
            <v>0</v>
          </cell>
        </row>
        <row r="1701">
          <cell r="S1701">
            <v>0</v>
          </cell>
        </row>
        <row r="1702">
          <cell r="S1702">
            <v>0</v>
          </cell>
        </row>
        <row r="1703">
          <cell r="S1703">
            <v>0</v>
          </cell>
        </row>
        <row r="1704">
          <cell r="S1704">
            <v>0</v>
          </cell>
        </row>
        <row r="1705">
          <cell r="S1705">
            <v>0</v>
          </cell>
        </row>
        <row r="1706">
          <cell r="S1706">
            <v>0</v>
          </cell>
        </row>
        <row r="1707">
          <cell r="S1707">
            <v>0</v>
          </cell>
        </row>
        <row r="1708">
          <cell r="S1708">
            <v>0</v>
          </cell>
        </row>
        <row r="1709">
          <cell r="S1709">
            <v>0</v>
          </cell>
        </row>
        <row r="1710">
          <cell r="S1710">
            <v>0</v>
          </cell>
        </row>
        <row r="1711">
          <cell r="S1711">
            <v>0</v>
          </cell>
        </row>
        <row r="1712">
          <cell r="S1712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15">
          <cell r="S1715">
            <v>0</v>
          </cell>
        </row>
        <row r="1716">
          <cell r="S1716">
            <v>0</v>
          </cell>
        </row>
        <row r="1717">
          <cell r="S1717">
            <v>0</v>
          </cell>
        </row>
        <row r="1718">
          <cell r="S1718">
            <v>0</v>
          </cell>
        </row>
        <row r="1719">
          <cell r="S1719">
            <v>0</v>
          </cell>
        </row>
        <row r="1720">
          <cell r="S1720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3">
          <cell r="S1723">
            <v>0</v>
          </cell>
        </row>
        <row r="1724">
          <cell r="S1724">
            <v>0</v>
          </cell>
        </row>
        <row r="1725">
          <cell r="S1725">
            <v>0</v>
          </cell>
        </row>
        <row r="1726">
          <cell r="S1726">
            <v>0</v>
          </cell>
        </row>
        <row r="1727">
          <cell r="S1727">
            <v>0</v>
          </cell>
        </row>
        <row r="1728">
          <cell r="S1728">
            <v>0</v>
          </cell>
        </row>
        <row r="1729">
          <cell r="S1729">
            <v>0</v>
          </cell>
        </row>
        <row r="1730">
          <cell r="S1730">
            <v>0</v>
          </cell>
        </row>
        <row r="1731">
          <cell r="S1731">
            <v>0</v>
          </cell>
        </row>
        <row r="1732">
          <cell r="S1732">
            <v>0</v>
          </cell>
        </row>
        <row r="1733">
          <cell r="S1733">
            <v>0</v>
          </cell>
        </row>
        <row r="1734">
          <cell r="S1734">
            <v>0</v>
          </cell>
        </row>
        <row r="1735">
          <cell r="S1735">
            <v>0</v>
          </cell>
        </row>
        <row r="1736">
          <cell r="S1736">
            <v>0</v>
          </cell>
        </row>
        <row r="1737">
          <cell r="S1737">
            <v>0</v>
          </cell>
        </row>
        <row r="1738">
          <cell r="S1738">
            <v>0</v>
          </cell>
        </row>
        <row r="1739">
          <cell r="S1739">
            <v>0</v>
          </cell>
        </row>
        <row r="1740">
          <cell r="S1740">
            <v>0</v>
          </cell>
        </row>
        <row r="1741">
          <cell r="S1741">
            <v>0</v>
          </cell>
        </row>
        <row r="1742">
          <cell r="S1742">
            <v>0</v>
          </cell>
        </row>
        <row r="1743">
          <cell r="S1743">
            <v>0</v>
          </cell>
        </row>
        <row r="1744">
          <cell r="S1744">
            <v>0</v>
          </cell>
        </row>
        <row r="1745">
          <cell r="S1745">
            <v>0</v>
          </cell>
        </row>
        <row r="1746">
          <cell r="S1746">
            <v>0</v>
          </cell>
        </row>
        <row r="1747">
          <cell r="S1747">
            <v>0</v>
          </cell>
        </row>
        <row r="1748">
          <cell r="S1748">
            <v>0</v>
          </cell>
        </row>
        <row r="1749">
          <cell r="S1749">
            <v>0</v>
          </cell>
        </row>
        <row r="1750">
          <cell r="S1750">
            <v>0</v>
          </cell>
        </row>
        <row r="1751">
          <cell r="S1751">
            <v>0</v>
          </cell>
        </row>
        <row r="1752">
          <cell r="S1752">
            <v>0</v>
          </cell>
        </row>
        <row r="1753">
          <cell r="S1753">
            <v>0</v>
          </cell>
        </row>
        <row r="1754">
          <cell r="S1754">
            <v>0</v>
          </cell>
        </row>
        <row r="1755">
          <cell r="S1755">
            <v>0</v>
          </cell>
        </row>
        <row r="1756">
          <cell r="S1756">
            <v>0</v>
          </cell>
        </row>
        <row r="1757">
          <cell r="S1757">
            <v>0</v>
          </cell>
        </row>
        <row r="1758">
          <cell r="S1758">
            <v>0</v>
          </cell>
        </row>
        <row r="1759">
          <cell r="S1759">
            <v>0</v>
          </cell>
        </row>
        <row r="1760">
          <cell r="S1760">
            <v>0</v>
          </cell>
        </row>
        <row r="1761">
          <cell r="S1761">
            <v>0</v>
          </cell>
        </row>
        <row r="1762">
          <cell r="S1762">
            <v>0</v>
          </cell>
        </row>
        <row r="1763">
          <cell r="S1763">
            <v>0</v>
          </cell>
        </row>
        <row r="1764">
          <cell r="S1764">
            <v>0</v>
          </cell>
        </row>
        <row r="1765">
          <cell r="S1765">
            <v>0</v>
          </cell>
        </row>
        <row r="1766">
          <cell r="S1766">
            <v>0</v>
          </cell>
        </row>
        <row r="1767">
          <cell r="S1767">
            <v>0</v>
          </cell>
        </row>
        <row r="1768">
          <cell r="S1768">
            <v>0</v>
          </cell>
        </row>
        <row r="1769">
          <cell r="S1769">
            <v>0</v>
          </cell>
        </row>
        <row r="1770">
          <cell r="S1770">
            <v>0</v>
          </cell>
        </row>
        <row r="1771">
          <cell r="S1771">
            <v>0</v>
          </cell>
        </row>
        <row r="1772">
          <cell r="S1772">
            <v>0</v>
          </cell>
        </row>
        <row r="1773">
          <cell r="S1773">
            <v>0</v>
          </cell>
        </row>
        <row r="1774">
          <cell r="S1774">
            <v>0</v>
          </cell>
        </row>
        <row r="1775">
          <cell r="S1775">
            <v>0</v>
          </cell>
        </row>
        <row r="1776">
          <cell r="S1776">
            <v>0</v>
          </cell>
        </row>
        <row r="1777">
          <cell r="S1777">
            <v>0</v>
          </cell>
        </row>
        <row r="1778">
          <cell r="S1778">
            <v>0</v>
          </cell>
        </row>
        <row r="1779">
          <cell r="S1779">
            <v>0</v>
          </cell>
        </row>
        <row r="1780">
          <cell r="S1780">
            <v>0</v>
          </cell>
        </row>
        <row r="1781">
          <cell r="S1781">
            <v>0</v>
          </cell>
        </row>
        <row r="1782">
          <cell r="S1782">
            <v>0</v>
          </cell>
        </row>
        <row r="1783">
          <cell r="S1783">
            <v>0</v>
          </cell>
        </row>
        <row r="1784">
          <cell r="S1784">
            <v>0</v>
          </cell>
        </row>
        <row r="1785">
          <cell r="S1785">
            <v>0</v>
          </cell>
        </row>
        <row r="1786">
          <cell r="S1786">
            <v>0</v>
          </cell>
        </row>
        <row r="1787">
          <cell r="S1787">
            <v>0</v>
          </cell>
        </row>
        <row r="1788">
          <cell r="S1788">
            <v>0</v>
          </cell>
        </row>
        <row r="1789">
          <cell r="S1789">
            <v>0</v>
          </cell>
        </row>
        <row r="1790">
          <cell r="S1790">
            <v>0</v>
          </cell>
        </row>
        <row r="1791">
          <cell r="S1791">
            <v>0</v>
          </cell>
        </row>
        <row r="1792">
          <cell r="S1792">
            <v>0</v>
          </cell>
        </row>
        <row r="1793">
          <cell r="S1793">
            <v>0</v>
          </cell>
        </row>
        <row r="1794">
          <cell r="S1794">
            <v>0</v>
          </cell>
        </row>
        <row r="1795">
          <cell r="S1795">
            <v>0</v>
          </cell>
        </row>
        <row r="1796">
          <cell r="S1796">
            <v>0</v>
          </cell>
        </row>
        <row r="1797">
          <cell r="S1797">
            <v>0</v>
          </cell>
        </row>
        <row r="1798">
          <cell r="S1798">
            <v>0</v>
          </cell>
        </row>
        <row r="1799">
          <cell r="S1799">
            <v>0</v>
          </cell>
        </row>
        <row r="1800">
          <cell r="S1800">
            <v>0</v>
          </cell>
        </row>
        <row r="1801">
          <cell r="S1801">
            <v>0</v>
          </cell>
        </row>
        <row r="1802">
          <cell r="S1802">
            <v>0</v>
          </cell>
        </row>
        <row r="1803">
          <cell r="S1803">
            <v>0</v>
          </cell>
        </row>
        <row r="1804">
          <cell r="S1804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07">
          <cell r="S1807">
            <v>0</v>
          </cell>
        </row>
        <row r="1808">
          <cell r="S1808">
            <v>0</v>
          </cell>
        </row>
        <row r="1809">
          <cell r="S1809">
            <v>0</v>
          </cell>
        </row>
        <row r="1810">
          <cell r="S1810">
            <v>0</v>
          </cell>
        </row>
        <row r="1811">
          <cell r="S1811">
            <v>0</v>
          </cell>
        </row>
        <row r="1812">
          <cell r="S1812">
            <v>0</v>
          </cell>
        </row>
        <row r="1813">
          <cell r="S1813">
            <v>0</v>
          </cell>
        </row>
        <row r="1814">
          <cell r="S1814">
            <v>0</v>
          </cell>
        </row>
        <row r="1815">
          <cell r="S1815">
            <v>0</v>
          </cell>
        </row>
        <row r="1816">
          <cell r="S1816">
            <v>0</v>
          </cell>
        </row>
        <row r="1817">
          <cell r="S1817">
            <v>0</v>
          </cell>
        </row>
        <row r="1818">
          <cell r="S1818">
            <v>0</v>
          </cell>
        </row>
        <row r="1819">
          <cell r="S1819">
            <v>0</v>
          </cell>
        </row>
        <row r="1820">
          <cell r="S1820">
            <v>0</v>
          </cell>
        </row>
        <row r="1821">
          <cell r="S1821">
            <v>0</v>
          </cell>
        </row>
        <row r="1822">
          <cell r="S1822">
            <v>0</v>
          </cell>
        </row>
        <row r="1823">
          <cell r="S1823">
            <v>0</v>
          </cell>
        </row>
        <row r="1824">
          <cell r="S1824">
            <v>0</v>
          </cell>
        </row>
        <row r="1825">
          <cell r="S1825">
            <v>0</v>
          </cell>
        </row>
        <row r="1826">
          <cell r="S1826">
            <v>0</v>
          </cell>
        </row>
        <row r="1827">
          <cell r="S1827">
            <v>0</v>
          </cell>
        </row>
        <row r="1828">
          <cell r="S1828">
            <v>0</v>
          </cell>
        </row>
        <row r="1829">
          <cell r="S1829">
            <v>0</v>
          </cell>
        </row>
        <row r="1830">
          <cell r="S1830">
            <v>0</v>
          </cell>
        </row>
        <row r="1831">
          <cell r="S1831">
            <v>0</v>
          </cell>
        </row>
        <row r="1832">
          <cell r="S1832">
            <v>0</v>
          </cell>
        </row>
        <row r="1833">
          <cell r="S1833">
            <v>0</v>
          </cell>
        </row>
        <row r="1834">
          <cell r="S1834">
            <v>0</v>
          </cell>
        </row>
        <row r="1835">
          <cell r="S1835">
            <v>0</v>
          </cell>
        </row>
        <row r="1836">
          <cell r="S1836">
            <v>0</v>
          </cell>
        </row>
        <row r="1837">
          <cell r="S1837">
            <v>0</v>
          </cell>
        </row>
        <row r="1838">
          <cell r="S1838">
            <v>0</v>
          </cell>
        </row>
        <row r="1839">
          <cell r="S1839">
            <v>0</v>
          </cell>
        </row>
        <row r="1840">
          <cell r="S1840">
            <v>0</v>
          </cell>
        </row>
        <row r="1841">
          <cell r="S1841">
            <v>0</v>
          </cell>
        </row>
        <row r="1842">
          <cell r="S1842">
            <v>0</v>
          </cell>
        </row>
        <row r="1843">
          <cell r="S1843">
            <v>0</v>
          </cell>
        </row>
        <row r="1844">
          <cell r="S1844">
            <v>0</v>
          </cell>
        </row>
        <row r="1845">
          <cell r="S1845">
            <v>0</v>
          </cell>
        </row>
        <row r="1846">
          <cell r="S1846">
            <v>0</v>
          </cell>
        </row>
        <row r="1847">
          <cell r="S1847">
            <v>0</v>
          </cell>
        </row>
        <row r="1848">
          <cell r="S1848">
            <v>0</v>
          </cell>
        </row>
        <row r="1849">
          <cell r="S1849">
            <v>0</v>
          </cell>
        </row>
        <row r="1850">
          <cell r="S1850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3">
          <cell r="S1853">
            <v>0</v>
          </cell>
        </row>
        <row r="1854">
          <cell r="S1854">
            <v>0</v>
          </cell>
        </row>
        <row r="1855">
          <cell r="S1855">
            <v>0</v>
          </cell>
        </row>
        <row r="1856">
          <cell r="S1856">
            <v>0</v>
          </cell>
        </row>
        <row r="1857">
          <cell r="S1857">
            <v>0</v>
          </cell>
        </row>
        <row r="1858">
          <cell r="S1858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1">
          <cell r="S1861">
            <v>0</v>
          </cell>
        </row>
        <row r="1862">
          <cell r="S1862">
            <v>0</v>
          </cell>
        </row>
        <row r="1863">
          <cell r="S1863">
            <v>0</v>
          </cell>
        </row>
        <row r="1864">
          <cell r="S1864">
            <v>0</v>
          </cell>
        </row>
        <row r="1865">
          <cell r="S1865">
            <v>0</v>
          </cell>
        </row>
        <row r="1866">
          <cell r="S1866">
            <v>0</v>
          </cell>
        </row>
        <row r="1867">
          <cell r="S1867">
            <v>0</v>
          </cell>
        </row>
        <row r="1868">
          <cell r="S1868">
            <v>0</v>
          </cell>
        </row>
        <row r="1869">
          <cell r="S1869">
            <v>0</v>
          </cell>
        </row>
        <row r="1870">
          <cell r="S1870">
            <v>0</v>
          </cell>
        </row>
        <row r="1871">
          <cell r="S1871">
            <v>0</v>
          </cell>
        </row>
        <row r="1872">
          <cell r="S1872">
            <v>0</v>
          </cell>
        </row>
        <row r="1873">
          <cell r="S1873">
            <v>0</v>
          </cell>
        </row>
        <row r="1874">
          <cell r="S1874">
            <v>0</v>
          </cell>
        </row>
        <row r="1875">
          <cell r="S1875">
            <v>0</v>
          </cell>
        </row>
        <row r="1876">
          <cell r="S1876">
            <v>0</v>
          </cell>
        </row>
        <row r="1877">
          <cell r="S1877">
            <v>0</v>
          </cell>
        </row>
        <row r="1878">
          <cell r="S1878">
            <v>0</v>
          </cell>
        </row>
        <row r="1879">
          <cell r="S1879">
            <v>0</v>
          </cell>
        </row>
        <row r="1880">
          <cell r="S1880">
            <v>0</v>
          </cell>
        </row>
        <row r="1881">
          <cell r="S1881">
            <v>0</v>
          </cell>
        </row>
        <row r="1882">
          <cell r="S1882">
            <v>0</v>
          </cell>
        </row>
        <row r="1883">
          <cell r="S1883">
            <v>0</v>
          </cell>
        </row>
        <row r="1884">
          <cell r="S1884">
            <v>0</v>
          </cell>
        </row>
        <row r="1885">
          <cell r="S1885">
            <v>0</v>
          </cell>
        </row>
        <row r="1886">
          <cell r="S188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OCT 2021"/>
    </sheetNames>
    <sheetDataSet>
      <sheetData sheetId="0">
        <row r="3">
          <cell r="B3" t="str">
            <v>*   10 Impuestos</v>
          </cell>
          <cell r="C3">
            <v>-344571992.01999998</v>
          </cell>
          <cell r="D3">
            <v>344571992.01999998</v>
          </cell>
        </row>
        <row r="4">
          <cell r="B4" t="str">
            <v xml:space="preserve">    110101  Imp 8% s/juegos y</v>
          </cell>
          <cell r="C4">
            <v>0</v>
          </cell>
          <cell r="D4">
            <v>0</v>
          </cell>
        </row>
        <row r="5">
          <cell r="B5" t="str">
            <v xml:space="preserve">    110201  Imp 6% div y espec</v>
          </cell>
          <cell r="C5">
            <v>-13271</v>
          </cell>
          <cell r="D5">
            <v>13271</v>
          </cell>
        </row>
        <row r="6">
          <cell r="B6" t="str">
            <v xml:space="preserve">    110202  Imp 8% div y espec</v>
          </cell>
          <cell r="C6">
            <v>-100276.64</v>
          </cell>
          <cell r="D6">
            <v>100276.64</v>
          </cell>
        </row>
        <row r="7">
          <cell r="B7" t="str">
            <v xml:space="preserve">    110301  Imp 5% rifas,sorte</v>
          </cell>
          <cell r="C7">
            <v>-1645836.15</v>
          </cell>
          <cell r="D7">
            <v>1645836.15</v>
          </cell>
        </row>
        <row r="8">
          <cell r="B8" t="str">
            <v xml:space="preserve">    120101  Predial urbano cor</v>
          </cell>
          <cell r="C8">
            <v>-190640726.28999999</v>
          </cell>
          <cell r="D8">
            <v>190640726.28999999</v>
          </cell>
        </row>
        <row r="9">
          <cell r="B9" t="str">
            <v xml:space="preserve">    120102  Predial rustico co</v>
          </cell>
          <cell r="C9">
            <v>-2595365.38</v>
          </cell>
          <cell r="D9">
            <v>2595365.38</v>
          </cell>
        </row>
        <row r="10">
          <cell r="B10" t="str">
            <v xml:space="preserve">    120103  Predial urb. rezag</v>
          </cell>
          <cell r="C10">
            <v>-49387624.07</v>
          </cell>
          <cell r="D10">
            <v>49387624.07</v>
          </cell>
        </row>
        <row r="11">
          <cell r="B11" t="str">
            <v xml:space="preserve">    120104  Predial rust rezag</v>
          </cell>
          <cell r="C11">
            <v>-1289758.75</v>
          </cell>
          <cell r="D11">
            <v>1289758.75</v>
          </cell>
        </row>
        <row r="12">
          <cell r="B12" t="str">
            <v xml:space="preserve">    120105  Actualiz. Impuesto</v>
          </cell>
          <cell r="C12">
            <v>-1483383.98</v>
          </cell>
          <cell r="D12">
            <v>1483383.98</v>
          </cell>
        </row>
        <row r="13">
          <cell r="B13" t="str">
            <v xml:space="preserve">    120106  Cuota Org.Agricola</v>
          </cell>
          <cell r="C13">
            <v>-240238.93</v>
          </cell>
          <cell r="D13">
            <v>240238.93</v>
          </cell>
        </row>
        <row r="14">
          <cell r="B14" t="str">
            <v xml:space="preserve">    120201  Div. y lotificació</v>
          </cell>
          <cell r="C14">
            <v>-3229520.68</v>
          </cell>
          <cell r="D14">
            <v>3229520.68</v>
          </cell>
        </row>
        <row r="15">
          <cell r="B15" t="str">
            <v xml:space="preserve">    120202  Div. Reg condomini</v>
          </cell>
          <cell r="C15">
            <v>-2388996.5099999998</v>
          </cell>
          <cell r="D15">
            <v>2388996.5099999998</v>
          </cell>
        </row>
        <row r="16">
          <cell r="B16" t="str">
            <v xml:space="preserve">    130101  Explotación mármol</v>
          </cell>
          <cell r="C16">
            <v>0</v>
          </cell>
          <cell r="D16">
            <v>0</v>
          </cell>
        </row>
        <row r="17">
          <cell r="B17" t="str">
            <v xml:space="preserve">    130201  Impuesto sobre ABI</v>
          </cell>
          <cell r="C17">
            <v>-66523093.700000003</v>
          </cell>
          <cell r="D17">
            <v>66523093.700000003</v>
          </cell>
        </row>
        <row r="18">
          <cell r="B18" t="str">
            <v xml:space="preserve">    130301  Im de fraccionam.</v>
          </cell>
          <cell r="C18">
            <v>-237132.92</v>
          </cell>
          <cell r="D18">
            <v>237132.92</v>
          </cell>
        </row>
        <row r="19">
          <cell r="B19" t="str">
            <v xml:space="preserve">    170101  Recargos imp predi</v>
          </cell>
          <cell r="C19">
            <v>-15868068.33</v>
          </cell>
          <cell r="D19">
            <v>15868068.33</v>
          </cell>
        </row>
        <row r="20">
          <cell r="B20" t="str">
            <v xml:space="preserve">    170102  Recargos ABI</v>
          </cell>
          <cell r="C20">
            <v>-2159378.0299999998</v>
          </cell>
          <cell r="D20">
            <v>2159378.0299999998</v>
          </cell>
        </row>
        <row r="21">
          <cell r="B21" t="str">
            <v xml:space="preserve">    170103  Recargos saldos in</v>
          </cell>
          <cell r="C21">
            <v>-17642.259999999998</v>
          </cell>
          <cell r="D21">
            <v>17642.259999999998</v>
          </cell>
        </row>
        <row r="22">
          <cell r="B22" t="str">
            <v xml:space="preserve">    170201  Multas inmobiliari</v>
          </cell>
          <cell r="C22">
            <v>-1712723.76</v>
          </cell>
          <cell r="D22">
            <v>1712723.76</v>
          </cell>
        </row>
        <row r="23">
          <cell r="B23" t="str">
            <v xml:space="preserve">    170301  Honorarios ejecuci</v>
          </cell>
          <cell r="C23">
            <v>-5038954.6399999997</v>
          </cell>
          <cell r="D23">
            <v>5038954.6399999997</v>
          </cell>
        </row>
        <row r="24">
          <cell r="B24" t="str">
            <v>*   30 Contribuciones de</v>
          </cell>
          <cell r="C24">
            <v>-680081.57</v>
          </cell>
          <cell r="D24">
            <v>680081.57</v>
          </cell>
        </row>
        <row r="25">
          <cell r="B25" t="str">
            <v xml:space="preserve">    310201  BENEF. OBRAS RURAL</v>
          </cell>
          <cell r="C25">
            <v>-159426.54</v>
          </cell>
          <cell r="D25">
            <v>159426.54</v>
          </cell>
        </row>
        <row r="26">
          <cell r="B26" t="str">
            <v xml:space="preserve">    390101  Benef Años Anterio</v>
          </cell>
          <cell r="C26">
            <v>-520655.03</v>
          </cell>
          <cell r="D26">
            <v>520655.03</v>
          </cell>
        </row>
        <row r="27">
          <cell r="B27" t="str">
            <v>*   40 Derechos</v>
          </cell>
          <cell r="C27">
            <v>-122852794.31</v>
          </cell>
          <cell r="D27">
            <v>122852794.31</v>
          </cell>
        </row>
        <row r="28">
          <cell r="B28" t="str">
            <v xml:space="preserve">    410101  Plaza vta ambulant</v>
          </cell>
          <cell r="C28">
            <v>-4517680.29</v>
          </cell>
          <cell r="D28">
            <v>4517680.29</v>
          </cell>
        </row>
        <row r="29">
          <cell r="B29" t="str">
            <v xml:space="preserve">    410102  Exped lic ambulant</v>
          </cell>
          <cell r="C29">
            <v>-335477.69</v>
          </cell>
          <cell r="D29">
            <v>335477.69</v>
          </cell>
        </row>
        <row r="30">
          <cell r="B30" t="str">
            <v xml:space="preserve">    410104  Permiso cierre cal</v>
          </cell>
          <cell r="C30">
            <v>-2550.6</v>
          </cell>
          <cell r="D30">
            <v>2550.6</v>
          </cell>
        </row>
        <row r="31">
          <cell r="B31" t="str">
            <v xml:space="preserve">    410201  Mercado 5 de feb</v>
          </cell>
          <cell r="C31">
            <v>-14120</v>
          </cell>
          <cell r="D31">
            <v>14120</v>
          </cell>
        </row>
        <row r="32">
          <cell r="B32" t="str">
            <v xml:space="preserve">    410202  Mdo Benito Juarez</v>
          </cell>
          <cell r="C32">
            <v>-39730.400000000001</v>
          </cell>
          <cell r="D32">
            <v>39730.400000000001</v>
          </cell>
        </row>
        <row r="33">
          <cell r="B33" t="str">
            <v xml:space="preserve">    410203  Mercado Hidalgo</v>
          </cell>
          <cell r="C33">
            <v>-50900</v>
          </cell>
          <cell r="D33">
            <v>50900</v>
          </cell>
        </row>
        <row r="34">
          <cell r="B34" t="str">
            <v xml:space="preserve">    410204  Mercado Morelos</v>
          </cell>
          <cell r="C34">
            <v>-50000</v>
          </cell>
          <cell r="D34">
            <v>50000</v>
          </cell>
        </row>
        <row r="35">
          <cell r="B35" t="str">
            <v xml:space="preserve">    410205  Mdo San Juan Vega</v>
          </cell>
          <cell r="C35">
            <v>-5731.4</v>
          </cell>
          <cell r="D35">
            <v>5731.4</v>
          </cell>
        </row>
        <row r="36">
          <cell r="B36" t="str">
            <v xml:space="preserve">    410206  Uso y arrendamient</v>
          </cell>
          <cell r="C36">
            <v>0</v>
          </cell>
          <cell r="D36">
            <v>0</v>
          </cell>
        </row>
        <row r="37">
          <cell r="B37" t="str">
            <v xml:space="preserve">    410207  Parque bicentenari</v>
          </cell>
          <cell r="C37">
            <v>-23670</v>
          </cell>
          <cell r="D37">
            <v>23670</v>
          </cell>
        </row>
        <row r="38">
          <cell r="B38" t="str">
            <v xml:space="preserve">    410208  Tarimas</v>
          </cell>
          <cell r="C38">
            <v>-1932.35</v>
          </cell>
          <cell r="D38">
            <v>1932.35</v>
          </cell>
        </row>
        <row r="39">
          <cell r="B39" t="str">
            <v xml:space="preserve">    410209  Mamparas</v>
          </cell>
          <cell r="C39">
            <v>0</v>
          </cell>
          <cell r="D39">
            <v>0</v>
          </cell>
        </row>
        <row r="40">
          <cell r="B40" t="str">
            <v xml:space="preserve">    430101  Serv especial de r</v>
          </cell>
          <cell r="C40">
            <v>-2437952.7200000002</v>
          </cell>
          <cell r="D40">
            <v>2437952.7200000002</v>
          </cell>
        </row>
        <row r="41">
          <cell r="B41" t="str">
            <v xml:space="preserve">    430102  Acceso al relleno</v>
          </cell>
          <cell r="C41">
            <v>-899662.8</v>
          </cell>
          <cell r="D41">
            <v>899662.8</v>
          </cell>
        </row>
        <row r="42">
          <cell r="B42" t="str">
            <v xml:space="preserve">    430103  Limpieza de lotes</v>
          </cell>
          <cell r="C42">
            <v>-13611.33</v>
          </cell>
          <cell r="D42">
            <v>13611.33</v>
          </cell>
        </row>
        <row r="43">
          <cell r="B43" t="str">
            <v xml:space="preserve">    430104  Planta separadora</v>
          </cell>
          <cell r="C43">
            <v>0</v>
          </cell>
          <cell r="D43">
            <v>0</v>
          </cell>
        </row>
        <row r="44">
          <cell r="B44" t="str">
            <v xml:space="preserve">    430105  Tala o poda de arb</v>
          </cell>
          <cell r="C44">
            <v>-152235.20000000001</v>
          </cell>
          <cell r="D44">
            <v>152235.20000000001</v>
          </cell>
        </row>
        <row r="45">
          <cell r="B45" t="str">
            <v xml:space="preserve">    430106  Servicio de pipas</v>
          </cell>
          <cell r="C45">
            <v>-559946</v>
          </cell>
          <cell r="D45">
            <v>559946</v>
          </cell>
        </row>
        <row r="46">
          <cell r="B46" t="str">
            <v xml:space="preserve">    430107  Perm recol residuo</v>
          </cell>
          <cell r="C46">
            <v>-61665.68</v>
          </cell>
          <cell r="D46">
            <v>61665.68</v>
          </cell>
        </row>
        <row r="47">
          <cell r="B47" t="str">
            <v xml:space="preserve">    430201  Inhumaciones y exh</v>
          </cell>
          <cell r="C47">
            <v>-4164360.2</v>
          </cell>
          <cell r="D47">
            <v>4164360.2</v>
          </cell>
        </row>
        <row r="48">
          <cell r="B48" t="str">
            <v xml:space="preserve">    430202  Traslado de cadave</v>
          </cell>
          <cell r="C48">
            <v>-316668.79999999999</v>
          </cell>
          <cell r="D48">
            <v>316668.79999999999</v>
          </cell>
        </row>
        <row r="49">
          <cell r="B49" t="str">
            <v xml:space="preserve">    430203  Venta de gavetas</v>
          </cell>
          <cell r="C49">
            <v>-237536.71</v>
          </cell>
          <cell r="D49">
            <v>237536.71</v>
          </cell>
        </row>
        <row r="50">
          <cell r="B50" t="str">
            <v xml:space="preserve">    430204  Derecho de cremaci</v>
          </cell>
          <cell r="C50">
            <v>-1267176.99</v>
          </cell>
          <cell r="D50">
            <v>1267176.99</v>
          </cell>
        </row>
        <row r="51">
          <cell r="B51" t="str">
            <v xml:space="preserve">    430205  Placas y monumento</v>
          </cell>
          <cell r="C51">
            <v>-1713815.21</v>
          </cell>
          <cell r="D51">
            <v>1713815.21</v>
          </cell>
        </row>
        <row r="52">
          <cell r="B52" t="str">
            <v xml:space="preserve">    430301  Ganado vacuno</v>
          </cell>
          <cell r="C52">
            <v>-2587506.35</v>
          </cell>
          <cell r="D52">
            <v>2587506.35</v>
          </cell>
        </row>
        <row r="53">
          <cell r="B53" t="str">
            <v xml:space="preserve">    430302  Ganado porcino</v>
          </cell>
          <cell r="C53">
            <v>-3543741.7</v>
          </cell>
          <cell r="D53">
            <v>3543741.7</v>
          </cell>
        </row>
        <row r="54">
          <cell r="B54" t="str">
            <v xml:space="preserve">    430303  Ganado ovicaprino</v>
          </cell>
          <cell r="C54">
            <v>-113.79</v>
          </cell>
          <cell r="D54">
            <v>113.79</v>
          </cell>
        </row>
        <row r="55">
          <cell r="B55" t="str">
            <v xml:space="preserve">    430304  Conduccion</v>
          </cell>
          <cell r="C55">
            <v>-151053.9</v>
          </cell>
          <cell r="D55">
            <v>151053.9</v>
          </cell>
        </row>
        <row r="56">
          <cell r="B56" t="str">
            <v xml:space="preserve">    430305  Refrigeracion</v>
          </cell>
          <cell r="C56">
            <v>-823516.72</v>
          </cell>
          <cell r="D56">
            <v>823516.72</v>
          </cell>
        </row>
        <row r="57">
          <cell r="B57" t="str">
            <v xml:space="preserve">    430306  Otros serv rastro</v>
          </cell>
          <cell r="C57">
            <v>-8555.2199999999993</v>
          </cell>
          <cell r="D57">
            <v>8555.2199999999993</v>
          </cell>
        </row>
        <row r="58">
          <cell r="B58" t="str">
            <v xml:space="preserve">    430307  Pesaje canal de re</v>
          </cell>
          <cell r="C58">
            <v>-55718.86</v>
          </cell>
          <cell r="D58">
            <v>55718.86</v>
          </cell>
        </row>
        <row r="59">
          <cell r="B59" t="str">
            <v xml:space="preserve">    430308  Pesaje canal  cerd</v>
          </cell>
          <cell r="C59">
            <v>-10555.52</v>
          </cell>
          <cell r="D59">
            <v>10555.52</v>
          </cell>
        </row>
        <row r="60">
          <cell r="B60" t="str">
            <v xml:space="preserve">    430401  Policia auxiliar</v>
          </cell>
          <cell r="C60">
            <v>-3031272.76</v>
          </cell>
          <cell r="D60">
            <v>3031272.76</v>
          </cell>
        </row>
        <row r="61">
          <cell r="B61" t="str">
            <v xml:space="preserve">    430402  Serv part de vig</v>
          </cell>
          <cell r="C61">
            <v>-1186200</v>
          </cell>
          <cell r="D61">
            <v>1186200</v>
          </cell>
        </row>
        <row r="62">
          <cell r="B62" t="str">
            <v xml:space="preserve">    430403  Dict viabil.seg pu</v>
          </cell>
          <cell r="C62">
            <v>-216780.75</v>
          </cell>
          <cell r="D62">
            <v>216780.75</v>
          </cell>
        </row>
        <row r="63">
          <cell r="B63" t="str">
            <v xml:space="preserve">    430404  Perm prot eventos</v>
          </cell>
          <cell r="C63">
            <v>-41203.699999999997</v>
          </cell>
          <cell r="D63">
            <v>41203.699999999997</v>
          </cell>
        </row>
        <row r="64">
          <cell r="B64" t="str">
            <v xml:space="preserve">    430501  Renov concesiones</v>
          </cell>
          <cell r="C64">
            <v>-229649.42</v>
          </cell>
          <cell r="D64">
            <v>229649.42</v>
          </cell>
        </row>
        <row r="65">
          <cell r="B65" t="str">
            <v xml:space="preserve">    430502  Revista mecanica</v>
          </cell>
          <cell r="C65">
            <v>-169173.04</v>
          </cell>
          <cell r="D65">
            <v>169173.04</v>
          </cell>
        </row>
        <row r="66">
          <cell r="B66" t="str">
            <v xml:space="preserve">    430503  Perm p/circul tran</v>
          </cell>
          <cell r="C66">
            <v>-480215.24</v>
          </cell>
          <cell r="D66">
            <v>480215.24</v>
          </cell>
        </row>
        <row r="67">
          <cell r="B67" t="str">
            <v xml:space="preserve">    430504  Exp,ren o rep cedu</v>
          </cell>
          <cell r="C67">
            <v>-75.56</v>
          </cell>
          <cell r="D67">
            <v>75.56</v>
          </cell>
        </row>
        <row r="68">
          <cell r="B68" t="str">
            <v xml:space="preserve">    430505  Tramites trans pub</v>
          </cell>
          <cell r="C68">
            <v>-114079.69</v>
          </cell>
          <cell r="D68">
            <v>114079.69</v>
          </cell>
        </row>
        <row r="69">
          <cell r="B69" t="str">
            <v xml:space="preserve">    430601  Exp const de no in</v>
          </cell>
          <cell r="C69">
            <v>-763976.43</v>
          </cell>
          <cell r="D69">
            <v>763976.43</v>
          </cell>
        </row>
        <row r="70">
          <cell r="B70" t="str">
            <v xml:space="preserve">    430602  Maniobr carga y de</v>
          </cell>
          <cell r="C70">
            <v>-673582.92</v>
          </cell>
          <cell r="D70">
            <v>673582.92</v>
          </cell>
        </row>
        <row r="71">
          <cell r="B71" t="str">
            <v xml:space="preserve">    430701  Conces parque More</v>
          </cell>
          <cell r="C71">
            <v>0</v>
          </cell>
          <cell r="D71">
            <v>0</v>
          </cell>
        </row>
        <row r="72">
          <cell r="B72" t="str">
            <v xml:space="preserve">    430801  Centro ctrl animal</v>
          </cell>
          <cell r="C72">
            <v>-432845.18</v>
          </cell>
          <cell r="D72">
            <v>432845.18</v>
          </cell>
        </row>
        <row r="73">
          <cell r="B73" t="str">
            <v xml:space="preserve">    430901  Inspeccion de inm.</v>
          </cell>
          <cell r="C73">
            <v>-1669535.71</v>
          </cell>
          <cell r="D73">
            <v>1669535.71</v>
          </cell>
        </row>
        <row r="74">
          <cell r="B74" t="str">
            <v xml:space="preserve">    430902  Rev inst en evento</v>
          </cell>
          <cell r="C74">
            <v>-28129.67</v>
          </cell>
          <cell r="D74">
            <v>28129.67</v>
          </cell>
        </row>
        <row r="75">
          <cell r="B75" t="str">
            <v xml:space="preserve">    430903  Exp dict verif</v>
          </cell>
          <cell r="C75">
            <v>-65809.179999999993</v>
          </cell>
          <cell r="D75">
            <v>65809.179999999993</v>
          </cell>
        </row>
        <row r="76">
          <cell r="B76" t="str">
            <v xml:space="preserve">    431002  Obra nueva</v>
          </cell>
          <cell r="C76">
            <v>-2165945.94</v>
          </cell>
          <cell r="D76">
            <v>2165945.94</v>
          </cell>
        </row>
        <row r="77">
          <cell r="B77" t="str">
            <v xml:space="preserve">    431003  Ampl, rep y regula</v>
          </cell>
          <cell r="C77">
            <v>-870363.04</v>
          </cell>
          <cell r="D77">
            <v>870363.04</v>
          </cell>
        </row>
        <row r="78">
          <cell r="B78" t="str">
            <v xml:space="preserve">    431004  Alineamiento num o</v>
          </cell>
          <cell r="C78">
            <v>-1340786.48</v>
          </cell>
          <cell r="D78">
            <v>1340786.48</v>
          </cell>
        </row>
        <row r="79">
          <cell r="B79" t="str">
            <v xml:space="preserve">    431005  Uso de suelo</v>
          </cell>
          <cell r="C79">
            <v>-637018.74</v>
          </cell>
          <cell r="D79">
            <v>637018.74</v>
          </cell>
        </row>
        <row r="80">
          <cell r="B80" t="str">
            <v xml:space="preserve">    431006  Ocup via publica</v>
          </cell>
          <cell r="C80">
            <v>-518046.76</v>
          </cell>
          <cell r="D80">
            <v>518046.76</v>
          </cell>
        </row>
        <row r="81">
          <cell r="B81" t="str">
            <v xml:space="preserve">    431007  Prorroga term obra</v>
          </cell>
          <cell r="C81">
            <v>-1254475.3799999999</v>
          </cell>
          <cell r="D81">
            <v>1254475.3799999999</v>
          </cell>
        </row>
        <row r="82">
          <cell r="B82" t="str">
            <v xml:space="preserve">    431101  Asig clave catastr</v>
          </cell>
          <cell r="C82">
            <v>-79639.179999999993</v>
          </cell>
          <cell r="D82">
            <v>79639.179999999993</v>
          </cell>
        </row>
        <row r="83">
          <cell r="B83" t="str">
            <v xml:space="preserve">    431102  Derechos d valuaci</v>
          </cell>
          <cell r="C83">
            <v>-3216759.25</v>
          </cell>
          <cell r="D83">
            <v>3216759.25</v>
          </cell>
        </row>
        <row r="84">
          <cell r="B84" t="str">
            <v xml:space="preserve">    431103  Hon de valuacion</v>
          </cell>
          <cell r="C84">
            <v>-1338166.9099999999</v>
          </cell>
          <cell r="D84">
            <v>1338166.9099999999</v>
          </cell>
        </row>
        <row r="85">
          <cell r="B85" t="str">
            <v xml:space="preserve">    431104  Ident inm reg cata</v>
          </cell>
          <cell r="C85">
            <v>0</v>
          </cell>
          <cell r="D85">
            <v>0</v>
          </cell>
        </row>
        <row r="86">
          <cell r="B86" t="str">
            <v xml:space="preserve">    431105  Act der serv catas</v>
          </cell>
          <cell r="C86">
            <v>-36592.35</v>
          </cell>
          <cell r="D86">
            <v>36592.35</v>
          </cell>
        </row>
        <row r="87">
          <cell r="B87" t="str">
            <v xml:space="preserve">    431201  Derechos de fracc</v>
          </cell>
          <cell r="C87">
            <v>-763499.82</v>
          </cell>
          <cell r="D87">
            <v>763499.82</v>
          </cell>
        </row>
        <row r="88">
          <cell r="B88" t="str">
            <v xml:space="preserve">    431202  Superv. de fracc</v>
          </cell>
          <cell r="C88">
            <v>-2651182.9500000002</v>
          </cell>
          <cell r="D88">
            <v>2651182.9500000002</v>
          </cell>
        </row>
        <row r="89">
          <cell r="B89" t="str">
            <v xml:space="preserve">    431203  División y relotif</v>
          </cell>
          <cell r="C89">
            <v>-388409.45</v>
          </cell>
          <cell r="D89">
            <v>388409.45</v>
          </cell>
        </row>
        <row r="90">
          <cell r="B90" t="str">
            <v xml:space="preserve">    431204  Act serv fracc</v>
          </cell>
          <cell r="C90">
            <v>0</v>
          </cell>
          <cell r="D90">
            <v>0</v>
          </cell>
        </row>
        <row r="91">
          <cell r="B91" t="str">
            <v xml:space="preserve">    431301  Anuncios</v>
          </cell>
          <cell r="C91">
            <v>-3524910.9</v>
          </cell>
          <cell r="D91">
            <v>3524910.9</v>
          </cell>
        </row>
        <row r="92">
          <cell r="B92" t="str">
            <v xml:space="preserve">    431501  Manif impacto amb</v>
          </cell>
          <cell r="C92">
            <v>-225572.27</v>
          </cell>
          <cell r="D92">
            <v>225572.27</v>
          </cell>
        </row>
        <row r="93">
          <cell r="B93" t="str">
            <v xml:space="preserve">    431502  Perm en materia am</v>
          </cell>
          <cell r="C93">
            <v>-194426.1</v>
          </cell>
          <cell r="D93">
            <v>194426.1</v>
          </cell>
        </row>
        <row r="94">
          <cell r="B94" t="str">
            <v xml:space="preserve">    431503  Perm estab medio a</v>
          </cell>
          <cell r="C94">
            <v>-32458.32</v>
          </cell>
          <cell r="D94">
            <v>32458.32</v>
          </cell>
        </row>
        <row r="95">
          <cell r="B95" t="str">
            <v xml:space="preserve">    431504  Permiso perifoneo</v>
          </cell>
          <cell r="C95">
            <v>-50611.040000000001</v>
          </cell>
          <cell r="D95">
            <v>50611.040000000001</v>
          </cell>
        </row>
        <row r="96">
          <cell r="B96" t="str">
            <v xml:space="preserve">    431505  Capac en materia a</v>
          </cell>
          <cell r="C96">
            <v>0</v>
          </cell>
          <cell r="D96">
            <v>0</v>
          </cell>
        </row>
        <row r="97">
          <cell r="B97" t="str">
            <v xml:space="preserve">    431506  Viv plantas nativa</v>
          </cell>
          <cell r="C97">
            <v>-268959.2</v>
          </cell>
          <cell r="D97">
            <v>268959.2</v>
          </cell>
        </row>
        <row r="98">
          <cell r="B98" t="str">
            <v xml:space="preserve">    431601  Otras certif</v>
          </cell>
          <cell r="C98">
            <v>-99284.61</v>
          </cell>
          <cell r="D98">
            <v>99284.61</v>
          </cell>
        </row>
        <row r="99">
          <cell r="B99" t="str">
            <v xml:space="preserve">    431602  Certific. des urba</v>
          </cell>
          <cell r="C99">
            <v>-412592.98</v>
          </cell>
          <cell r="D99">
            <v>412592.98</v>
          </cell>
        </row>
        <row r="100">
          <cell r="B100" t="str">
            <v xml:space="preserve">    431603  Certif.policia</v>
          </cell>
          <cell r="C100">
            <v>-10061.67</v>
          </cell>
          <cell r="D100">
            <v>10061.67</v>
          </cell>
        </row>
        <row r="101">
          <cell r="B101" t="str">
            <v xml:space="preserve">    431604  Certif de no adeud</v>
          </cell>
          <cell r="C101">
            <v>-296354.13</v>
          </cell>
          <cell r="D101">
            <v>296354.13</v>
          </cell>
        </row>
        <row r="102">
          <cell r="B102" t="str">
            <v xml:space="preserve">    431605  Otros certif predi</v>
          </cell>
          <cell r="C102">
            <v>-1225824.06</v>
          </cell>
          <cell r="D102">
            <v>1225824.06</v>
          </cell>
        </row>
        <row r="103">
          <cell r="B103" t="str">
            <v xml:space="preserve">    431606  Cartas y cert Ayun</v>
          </cell>
          <cell r="C103">
            <v>-281013.69</v>
          </cell>
          <cell r="D103">
            <v>281013.69</v>
          </cell>
        </row>
        <row r="104">
          <cell r="B104" t="str">
            <v xml:space="preserve">    431607  Certif  medio amb</v>
          </cell>
          <cell r="C104">
            <v>0</v>
          </cell>
          <cell r="D104">
            <v>0</v>
          </cell>
        </row>
        <row r="105">
          <cell r="B105" t="str">
            <v xml:space="preserve">    431608  Certif cve catastr</v>
          </cell>
          <cell r="C105">
            <v>-595008.67000000004</v>
          </cell>
          <cell r="D105">
            <v>595008.67000000004</v>
          </cell>
        </row>
        <row r="106">
          <cell r="B106" t="str">
            <v xml:space="preserve">    431609  Const de no infr m</v>
          </cell>
          <cell r="C106">
            <v>-1793.8</v>
          </cell>
          <cell r="D106">
            <v>1793.8</v>
          </cell>
        </row>
        <row r="107">
          <cell r="B107" t="str">
            <v xml:space="preserve">    431701  Traspaso de locale</v>
          </cell>
          <cell r="C107">
            <v>-34220</v>
          </cell>
          <cell r="D107">
            <v>34220</v>
          </cell>
        </row>
        <row r="108">
          <cell r="B108" t="str">
            <v xml:space="preserve">    431801  Por servi alumb pú</v>
          </cell>
          <cell r="C108">
            <v>-60669804.390000001</v>
          </cell>
          <cell r="D108">
            <v>60669804.390000001</v>
          </cell>
        </row>
        <row r="109">
          <cell r="B109" t="str">
            <v xml:space="preserve">    432101  Centros CASSA</v>
          </cell>
          <cell r="C109">
            <v>-79718.28</v>
          </cell>
          <cell r="D109">
            <v>79718.28</v>
          </cell>
        </row>
        <row r="110">
          <cell r="B110" t="str">
            <v xml:space="preserve">    432102  Incapacidades</v>
          </cell>
          <cell r="C110">
            <v>-6439578.2699999996</v>
          </cell>
          <cell r="D110">
            <v>6439578.2699999996</v>
          </cell>
        </row>
        <row r="111">
          <cell r="B111" t="str">
            <v>*   50 Productos</v>
          </cell>
          <cell r="C111">
            <v>-22259272.690000001</v>
          </cell>
          <cell r="D111">
            <v>22259272.690000001</v>
          </cell>
        </row>
        <row r="112">
          <cell r="B112" t="str">
            <v xml:space="preserve">    510101  Intereses libre di</v>
          </cell>
          <cell r="C112">
            <v>-11087629.02</v>
          </cell>
          <cell r="D112">
            <v>11087629.02</v>
          </cell>
        </row>
        <row r="113">
          <cell r="B113" t="str">
            <v xml:space="preserve">    510106  Int FORTAMUN 2021</v>
          </cell>
          <cell r="C113">
            <v>0</v>
          </cell>
          <cell r="D113">
            <v>0</v>
          </cell>
        </row>
        <row r="114">
          <cell r="B114" t="str">
            <v xml:space="preserve">    510107  Int.Bajio FAISM 20</v>
          </cell>
          <cell r="C114">
            <v>0</v>
          </cell>
          <cell r="D114">
            <v>0</v>
          </cell>
        </row>
        <row r="115">
          <cell r="B115" t="str">
            <v xml:space="preserve">    510108  Int Participac 202</v>
          </cell>
          <cell r="C115">
            <v>-3391419.82</v>
          </cell>
          <cell r="D115">
            <v>3391419.82</v>
          </cell>
        </row>
        <row r="116">
          <cell r="B116" t="str">
            <v xml:space="preserve">    510301  Vta formas oficial</v>
          </cell>
          <cell r="C116">
            <v>-97323.61</v>
          </cell>
          <cell r="D116">
            <v>97323.61</v>
          </cell>
        </row>
        <row r="117">
          <cell r="B117" t="str">
            <v xml:space="preserve">    510501  Acceso inform. pub</v>
          </cell>
          <cell r="C117">
            <v>-72.959999999999994</v>
          </cell>
          <cell r="D117">
            <v>72.959999999999994</v>
          </cell>
        </row>
        <row r="118">
          <cell r="B118" t="str">
            <v xml:space="preserve">    510502  Expedición de plan</v>
          </cell>
          <cell r="C118">
            <v>-16571.259999999998</v>
          </cell>
          <cell r="D118">
            <v>16571.259999999998</v>
          </cell>
        </row>
        <row r="119">
          <cell r="B119" t="str">
            <v xml:space="preserve">    510601  Vta bien mun desus</v>
          </cell>
          <cell r="C119">
            <v>-5346823</v>
          </cell>
          <cell r="D119">
            <v>5346823</v>
          </cell>
        </row>
        <row r="120">
          <cell r="B120" t="str">
            <v xml:space="preserve">    510701  Vta de bien inm mu</v>
          </cell>
          <cell r="C120">
            <v>-2046901.07</v>
          </cell>
          <cell r="D120">
            <v>2046901.07</v>
          </cell>
        </row>
        <row r="121">
          <cell r="B121" t="str">
            <v xml:space="preserve">    510901  Otros productos</v>
          </cell>
          <cell r="C121">
            <v>-272531.95</v>
          </cell>
          <cell r="D121">
            <v>272531.95</v>
          </cell>
        </row>
        <row r="122">
          <cell r="B122" t="str">
            <v>*   60 Aprovechamientos</v>
          </cell>
          <cell r="C122">
            <v>-66786818.619999997</v>
          </cell>
          <cell r="D122">
            <v>66786818.619999997</v>
          </cell>
        </row>
        <row r="123">
          <cell r="B123" t="str">
            <v xml:space="preserve">    610101  Licitacion  compra</v>
          </cell>
          <cell r="C123">
            <v>-141421.4</v>
          </cell>
          <cell r="D123">
            <v>141421.4</v>
          </cell>
        </row>
        <row r="124">
          <cell r="B124" t="str">
            <v xml:space="preserve">    610102  Licitacion de obra</v>
          </cell>
          <cell r="C124">
            <v>-113394.6</v>
          </cell>
          <cell r="D124">
            <v>113394.6</v>
          </cell>
        </row>
        <row r="125">
          <cell r="B125" t="str">
            <v xml:space="preserve">    610103  Reg padron proveed</v>
          </cell>
          <cell r="C125">
            <v>-84945.3</v>
          </cell>
          <cell r="D125">
            <v>84945.3</v>
          </cell>
        </row>
        <row r="126">
          <cell r="B126" t="str">
            <v xml:space="preserve">    610104  Fotocredencializ.</v>
          </cell>
          <cell r="C126">
            <v>-250564.97</v>
          </cell>
          <cell r="D126">
            <v>250564.97</v>
          </cell>
        </row>
        <row r="127">
          <cell r="B127" t="str">
            <v xml:space="preserve">    610201  Por arrastre y pen</v>
          </cell>
          <cell r="C127">
            <v>0</v>
          </cell>
          <cell r="D127">
            <v>0</v>
          </cell>
        </row>
        <row r="128">
          <cell r="B128" t="str">
            <v xml:space="preserve">    610301  Donaciones efectiv</v>
          </cell>
          <cell r="C128">
            <v>-748000</v>
          </cell>
          <cell r="D128">
            <v>748000</v>
          </cell>
        </row>
        <row r="129">
          <cell r="B129" t="str">
            <v xml:space="preserve">    610302  Donaciones especie</v>
          </cell>
          <cell r="C129">
            <v>-2994555.2</v>
          </cell>
          <cell r="D129">
            <v>2994555.2</v>
          </cell>
        </row>
        <row r="130">
          <cell r="B130" t="str">
            <v xml:space="preserve">    610401  Daños propiedad mu</v>
          </cell>
          <cell r="C130">
            <v>-843616.51</v>
          </cell>
          <cell r="D130">
            <v>843616.51</v>
          </cell>
        </row>
        <row r="131">
          <cell r="B131" t="str">
            <v xml:space="preserve">    610501  Penali obra públic</v>
          </cell>
          <cell r="C131">
            <v>-1030912.79</v>
          </cell>
          <cell r="D131">
            <v>1030912.79</v>
          </cell>
        </row>
        <row r="132">
          <cell r="B132" t="str">
            <v xml:space="preserve">    610502  Penali a proveedor</v>
          </cell>
          <cell r="C132">
            <v>0</v>
          </cell>
          <cell r="D132">
            <v>0</v>
          </cell>
        </row>
        <row r="133">
          <cell r="B133" t="str">
            <v xml:space="preserve">    610601  Multas transp y vi</v>
          </cell>
          <cell r="C133">
            <v>-22819768.390000001</v>
          </cell>
          <cell r="D133">
            <v>22819768.390000001</v>
          </cell>
        </row>
        <row r="134">
          <cell r="B134" t="str">
            <v xml:space="preserve">    610602  Multas de verif ve</v>
          </cell>
          <cell r="C134">
            <v>-4201427.96</v>
          </cell>
          <cell r="D134">
            <v>4201427.96</v>
          </cell>
        </row>
        <row r="135">
          <cell r="B135" t="str">
            <v xml:space="preserve">    610603  Multas de policia</v>
          </cell>
          <cell r="C135">
            <v>-925549.25</v>
          </cell>
          <cell r="D135">
            <v>925549.25</v>
          </cell>
        </row>
        <row r="136">
          <cell r="B136" t="str">
            <v xml:space="preserve">    610604  Multas de serv mun</v>
          </cell>
          <cell r="C136">
            <v>-291949.40000000002</v>
          </cell>
          <cell r="D136">
            <v>291949.40000000002</v>
          </cell>
        </row>
        <row r="137">
          <cell r="B137" t="str">
            <v xml:space="preserve">    610605  Multas de comercio</v>
          </cell>
          <cell r="C137">
            <v>-811884.07</v>
          </cell>
          <cell r="D137">
            <v>811884.07</v>
          </cell>
        </row>
        <row r="138">
          <cell r="B138" t="str">
            <v xml:space="preserve">    610606  Multas de Des.Urba</v>
          </cell>
          <cell r="C138">
            <v>-1176486.26</v>
          </cell>
          <cell r="D138">
            <v>1176486.26</v>
          </cell>
        </row>
        <row r="139">
          <cell r="B139" t="str">
            <v xml:space="preserve">    610607  Multas cinturon se</v>
          </cell>
          <cell r="C139">
            <v>-1338503.05</v>
          </cell>
          <cell r="D139">
            <v>1338503.05</v>
          </cell>
        </row>
        <row r="140">
          <cell r="B140" t="str">
            <v xml:space="preserve">    610608  Multas medio ambie</v>
          </cell>
          <cell r="C140">
            <v>-565749.21</v>
          </cell>
          <cell r="D140">
            <v>565749.21</v>
          </cell>
        </row>
        <row r="141">
          <cell r="B141" t="str">
            <v xml:space="preserve">    610609  Multas de alcohole</v>
          </cell>
          <cell r="C141">
            <v>-1059002.44</v>
          </cell>
          <cell r="D141">
            <v>1059002.44</v>
          </cell>
        </row>
        <row r="142">
          <cell r="B142" t="str">
            <v xml:space="preserve">    610610  Multa mov y tran p</v>
          </cell>
          <cell r="C142">
            <v>-491245</v>
          </cell>
          <cell r="D142">
            <v>491245</v>
          </cell>
        </row>
        <row r="143">
          <cell r="B143" t="str">
            <v xml:space="preserve">    610611  Multas prot civil</v>
          </cell>
          <cell r="C143">
            <v>-302631.44</v>
          </cell>
          <cell r="D143">
            <v>302631.44</v>
          </cell>
        </row>
        <row r="144">
          <cell r="B144" t="str">
            <v xml:space="preserve">    610613  Multas est no fisc</v>
          </cell>
          <cell r="C144">
            <v>0</v>
          </cell>
          <cell r="D144">
            <v>0</v>
          </cell>
        </row>
        <row r="145">
          <cell r="B145" t="str">
            <v xml:space="preserve">    610614  Multas fed no fisc</v>
          </cell>
          <cell r="C145">
            <v>0</v>
          </cell>
          <cell r="D145">
            <v>0</v>
          </cell>
        </row>
        <row r="146">
          <cell r="B146" t="str">
            <v xml:space="preserve">    610615  Actualización apro</v>
          </cell>
          <cell r="C146">
            <v>0</v>
          </cell>
          <cell r="D146">
            <v>0</v>
          </cell>
        </row>
        <row r="147">
          <cell r="B147" t="str">
            <v xml:space="preserve">    610701  Otros ingresos</v>
          </cell>
          <cell r="C147">
            <v>-1391516.19</v>
          </cell>
          <cell r="D147">
            <v>1391516.19</v>
          </cell>
        </row>
        <row r="148">
          <cell r="B148" t="str">
            <v xml:space="preserve">    610702  Reintegros de obra</v>
          </cell>
          <cell r="C148">
            <v>0</v>
          </cell>
          <cell r="D148">
            <v>0</v>
          </cell>
        </row>
        <row r="149">
          <cell r="B149" t="str">
            <v xml:space="preserve">    610703  Hon ejecución obra</v>
          </cell>
          <cell r="C149">
            <v>-3788.5</v>
          </cell>
          <cell r="D149">
            <v>3788.5</v>
          </cell>
        </row>
        <row r="150">
          <cell r="B150" t="str">
            <v xml:space="preserve">    610704  Exp de lic conduci</v>
          </cell>
          <cell r="C150">
            <v>-17776798</v>
          </cell>
          <cell r="D150">
            <v>17776798</v>
          </cell>
        </row>
        <row r="151">
          <cell r="B151" t="str">
            <v xml:space="preserve">    610705  Recup de seguros</v>
          </cell>
          <cell r="C151">
            <v>-310230</v>
          </cell>
          <cell r="D151">
            <v>310230</v>
          </cell>
        </row>
        <row r="152">
          <cell r="B152" t="str">
            <v xml:space="preserve">    610706  Trámite de pasapor</v>
          </cell>
          <cell r="C152">
            <v>-4345380</v>
          </cell>
          <cell r="D152">
            <v>4345380</v>
          </cell>
        </row>
        <row r="153">
          <cell r="B153" t="str">
            <v xml:space="preserve">    610707  Foto de pasaporte</v>
          </cell>
          <cell r="C153">
            <v>-1002840</v>
          </cell>
          <cell r="D153">
            <v>1002840</v>
          </cell>
        </row>
        <row r="154">
          <cell r="B154" t="str">
            <v xml:space="preserve">    610708  Copias fotostática</v>
          </cell>
          <cell r="C154">
            <v>-259410</v>
          </cell>
          <cell r="D154">
            <v>259410</v>
          </cell>
        </row>
        <row r="155">
          <cell r="B155" t="str">
            <v xml:space="preserve">    610709  Otros serv pasapor</v>
          </cell>
          <cell r="C155">
            <v>-11180</v>
          </cell>
          <cell r="D155">
            <v>11180</v>
          </cell>
        </row>
        <row r="156">
          <cell r="B156" t="str">
            <v xml:space="preserve">    610801  REINTEGRO DE OBRAS</v>
          </cell>
          <cell r="C156">
            <v>-757.31</v>
          </cell>
          <cell r="D156">
            <v>757.31</v>
          </cell>
        </row>
        <row r="157">
          <cell r="B157" t="str">
            <v xml:space="preserve">    630101  Recargos multas</v>
          </cell>
          <cell r="C157">
            <v>-942996.33</v>
          </cell>
          <cell r="D157">
            <v>942996.33</v>
          </cell>
        </row>
        <row r="158">
          <cell r="B158" t="str">
            <v xml:space="preserve">    630102  Recargos obras</v>
          </cell>
          <cell r="C158">
            <v>-58306.83</v>
          </cell>
          <cell r="D158">
            <v>58306.83</v>
          </cell>
        </row>
        <row r="159">
          <cell r="B159" t="str">
            <v xml:space="preserve">    630201  Gtos ejec multas</v>
          </cell>
          <cell r="C159">
            <v>-484942.3</v>
          </cell>
          <cell r="D159">
            <v>484942.3</v>
          </cell>
        </row>
        <row r="160">
          <cell r="B160" t="str">
            <v xml:space="preserve">    630202  Gtos ejec multas f</v>
          </cell>
          <cell r="C160">
            <v>-7065.92</v>
          </cell>
          <cell r="D160">
            <v>7065.92</v>
          </cell>
        </row>
        <row r="161">
          <cell r="B161" t="str">
            <v>*   80 Participaciones y</v>
          </cell>
          <cell r="C161">
            <v>-1092361619.3699999</v>
          </cell>
          <cell r="D161">
            <v>1092361619.3699999</v>
          </cell>
        </row>
        <row r="162">
          <cell r="B162" t="str">
            <v xml:space="preserve">    810101  Fdo gral participa</v>
          </cell>
          <cell r="C162">
            <v>-419033454.19999999</v>
          </cell>
          <cell r="D162">
            <v>419033454.19999999</v>
          </cell>
        </row>
        <row r="163">
          <cell r="B163" t="str">
            <v xml:space="preserve">    810201  Fdo fomento mun</v>
          </cell>
          <cell r="C163">
            <v>-55509927.189999998</v>
          </cell>
          <cell r="D163">
            <v>55509927.189999998</v>
          </cell>
        </row>
        <row r="164">
          <cell r="B164" t="str">
            <v xml:space="preserve">    810301  Fdo fiscaliz recau</v>
          </cell>
          <cell r="C164">
            <v>-35107627.409999996</v>
          </cell>
          <cell r="D164">
            <v>35107627.409999996</v>
          </cell>
        </row>
        <row r="165">
          <cell r="B165" t="str">
            <v xml:space="preserve">    810401  IEPS</v>
          </cell>
          <cell r="C165">
            <v>-5490330.5499999998</v>
          </cell>
          <cell r="D165">
            <v>5490330.5499999998</v>
          </cell>
        </row>
        <row r="166">
          <cell r="B166" t="str">
            <v xml:space="preserve">    810501  Gasolinas y diésel</v>
          </cell>
          <cell r="C166">
            <v>-8718329.5899999999</v>
          </cell>
          <cell r="D166">
            <v>8718329.5899999999</v>
          </cell>
        </row>
        <row r="167">
          <cell r="B167" t="str">
            <v xml:space="preserve">    810601  Fondo de ISR</v>
          </cell>
          <cell r="C167">
            <v>-59723346</v>
          </cell>
          <cell r="D167">
            <v>59723346</v>
          </cell>
        </row>
        <row r="168">
          <cell r="B168" t="str">
            <v xml:space="preserve">    810701  FONDO ESTABILIZACI</v>
          </cell>
          <cell r="C168">
            <v>-4978385.1900000004</v>
          </cell>
          <cell r="D168">
            <v>4978385.1900000004</v>
          </cell>
        </row>
        <row r="169">
          <cell r="B169" t="str">
            <v xml:space="preserve">    820101  Fdo aport FAISM</v>
          </cell>
          <cell r="C169">
            <v>-95943134</v>
          </cell>
          <cell r="D169">
            <v>95943134</v>
          </cell>
        </row>
        <row r="170">
          <cell r="B170" t="str">
            <v xml:space="preserve">    820102  INTERESES FAISM</v>
          </cell>
          <cell r="C170">
            <v>-767465.85</v>
          </cell>
          <cell r="D170">
            <v>767465.85</v>
          </cell>
        </row>
        <row r="171">
          <cell r="B171" t="str">
            <v xml:space="preserve">    820201  Fondo aport FORTAM</v>
          </cell>
          <cell r="C171">
            <v>-282382740</v>
          </cell>
          <cell r="D171">
            <v>282382740</v>
          </cell>
        </row>
        <row r="172">
          <cell r="B172" t="str">
            <v xml:space="preserve">    820202  INTERESES FORTAMUN</v>
          </cell>
          <cell r="C172">
            <v>-1387282.64</v>
          </cell>
          <cell r="D172">
            <v>1387282.64</v>
          </cell>
        </row>
        <row r="173">
          <cell r="B173" t="str">
            <v xml:space="preserve">    830301  Inc mult est no fi</v>
          </cell>
          <cell r="C173">
            <v>0</v>
          </cell>
          <cell r="D173">
            <v>0</v>
          </cell>
        </row>
        <row r="174">
          <cell r="B174" t="str">
            <v xml:space="preserve">    830305  Mi patio productiv</v>
          </cell>
          <cell r="C174">
            <v>0</v>
          </cell>
          <cell r="D174">
            <v>0</v>
          </cell>
        </row>
        <row r="175">
          <cell r="B175" t="str">
            <v xml:space="preserve">    830306  Prog Tecnocampo Gt</v>
          </cell>
          <cell r="C175">
            <v>-500000</v>
          </cell>
          <cell r="D175">
            <v>500000</v>
          </cell>
        </row>
        <row r="176">
          <cell r="B176" t="str">
            <v xml:space="preserve">    830307  Prog. Reconv produ</v>
          </cell>
          <cell r="C176">
            <v>-126033.60000000001</v>
          </cell>
          <cell r="D176">
            <v>126033.60000000001</v>
          </cell>
        </row>
        <row r="177">
          <cell r="B177" t="str">
            <v xml:space="preserve">    830310  Prog serv de calid</v>
          </cell>
          <cell r="C177">
            <v>0</v>
          </cell>
          <cell r="D177">
            <v>0</v>
          </cell>
        </row>
        <row r="178">
          <cell r="B178" t="str">
            <v xml:space="preserve">    830312  Programa SMAOT</v>
          </cell>
          <cell r="C178">
            <v>0</v>
          </cell>
          <cell r="D178">
            <v>0</v>
          </cell>
        </row>
        <row r="179">
          <cell r="B179" t="str">
            <v xml:space="preserve">    830313  PEMC</v>
          </cell>
          <cell r="C179">
            <v>-29258774.690000001</v>
          </cell>
          <cell r="D179">
            <v>29258774.690000001</v>
          </cell>
        </row>
        <row r="180">
          <cell r="B180" t="str">
            <v xml:space="preserve">    830314  PVEMC</v>
          </cell>
          <cell r="C180">
            <v>0</v>
          </cell>
          <cell r="D180">
            <v>0</v>
          </cell>
        </row>
        <row r="181">
          <cell r="B181" t="str">
            <v xml:space="preserve">    830315  Const Can Plu Des</v>
          </cell>
          <cell r="C181">
            <v>-153728.09</v>
          </cell>
          <cell r="D181">
            <v>153728.09</v>
          </cell>
        </row>
        <row r="182">
          <cell r="B182" t="str">
            <v xml:space="preserve">    830322  SEDESHU PSBMC 2020</v>
          </cell>
          <cell r="C182">
            <v>0</v>
          </cell>
          <cell r="D182">
            <v>0</v>
          </cell>
        </row>
        <row r="183">
          <cell r="B183" t="str">
            <v xml:space="preserve">    830328  Prog. SMAOT FOAM</v>
          </cell>
          <cell r="C183">
            <v>-1909812.8</v>
          </cell>
          <cell r="D183">
            <v>1909812.8</v>
          </cell>
        </row>
        <row r="184">
          <cell r="B184" t="str">
            <v xml:space="preserve">    830329  Prog. Mi riego pro</v>
          </cell>
          <cell r="C184">
            <v>0</v>
          </cell>
          <cell r="D184">
            <v>0</v>
          </cell>
        </row>
        <row r="185">
          <cell r="B185" t="str">
            <v xml:space="preserve">    830331  Prog. Vive mejor</v>
          </cell>
          <cell r="C185">
            <v>0</v>
          </cell>
          <cell r="D185">
            <v>0</v>
          </cell>
        </row>
        <row r="186">
          <cell r="B186" t="str">
            <v xml:space="preserve">    830332  Prog. PISBCC</v>
          </cell>
          <cell r="C186">
            <v>0</v>
          </cell>
          <cell r="D186">
            <v>0</v>
          </cell>
        </row>
        <row r="187">
          <cell r="B187" t="str">
            <v xml:space="preserve">    830333  Prog. Centro imp s</v>
          </cell>
          <cell r="C187">
            <v>0</v>
          </cell>
          <cell r="D187">
            <v>0</v>
          </cell>
        </row>
        <row r="188">
          <cell r="B188" t="str">
            <v xml:space="preserve">    830334  PROG. PSBGTO</v>
          </cell>
          <cell r="C188">
            <v>-9164918.0399999991</v>
          </cell>
          <cell r="D188">
            <v>9164918.0399999991</v>
          </cell>
        </row>
        <row r="189">
          <cell r="B189" t="str">
            <v xml:space="preserve">    830335  PROG. PSBMC</v>
          </cell>
          <cell r="C189">
            <v>-1333592.82</v>
          </cell>
          <cell r="D189">
            <v>1333592.82</v>
          </cell>
        </row>
        <row r="190">
          <cell r="B190" t="str">
            <v xml:space="preserve">    830336  PROG.CONEC.MI CAMI</v>
          </cell>
          <cell r="C190">
            <v>0</v>
          </cell>
          <cell r="D190">
            <v>0</v>
          </cell>
        </row>
        <row r="191">
          <cell r="B191" t="str">
            <v xml:space="preserve">    830337  PROG. GTO. ME MUEV</v>
          </cell>
          <cell r="C191">
            <v>0</v>
          </cell>
          <cell r="D191">
            <v>0</v>
          </cell>
        </row>
        <row r="192">
          <cell r="B192" t="str">
            <v xml:space="preserve">    830338  PROG.DESARROLLO EC</v>
          </cell>
          <cell r="C192">
            <v>0</v>
          </cell>
          <cell r="D192">
            <v>0</v>
          </cell>
        </row>
        <row r="193">
          <cell r="B193" t="str">
            <v xml:space="preserve">    830339  PROG.SDAYR SACACOS</v>
          </cell>
          <cell r="C193">
            <v>0</v>
          </cell>
          <cell r="D193">
            <v>0</v>
          </cell>
        </row>
        <row r="194">
          <cell r="B194" t="str">
            <v xml:space="preserve">    830340  PROG SDAYR CAM RUR</v>
          </cell>
          <cell r="C194">
            <v>-19283268.82</v>
          </cell>
          <cell r="D194">
            <v>19283268.82</v>
          </cell>
        </row>
        <row r="195">
          <cell r="B195" t="str">
            <v xml:space="preserve">    830341  PROG. CEAG</v>
          </cell>
          <cell r="C195">
            <v>0</v>
          </cell>
          <cell r="D195">
            <v>0</v>
          </cell>
        </row>
        <row r="196">
          <cell r="B196" t="str">
            <v xml:space="preserve">    830342  PROG.INFRAESTR. PV</v>
          </cell>
          <cell r="C196">
            <v>-2085216</v>
          </cell>
          <cell r="D196">
            <v>2085216</v>
          </cell>
        </row>
        <row r="197">
          <cell r="B197" t="str">
            <v xml:space="preserve">    830343  APORT EST ADQ PIAN</v>
          </cell>
          <cell r="C197">
            <v>-1050459</v>
          </cell>
          <cell r="D197">
            <v>1050459</v>
          </cell>
        </row>
        <row r="198">
          <cell r="B198" t="str">
            <v xml:space="preserve">    830344  SED COL DIS VIAL C</v>
          </cell>
          <cell r="C198">
            <v>-1971380.78</v>
          </cell>
          <cell r="D198">
            <v>1971380.78</v>
          </cell>
        </row>
        <row r="199">
          <cell r="B199" t="str">
            <v xml:space="preserve">    830345  SED APO ADQ SOFTWA</v>
          </cell>
          <cell r="C199">
            <v>0</v>
          </cell>
          <cell r="D199">
            <v>0</v>
          </cell>
        </row>
        <row r="200">
          <cell r="B200" t="str">
            <v xml:space="preserve">    830346  SEDES APORT OPE CA</v>
          </cell>
          <cell r="C200">
            <v>0</v>
          </cell>
          <cell r="D200">
            <v>0</v>
          </cell>
        </row>
        <row r="201">
          <cell r="B201" t="str">
            <v xml:space="preserve">    830347  SEDES APOR CONV CC</v>
          </cell>
          <cell r="C201">
            <v>0</v>
          </cell>
          <cell r="D201">
            <v>0</v>
          </cell>
        </row>
        <row r="202">
          <cell r="B202" t="str">
            <v xml:space="preserve">    830348  SECTUR ESC FCO.VIL</v>
          </cell>
          <cell r="C202">
            <v>0</v>
          </cell>
          <cell r="D202">
            <v>0</v>
          </cell>
        </row>
        <row r="203">
          <cell r="B203" t="str">
            <v xml:space="preserve">    830349  AP JUMAPA COL DIS</v>
          </cell>
          <cell r="C203">
            <v>-2000000</v>
          </cell>
          <cell r="D203">
            <v>2000000</v>
          </cell>
        </row>
        <row r="204">
          <cell r="B204" t="str">
            <v xml:space="preserve">    830350  SEDES Alumbrado</v>
          </cell>
          <cell r="C204">
            <v>-1350000</v>
          </cell>
          <cell r="D204">
            <v>1350000</v>
          </cell>
        </row>
        <row r="205">
          <cell r="B205" t="str">
            <v xml:space="preserve">    830390  SDAYR 2020 CAM. RU</v>
          </cell>
          <cell r="C205">
            <v>0</v>
          </cell>
          <cell r="D205">
            <v>0</v>
          </cell>
        </row>
        <row r="206">
          <cell r="B206" t="str">
            <v xml:space="preserve">    830393  PEMC 2020</v>
          </cell>
          <cell r="C206">
            <v>0</v>
          </cell>
          <cell r="D206">
            <v>0</v>
          </cell>
        </row>
        <row r="207">
          <cell r="B207" t="str">
            <v xml:space="preserve">    830394  PROG.EMB.MI COLONI</v>
          </cell>
          <cell r="C207">
            <v>-42040174.450000003</v>
          </cell>
          <cell r="D207">
            <v>42040174.450000003</v>
          </cell>
        </row>
        <row r="208">
          <cell r="B208" t="str">
            <v xml:space="preserve">    830502  Benef años anterio</v>
          </cell>
          <cell r="C208">
            <v>0</v>
          </cell>
          <cell r="D208">
            <v>0</v>
          </cell>
        </row>
        <row r="209">
          <cell r="B209" t="str">
            <v xml:space="preserve">    830901  Benef Prog Soc</v>
          </cell>
          <cell r="C209">
            <v>-1087900</v>
          </cell>
          <cell r="D209">
            <v>1087900</v>
          </cell>
        </row>
        <row r="210">
          <cell r="B210" t="str">
            <v xml:space="preserve">    840101  Tenencia uso vehíc</v>
          </cell>
          <cell r="C210">
            <v>-76318.289999999994</v>
          </cell>
          <cell r="D210">
            <v>76318.289999999994</v>
          </cell>
        </row>
        <row r="211">
          <cell r="B211" t="str">
            <v xml:space="preserve">    840201  Fondo de comp ISAN</v>
          </cell>
          <cell r="C211">
            <v>-1205798.5</v>
          </cell>
          <cell r="D211">
            <v>1205798.5</v>
          </cell>
        </row>
        <row r="212">
          <cell r="B212" t="str">
            <v xml:space="preserve">    840301  Impto autos nuevos</v>
          </cell>
          <cell r="C212">
            <v>-6134883.5499999998</v>
          </cell>
          <cell r="D212">
            <v>6134883.5499999998</v>
          </cell>
        </row>
        <row r="213">
          <cell r="B213" t="str">
            <v xml:space="preserve">    840401  ISR enaj bienes in</v>
          </cell>
          <cell r="C213">
            <v>-1772397.11</v>
          </cell>
          <cell r="D213">
            <v>1772397.11</v>
          </cell>
        </row>
        <row r="214">
          <cell r="B214" t="str">
            <v xml:space="preserve">    840501  Alcoholes</v>
          </cell>
          <cell r="C214">
            <v>-35918.199999999997</v>
          </cell>
          <cell r="D214">
            <v>35918.199999999997</v>
          </cell>
        </row>
        <row r="215">
          <cell r="B215" t="str">
            <v xml:space="preserve">    840601  Imp vta fin  beb a</v>
          </cell>
          <cell r="C215">
            <v>-568847.51</v>
          </cell>
          <cell r="D215">
            <v>568847.51</v>
          </cell>
        </row>
        <row r="216">
          <cell r="B216" t="str">
            <v xml:space="preserve">    840801  MULTAS EST.NO FISC</v>
          </cell>
          <cell r="C216">
            <v>-32482.21</v>
          </cell>
          <cell r="D216">
            <v>32482.21</v>
          </cell>
        </row>
        <row r="217">
          <cell r="B217" t="str">
            <v xml:space="preserve">    840802  MULTAS FED NO FISC</v>
          </cell>
          <cell r="C217">
            <v>-27351.05</v>
          </cell>
          <cell r="D217">
            <v>27351.05</v>
          </cell>
        </row>
        <row r="218">
          <cell r="B218" t="str">
            <v xml:space="preserve">    840901  IEPS gaso y diesel</v>
          </cell>
          <cell r="C218">
            <v>-32172.97</v>
          </cell>
          <cell r="D218">
            <v>32172.97</v>
          </cell>
        </row>
        <row r="219">
          <cell r="B219" t="str">
            <v xml:space="preserve">    841001  Imp Serv Hospedaje</v>
          </cell>
          <cell r="C219">
            <v>-118168.27</v>
          </cell>
          <cell r="D219">
            <v>118168.27</v>
          </cell>
        </row>
        <row r="220">
          <cell r="B220" t="str">
            <v>*   00 Ingresos deriv de</v>
          </cell>
          <cell r="C220">
            <v>-194163549.38</v>
          </cell>
          <cell r="D220">
            <v>194163549.38</v>
          </cell>
        </row>
        <row r="221">
          <cell r="B221" t="str">
            <v xml:space="preserve">    080302  REMANENTE FEDERAL</v>
          </cell>
          <cell r="C221">
            <v>0</v>
          </cell>
          <cell r="D221">
            <v>0</v>
          </cell>
        </row>
        <row r="222">
          <cell r="B222" t="str">
            <v xml:space="preserve">    080401  REMANENTE ESTATAL</v>
          </cell>
          <cell r="C222">
            <v>-5081806.04</v>
          </cell>
          <cell r="D222">
            <v>5081806.04</v>
          </cell>
        </row>
        <row r="223">
          <cell r="B223" t="str">
            <v xml:space="preserve">    080801  REMA. CUENTA PÚBLI</v>
          </cell>
          <cell r="C223">
            <v>-189081743.34</v>
          </cell>
          <cell r="D223">
            <v>189081743.34</v>
          </cell>
        </row>
        <row r="224">
          <cell r="B224" t="str">
            <v xml:space="preserve">    081009  REMANENTE FEDERAL</v>
          </cell>
          <cell r="C224">
            <v>0</v>
          </cell>
          <cell r="D224">
            <v>0</v>
          </cell>
        </row>
        <row r="225">
          <cell r="B225" t="str">
            <v>**  Rubros de Ingreso</v>
          </cell>
          <cell r="C225">
            <v>-1843676127.96</v>
          </cell>
          <cell r="D225">
            <v>1843676127.96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20"/>
      <sheetName val="Ene-Sep 21"/>
      <sheetName val="Total"/>
      <sheetName val="RAMO 33"/>
      <sheetName val="RAMO 28"/>
      <sheetName val="Resumen"/>
      <sheetName val="Municipal"/>
      <sheetName val="Diferencias"/>
      <sheetName val="IMPUESTO PREDIAL"/>
      <sheetName val="Cuentas Puente"/>
      <sheetName val="ISABI"/>
      <sheetName val="DAP"/>
    </sheetNames>
    <sheetDataSet>
      <sheetData sheetId="0"/>
      <sheetData sheetId="1">
        <row r="2">
          <cell r="D2" t="str">
            <v>CRI - COG</v>
          </cell>
          <cell r="E2" t="str">
            <v>Dev+RecPag</v>
          </cell>
          <cell r="F2" t="str">
            <v>CRI - COG</v>
          </cell>
          <cell r="G2" t="str">
            <v>Dev+RecPag</v>
          </cell>
          <cell r="H2" t="str">
            <v>CRI - COG</v>
          </cell>
          <cell r="I2" t="str">
            <v>Dev+RecPag</v>
          </cell>
        </row>
        <row r="3">
          <cell r="B3" t="str">
            <v>*   10 Impuestos</v>
          </cell>
          <cell r="C3">
            <v>342214185.06999999</v>
          </cell>
          <cell r="D3" t="str">
            <v>*   10 Impuestos</v>
          </cell>
          <cell r="E3">
            <v>-10241423.25</v>
          </cell>
          <cell r="F3" t="str">
            <v>*   10 Impuestos</v>
          </cell>
          <cell r="G3">
            <v>-12127900.560000001</v>
          </cell>
          <cell r="H3" t="str">
            <v>*   10 Impuestos</v>
          </cell>
          <cell r="I3">
            <v>-27190105.120000001</v>
          </cell>
        </row>
        <row r="4">
          <cell r="B4" t="str">
            <v xml:space="preserve">    110101  Imp 8% s/juegos y</v>
          </cell>
          <cell r="C4">
            <v>0</v>
          </cell>
          <cell r="D4" t="str">
            <v xml:space="preserve">    110101  Imp 8% s/juegos y</v>
          </cell>
          <cell r="E4">
            <v>0</v>
          </cell>
          <cell r="F4" t="str">
            <v xml:space="preserve">    110101  Imp 8% s/juegos y</v>
          </cell>
          <cell r="G4">
            <v>0</v>
          </cell>
          <cell r="H4" t="str">
            <v xml:space="preserve">    110101  Imp 8% s/juegos y</v>
          </cell>
          <cell r="I4">
            <v>0</v>
          </cell>
        </row>
        <row r="5">
          <cell r="B5" t="str">
            <v xml:space="preserve">    110201  Imp 6% div y espec</v>
          </cell>
          <cell r="C5">
            <v>5125.6000000000004</v>
          </cell>
          <cell r="D5" t="str">
            <v xml:space="preserve">    110201  Imp 6% div y espec</v>
          </cell>
          <cell r="E5">
            <v>0</v>
          </cell>
          <cell r="F5" t="str">
            <v xml:space="preserve">    110201  Imp 6% div y espec</v>
          </cell>
          <cell r="G5">
            <v>0</v>
          </cell>
          <cell r="H5" t="str">
            <v xml:space="preserve">    110201  Imp 6% div y espec</v>
          </cell>
          <cell r="I5">
            <v>0</v>
          </cell>
        </row>
        <row r="6">
          <cell r="B6" t="str">
            <v xml:space="preserve">    110202  Imp 8% div y espec</v>
          </cell>
          <cell r="C6">
            <v>487886</v>
          </cell>
          <cell r="D6" t="str">
            <v xml:space="preserve">    110202  Imp 8% div y espec</v>
          </cell>
          <cell r="E6">
            <v>0</v>
          </cell>
          <cell r="F6" t="str">
            <v xml:space="preserve">    110202  Imp 8% div y espec</v>
          </cell>
          <cell r="G6">
            <v>0</v>
          </cell>
          <cell r="H6" t="str">
            <v xml:space="preserve">    110202  Imp 8% div y espec</v>
          </cell>
          <cell r="I6">
            <v>0</v>
          </cell>
        </row>
        <row r="7">
          <cell r="B7" t="str">
            <v xml:space="preserve">    110301  Imp 5% rifas,sorte</v>
          </cell>
          <cell r="C7">
            <v>1321672.05</v>
          </cell>
          <cell r="D7" t="str">
            <v xml:space="preserve">    110301  Imp 5% rifas,sorte</v>
          </cell>
          <cell r="E7">
            <v>-650</v>
          </cell>
          <cell r="F7" t="str">
            <v xml:space="preserve">    110301  Imp 5% rifas,sorte</v>
          </cell>
          <cell r="G7">
            <v>-72651</v>
          </cell>
          <cell r="H7" t="str">
            <v xml:space="preserve">    110301  Imp 5% rifas,sorte</v>
          </cell>
          <cell r="I7">
            <v>-89277</v>
          </cell>
        </row>
        <row r="8">
          <cell r="B8" t="str">
            <v xml:space="preserve">    120101  Predial urbano cor</v>
          </cell>
          <cell r="C8">
            <v>180044494.69999999</v>
          </cell>
          <cell r="D8" t="str">
            <v xml:space="preserve">    120101  Predial urbano cor</v>
          </cell>
          <cell r="E8">
            <v>-364303.84</v>
          </cell>
          <cell r="F8" t="str">
            <v xml:space="preserve">    120101  Predial urbano cor</v>
          </cell>
          <cell r="G8">
            <v>-703081.4</v>
          </cell>
          <cell r="H8" t="str">
            <v xml:space="preserve">    120101  Predial urbano cor</v>
          </cell>
          <cell r="I8">
            <v>-313637.98</v>
          </cell>
        </row>
        <row r="9">
          <cell r="B9" t="str">
            <v xml:space="preserve">    120102  Predial rustico co</v>
          </cell>
          <cell r="C9">
            <v>2578936.2200000002</v>
          </cell>
          <cell r="D9" t="str">
            <v xml:space="preserve">    120102  Predial rustico co</v>
          </cell>
          <cell r="E9">
            <v>-15910.81</v>
          </cell>
          <cell r="F9" t="str">
            <v xml:space="preserve">    120102  Predial rustico co</v>
          </cell>
          <cell r="G9">
            <v>-6646.12</v>
          </cell>
          <cell r="H9" t="str">
            <v xml:space="preserve">    120102  Predial rustico co</v>
          </cell>
          <cell r="I9">
            <v>-7246.09</v>
          </cell>
        </row>
        <row r="10">
          <cell r="B10" t="str">
            <v xml:space="preserve">    120103  Predial urb. rezag</v>
          </cell>
          <cell r="C10">
            <v>51028693.590000004</v>
          </cell>
          <cell r="D10" t="str">
            <v xml:space="preserve">    120103  Predial urb. rezag</v>
          </cell>
          <cell r="E10">
            <v>-3362518.17</v>
          </cell>
          <cell r="F10" t="str">
            <v xml:space="preserve">    120103  Predial urb. rezag</v>
          </cell>
          <cell r="G10">
            <v>-4150813.65</v>
          </cell>
          <cell r="H10" t="str">
            <v xml:space="preserve">    120103  Predial urb. rezag</v>
          </cell>
          <cell r="I10">
            <v>-11209923.039999999</v>
          </cell>
        </row>
        <row r="11">
          <cell r="B11" t="str">
            <v xml:space="preserve">    120104  Predial rust rezag</v>
          </cell>
          <cell r="C11">
            <v>975594.33</v>
          </cell>
          <cell r="D11" t="str">
            <v xml:space="preserve">    120104  Predial rust rezag</v>
          </cell>
          <cell r="E11">
            <v>-44998.38</v>
          </cell>
          <cell r="F11" t="str">
            <v xml:space="preserve">    120104  Predial rust rezag</v>
          </cell>
          <cell r="G11">
            <v>-71476.710000000006</v>
          </cell>
          <cell r="H11" t="str">
            <v xml:space="preserve">    120104  Predial rust rezag</v>
          </cell>
          <cell r="I11">
            <v>-156269.56</v>
          </cell>
        </row>
        <row r="12">
          <cell r="B12" t="str">
            <v xml:space="preserve">    120201  Div. y lotificació</v>
          </cell>
          <cell r="C12">
            <v>2915628.65</v>
          </cell>
          <cell r="D12" t="str">
            <v xml:space="preserve">    120201  Div. y lotificació</v>
          </cell>
          <cell r="E12">
            <v>-167615.64000000001</v>
          </cell>
          <cell r="F12" t="str">
            <v xml:space="preserve">    120201  Div. y lotificació</v>
          </cell>
          <cell r="G12">
            <v>-102830.12</v>
          </cell>
          <cell r="H12" t="str">
            <v xml:space="preserve">    120201  Div. y lotificació</v>
          </cell>
          <cell r="I12">
            <v>-190751.22</v>
          </cell>
        </row>
        <row r="13">
          <cell r="B13" t="str">
            <v xml:space="preserve">    120202  Div. Reg condomini</v>
          </cell>
          <cell r="C13">
            <v>8126823.7300000004</v>
          </cell>
          <cell r="D13" t="str">
            <v xml:space="preserve">    120202  Div. Reg condomini</v>
          </cell>
          <cell r="E13">
            <v>-43858.77</v>
          </cell>
          <cell r="F13" t="str">
            <v xml:space="preserve">    120202  Div. regimen condo</v>
          </cell>
          <cell r="G13">
            <v>-592131.06000000006</v>
          </cell>
          <cell r="H13" t="str">
            <v xml:space="preserve">    120202  Div. regimen condo</v>
          </cell>
          <cell r="I13">
            <v>-115525.05</v>
          </cell>
        </row>
        <row r="14">
          <cell r="B14" t="str">
            <v xml:space="preserve">    130101  Explotación mármol</v>
          </cell>
          <cell r="C14">
            <v>0</v>
          </cell>
          <cell r="D14" t="str">
            <v xml:space="preserve">    130101  Explotación mármol</v>
          </cell>
          <cell r="E14">
            <v>0</v>
          </cell>
          <cell r="F14" t="str">
            <v xml:space="preserve">    130101  Explotación mármol</v>
          </cell>
          <cell r="G14">
            <v>0</v>
          </cell>
          <cell r="H14" t="str">
            <v xml:space="preserve">    130101  Explotación mármol</v>
          </cell>
          <cell r="I14">
            <v>0</v>
          </cell>
        </row>
        <row r="15">
          <cell r="B15" t="str">
            <v xml:space="preserve">    130201  Impuesto sobre ABI</v>
          </cell>
          <cell r="C15">
            <v>76240472.180000007</v>
          </cell>
          <cell r="D15" t="str">
            <v xml:space="preserve">    130201  Impuesto sobre ABI</v>
          </cell>
          <cell r="E15">
            <v>-5082229.99</v>
          </cell>
          <cell r="F15" t="str">
            <v xml:space="preserve">    130201  Impuesto sobre ABI</v>
          </cell>
          <cell r="G15">
            <v>-5159928.87</v>
          </cell>
          <cell r="H15" t="str">
            <v xml:space="preserve">    130201  Impuesto sobre ABI</v>
          </cell>
          <cell r="I15">
            <v>-12657772.49</v>
          </cell>
        </row>
        <row r="16">
          <cell r="B16" t="str">
            <v xml:space="preserve">    130301  Im de fraccionam.</v>
          </cell>
          <cell r="C16">
            <v>180911.17</v>
          </cell>
          <cell r="D16" t="str">
            <v xml:space="preserve">    130301  Im de fraccionam.</v>
          </cell>
          <cell r="E16">
            <v>-65642.570000000007</v>
          </cell>
          <cell r="F16" t="str">
            <v xml:space="preserve">    130301  Im de fraccionam.</v>
          </cell>
          <cell r="G16">
            <v>-7988.18</v>
          </cell>
          <cell r="H16" t="str">
            <v xml:space="preserve">    130301  Im de fraccionam.</v>
          </cell>
          <cell r="I16">
            <v>-14450.16</v>
          </cell>
        </row>
        <row r="17">
          <cell r="B17" t="str">
            <v xml:space="preserve">    170101  Recargos imp predi</v>
          </cell>
          <cell r="C17">
            <v>9758933.4199999999</v>
          </cell>
          <cell r="D17" t="str">
            <v xml:space="preserve">    170101  Recargos imp predi</v>
          </cell>
          <cell r="E17">
            <v>-517794.1</v>
          </cell>
          <cell r="F17" t="str">
            <v xml:space="preserve">    170101  Recargos imp predi</v>
          </cell>
          <cell r="G17">
            <v>-558233.25</v>
          </cell>
          <cell r="H17" t="str">
            <v xml:space="preserve">    170101  Recargos imp predi</v>
          </cell>
          <cell r="I17">
            <v>-1307478.1100000001</v>
          </cell>
        </row>
        <row r="18">
          <cell r="B18" t="str">
            <v xml:space="preserve">    170102  Recargos ABI</v>
          </cell>
          <cell r="C18">
            <v>1596510.42</v>
          </cell>
          <cell r="D18" t="str">
            <v xml:space="preserve">    170102  Recargos ABI</v>
          </cell>
          <cell r="E18">
            <v>-86762.75</v>
          </cell>
          <cell r="F18" t="str">
            <v xml:space="preserve">    170102  Recargos ABI</v>
          </cell>
          <cell r="G18">
            <v>-216988.09</v>
          </cell>
          <cell r="H18" t="str">
            <v xml:space="preserve">    170102  Recargos ABI</v>
          </cell>
          <cell r="I18">
            <v>-82649.64</v>
          </cell>
        </row>
        <row r="19">
          <cell r="B19" t="str">
            <v xml:space="preserve">    170103  Recargos saldos in</v>
          </cell>
          <cell r="C19">
            <v>24515.02</v>
          </cell>
          <cell r="D19" t="str">
            <v xml:space="preserve">    170103  Recargos saldos in</v>
          </cell>
          <cell r="E19">
            <v>-137.72</v>
          </cell>
          <cell r="F19" t="str">
            <v xml:space="preserve">    170103  Recargos saldos in</v>
          </cell>
          <cell r="G19">
            <v>-880.87</v>
          </cell>
          <cell r="H19" t="str">
            <v xml:space="preserve">    170103  Recargos saldos in</v>
          </cell>
          <cell r="I19">
            <v>-4167.72</v>
          </cell>
        </row>
        <row r="20">
          <cell r="B20" t="str">
            <v xml:space="preserve">    170201  Multas inmobiliari</v>
          </cell>
          <cell r="C20">
            <v>2605940.9500000002</v>
          </cell>
          <cell r="D20" t="str">
            <v xml:space="preserve">    170201  Multas inmobiliari</v>
          </cell>
          <cell r="E20">
            <v>-147127.37</v>
          </cell>
          <cell r="F20" t="str">
            <v xml:space="preserve">    170201  Multas inmobiliari</v>
          </cell>
          <cell r="G20">
            <v>-152256.16</v>
          </cell>
          <cell r="H20" t="str">
            <v xml:space="preserve">    170201  Multas inmobiliari</v>
          </cell>
          <cell r="I20">
            <v>-142614.97</v>
          </cell>
        </row>
        <row r="21">
          <cell r="B21" t="str">
            <v xml:space="preserve">    170301  Honorarios ejecuci</v>
          </cell>
          <cell r="C21">
            <v>3914405.06</v>
          </cell>
          <cell r="D21" t="str">
            <v xml:space="preserve">    170301  Honorarios ejecuci</v>
          </cell>
          <cell r="E21">
            <v>-323187.03999999998</v>
          </cell>
          <cell r="F21" t="str">
            <v xml:space="preserve">    170301  Honorarios ejecuci</v>
          </cell>
          <cell r="G21">
            <v>-294117.13</v>
          </cell>
          <cell r="H21" t="str">
            <v xml:space="preserve">    170301  Honorarios ejecuci</v>
          </cell>
          <cell r="I21">
            <v>-800618.84</v>
          </cell>
        </row>
        <row r="22">
          <cell r="B22" t="str">
            <v xml:space="preserve">    170401  Actualiz. impuesto</v>
          </cell>
          <cell r="C22">
            <v>169005.16</v>
          </cell>
          <cell r="D22" t="str">
            <v xml:space="preserve">    170401  Actualiz. impuesto</v>
          </cell>
          <cell r="E22">
            <v>-15810.8</v>
          </cell>
          <cell r="F22" t="str">
            <v xml:space="preserve">    170401  Actualiz. impuesto</v>
          </cell>
          <cell r="G22">
            <v>-33347.18</v>
          </cell>
          <cell r="H22" t="str">
            <v xml:space="preserve">    170401  Actualiz. impuesto</v>
          </cell>
          <cell r="I22">
            <v>-88992.01</v>
          </cell>
        </row>
        <row r="23">
          <cell r="B23" t="str">
            <v xml:space="preserve">    170501  Cuota Org.Agricola</v>
          </cell>
          <cell r="C23">
            <v>238636.82</v>
          </cell>
          <cell r="D23" t="str">
            <v xml:space="preserve">    170501  Cuota Org.Agricola</v>
          </cell>
          <cell r="E23">
            <v>-2875.3</v>
          </cell>
          <cell r="F23" t="str">
            <v xml:space="preserve">    170501  Cuota Org.Agricola</v>
          </cell>
          <cell r="G23">
            <v>-4530.7700000000004</v>
          </cell>
          <cell r="H23" t="str">
            <v xml:space="preserve">    170501  Cuota Org.Agricola</v>
          </cell>
          <cell r="I23">
            <v>-8731.24</v>
          </cell>
        </row>
        <row r="24">
          <cell r="B24" t="str">
            <v>*   30 Contribuciones de</v>
          </cell>
          <cell r="C24">
            <v>1760136.6</v>
          </cell>
          <cell r="D24" t="str">
            <v>*   30 Contribuciones de</v>
          </cell>
          <cell r="E24">
            <v>188773.67</v>
          </cell>
          <cell r="F24" t="str">
            <v>*   30 Contribuciones de</v>
          </cell>
          <cell r="G24">
            <v>-236036.9</v>
          </cell>
          <cell r="H24" t="str">
            <v>*   30 Contribuciones de</v>
          </cell>
          <cell r="I24">
            <v>-266626.48</v>
          </cell>
        </row>
        <row r="25">
          <cell r="B25" t="str">
            <v xml:space="preserve">    310101  Benef Años Anterio</v>
          </cell>
          <cell r="C25">
            <v>1760136.6</v>
          </cell>
          <cell r="D25" t="str">
            <v xml:space="preserve">    310101  Benef Años Anterio</v>
          </cell>
          <cell r="E25">
            <v>188773.67</v>
          </cell>
          <cell r="F25" t="str">
            <v xml:space="preserve">    310101  Benef años anterio</v>
          </cell>
          <cell r="G25">
            <v>-236036.9</v>
          </cell>
          <cell r="H25" t="str">
            <v xml:space="preserve">    310101  Benef años anterio</v>
          </cell>
          <cell r="I25">
            <v>-266626.48</v>
          </cell>
        </row>
        <row r="26">
          <cell r="B26" t="str">
            <v>*   40 Derechos</v>
          </cell>
          <cell r="C26">
            <v>149592455.81</v>
          </cell>
          <cell r="D26" t="str">
            <v>*   40 Derechos</v>
          </cell>
          <cell r="E26">
            <v>-13382121.15</v>
          </cell>
          <cell r="F26" t="str">
            <v>*   40 Derechos</v>
          </cell>
          <cell r="G26">
            <v>-11965368.91</v>
          </cell>
          <cell r="H26" t="str">
            <v>*   40 Derechos</v>
          </cell>
          <cell r="I26">
            <v>-18941086.530000001</v>
          </cell>
        </row>
        <row r="27">
          <cell r="B27" t="str">
            <v xml:space="preserve">    410101  Plaza vta ambulant</v>
          </cell>
          <cell r="C27">
            <v>3274982.86</v>
          </cell>
          <cell r="D27" t="str">
            <v xml:space="preserve">    410101  Plaza vta ambulant</v>
          </cell>
          <cell r="E27">
            <v>-167366</v>
          </cell>
          <cell r="F27" t="str">
            <v xml:space="preserve">    410101  Plaza vta ambulant</v>
          </cell>
          <cell r="G27">
            <v>-380897</v>
          </cell>
          <cell r="H27" t="str">
            <v xml:space="preserve">    410101  Plaza vta ambulant</v>
          </cell>
          <cell r="I27">
            <v>-467301</v>
          </cell>
        </row>
        <row r="28">
          <cell r="B28" t="str">
            <v xml:space="preserve">    410102  Exped lic ambulant</v>
          </cell>
          <cell r="C28">
            <v>613331</v>
          </cell>
          <cell r="D28" t="str">
            <v xml:space="preserve">    410102  Exped lic ambulant</v>
          </cell>
          <cell r="E28">
            <v>-2336</v>
          </cell>
          <cell r="F28" t="str">
            <v xml:space="preserve">    410102  Exped lic ambulant</v>
          </cell>
          <cell r="G28">
            <v>-265604</v>
          </cell>
          <cell r="H28" t="str">
            <v xml:space="preserve">    410102  Exped lic ambulant</v>
          </cell>
          <cell r="I28">
            <v>-7426</v>
          </cell>
        </row>
        <row r="29">
          <cell r="B29" t="str">
            <v xml:space="preserve">    410103  Ocup via pub caset</v>
          </cell>
          <cell r="C29">
            <v>0</v>
          </cell>
          <cell r="D29" t="str">
            <v xml:space="preserve">    410103  Ocup via pub caset</v>
          </cell>
          <cell r="E29">
            <v>0</v>
          </cell>
          <cell r="F29" t="str">
            <v xml:space="preserve">    410103  Ocup via pub caset</v>
          </cell>
          <cell r="G29">
            <v>0</v>
          </cell>
          <cell r="H29" t="str">
            <v xml:space="preserve">    410103  Ocup via pub caset</v>
          </cell>
          <cell r="I29">
            <v>0</v>
          </cell>
        </row>
        <row r="30">
          <cell r="B30" t="str">
            <v xml:space="preserve">    410104  Permiso cierre cal</v>
          </cell>
          <cell r="C30">
            <v>9360</v>
          </cell>
          <cell r="D30" t="str">
            <v xml:space="preserve">    410104  Permiso cierre cal</v>
          </cell>
          <cell r="E30">
            <v>-624</v>
          </cell>
          <cell r="F30" t="str">
            <v xml:space="preserve">    410104  Permiso cierre cal</v>
          </cell>
          <cell r="G30">
            <v>0</v>
          </cell>
          <cell r="H30" t="str">
            <v xml:space="preserve">    410104  Permiso cierre cal</v>
          </cell>
          <cell r="I30">
            <v>-312</v>
          </cell>
        </row>
        <row r="31">
          <cell r="B31" t="str">
            <v xml:space="preserve">    410201  Mercado 5 de feb</v>
          </cell>
          <cell r="C31">
            <v>16944</v>
          </cell>
          <cell r="D31" t="str">
            <v xml:space="preserve">    410201  Mercado 5 de feb</v>
          </cell>
          <cell r="E31">
            <v>-1412</v>
          </cell>
          <cell r="F31" t="str">
            <v xml:space="preserve">    410201  Mercado 5 de feb</v>
          </cell>
          <cell r="G31">
            <v>-1412</v>
          </cell>
          <cell r="H31" t="str">
            <v xml:space="preserve">    410201  Mercado 5 de feb</v>
          </cell>
          <cell r="I31">
            <v>-1412</v>
          </cell>
        </row>
        <row r="32">
          <cell r="B32" t="str">
            <v xml:space="preserve">    410202  Mdo Benito Juarez</v>
          </cell>
          <cell r="C32">
            <v>47678.400000000001</v>
          </cell>
          <cell r="D32" t="str">
            <v xml:space="preserve">    410202  Mdo Benito Juarez</v>
          </cell>
          <cell r="E32">
            <v>-3973.2</v>
          </cell>
          <cell r="F32" t="str">
            <v xml:space="preserve">    410202  Mdo Benito Juarez</v>
          </cell>
          <cell r="G32">
            <v>-3973.2</v>
          </cell>
          <cell r="H32" t="str">
            <v xml:space="preserve">    410202  Mdo Benito Juarez</v>
          </cell>
          <cell r="I32">
            <v>-3973.2</v>
          </cell>
        </row>
        <row r="33">
          <cell r="B33" t="str">
            <v xml:space="preserve">    410203  Mercado Hidalgo</v>
          </cell>
          <cell r="C33">
            <v>56680</v>
          </cell>
          <cell r="D33" t="str">
            <v xml:space="preserve">    410203  Mercado Hidalgo</v>
          </cell>
          <cell r="E33">
            <v>0</v>
          </cell>
          <cell r="F33" t="str">
            <v xml:space="preserve">    410203  Mercado Hidalgo</v>
          </cell>
          <cell r="G33">
            <v>-5090</v>
          </cell>
          <cell r="H33" t="str">
            <v xml:space="preserve">    410203  Mercado Hidalgo</v>
          </cell>
          <cell r="I33">
            <v>-5090</v>
          </cell>
        </row>
        <row r="34">
          <cell r="B34" t="str">
            <v xml:space="preserve">    410204  Mercado Morelos</v>
          </cell>
          <cell r="C34">
            <v>65680</v>
          </cell>
          <cell r="D34" t="str">
            <v xml:space="preserve">    410204  Mercado Morelos</v>
          </cell>
          <cell r="E34">
            <v>-10090</v>
          </cell>
          <cell r="F34" t="str">
            <v xml:space="preserve">    410204  Mercado Morelos</v>
          </cell>
          <cell r="G34">
            <v>-5000</v>
          </cell>
          <cell r="H34" t="str">
            <v xml:space="preserve">    410204  Mercado Morelos</v>
          </cell>
          <cell r="I34">
            <v>-5000</v>
          </cell>
        </row>
        <row r="35">
          <cell r="B35" t="str">
            <v xml:space="preserve">    410205  Mdo San Juan Vega</v>
          </cell>
          <cell r="C35">
            <v>9200</v>
          </cell>
          <cell r="D35" t="str">
            <v xml:space="preserve">    410205  Mdo San Juan Vega</v>
          </cell>
          <cell r="E35">
            <v>-1350</v>
          </cell>
          <cell r="F35" t="str">
            <v xml:space="preserve">    410205  Mdo San Juan Vega</v>
          </cell>
          <cell r="G35">
            <v>-675</v>
          </cell>
          <cell r="H35" t="str">
            <v xml:space="preserve">    410205  Mdo San Juan Vega</v>
          </cell>
          <cell r="I35">
            <v>-1600</v>
          </cell>
        </row>
        <row r="36">
          <cell r="B36" t="str">
            <v xml:space="preserve">    410206  Uso y arrendamient</v>
          </cell>
          <cell r="C36">
            <v>0</v>
          </cell>
          <cell r="D36" t="str">
            <v xml:space="preserve">    410206  Uso y arrendamient</v>
          </cell>
          <cell r="E36">
            <v>0</v>
          </cell>
          <cell r="F36" t="str">
            <v xml:space="preserve">    410206  Uso y arrendamient</v>
          </cell>
          <cell r="G36">
            <v>0</v>
          </cell>
          <cell r="H36" t="str">
            <v xml:space="preserve">    410206  Uso y arrendamient</v>
          </cell>
          <cell r="I36">
            <v>0</v>
          </cell>
        </row>
        <row r="37">
          <cell r="B37" t="str">
            <v xml:space="preserve">    410207  Parque bicentenari</v>
          </cell>
          <cell r="C37">
            <v>44925</v>
          </cell>
          <cell r="D37" t="str">
            <v xml:space="preserve">    410207  Parque bicentenari</v>
          </cell>
          <cell r="E37">
            <v>0</v>
          </cell>
          <cell r="F37" t="str">
            <v xml:space="preserve">    410207  Parque bicentenari</v>
          </cell>
          <cell r="G37">
            <v>0</v>
          </cell>
          <cell r="H37" t="str">
            <v xml:space="preserve">    410207  Parque bicentenari</v>
          </cell>
          <cell r="I37">
            <v>0</v>
          </cell>
        </row>
        <row r="38">
          <cell r="B38" t="str">
            <v xml:space="preserve">    410208  Tarimas</v>
          </cell>
          <cell r="C38">
            <v>1867</v>
          </cell>
          <cell r="D38" t="str">
            <v xml:space="preserve">    410208  Tarimas</v>
          </cell>
          <cell r="E38">
            <v>0</v>
          </cell>
          <cell r="F38" t="str">
            <v xml:space="preserve">    410208  Tarimas</v>
          </cell>
          <cell r="G38">
            <v>0</v>
          </cell>
          <cell r="H38" t="str">
            <v xml:space="preserve">    410208  Tarimas</v>
          </cell>
          <cell r="I38">
            <v>0</v>
          </cell>
        </row>
        <row r="39">
          <cell r="B39" t="str">
            <v xml:space="preserve">    410209  Mamparas</v>
          </cell>
          <cell r="C39">
            <v>0</v>
          </cell>
          <cell r="D39" t="str">
            <v xml:space="preserve">    410209  Mamparas</v>
          </cell>
          <cell r="E39">
            <v>0</v>
          </cell>
          <cell r="F39" t="str">
            <v xml:space="preserve">    410209  Mamparas</v>
          </cell>
          <cell r="G39">
            <v>0</v>
          </cell>
          <cell r="H39" t="str">
            <v xml:space="preserve">    410209  Mamparas</v>
          </cell>
          <cell r="I39">
            <v>0</v>
          </cell>
        </row>
        <row r="40">
          <cell r="B40" t="str">
            <v xml:space="preserve">    430101  Serv especial de r</v>
          </cell>
          <cell r="C40">
            <v>2700094.08</v>
          </cell>
          <cell r="D40" t="str">
            <v xml:space="preserve">    430101  Serv especial de r</v>
          </cell>
          <cell r="E40">
            <v>-146056.82999999999</v>
          </cell>
          <cell r="F40" t="str">
            <v xml:space="preserve">    430101  Serv especial de r</v>
          </cell>
          <cell r="G40">
            <v>-180796.6</v>
          </cell>
          <cell r="H40" t="str">
            <v xml:space="preserve">    430101  Serv especial de r</v>
          </cell>
          <cell r="I40">
            <v>-269585.21999999997</v>
          </cell>
        </row>
        <row r="41">
          <cell r="B41" t="str">
            <v xml:space="preserve">    430102  Acceso al relleno</v>
          </cell>
          <cell r="C41">
            <v>945623.2</v>
          </cell>
          <cell r="D41" t="str">
            <v xml:space="preserve">    430102  Acceso al relleno</v>
          </cell>
          <cell r="E41">
            <v>-80988.100000000006</v>
          </cell>
          <cell r="F41" t="str">
            <v xml:space="preserve">    430102  Acceso al relleno</v>
          </cell>
          <cell r="G41">
            <v>-74668.7</v>
          </cell>
          <cell r="H41" t="str">
            <v xml:space="preserve">    430102  Acceso al relleno</v>
          </cell>
          <cell r="I41">
            <v>-85644.52</v>
          </cell>
        </row>
        <row r="42">
          <cell r="B42" t="str">
            <v xml:space="preserve">    430103  Limpieza de lotes</v>
          </cell>
          <cell r="C42">
            <v>10688</v>
          </cell>
          <cell r="D42" t="str">
            <v xml:space="preserve">    430103  Limpieza de lotes</v>
          </cell>
          <cell r="E42">
            <v>0</v>
          </cell>
          <cell r="F42" t="str">
            <v xml:space="preserve">    430103  Limpieza de lotes</v>
          </cell>
          <cell r="G42">
            <v>0</v>
          </cell>
          <cell r="H42" t="str">
            <v xml:space="preserve">    430103  Limpieza de lotes</v>
          </cell>
          <cell r="I42">
            <v>0</v>
          </cell>
        </row>
        <row r="43">
          <cell r="B43" t="str">
            <v xml:space="preserve">    430104  Planta separadora</v>
          </cell>
          <cell r="C43">
            <v>0</v>
          </cell>
          <cell r="D43" t="str">
            <v xml:space="preserve">    430104  Planta separadora</v>
          </cell>
          <cell r="E43">
            <v>0</v>
          </cell>
          <cell r="F43" t="str">
            <v xml:space="preserve">    430104  Planta separadora</v>
          </cell>
          <cell r="G43">
            <v>0</v>
          </cell>
          <cell r="H43" t="str">
            <v xml:space="preserve">    430104  Planta separadora</v>
          </cell>
          <cell r="I43">
            <v>0</v>
          </cell>
        </row>
        <row r="44">
          <cell r="B44" t="str">
            <v xml:space="preserve">    430105  Tala o poda de arb</v>
          </cell>
          <cell r="C44">
            <v>172364.79999999999</v>
          </cell>
          <cell r="D44" t="str">
            <v xml:space="preserve">    430105  Tala o poda de arb</v>
          </cell>
          <cell r="E44">
            <v>-2972.8</v>
          </cell>
          <cell r="F44" t="str">
            <v xml:space="preserve">    430105  Tala o poda de arb</v>
          </cell>
          <cell r="G44">
            <v>-15379</v>
          </cell>
          <cell r="H44" t="str">
            <v xml:space="preserve">    430105  Tala o poda de arb</v>
          </cell>
          <cell r="I44">
            <v>-20431</v>
          </cell>
        </row>
        <row r="45">
          <cell r="B45" t="str">
            <v xml:space="preserve">    430106  Servicio de pipas</v>
          </cell>
          <cell r="C45">
            <v>284270</v>
          </cell>
          <cell r="D45" t="str">
            <v xml:space="preserve">    430106  Servicio de pipas</v>
          </cell>
          <cell r="E45">
            <v>-24161</v>
          </cell>
          <cell r="F45" t="str">
            <v xml:space="preserve">    430106  Servicio de pipas</v>
          </cell>
          <cell r="G45">
            <v>-59173</v>
          </cell>
          <cell r="H45" t="str">
            <v xml:space="preserve">    430106  Servicio de pipas</v>
          </cell>
          <cell r="I45">
            <v>-17697</v>
          </cell>
        </row>
        <row r="46">
          <cell r="B46" t="str">
            <v xml:space="preserve">    430107  Perm recol residuo</v>
          </cell>
          <cell r="C46">
            <v>57099.64</v>
          </cell>
          <cell r="D46" t="str">
            <v xml:space="preserve">    430107  Perm recol residuo</v>
          </cell>
          <cell r="E46">
            <v>-1933.12</v>
          </cell>
          <cell r="F46" t="str">
            <v xml:space="preserve">    430107  Perm recol residuo</v>
          </cell>
          <cell r="G46">
            <v>-874.47</v>
          </cell>
          <cell r="H46" t="str">
            <v xml:space="preserve">    430107  Perm recol residuo</v>
          </cell>
          <cell r="I46">
            <v>0</v>
          </cell>
        </row>
        <row r="47">
          <cell r="B47" t="str">
            <v xml:space="preserve">    430201  Inhumaciones y exh</v>
          </cell>
          <cell r="C47">
            <v>4556197.92</v>
          </cell>
          <cell r="D47" t="str">
            <v xml:space="preserve">    430201  Inhumaciones y exh</v>
          </cell>
          <cell r="E47">
            <v>-315979.02</v>
          </cell>
          <cell r="F47" t="str">
            <v xml:space="preserve">    430201  Inhumaciones y exh</v>
          </cell>
          <cell r="G47">
            <v>-510251.65</v>
          </cell>
          <cell r="H47" t="str">
            <v xml:space="preserve">    430201  Inhumaciones y exh</v>
          </cell>
          <cell r="I47">
            <v>-547814.54</v>
          </cell>
        </row>
        <row r="48">
          <cell r="B48" t="str">
            <v xml:space="preserve">    430202  Traslado de cadave</v>
          </cell>
          <cell r="C48">
            <v>331094.40000000002</v>
          </cell>
          <cell r="D48" t="str">
            <v xml:space="preserve">    430202  Traslado de cadave</v>
          </cell>
          <cell r="E48">
            <v>-34587.550000000003</v>
          </cell>
          <cell r="F48" t="str">
            <v xml:space="preserve">    430202  Traslado de cadave</v>
          </cell>
          <cell r="G48">
            <v>-33996.300000000003</v>
          </cell>
          <cell r="H48" t="str">
            <v xml:space="preserve">    430202  Traslado de cadave</v>
          </cell>
          <cell r="I48">
            <v>-36361.26</v>
          </cell>
        </row>
        <row r="49">
          <cell r="B49" t="str">
            <v xml:space="preserve">    430203  Venta de gavetas</v>
          </cell>
          <cell r="C49">
            <v>143064.62</v>
          </cell>
          <cell r="D49" t="str">
            <v xml:space="preserve">    430203  Venta de gavetas</v>
          </cell>
          <cell r="E49">
            <v>-25245.58</v>
          </cell>
          <cell r="F49" t="str">
            <v xml:space="preserve">    430203  Venta de gavetas</v>
          </cell>
          <cell r="G49">
            <v>-9813.06</v>
          </cell>
          <cell r="H49" t="str">
            <v xml:space="preserve">    430203  Venta de gavetas</v>
          </cell>
          <cell r="I49">
            <v>-35058.639999999999</v>
          </cell>
        </row>
        <row r="50">
          <cell r="B50" t="str">
            <v xml:space="preserve">    430204  Derecho de cremaci</v>
          </cell>
          <cell r="C50">
            <v>1313161.07</v>
          </cell>
          <cell r="D50" t="str">
            <v xml:space="preserve">    430204  Derecho de cremaci</v>
          </cell>
          <cell r="E50">
            <v>-107229.48</v>
          </cell>
          <cell r="F50" t="str">
            <v xml:space="preserve">    430204  Derecho de cremaci</v>
          </cell>
          <cell r="G50">
            <v>-146840.37</v>
          </cell>
          <cell r="H50" t="str">
            <v xml:space="preserve">    430204  Derecho de cremaci</v>
          </cell>
          <cell r="I50">
            <v>-222461.16</v>
          </cell>
        </row>
        <row r="51">
          <cell r="B51" t="str">
            <v xml:space="preserve">    430205  Placas y monumento</v>
          </cell>
          <cell r="C51">
            <v>1989463.91</v>
          </cell>
          <cell r="D51" t="str">
            <v xml:space="preserve">    430205  Placas y monumento</v>
          </cell>
          <cell r="E51">
            <v>-164602.42000000001</v>
          </cell>
          <cell r="F51" t="str">
            <v xml:space="preserve">    430205  Placas y monumento</v>
          </cell>
          <cell r="G51">
            <v>-186171.06</v>
          </cell>
          <cell r="H51" t="str">
            <v xml:space="preserve">    430205  Placas y monumento</v>
          </cell>
          <cell r="I51">
            <v>-178712.82</v>
          </cell>
        </row>
        <row r="52">
          <cell r="B52" t="str">
            <v xml:space="preserve">    430301  Ganado vacuno</v>
          </cell>
          <cell r="C52">
            <v>2974683.96</v>
          </cell>
          <cell r="D52" t="str">
            <v xml:space="preserve">    430301  Ganado vacuno</v>
          </cell>
          <cell r="E52">
            <v>-271305.18</v>
          </cell>
          <cell r="F52" t="str">
            <v xml:space="preserve">    430301  Ganado vacuno</v>
          </cell>
          <cell r="G52">
            <v>-250346.97</v>
          </cell>
          <cell r="H52" t="str">
            <v xml:space="preserve">    430301  Ganado vacuno</v>
          </cell>
          <cell r="I52">
            <v>-326349.27</v>
          </cell>
        </row>
        <row r="53">
          <cell r="B53" t="str">
            <v xml:space="preserve">    430302  Ganado porcino</v>
          </cell>
          <cell r="C53">
            <v>4748845.6399999997</v>
          </cell>
          <cell r="D53" t="str">
            <v xml:space="preserve">    430302  Ganado porcino</v>
          </cell>
          <cell r="E53">
            <v>-444436.2</v>
          </cell>
          <cell r="F53" t="str">
            <v xml:space="preserve">    430302  Ganado porcino</v>
          </cell>
          <cell r="G53">
            <v>-383292</v>
          </cell>
          <cell r="H53" t="str">
            <v xml:space="preserve">    430302  Ganado porcino</v>
          </cell>
          <cell r="I53">
            <v>-514402.2</v>
          </cell>
        </row>
        <row r="54">
          <cell r="B54" t="str">
            <v xml:space="preserve">    430303  Ganado ovicaprino</v>
          </cell>
          <cell r="C54">
            <v>3628.35</v>
          </cell>
          <cell r="D54" t="str">
            <v xml:space="preserve">    430303  Ganado ovicaprino</v>
          </cell>
          <cell r="E54">
            <v>-293.2</v>
          </cell>
          <cell r="F54" t="str">
            <v xml:space="preserve">    430303  Ganado ovicaprino</v>
          </cell>
          <cell r="G54">
            <v>-183.25</v>
          </cell>
          <cell r="H54" t="str">
            <v xml:space="preserve">    430303  Ganado ovicaprino</v>
          </cell>
          <cell r="I54">
            <v>0</v>
          </cell>
        </row>
        <row r="55">
          <cell r="B55" t="str">
            <v xml:space="preserve">    430304  Conduccion</v>
          </cell>
          <cell r="C55">
            <v>229496.2</v>
          </cell>
          <cell r="D55" t="str">
            <v xml:space="preserve">    430304  Conduccion</v>
          </cell>
          <cell r="E55">
            <v>-17330.400000000001</v>
          </cell>
          <cell r="F55" t="str">
            <v xml:space="preserve">    430304  Conduccion</v>
          </cell>
          <cell r="G55">
            <v>-15660</v>
          </cell>
          <cell r="H55" t="str">
            <v xml:space="preserve">    430304  Conduccion</v>
          </cell>
          <cell r="I55">
            <v>-16624.599999999999</v>
          </cell>
        </row>
        <row r="56">
          <cell r="B56" t="str">
            <v xml:space="preserve">    430305  Refrigeracion</v>
          </cell>
          <cell r="C56">
            <v>888141.48</v>
          </cell>
          <cell r="D56" t="str">
            <v xml:space="preserve">    430305  Refrigeracion</v>
          </cell>
          <cell r="E56">
            <v>-74363.759999999995</v>
          </cell>
          <cell r="F56" t="str">
            <v xml:space="preserve">    430305  Refrigeracion</v>
          </cell>
          <cell r="G56">
            <v>-72217.320000000007</v>
          </cell>
          <cell r="H56" t="str">
            <v xml:space="preserve">    430305  Refrigeracion</v>
          </cell>
          <cell r="I56">
            <v>-105244.8</v>
          </cell>
        </row>
        <row r="57">
          <cell r="B57" t="str">
            <v xml:space="preserve">    430306  Otros serv rastro</v>
          </cell>
          <cell r="C57">
            <v>14238.65</v>
          </cell>
          <cell r="D57" t="str">
            <v xml:space="preserve">    430306  Otros serv rastro</v>
          </cell>
          <cell r="E57">
            <v>-1650.4</v>
          </cell>
          <cell r="F57" t="str">
            <v xml:space="preserve">    430306  Otros serv rastro</v>
          </cell>
          <cell r="G57">
            <v>-768.4</v>
          </cell>
          <cell r="H57" t="str">
            <v xml:space="preserve">    430306  Otros serv rastro</v>
          </cell>
          <cell r="I57">
            <v>-1027.6199999999999</v>
          </cell>
        </row>
        <row r="58">
          <cell r="B58" t="str">
            <v xml:space="preserve">    430307  Pesaje canal de re</v>
          </cell>
          <cell r="C58">
            <v>64550</v>
          </cell>
          <cell r="D58" t="str">
            <v xml:space="preserve">    430307  Pesaje canal de re</v>
          </cell>
          <cell r="E58">
            <v>-5895</v>
          </cell>
          <cell r="F58" t="str">
            <v xml:space="preserve">    430307  Pesaje canal de re</v>
          </cell>
          <cell r="G58">
            <v>-5420</v>
          </cell>
          <cell r="H58" t="str">
            <v xml:space="preserve">    430307  Pesaje canal de re</v>
          </cell>
          <cell r="I58">
            <v>-7055</v>
          </cell>
        </row>
        <row r="59">
          <cell r="B59" t="str">
            <v xml:space="preserve">    430308  Pesaje canal  cerd</v>
          </cell>
          <cell r="C59">
            <v>32645</v>
          </cell>
          <cell r="D59" t="str">
            <v xml:space="preserve">    430308  Pesaje canal  cerd</v>
          </cell>
          <cell r="E59">
            <v>-2795</v>
          </cell>
          <cell r="F59" t="str">
            <v xml:space="preserve">    430308  Pesaje canal  cerd</v>
          </cell>
          <cell r="G59">
            <v>-1740</v>
          </cell>
          <cell r="H59" t="str">
            <v xml:space="preserve">    430308  Pesaje canal  cerd</v>
          </cell>
          <cell r="I59">
            <v>-2425</v>
          </cell>
        </row>
        <row r="60">
          <cell r="B60" t="str">
            <v xml:space="preserve">    430401  Policia auxiliar</v>
          </cell>
          <cell r="C60">
            <v>5633896.25</v>
          </cell>
          <cell r="D60" t="str">
            <v xml:space="preserve">    430401  Policia auxiliar</v>
          </cell>
          <cell r="E60">
            <v>-576277.19999999995</v>
          </cell>
          <cell r="F60" t="str">
            <v xml:space="preserve">    430401  Policia auxiliar</v>
          </cell>
          <cell r="G60">
            <v>-374580.18</v>
          </cell>
          <cell r="H60" t="str">
            <v xml:space="preserve">    430401  Policia auxiliar</v>
          </cell>
          <cell r="I60">
            <v>-417800.97</v>
          </cell>
        </row>
        <row r="61">
          <cell r="B61" t="str">
            <v xml:space="preserve">    430402  Serv part de vig</v>
          </cell>
          <cell r="C61">
            <v>1307664</v>
          </cell>
          <cell r="D61" t="str">
            <v xml:space="preserve">    430402  Serv part de vig</v>
          </cell>
          <cell r="E61">
            <v>-119652.82</v>
          </cell>
          <cell r="F61" t="str">
            <v xml:space="preserve">    430402  Serv part de vig</v>
          </cell>
          <cell r="G61">
            <v>-90086.1</v>
          </cell>
          <cell r="H61" t="str">
            <v xml:space="preserve">    430402  Serv part de vig</v>
          </cell>
          <cell r="I61">
            <v>-46373.96</v>
          </cell>
        </row>
        <row r="62">
          <cell r="B62" t="str">
            <v xml:space="preserve">    430403  Dict viabil.seg pu</v>
          </cell>
          <cell r="C62">
            <v>205900</v>
          </cell>
          <cell r="D62" t="str">
            <v xml:space="preserve">    430403  Dict viabil.seg pu</v>
          </cell>
          <cell r="E62">
            <v>-24850</v>
          </cell>
          <cell r="F62" t="str">
            <v xml:space="preserve">    430403  Dict viabil.seg pu</v>
          </cell>
          <cell r="G62">
            <v>-21300</v>
          </cell>
          <cell r="H62" t="str">
            <v xml:space="preserve">    430403  Dict viabil.seg pu</v>
          </cell>
          <cell r="I62">
            <v>-24850</v>
          </cell>
        </row>
        <row r="63">
          <cell r="B63" t="str">
            <v xml:space="preserve">    430404  Perm prot eventos</v>
          </cell>
          <cell r="C63">
            <v>65611.62</v>
          </cell>
          <cell r="D63" t="str">
            <v xml:space="preserve">    430404  Perm prot eventos</v>
          </cell>
          <cell r="E63">
            <v>-3897.72</v>
          </cell>
          <cell r="F63" t="str">
            <v xml:space="preserve">    430404  Perm prot eventos</v>
          </cell>
          <cell r="G63">
            <v>-1299.24</v>
          </cell>
          <cell r="H63" t="str">
            <v xml:space="preserve">    430404  Perm prot eventos</v>
          </cell>
          <cell r="I63">
            <v>-1299.24</v>
          </cell>
        </row>
        <row r="64">
          <cell r="B64" t="str">
            <v xml:space="preserve">    430501  Renov concesiones</v>
          </cell>
          <cell r="C64">
            <v>354728.64</v>
          </cell>
          <cell r="D64" t="str">
            <v xml:space="preserve">    430501  Renov concesiones</v>
          </cell>
          <cell r="E64">
            <v>-24238.2</v>
          </cell>
          <cell r="F64" t="str">
            <v xml:space="preserve">    430501  Renov concesiones</v>
          </cell>
          <cell r="G64">
            <v>0</v>
          </cell>
          <cell r="H64" t="str">
            <v xml:space="preserve">    430501  Renov concesiones</v>
          </cell>
          <cell r="I64">
            <v>0</v>
          </cell>
        </row>
        <row r="65">
          <cell r="B65" t="str">
            <v xml:space="preserve">    430502  Revista mecanica</v>
          </cell>
          <cell r="C65">
            <v>152016.85</v>
          </cell>
          <cell r="D65" t="str">
            <v xml:space="preserve">    430502  Revista mecanica</v>
          </cell>
          <cell r="E65">
            <v>-105714.47</v>
          </cell>
          <cell r="F65" t="str">
            <v xml:space="preserve">    430502  Revista mecanica</v>
          </cell>
          <cell r="G65">
            <v>-17014.73</v>
          </cell>
          <cell r="H65" t="str">
            <v xml:space="preserve">    430502  Revista mecanica</v>
          </cell>
          <cell r="I65">
            <v>-1394.65</v>
          </cell>
        </row>
        <row r="66">
          <cell r="B66" t="str">
            <v xml:space="preserve">    430503  Perm p/circul tran</v>
          </cell>
          <cell r="C66">
            <v>628063.4</v>
          </cell>
          <cell r="D66" t="str">
            <v xml:space="preserve">    430503  Perm p/circul tran</v>
          </cell>
          <cell r="E66">
            <v>-50220</v>
          </cell>
          <cell r="F66" t="str">
            <v xml:space="preserve">    430503  Perm p/circul tran</v>
          </cell>
          <cell r="G66">
            <v>-56100</v>
          </cell>
          <cell r="H66" t="str">
            <v xml:space="preserve">    430503  Perm p/circul tran</v>
          </cell>
          <cell r="I66">
            <v>-49723.4</v>
          </cell>
        </row>
        <row r="67">
          <cell r="B67" t="str">
            <v xml:space="preserve">    430504  Exp,ren o rep cedu</v>
          </cell>
          <cell r="C67">
            <v>0</v>
          </cell>
          <cell r="D67" t="str">
            <v xml:space="preserve">    430504  Exp,ren o rep cedu</v>
          </cell>
          <cell r="E67">
            <v>0</v>
          </cell>
          <cell r="F67" t="str">
            <v xml:space="preserve">    430504  Exp,ren o rep cedu</v>
          </cell>
          <cell r="G67">
            <v>0</v>
          </cell>
          <cell r="H67" t="str">
            <v xml:space="preserve">    430504  Exp,ren o rep cedu</v>
          </cell>
          <cell r="I67">
            <v>0</v>
          </cell>
        </row>
        <row r="68">
          <cell r="B68" t="str">
            <v xml:space="preserve">    430505  Tramites trans pub</v>
          </cell>
          <cell r="C68">
            <v>21989.360000000001</v>
          </cell>
          <cell r="D68" t="str">
            <v xml:space="preserve">    430505  Trámites transp pú</v>
          </cell>
          <cell r="E68">
            <v>0</v>
          </cell>
          <cell r="F68" t="str">
            <v xml:space="preserve">    430505  Trámites transp pú</v>
          </cell>
          <cell r="G68">
            <v>0</v>
          </cell>
          <cell r="H68" t="str">
            <v xml:space="preserve">    430505  Trámites transp pú</v>
          </cell>
          <cell r="I68">
            <v>0</v>
          </cell>
        </row>
        <row r="69">
          <cell r="B69" t="str">
            <v xml:space="preserve">    430601  Exp const de no in</v>
          </cell>
          <cell r="C69">
            <v>1092582.6200000001</v>
          </cell>
          <cell r="D69" t="str">
            <v xml:space="preserve">    430601  Exp const de no in</v>
          </cell>
          <cell r="E69">
            <v>-123142.32</v>
          </cell>
          <cell r="F69" t="str">
            <v xml:space="preserve">    430601  Exp const de no in</v>
          </cell>
          <cell r="G69">
            <v>-173561.28</v>
          </cell>
          <cell r="H69" t="str">
            <v xml:space="preserve">    430601  Exp const de no in</v>
          </cell>
          <cell r="I69">
            <v>-207485.39</v>
          </cell>
        </row>
        <row r="70">
          <cell r="B70" t="str">
            <v xml:space="preserve">    430602  Maniobr carga y de</v>
          </cell>
          <cell r="C70">
            <v>618133</v>
          </cell>
          <cell r="D70" t="str">
            <v xml:space="preserve">    430602  Maniobr carga y de</v>
          </cell>
          <cell r="E70">
            <v>-37483</v>
          </cell>
          <cell r="F70" t="str">
            <v xml:space="preserve">    430602  Maniobr carga y de</v>
          </cell>
          <cell r="G70">
            <v>-24269</v>
          </cell>
          <cell r="H70" t="str">
            <v xml:space="preserve">    430602  Maniobr carga y de</v>
          </cell>
          <cell r="I70">
            <v>-18052</v>
          </cell>
        </row>
        <row r="71">
          <cell r="B71" t="str">
            <v xml:space="preserve">    430701  Conces parque More</v>
          </cell>
          <cell r="C71">
            <v>36895.69</v>
          </cell>
          <cell r="D71" t="str">
            <v xml:space="preserve">    430701  Conces parque More</v>
          </cell>
          <cell r="E71">
            <v>0</v>
          </cell>
          <cell r="F71" t="str">
            <v xml:space="preserve">    430701  Conces parque More</v>
          </cell>
          <cell r="G71">
            <v>0</v>
          </cell>
          <cell r="H71" t="str">
            <v xml:space="preserve">    430701  Conces parque More</v>
          </cell>
          <cell r="I71">
            <v>0</v>
          </cell>
        </row>
        <row r="72">
          <cell r="B72" t="str">
            <v xml:space="preserve">    430801  Centro ctrl animal</v>
          </cell>
          <cell r="C72">
            <v>346197.2</v>
          </cell>
          <cell r="D72" t="str">
            <v xml:space="preserve">    430801  Centro ctrl animal</v>
          </cell>
          <cell r="E72">
            <v>-24448.13</v>
          </cell>
          <cell r="F72" t="str">
            <v xml:space="preserve">    430801  Centro ctrl animal</v>
          </cell>
          <cell r="G72">
            <v>-49074.44</v>
          </cell>
          <cell r="H72" t="str">
            <v xml:space="preserve">    430801  Centro ctrl animal</v>
          </cell>
          <cell r="I72">
            <v>-46623.65</v>
          </cell>
        </row>
        <row r="73">
          <cell r="B73" t="str">
            <v xml:space="preserve">    430901  Inspeccion de inm.</v>
          </cell>
          <cell r="C73">
            <v>1369578.98</v>
          </cell>
          <cell r="D73" t="str">
            <v xml:space="preserve">    430901  Inspeccion de inm.</v>
          </cell>
          <cell r="E73">
            <v>-108849.19</v>
          </cell>
          <cell r="F73" t="str">
            <v xml:space="preserve">    430901  Inspeccion de inm.</v>
          </cell>
          <cell r="G73">
            <v>-138900.5</v>
          </cell>
          <cell r="H73" t="str">
            <v xml:space="preserve">    430901  Inspeccion de inm.</v>
          </cell>
          <cell r="I73">
            <v>-102780.06</v>
          </cell>
        </row>
        <row r="74">
          <cell r="B74" t="str">
            <v xml:space="preserve">    430902  Rev inst en evento</v>
          </cell>
          <cell r="C74">
            <v>37452.519999999997</v>
          </cell>
          <cell r="D74" t="str">
            <v xml:space="preserve">    430902  Rev inst en evento</v>
          </cell>
          <cell r="E74">
            <v>-5643.72</v>
          </cell>
          <cell r="F74" t="str">
            <v xml:space="preserve">    430902  Rev inst en evento</v>
          </cell>
          <cell r="G74">
            <v>-854.48</v>
          </cell>
          <cell r="H74" t="str">
            <v xml:space="preserve">    430902  Rev inst en evento</v>
          </cell>
          <cell r="I74">
            <v>-2908</v>
          </cell>
        </row>
        <row r="75">
          <cell r="B75" t="str">
            <v xml:space="preserve">    430903  Exp dict verif</v>
          </cell>
          <cell r="C75">
            <v>69250.5</v>
          </cell>
          <cell r="D75" t="str">
            <v xml:space="preserve">    430903  Exp dict verif</v>
          </cell>
          <cell r="E75">
            <v>-11961.45</v>
          </cell>
          <cell r="F75" t="str">
            <v xml:space="preserve">    430903  Exp dict verif</v>
          </cell>
          <cell r="G75">
            <v>0</v>
          </cell>
          <cell r="H75" t="str">
            <v xml:space="preserve">    430903  Exp dict verif</v>
          </cell>
          <cell r="I75">
            <v>-3147.75</v>
          </cell>
        </row>
        <row r="76">
          <cell r="B76" t="str">
            <v xml:space="preserve">    431001  Div regimen en con</v>
          </cell>
          <cell r="C76">
            <v>0</v>
          </cell>
          <cell r="D76" t="str">
            <v xml:space="preserve">    431001  Div regimen en con</v>
          </cell>
          <cell r="E76">
            <v>0</v>
          </cell>
          <cell r="F76" t="str">
            <v xml:space="preserve">    431001  Div regimen en con</v>
          </cell>
          <cell r="G76">
            <v>0</v>
          </cell>
          <cell r="H76" t="str">
            <v xml:space="preserve">    431001  Div regimen en con</v>
          </cell>
          <cell r="I76">
            <v>0</v>
          </cell>
        </row>
        <row r="77">
          <cell r="B77" t="str">
            <v xml:space="preserve">    431002  Obra nueva</v>
          </cell>
          <cell r="C77">
            <v>1711970.77</v>
          </cell>
          <cell r="D77" t="str">
            <v xml:space="preserve">    431002  Obra nueva</v>
          </cell>
          <cell r="E77">
            <v>-325277.03000000003</v>
          </cell>
          <cell r="F77" t="str">
            <v xml:space="preserve">    431002  Obra nueva</v>
          </cell>
          <cell r="G77">
            <v>-50405.599999999999</v>
          </cell>
          <cell r="H77" t="str">
            <v xml:space="preserve">    431002  Obra nueva</v>
          </cell>
          <cell r="I77">
            <v>-95582.5</v>
          </cell>
        </row>
        <row r="78">
          <cell r="B78" t="str">
            <v xml:space="preserve">    431003  Ampl, rep y regula</v>
          </cell>
          <cell r="C78">
            <v>1894678.83</v>
          </cell>
          <cell r="D78" t="str">
            <v xml:space="preserve">    431003  Ampl, rep y regula</v>
          </cell>
          <cell r="E78">
            <v>-52588.55</v>
          </cell>
          <cell r="F78" t="str">
            <v xml:space="preserve">    431003  Ampl, rep y regula</v>
          </cell>
          <cell r="G78">
            <v>-206930.97</v>
          </cell>
          <cell r="H78" t="str">
            <v xml:space="preserve">    431003  Ampl, rep y regula</v>
          </cell>
          <cell r="I78">
            <v>-194573.47</v>
          </cell>
        </row>
        <row r="79">
          <cell r="B79" t="str">
            <v xml:space="preserve">    431004  Alineamiento num o</v>
          </cell>
          <cell r="C79">
            <v>1157300.28</v>
          </cell>
          <cell r="D79" t="str">
            <v xml:space="preserve">    431004  Alineamiento num o</v>
          </cell>
          <cell r="E79">
            <v>-71885.88</v>
          </cell>
          <cell r="F79" t="str">
            <v xml:space="preserve">    431004  Alineamiento num o</v>
          </cell>
          <cell r="G79">
            <v>-83957.53</v>
          </cell>
          <cell r="H79" t="str">
            <v xml:space="preserve">    431004  Alineamiento num o</v>
          </cell>
          <cell r="I79">
            <v>-109816.37</v>
          </cell>
        </row>
        <row r="80">
          <cell r="B80" t="str">
            <v xml:space="preserve">    431005  Uso de suelo</v>
          </cell>
          <cell r="C80">
            <v>572849.81000000006</v>
          </cell>
          <cell r="D80" t="str">
            <v xml:space="preserve">    431005  Uso de suelo</v>
          </cell>
          <cell r="E80">
            <v>-89777.09</v>
          </cell>
          <cell r="F80" t="str">
            <v xml:space="preserve">    431005  Uso de suelo</v>
          </cell>
          <cell r="G80">
            <v>-42042.6</v>
          </cell>
          <cell r="H80" t="str">
            <v xml:space="preserve">    431005  Uso de suelo</v>
          </cell>
          <cell r="I80">
            <v>-51803.07</v>
          </cell>
        </row>
        <row r="81">
          <cell r="B81" t="str">
            <v xml:space="preserve">    431006  Ocup via publica</v>
          </cell>
          <cell r="C81">
            <v>2854268.7</v>
          </cell>
          <cell r="D81" t="str">
            <v xml:space="preserve">    431006  Ocup via publica</v>
          </cell>
          <cell r="E81">
            <v>-55777.97</v>
          </cell>
          <cell r="F81" t="str">
            <v xml:space="preserve">    431006  Ocup via publica</v>
          </cell>
          <cell r="G81">
            <v>-16891.689999999999</v>
          </cell>
          <cell r="H81" t="str">
            <v xml:space="preserve">    431006  Ocup via publica</v>
          </cell>
          <cell r="I81">
            <v>-385842.84</v>
          </cell>
        </row>
        <row r="82">
          <cell r="B82" t="str">
            <v xml:space="preserve">    431007  Prorroga term obra</v>
          </cell>
          <cell r="C82">
            <v>2254403.5</v>
          </cell>
          <cell r="D82" t="str">
            <v xml:space="preserve">    431007  Prorroga term obra</v>
          </cell>
          <cell r="E82">
            <v>-792945.53</v>
          </cell>
          <cell r="F82" t="str">
            <v xml:space="preserve">    431007  Prorroga term obra</v>
          </cell>
          <cell r="G82">
            <v>-41415.760000000002</v>
          </cell>
          <cell r="H82" t="str">
            <v xml:space="preserve">    431007  Prorroga term obra</v>
          </cell>
          <cell r="I82">
            <v>-37412.870000000003</v>
          </cell>
        </row>
        <row r="83">
          <cell r="B83" t="str">
            <v xml:space="preserve">    431101  Asig clave catastr</v>
          </cell>
          <cell r="C83">
            <v>94013.35</v>
          </cell>
          <cell r="D83" t="str">
            <v xml:space="preserve">    431101  Asig clave catastr</v>
          </cell>
          <cell r="E83">
            <v>-7957.8</v>
          </cell>
          <cell r="F83" t="str">
            <v xml:space="preserve">    431101  Asig clave catastr</v>
          </cell>
          <cell r="G83">
            <v>-5682.52</v>
          </cell>
          <cell r="H83" t="str">
            <v xml:space="preserve">    431101  Asig clave catastr</v>
          </cell>
          <cell r="I83">
            <v>-6531.28</v>
          </cell>
        </row>
        <row r="84">
          <cell r="B84" t="str">
            <v xml:space="preserve">    431102  Derechos d valuaci</v>
          </cell>
          <cell r="C84">
            <v>4616711.71</v>
          </cell>
          <cell r="D84" t="str">
            <v xml:space="preserve">    431102  Derechos d valuaci</v>
          </cell>
          <cell r="E84">
            <v>-58548.56</v>
          </cell>
          <cell r="F84" t="str">
            <v xml:space="preserve">    431102  Derechos d valuaci</v>
          </cell>
          <cell r="G84">
            <v>-116856.24</v>
          </cell>
          <cell r="H84" t="str">
            <v xml:space="preserve">    431102  Derechos d valuaci</v>
          </cell>
          <cell r="I84">
            <v>-233208.95</v>
          </cell>
        </row>
        <row r="85">
          <cell r="B85" t="str">
            <v xml:space="preserve">    431103  Hon de valuacion</v>
          </cell>
          <cell r="C85">
            <v>1416657.88</v>
          </cell>
          <cell r="D85" t="str">
            <v xml:space="preserve">    431103  Hon de valuacion</v>
          </cell>
          <cell r="E85">
            <v>-99773.45</v>
          </cell>
          <cell r="F85" t="str">
            <v xml:space="preserve">    431103  Hon de valuacion</v>
          </cell>
          <cell r="G85">
            <v>-97714.78</v>
          </cell>
          <cell r="H85" t="str">
            <v xml:space="preserve">    431103  Hon de valuacion</v>
          </cell>
          <cell r="I85">
            <v>-157234.59</v>
          </cell>
        </row>
        <row r="86">
          <cell r="B86" t="str">
            <v xml:space="preserve">    431104  Ident inm reg cata</v>
          </cell>
          <cell r="C86">
            <v>632.48</v>
          </cell>
          <cell r="D86" t="str">
            <v xml:space="preserve">    431104  Ident inm reg cata</v>
          </cell>
          <cell r="E86">
            <v>0</v>
          </cell>
          <cell r="F86" t="str">
            <v xml:space="preserve">    431104  Ident inm reg cata</v>
          </cell>
          <cell r="G86">
            <v>0</v>
          </cell>
          <cell r="H86" t="str">
            <v xml:space="preserve">    431104  Ident inm reg cata</v>
          </cell>
          <cell r="I86">
            <v>-316.24</v>
          </cell>
        </row>
        <row r="87">
          <cell r="B87" t="str">
            <v xml:space="preserve">    431201  Derechos de fracc</v>
          </cell>
          <cell r="C87">
            <v>437586.69</v>
          </cell>
          <cell r="D87" t="str">
            <v xml:space="preserve">    431201  Derechos de fracc</v>
          </cell>
          <cell r="E87">
            <v>-40662.910000000003</v>
          </cell>
          <cell r="F87" t="str">
            <v xml:space="preserve">    431201  Derechos de fracc</v>
          </cell>
          <cell r="G87">
            <v>-9943.82</v>
          </cell>
          <cell r="H87" t="str">
            <v xml:space="preserve">    431201  Derechos de fracc</v>
          </cell>
          <cell r="I87">
            <v>-36730.239999999998</v>
          </cell>
        </row>
        <row r="88">
          <cell r="B88" t="str">
            <v xml:space="preserve">    431202  Superv. de fracc</v>
          </cell>
          <cell r="C88">
            <v>2097115.76</v>
          </cell>
          <cell r="D88" t="str">
            <v xml:space="preserve">    431202  Superv. de fracc</v>
          </cell>
          <cell r="E88">
            <v>-435945.92</v>
          </cell>
          <cell r="F88" t="str">
            <v xml:space="preserve">    431202  Superv. de fracc</v>
          </cell>
          <cell r="G88">
            <v>-104658.08</v>
          </cell>
          <cell r="H88" t="str">
            <v xml:space="preserve">    431202  Superv. de fracc</v>
          </cell>
          <cell r="I88">
            <v>-248972.03</v>
          </cell>
        </row>
        <row r="89">
          <cell r="B89" t="str">
            <v xml:space="preserve">    431203  División y relotif</v>
          </cell>
          <cell r="C89">
            <v>472464.13</v>
          </cell>
          <cell r="D89" t="str">
            <v xml:space="preserve">    431203  División y relotif</v>
          </cell>
          <cell r="E89">
            <v>-25839.72</v>
          </cell>
          <cell r="F89" t="str">
            <v xml:space="preserve">    431203  División y relotif</v>
          </cell>
          <cell r="G89">
            <v>-31241.4</v>
          </cell>
          <cell r="H89" t="str">
            <v xml:space="preserve">    431203  División y relotif</v>
          </cell>
          <cell r="I89">
            <v>-38671.620000000003</v>
          </cell>
        </row>
        <row r="90">
          <cell r="B90" t="str">
            <v xml:space="preserve">    431301  Anuncios</v>
          </cell>
          <cell r="C90">
            <v>3546385.73</v>
          </cell>
          <cell r="D90" t="str">
            <v xml:space="preserve">    431301  Anuncios</v>
          </cell>
          <cell r="E90">
            <v>-485242.87</v>
          </cell>
          <cell r="F90" t="str">
            <v xml:space="preserve">    431301  Anuncios</v>
          </cell>
          <cell r="G90">
            <v>-382675.11</v>
          </cell>
          <cell r="H90" t="str">
            <v xml:space="preserve">    431301  Anuncios</v>
          </cell>
          <cell r="I90">
            <v>-303975.84000000003</v>
          </cell>
        </row>
        <row r="91">
          <cell r="B91" t="str">
            <v xml:space="preserve">    431401  Perm p/vta beb alc</v>
          </cell>
          <cell r="C91">
            <v>48095.24</v>
          </cell>
          <cell r="D91" t="str">
            <v xml:space="preserve">    431401  Perm p/vta beb alc</v>
          </cell>
          <cell r="E91">
            <v>0</v>
          </cell>
          <cell r="F91" t="str">
            <v xml:space="preserve">    431401  Perm p/vta beb alc</v>
          </cell>
          <cell r="G91">
            <v>0</v>
          </cell>
          <cell r="H91" t="str">
            <v xml:space="preserve">    431401  Perm p/vta beb alc</v>
          </cell>
          <cell r="I91">
            <v>0</v>
          </cell>
        </row>
        <row r="92">
          <cell r="B92" t="str">
            <v xml:space="preserve">    431402  Ampl de horario</v>
          </cell>
          <cell r="C92">
            <v>91715.32</v>
          </cell>
          <cell r="D92" t="str">
            <v xml:space="preserve">    431402  Ampl de horario</v>
          </cell>
          <cell r="E92">
            <v>0</v>
          </cell>
          <cell r="F92" t="str">
            <v xml:space="preserve">    431402  Ampl de horario</v>
          </cell>
          <cell r="G92">
            <v>0</v>
          </cell>
          <cell r="H92" t="str">
            <v xml:space="preserve">    431402  Ampl de horario</v>
          </cell>
          <cell r="I92">
            <v>0</v>
          </cell>
        </row>
        <row r="93">
          <cell r="B93" t="str">
            <v xml:space="preserve">    431501  Manif impacto amb</v>
          </cell>
          <cell r="C93">
            <v>207688.4</v>
          </cell>
          <cell r="D93" t="str">
            <v xml:space="preserve">    431501  Manif impacto amb</v>
          </cell>
          <cell r="E93">
            <v>-22637.02</v>
          </cell>
          <cell r="F93" t="str">
            <v xml:space="preserve">    431501  Manif impacto amb</v>
          </cell>
          <cell r="G93">
            <v>-25870.880000000001</v>
          </cell>
          <cell r="H93" t="str">
            <v xml:space="preserve">    431501  Manif impacto amb</v>
          </cell>
          <cell r="I93">
            <v>-13859.4</v>
          </cell>
        </row>
        <row r="94">
          <cell r="B94" t="str">
            <v xml:space="preserve">    431502  Perm en materia am</v>
          </cell>
          <cell r="C94">
            <v>149712.75</v>
          </cell>
          <cell r="D94" t="str">
            <v xml:space="preserve">    431502  Perm en materia am</v>
          </cell>
          <cell r="E94">
            <v>-22959.75</v>
          </cell>
          <cell r="F94" t="str">
            <v xml:space="preserve">    431502  Perm en materia am</v>
          </cell>
          <cell r="G94">
            <v>-6072</v>
          </cell>
          <cell r="H94" t="str">
            <v xml:space="preserve">    431502  Perm en materia am</v>
          </cell>
          <cell r="I94">
            <v>-5313</v>
          </cell>
        </row>
        <row r="95">
          <cell r="B95" t="str">
            <v xml:space="preserve">    431503  Perm estab medio a</v>
          </cell>
          <cell r="C95">
            <v>51106.44</v>
          </cell>
          <cell r="D95" t="str">
            <v xml:space="preserve">    431503  Perm estab medio a</v>
          </cell>
          <cell r="E95">
            <v>-2323.02</v>
          </cell>
          <cell r="F95" t="str">
            <v xml:space="preserve">    431503  Perm estab medio a</v>
          </cell>
          <cell r="G95">
            <v>-15099.63</v>
          </cell>
          <cell r="H95" t="str">
            <v xml:space="preserve">    431503  Perm estab medio a</v>
          </cell>
          <cell r="I95">
            <v>-1161.51</v>
          </cell>
        </row>
        <row r="96">
          <cell r="B96" t="str">
            <v xml:space="preserve">    431504  Permiso perifoneo</v>
          </cell>
          <cell r="C96">
            <v>86198.53</v>
          </cell>
          <cell r="D96" t="str">
            <v xml:space="preserve">    431504  Permiso perifoneo</v>
          </cell>
          <cell r="E96">
            <v>-21914.52</v>
          </cell>
          <cell r="F96" t="str">
            <v xml:space="preserve">    431504  Permiso perifoneo</v>
          </cell>
          <cell r="G96">
            <v>-2837.67</v>
          </cell>
          <cell r="H96" t="str">
            <v xml:space="preserve">    431504  Permiso perifoneo</v>
          </cell>
          <cell r="I96">
            <v>-515.94000000000005</v>
          </cell>
        </row>
        <row r="97">
          <cell r="B97" t="str">
            <v xml:space="preserve">    431505  Capac en materia a</v>
          </cell>
          <cell r="C97">
            <v>0</v>
          </cell>
          <cell r="D97" t="str">
            <v xml:space="preserve">    431505  Capac en materia a</v>
          </cell>
          <cell r="E97">
            <v>0</v>
          </cell>
          <cell r="F97" t="str">
            <v xml:space="preserve">    431505  Capac en materia a</v>
          </cell>
          <cell r="G97">
            <v>0</v>
          </cell>
          <cell r="H97" t="str">
            <v xml:space="preserve">    431505  Capac en materia a</v>
          </cell>
          <cell r="I97">
            <v>0</v>
          </cell>
        </row>
        <row r="98">
          <cell r="B98" t="str">
            <v xml:space="preserve">    431506  Viv plantas nativa</v>
          </cell>
          <cell r="C98">
            <v>192545.5</v>
          </cell>
          <cell r="D98" t="str">
            <v xml:space="preserve">    431506  Viv plantas nativa</v>
          </cell>
          <cell r="E98">
            <v>-18651</v>
          </cell>
          <cell r="F98" t="str">
            <v xml:space="preserve">    431506  Viv plantas nativa</v>
          </cell>
          <cell r="G98">
            <v>-11490</v>
          </cell>
          <cell r="H98" t="str">
            <v xml:space="preserve">    431506  Viv plantas nativa</v>
          </cell>
          <cell r="I98">
            <v>-10908</v>
          </cell>
        </row>
        <row r="99">
          <cell r="B99" t="str">
            <v xml:space="preserve">    431601  Otras certif</v>
          </cell>
          <cell r="C99">
            <v>182365.91</v>
          </cell>
          <cell r="D99" t="str">
            <v xml:space="preserve">    431601  Otras certif</v>
          </cell>
          <cell r="E99">
            <v>-18904.59</v>
          </cell>
          <cell r="F99" t="str">
            <v xml:space="preserve">    431601  Otras certif</v>
          </cell>
          <cell r="G99">
            <v>-16041.39</v>
          </cell>
          <cell r="H99" t="str">
            <v xml:space="preserve">    431601  Otras certif</v>
          </cell>
          <cell r="I99">
            <v>-20235.75</v>
          </cell>
        </row>
        <row r="100">
          <cell r="B100" t="str">
            <v xml:space="preserve">    431602  Certific. des urba</v>
          </cell>
          <cell r="C100">
            <v>284728.96999999997</v>
          </cell>
          <cell r="D100" t="str">
            <v xml:space="preserve">    431602  Certific. des urba</v>
          </cell>
          <cell r="E100">
            <v>-24676.32</v>
          </cell>
          <cell r="F100" t="str">
            <v xml:space="preserve">    431602  Certific. des urba</v>
          </cell>
          <cell r="G100">
            <v>-28479.18</v>
          </cell>
          <cell r="H100" t="str">
            <v xml:space="preserve">    431602  Certific. des urba</v>
          </cell>
          <cell r="I100">
            <v>-25162.47</v>
          </cell>
        </row>
        <row r="101">
          <cell r="B101" t="str">
            <v xml:space="preserve">    431603  Certif.policia</v>
          </cell>
          <cell r="C101">
            <v>378.15</v>
          </cell>
          <cell r="D101" t="str">
            <v xml:space="preserve">    431603  Certif.policia</v>
          </cell>
          <cell r="E101">
            <v>-75.63</v>
          </cell>
          <cell r="F101" t="str">
            <v xml:space="preserve">    431603  Certif.policia</v>
          </cell>
          <cell r="G101">
            <v>0</v>
          </cell>
          <cell r="H101" t="str">
            <v xml:space="preserve">    431603  Certif.policia</v>
          </cell>
          <cell r="I101">
            <v>0</v>
          </cell>
        </row>
        <row r="102">
          <cell r="B102" t="str">
            <v xml:space="preserve">    431604  Certif de no adeud</v>
          </cell>
          <cell r="C102">
            <v>206241.07</v>
          </cell>
          <cell r="D102" t="str">
            <v xml:space="preserve">    431604  Certif de no adeud</v>
          </cell>
          <cell r="E102">
            <v>-15730.26</v>
          </cell>
          <cell r="F102" t="str">
            <v xml:space="preserve">    431604  Certif de no adeud</v>
          </cell>
          <cell r="G102">
            <v>-6396.89</v>
          </cell>
          <cell r="H102" t="str">
            <v xml:space="preserve">    431604  Certif de no adeud</v>
          </cell>
          <cell r="I102">
            <v>-8815.86</v>
          </cell>
        </row>
        <row r="103">
          <cell r="B103" t="str">
            <v xml:space="preserve">    431605  Otros certif predi</v>
          </cell>
          <cell r="C103">
            <v>1444946.95</v>
          </cell>
          <cell r="D103" t="str">
            <v xml:space="preserve">    431605  Otros certif predi</v>
          </cell>
          <cell r="E103">
            <v>-111693.37</v>
          </cell>
          <cell r="F103" t="str">
            <v xml:space="preserve">    431605  Otros certif predi</v>
          </cell>
          <cell r="G103">
            <v>-101881.26</v>
          </cell>
          <cell r="H103" t="str">
            <v xml:space="preserve">    431605  Otros certif predi</v>
          </cell>
          <cell r="I103">
            <v>-97143.15</v>
          </cell>
        </row>
        <row r="104">
          <cell r="B104" t="str">
            <v xml:space="preserve">    431606  Cartas y cert Ayun</v>
          </cell>
          <cell r="C104">
            <v>251416.64</v>
          </cell>
          <cell r="D104" t="str">
            <v xml:space="preserve">    431606  Cartas y cert Ayun</v>
          </cell>
          <cell r="E104">
            <v>-27023.919999999998</v>
          </cell>
          <cell r="F104" t="str">
            <v xml:space="preserve">    431606  Cartas y cert Ayun</v>
          </cell>
          <cell r="G104">
            <v>-32361</v>
          </cell>
          <cell r="H104" t="str">
            <v xml:space="preserve">    431606  Cartas y cert Ayun</v>
          </cell>
          <cell r="I104">
            <v>-37213.870000000003</v>
          </cell>
        </row>
        <row r="105">
          <cell r="B105" t="str">
            <v xml:space="preserve">    431607  Certif  medio amb</v>
          </cell>
          <cell r="C105">
            <v>0</v>
          </cell>
          <cell r="D105" t="str">
            <v xml:space="preserve">    431607  Certif  medio amb</v>
          </cell>
          <cell r="E105">
            <v>0</v>
          </cell>
          <cell r="F105" t="str">
            <v xml:space="preserve">    431607  Certif  medio amb</v>
          </cell>
          <cell r="G105">
            <v>0</v>
          </cell>
          <cell r="H105" t="str">
            <v xml:space="preserve">    431607  Certif  medio amb</v>
          </cell>
          <cell r="I105">
            <v>0</v>
          </cell>
        </row>
        <row r="106">
          <cell r="B106" t="str">
            <v xml:space="preserve">    431608  Certif cve catastr</v>
          </cell>
          <cell r="C106">
            <v>1203387.3700000001</v>
          </cell>
          <cell r="D106" t="str">
            <v xml:space="preserve">    431608  Certif cve catastr</v>
          </cell>
          <cell r="E106">
            <v>-54559.32</v>
          </cell>
          <cell r="F106" t="str">
            <v xml:space="preserve">    431608  Certif cve catastr</v>
          </cell>
          <cell r="G106">
            <v>-64188.51</v>
          </cell>
          <cell r="H106" t="str">
            <v xml:space="preserve">    431608  Certif cve catastr</v>
          </cell>
          <cell r="I106">
            <v>-45729.14</v>
          </cell>
        </row>
        <row r="107">
          <cell r="B107" t="str">
            <v xml:space="preserve">    431609  Const de no infr m</v>
          </cell>
          <cell r="C107">
            <v>2000</v>
          </cell>
          <cell r="D107" t="str">
            <v xml:space="preserve">    431609  Const de no infr m</v>
          </cell>
          <cell r="E107">
            <v>-250</v>
          </cell>
          <cell r="F107" t="str">
            <v xml:space="preserve">    431609  Const de no infr m</v>
          </cell>
          <cell r="G107">
            <v>-500</v>
          </cell>
          <cell r="H107" t="str">
            <v xml:space="preserve">    431609  Const de no infr m</v>
          </cell>
          <cell r="I107">
            <v>-125</v>
          </cell>
        </row>
        <row r="108">
          <cell r="B108" t="str">
            <v xml:space="preserve">    431701  Traspaso de locale</v>
          </cell>
          <cell r="C108">
            <v>13340</v>
          </cell>
          <cell r="D108" t="str">
            <v xml:space="preserve">    431701  Traspaso de locale</v>
          </cell>
          <cell r="E108">
            <v>-3040</v>
          </cell>
          <cell r="F108" t="str">
            <v xml:space="preserve">    431701  Traspaso de locale</v>
          </cell>
          <cell r="G108">
            <v>-3430</v>
          </cell>
          <cell r="H108" t="str">
            <v xml:space="preserve">    431701  Traspaso de locale</v>
          </cell>
          <cell r="I108">
            <v>-2160</v>
          </cell>
        </row>
        <row r="109">
          <cell r="B109" t="str">
            <v xml:space="preserve">    431801  Por servi alumb pú</v>
          </cell>
          <cell r="C109">
            <v>78393123.519999996</v>
          </cell>
          <cell r="D109" t="str">
            <v xml:space="preserve">    431801  Por servi alumb pú</v>
          </cell>
          <cell r="E109">
            <v>-6858801.7000000002</v>
          </cell>
          <cell r="F109" t="str">
            <v xml:space="preserve">    431801  Por servi alumb pú</v>
          </cell>
          <cell r="G109">
            <v>-6278195.6900000004</v>
          </cell>
          <cell r="H109" t="str">
            <v xml:space="preserve">    431801  Por servi alumb pú</v>
          </cell>
          <cell r="I109">
            <v>-12285217.4</v>
          </cell>
        </row>
        <row r="110">
          <cell r="B110" t="str">
            <v xml:space="preserve">    432101  Centros CASSA</v>
          </cell>
          <cell r="C110">
            <v>57390</v>
          </cell>
          <cell r="D110" t="str">
            <v xml:space="preserve">    432101  Centros CASSA</v>
          </cell>
          <cell r="E110">
            <v>-1473</v>
          </cell>
          <cell r="F110" t="str">
            <v xml:space="preserve">    432101  Centros CASSA</v>
          </cell>
          <cell r="G110">
            <v>-3928</v>
          </cell>
          <cell r="H110" t="str">
            <v xml:space="preserve">    432101  Centros CASSA</v>
          </cell>
          <cell r="I110">
            <v>-5103</v>
          </cell>
        </row>
        <row r="111">
          <cell r="B111" t="str">
            <v xml:space="preserve">    432102  Incapacidades</v>
          </cell>
          <cell r="C111">
            <v>6056648.6500000004</v>
          </cell>
          <cell r="D111" t="str">
            <v xml:space="preserve">    432102  Incapacidades</v>
          </cell>
          <cell r="E111">
            <v>-509553.72</v>
          </cell>
          <cell r="F111" t="str">
            <v xml:space="preserve">    432102  Incapacidades</v>
          </cell>
          <cell r="G111">
            <v>-620558.49</v>
          </cell>
          <cell r="H111" t="str">
            <v xml:space="preserve">    432102  Incapacidades</v>
          </cell>
          <cell r="I111">
            <v>-679702.37</v>
          </cell>
        </row>
        <row r="112">
          <cell r="B112" t="str">
            <v xml:space="preserve">    450301  Actualiz. derechos</v>
          </cell>
          <cell r="C112">
            <v>2426.9699999999998</v>
          </cell>
          <cell r="D112" t="str">
            <v xml:space="preserve">    450301  Actualiz. derechos</v>
          </cell>
          <cell r="E112">
            <v>-276.27</v>
          </cell>
          <cell r="F112" t="str">
            <v xml:space="preserve">    450301  Actualiz. derechos</v>
          </cell>
          <cell r="G112">
            <v>-338.92</v>
          </cell>
          <cell r="H112" t="str">
            <v xml:space="preserve">    450301  Actualiz. derechos</v>
          </cell>
          <cell r="I112">
            <v>-600.84</v>
          </cell>
        </row>
        <row r="113">
          <cell r="B113" t="str">
            <v>*   50 Productos</v>
          </cell>
          <cell r="C113">
            <v>27262838.57</v>
          </cell>
          <cell r="D113" t="str">
            <v>*   50 Productos</v>
          </cell>
          <cell r="E113">
            <v>-2439777.6</v>
          </cell>
          <cell r="F113" t="str">
            <v>*   50 Productos</v>
          </cell>
          <cell r="G113">
            <v>-1769930.58</v>
          </cell>
          <cell r="H113" t="str">
            <v>*   50 Productos</v>
          </cell>
          <cell r="I113">
            <v>-2471743.29</v>
          </cell>
        </row>
        <row r="114">
          <cell r="B114" t="str">
            <v xml:space="preserve">    510101  Intereses libre di</v>
          </cell>
          <cell r="C114">
            <v>18274453.370000001</v>
          </cell>
          <cell r="D114" t="str">
            <v xml:space="preserve">    510101  Intereses libre di</v>
          </cell>
          <cell r="E114">
            <v>-1553304.88</v>
          </cell>
          <cell r="F114" t="str">
            <v xml:space="preserve">    510101  Intereses libre di</v>
          </cell>
          <cell r="G114">
            <v>-980088.1</v>
          </cell>
          <cell r="H114" t="str">
            <v xml:space="preserve">    510101  Intereses libre di</v>
          </cell>
          <cell r="I114">
            <v>-1100366.6000000001</v>
          </cell>
        </row>
        <row r="115">
          <cell r="B115" t="str">
            <v xml:space="preserve">    510102  Int FORTAMUN 2020</v>
          </cell>
          <cell r="C115">
            <v>1592215.3</v>
          </cell>
          <cell r="D115" t="str">
            <v xml:space="preserve">    510102  Int FORTAMUN 2020</v>
          </cell>
          <cell r="E115">
            <v>-183703.54</v>
          </cell>
          <cell r="F115" t="str">
            <v xml:space="preserve">    510102  Int FORTAMUN 2020</v>
          </cell>
          <cell r="G115">
            <v>-151099.18</v>
          </cell>
          <cell r="H115" t="str">
            <v xml:space="preserve">    510102  Int FORTAMUN 2020</v>
          </cell>
          <cell r="I115">
            <v>-112774.15</v>
          </cell>
        </row>
        <row r="116">
          <cell r="B116" t="str">
            <v xml:space="preserve">    510103  Int.Bajio FAISM 20</v>
          </cell>
          <cell r="C116">
            <v>1615760.75</v>
          </cell>
          <cell r="D116" t="str">
            <v xml:space="preserve">    510103  Int.Bajio FAISM 20</v>
          </cell>
          <cell r="E116">
            <v>-193417.97</v>
          </cell>
          <cell r="F116" t="str">
            <v xml:space="preserve">    510103  Int.Bajio FAISM 20</v>
          </cell>
          <cell r="G116">
            <v>-147161.4</v>
          </cell>
          <cell r="H116" t="str">
            <v xml:space="preserve">    510103  Int.Bajio FAISM 20</v>
          </cell>
          <cell r="I116">
            <v>-190035.73</v>
          </cell>
        </row>
        <row r="117">
          <cell r="B117" t="str">
            <v xml:space="preserve">    510104  Participaciones 20</v>
          </cell>
          <cell r="C117">
            <v>4460860.0599999996</v>
          </cell>
          <cell r="D117" t="str">
            <v xml:space="preserve">    510104  Participaciones 20</v>
          </cell>
          <cell r="E117">
            <v>-471704.31</v>
          </cell>
          <cell r="F117" t="str">
            <v xml:space="preserve">    510104  Participaciones 20</v>
          </cell>
          <cell r="G117">
            <v>-455422.04</v>
          </cell>
          <cell r="H117" t="str">
            <v xml:space="preserve">    510104  Participaciones 20</v>
          </cell>
          <cell r="I117">
            <v>-406445.04</v>
          </cell>
        </row>
        <row r="118">
          <cell r="B118" t="str">
            <v xml:space="preserve">    510105  InteresesFideicomi</v>
          </cell>
          <cell r="C118">
            <v>177215.27</v>
          </cell>
          <cell r="D118" t="str">
            <v xml:space="preserve">    510105  InteresesFideicomi</v>
          </cell>
          <cell r="E118">
            <v>-856.73</v>
          </cell>
          <cell r="F118" t="str">
            <v xml:space="preserve">    510105  InteresesFideicomi</v>
          </cell>
          <cell r="G118">
            <v>-897.61</v>
          </cell>
          <cell r="H118" t="str">
            <v xml:space="preserve">    510105  InteresesFideicomi</v>
          </cell>
          <cell r="I118">
            <v>-1028.24</v>
          </cell>
        </row>
        <row r="119">
          <cell r="B119" t="str">
            <v xml:space="preserve">    510301  Vta formas oficial</v>
          </cell>
          <cell r="C119">
            <v>123759.79</v>
          </cell>
          <cell r="D119" t="str">
            <v xml:space="preserve">    510301  Vta formas oficial</v>
          </cell>
          <cell r="E119">
            <v>-9193.84</v>
          </cell>
          <cell r="F119" t="str">
            <v xml:space="preserve">    510301  Vta formas oficial</v>
          </cell>
          <cell r="G119">
            <v>-8350</v>
          </cell>
          <cell r="H119" t="str">
            <v xml:space="preserve">    510301  Vta formas oficial</v>
          </cell>
          <cell r="I119">
            <v>-7562.59</v>
          </cell>
        </row>
        <row r="120">
          <cell r="B120" t="str">
            <v xml:space="preserve">    510501  Acceso inform. pub</v>
          </cell>
          <cell r="C120">
            <v>646.95000000000005</v>
          </cell>
          <cell r="D120" t="str">
            <v xml:space="preserve">    510501  Acceso inform. pub</v>
          </cell>
          <cell r="E120">
            <v>-69.540000000000006</v>
          </cell>
          <cell r="F120" t="str">
            <v xml:space="preserve">    510501  Acceso inform. pub</v>
          </cell>
          <cell r="G120">
            <v>0</v>
          </cell>
          <cell r="H120" t="str">
            <v xml:space="preserve">    510501  Acceso inform. pub</v>
          </cell>
          <cell r="I120">
            <v>0</v>
          </cell>
        </row>
        <row r="121">
          <cell r="B121" t="str">
            <v xml:space="preserve">    510502  Expedición de plan</v>
          </cell>
          <cell r="C121">
            <v>9796</v>
          </cell>
          <cell r="D121" t="str">
            <v xml:space="preserve">    510502  Expedición de plan</v>
          </cell>
          <cell r="E121">
            <v>-458</v>
          </cell>
          <cell r="F121" t="str">
            <v xml:space="preserve">    510502  Expedición de plan</v>
          </cell>
          <cell r="G121">
            <v>-771</v>
          </cell>
          <cell r="H121" t="str">
            <v xml:space="preserve">    510502  Expedición de plan</v>
          </cell>
          <cell r="I121">
            <v>-880</v>
          </cell>
        </row>
        <row r="122">
          <cell r="B122" t="str">
            <v xml:space="preserve">    510601  Vta bien mun desus</v>
          </cell>
          <cell r="C122">
            <v>637594.69999999995</v>
          </cell>
          <cell r="D122" t="str">
            <v xml:space="preserve">    510601  Vta bien mun desus</v>
          </cell>
          <cell r="E122">
            <v>0</v>
          </cell>
          <cell r="F122" t="str">
            <v xml:space="preserve">    510601  Vta bien mun desus</v>
          </cell>
          <cell r="G122">
            <v>0</v>
          </cell>
          <cell r="H122" t="str">
            <v xml:space="preserve">    510601  Vta bien mun desus</v>
          </cell>
          <cell r="I122">
            <v>-599409.69999999995</v>
          </cell>
        </row>
        <row r="123">
          <cell r="B123" t="str">
            <v xml:space="preserve">    510701  Vta de bien inm mu</v>
          </cell>
          <cell r="C123">
            <v>0</v>
          </cell>
          <cell r="D123" t="str">
            <v xml:space="preserve">    510701  Vta de bien inm mu</v>
          </cell>
          <cell r="E123">
            <v>0</v>
          </cell>
          <cell r="F123" t="str">
            <v xml:space="preserve">    510701  Vta de bien inm mu</v>
          </cell>
          <cell r="G123">
            <v>0</v>
          </cell>
          <cell r="H123" t="str">
            <v xml:space="preserve">    510701  Vta de bien inm mu</v>
          </cell>
          <cell r="I123">
            <v>0</v>
          </cell>
        </row>
        <row r="124">
          <cell r="B124" t="str">
            <v xml:space="preserve">    510901  Otros productos</v>
          </cell>
          <cell r="C124">
            <v>370536.38</v>
          </cell>
          <cell r="D124" t="str">
            <v xml:space="preserve">    510901  Otros productos</v>
          </cell>
          <cell r="E124">
            <v>-27068.79</v>
          </cell>
          <cell r="F124" t="str">
            <v xml:space="preserve">    510901  Otros productos</v>
          </cell>
          <cell r="G124">
            <v>-26141.25</v>
          </cell>
          <cell r="H124" t="str">
            <v xml:space="preserve">    510901  Otros productos</v>
          </cell>
          <cell r="I124">
            <v>-53241.24</v>
          </cell>
        </row>
        <row r="125">
          <cell r="B125" t="str">
            <v>*   60 Aprovechamientos</v>
          </cell>
          <cell r="C125">
            <v>64257698.310000002</v>
          </cell>
          <cell r="D125" t="str">
            <v>*   60 Aprovechamientos</v>
          </cell>
          <cell r="E125">
            <v>-5726263.8499999996</v>
          </cell>
          <cell r="F125" t="str">
            <v>*   60 Aprovechamientos</v>
          </cell>
          <cell r="G125">
            <v>-4890318.68</v>
          </cell>
          <cell r="H125" t="str">
            <v>*   60 Aprovechamientos</v>
          </cell>
          <cell r="I125">
            <v>19969202.309999999</v>
          </cell>
        </row>
        <row r="126">
          <cell r="B126" t="str">
            <v xml:space="preserve">    610101  Licitacion  compra</v>
          </cell>
          <cell r="C126">
            <v>185910</v>
          </cell>
          <cell r="D126" t="str">
            <v xml:space="preserve">    610101  Licitacion  compra</v>
          </cell>
          <cell r="E126">
            <v>-8880</v>
          </cell>
          <cell r="F126" t="str">
            <v xml:space="preserve">    610101  Licitacion  compra</v>
          </cell>
          <cell r="G126">
            <v>-17760</v>
          </cell>
          <cell r="H126" t="str">
            <v xml:space="preserve">    610101  Licitacion  compra</v>
          </cell>
          <cell r="I126">
            <v>-14800</v>
          </cell>
        </row>
        <row r="127">
          <cell r="B127" t="str">
            <v xml:space="preserve">    610102  Licitacion de obra</v>
          </cell>
          <cell r="C127">
            <v>215190</v>
          </cell>
          <cell r="D127" t="str">
            <v xml:space="preserve">    610102  Licitacion de obra</v>
          </cell>
          <cell r="E127">
            <v>-78220</v>
          </cell>
          <cell r="F127" t="str">
            <v xml:space="preserve">    610102  Licitacion de obra</v>
          </cell>
          <cell r="G127">
            <v>-25380</v>
          </cell>
          <cell r="H127" t="str">
            <v xml:space="preserve">    610102  Licitacion de obra</v>
          </cell>
          <cell r="I127">
            <v>-75480</v>
          </cell>
        </row>
        <row r="128">
          <cell r="B128" t="str">
            <v xml:space="preserve">    610103  Reg padron proveed</v>
          </cell>
          <cell r="C128">
            <v>80190</v>
          </cell>
          <cell r="D128" t="str">
            <v xml:space="preserve">    610103  Reg padron proveed</v>
          </cell>
          <cell r="E128">
            <v>-4290</v>
          </cell>
          <cell r="F128" t="str">
            <v xml:space="preserve">    610103  Reg padron proveed</v>
          </cell>
          <cell r="G128">
            <v>-3630</v>
          </cell>
          <cell r="H128" t="str">
            <v xml:space="preserve">    610103  Reg padron proveed</v>
          </cell>
          <cell r="I128">
            <v>-3300</v>
          </cell>
        </row>
        <row r="129">
          <cell r="B129" t="str">
            <v xml:space="preserve">    610104  Fotocredencializ.</v>
          </cell>
          <cell r="C129">
            <v>217417</v>
          </cell>
          <cell r="D129" t="str">
            <v xml:space="preserve">    610104  Fotocredencializ.</v>
          </cell>
          <cell r="E129">
            <v>-32134</v>
          </cell>
          <cell r="F129" t="str">
            <v xml:space="preserve">    610104  Fotocredencializ.</v>
          </cell>
          <cell r="G129">
            <v>-6627</v>
          </cell>
          <cell r="H129" t="str">
            <v xml:space="preserve">    610104  Fotocredencializ.</v>
          </cell>
          <cell r="I129">
            <v>-7549</v>
          </cell>
        </row>
        <row r="130">
          <cell r="B130" t="str">
            <v xml:space="preserve">    610301  Donaciones efectiv</v>
          </cell>
          <cell r="C130">
            <v>2411929.81</v>
          </cell>
          <cell r="D130" t="str">
            <v xml:space="preserve">    610301  Donaciones efectiv</v>
          </cell>
          <cell r="E130">
            <v>0</v>
          </cell>
          <cell r="F130" t="str">
            <v xml:space="preserve">    610301  Donaciones efectiv</v>
          </cell>
          <cell r="G130">
            <v>0</v>
          </cell>
          <cell r="H130" t="str">
            <v xml:space="preserve">    610301  Donaciones efectiv</v>
          </cell>
          <cell r="I130">
            <v>0</v>
          </cell>
        </row>
        <row r="131">
          <cell r="B131" t="str">
            <v xml:space="preserve">    610302  Donaciones especie</v>
          </cell>
          <cell r="C131">
            <v>2360100.13</v>
          </cell>
          <cell r="D131" t="str">
            <v xml:space="preserve">    610302  Donaciones especie</v>
          </cell>
          <cell r="E131">
            <v>0</v>
          </cell>
          <cell r="F131" t="str">
            <v xml:space="preserve">    610302  Donaciones especie</v>
          </cell>
          <cell r="G131">
            <v>-1700</v>
          </cell>
          <cell r="H131" t="str">
            <v xml:space="preserve">    610302  Donaciones especie</v>
          </cell>
          <cell r="I131">
            <v>26911969.84</v>
          </cell>
        </row>
        <row r="132">
          <cell r="B132" t="str">
            <v xml:space="preserve">    610401  Daños propiedad mu</v>
          </cell>
          <cell r="C132">
            <v>1152702.9099999999</v>
          </cell>
          <cell r="D132" t="str">
            <v xml:space="preserve">    610401  Daños propiedad mu</v>
          </cell>
          <cell r="E132">
            <v>-13366.77</v>
          </cell>
          <cell r="F132" t="str">
            <v xml:space="preserve">    610401  Daños propiedad mu</v>
          </cell>
          <cell r="G132">
            <v>-54124.67</v>
          </cell>
          <cell r="H132" t="str">
            <v xml:space="preserve">    610401  Daños propiedad mu</v>
          </cell>
          <cell r="I132">
            <v>-561627.42000000004</v>
          </cell>
        </row>
        <row r="133">
          <cell r="B133" t="str">
            <v xml:space="preserve">    610501  Penali obra públic</v>
          </cell>
          <cell r="C133">
            <v>30891.67</v>
          </cell>
          <cell r="D133" t="str">
            <v xml:space="preserve">    610501  Penali obra públic</v>
          </cell>
          <cell r="E133">
            <v>0</v>
          </cell>
          <cell r="F133" t="str">
            <v xml:space="preserve">    610501  Penali obra públic</v>
          </cell>
          <cell r="G133">
            <v>0</v>
          </cell>
          <cell r="H133" t="str">
            <v xml:space="preserve">    610501  Penali obra públic</v>
          </cell>
          <cell r="I133">
            <v>0</v>
          </cell>
        </row>
        <row r="134">
          <cell r="B134" t="str">
            <v xml:space="preserve">    610502  Penali a proveedor</v>
          </cell>
          <cell r="C134">
            <v>170573.82</v>
          </cell>
          <cell r="D134" t="str">
            <v xml:space="preserve">    610502  Penali a proveedor</v>
          </cell>
          <cell r="E134">
            <v>0</v>
          </cell>
          <cell r="F134" t="str">
            <v xml:space="preserve">    610502  Penali a proveedor</v>
          </cell>
          <cell r="G134">
            <v>0</v>
          </cell>
          <cell r="H134" t="str">
            <v xml:space="preserve">    610502  Penali a proveedor</v>
          </cell>
          <cell r="I134">
            <v>-11193</v>
          </cell>
        </row>
        <row r="135">
          <cell r="B135" t="str">
            <v xml:space="preserve">    610601  Multas transp y vi</v>
          </cell>
          <cell r="C135">
            <v>22809843.75</v>
          </cell>
          <cell r="D135" t="str">
            <v xml:space="preserve">    610601  Multas transp y vi</v>
          </cell>
          <cell r="E135">
            <v>-2113137.34</v>
          </cell>
          <cell r="F135" t="str">
            <v xml:space="preserve">    610601  Multas transp y vi</v>
          </cell>
          <cell r="G135">
            <v>-1842940.8</v>
          </cell>
          <cell r="H135" t="str">
            <v xml:space="preserve">    610601  Multas transp y vi</v>
          </cell>
          <cell r="I135">
            <v>-2621732.38</v>
          </cell>
        </row>
        <row r="136">
          <cell r="B136" t="str">
            <v xml:space="preserve">    610602  Multas de verif ve</v>
          </cell>
          <cell r="C136">
            <v>1109889.5900000001</v>
          </cell>
          <cell r="D136" t="str">
            <v xml:space="preserve">    610602  Multas de verif ve</v>
          </cell>
          <cell r="E136">
            <v>-87152.85</v>
          </cell>
          <cell r="F136" t="str">
            <v xml:space="preserve">    610602  Multas de verif ve</v>
          </cell>
          <cell r="G136">
            <v>-115060.86</v>
          </cell>
          <cell r="H136" t="str">
            <v xml:space="preserve">    610602  Multas de verif ve</v>
          </cell>
          <cell r="I136">
            <v>-150152.13</v>
          </cell>
        </row>
        <row r="137">
          <cell r="B137" t="str">
            <v xml:space="preserve">    610603  Multas de policia</v>
          </cell>
          <cell r="C137">
            <v>856466.72</v>
          </cell>
          <cell r="D137" t="str">
            <v xml:space="preserve">    610603  Multas de policia</v>
          </cell>
          <cell r="E137">
            <v>-76367.520000000004</v>
          </cell>
          <cell r="F137" t="str">
            <v xml:space="preserve">    610603  Multas de policia</v>
          </cell>
          <cell r="G137">
            <v>-62727.360000000001</v>
          </cell>
          <cell r="H137" t="str">
            <v xml:space="preserve">    610603  Multas de policia</v>
          </cell>
          <cell r="I137">
            <v>-84621.119999999995</v>
          </cell>
        </row>
        <row r="138">
          <cell r="B138" t="str">
            <v xml:space="preserve">    610604  Multas de serv mun</v>
          </cell>
          <cell r="C138">
            <v>140076.75</v>
          </cell>
          <cell r="D138" t="str">
            <v xml:space="preserve">    610604  Multas de serv mun</v>
          </cell>
          <cell r="E138">
            <v>-10078.64</v>
          </cell>
          <cell r="F138" t="str">
            <v xml:space="preserve">    610604  Multas de serv mun</v>
          </cell>
          <cell r="G138">
            <v>-4734.6400000000003</v>
          </cell>
          <cell r="H138" t="str">
            <v xml:space="preserve">    610604  Multas de serv mun</v>
          </cell>
          <cell r="I138">
            <v>-4617.92</v>
          </cell>
        </row>
        <row r="139">
          <cell r="B139" t="str">
            <v xml:space="preserve">    610605  Multas de comercio</v>
          </cell>
          <cell r="C139">
            <v>648796.35</v>
          </cell>
          <cell r="D139" t="str">
            <v xml:space="preserve">    610605  Multas de comercio</v>
          </cell>
          <cell r="E139">
            <v>-53536.67</v>
          </cell>
          <cell r="F139" t="str">
            <v xml:space="preserve">    610605  Multas de comercio</v>
          </cell>
          <cell r="G139">
            <v>-52357.5</v>
          </cell>
          <cell r="H139" t="str">
            <v xml:space="preserve">    610605  Multas de comercio</v>
          </cell>
          <cell r="I139">
            <v>-43612.01</v>
          </cell>
        </row>
        <row r="140">
          <cell r="B140" t="str">
            <v xml:space="preserve">    610606  Multas de Des.Urba</v>
          </cell>
          <cell r="C140">
            <v>511905.24</v>
          </cell>
          <cell r="D140" t="str">
            <v xml:space="preserve">    610606  Multas de Des.Urba</v>
          </cell>
          <cell r="E140">
            <v>-38003.949999999997</v>
          </cell>
          <cell r="F140" t="str">
            <v xml:space="preserve">    610606  Multas de Des.Urba</v>
          </cell>
          <cell r="G140">
            <v>-37632.25</v>
          </cell>
          <cell r="H140" t="str">
            <v xml:space="preserve">    610606  Multas de Des.Urba</v>
          </cell>
          <cell r="I140">
            <v>-22008.57</v>
          </cell>
        </row>
        <row r="141">
          <cell r="B141" t="str">
            <v xml:space="preserve">    610607  Multas cinturon se</v>
          </cell>
          <cell r="C141">
            <v>1805326.4</v>
          </cell>
          <cell r="D141" t="str">
            <v xml:space="preserve">    610607  Multas cinturon se</v>
          </cell>
          <cell r="E141">
            <v>-150006.93</v>
          </cell>
          <cell r="F141" t="str">
            <v xml:space="preserve">    610607  Multas cinturon se</v>
          </cell>
          <cell r="G141">
            <v>-125789.94</v>
          </cell>
          <cell r="H141" t="str">
            <v xml:space="preserve">    610607  Multas cinturon se</v>
          </cell>
          <cell r="I141">
            <v>-166772.43</v>
          </cell>
        </row>
        <row r="142">
          <cell r="B142" t="str">
            <v xml:space="preserve">    610608  Multas medio ambie</v>
          </cell>
          <cell r="C142">
            <v>401451.85</v>
          </cell>
          <cell r="D142" t="str">
            <v xml:space="preserve">    610608  Multas medio ambie</v>
          </cell>
          <cell r="E142">
            <v>-35611.879999999997</v>
          </cell>
          <cell r="F142" t="str">
            <v xml:space="preserve">    610608  Multas medio ambie</v>
          </cell>
          <cell r="G142">
            <v>-27877.82</v>
          </cell>
          <cell r="H142" t="str">
            <v xml:space="preserve">    610608  Multas medio ambie</v>
          </cell>
          <cell r="I142">
            <v>-23513.200000000001</v>
          </cell>
        </row>
        <row r="143">
          <cell r="B143" t="str">
            <v xml:space="preserve">    610609  Multas de alcohole</v>
          </cell>
          <cell r="C143">
            <v>395502.7</v>
          </cell>
          <cell r="D143" t="str">
            <v xml:space="preserve">    610609  Multas de alcohole</v>
          </cell>
          <cell r="E143">
            <v>-10053.6</v>
          </cell>
          <cell r="F143" t="str">
            <v xml:space="preserve">    610609  Multas de alcohole</v>
          </cell>
          <cell r="G143">
            <v>-35259.160000000003</v>
          </cell>
          <cell r="H143" t="str">
            <v xml:space="preserve">    610609  Multas de alcohole</v>
          </cell>
          <cell r="I143">
            <v>-25876.18</v>
          </cell>
        </row>
        <row r="144">
          <cell r="B144" t="str">
            <v xml:space="preserve">    610610  Multa mov y tran p</v>
          </cell>
          <cell r="C144">
            <v>738686.31</v>
          </cell>
          <cell r="D144" t="str">
            <v xml:space="preserve">    610610  Multa mov y tran p</v>
          </cell>
          <cell r="E144">
            <v>-105475.57</v>
          </cell>
          <cell r="F144" t="str">
            <v xml:space="preserve">    610610  Multa mov y tran p</v>
          </cell>
          <cell r="G144">
            <v>-36517.86</v>
          </cell>
          <cell r="H144" t="str">
            <v xml:space="preserve">    610610  Multa mov y tran p</v>
          </cell>
          <cell r="I144">
            <v>-74554.820000000007</v>
          </cell>
        </row>
        <row r="145">
          <cell r="B145" t="str">
            <v xml:space="preserve">    610611  Multas prot civil</v>
          </cell>
          <cell r="C145">
            <v>62138.239999999998</v>
          </cell>
          <cell r="D145" t="str">
            <v xml:space="preserve">    610611  Multas prot civil</v>
          </cell>
          <cell r="E145">
            <v>-7471.68</v>
          </cell>
          <cell r="F145" t="str">
            <v xml:space="preserve">    610611  Multas prot civil</v>
          </cell>
          <cell r="G145">
            <v>0</v>
          </cell>
          <cell r="H145" t="str">
            <v xml:space="preserve">    610611  Multas prot civil</v>
          </cell>
          <cell r="I145">
            <v>-8514.24</v>
          </cell>
        </row>
        <row r="146">
          <cell r="B146" t="str">
            <v xml:space="preserve">    610612  Multas ctrl animal</v>
          </cell>
          <cell r="C146">
            <v>0</v>
          </cell>
          <cell r="D146" t="str">
            <v xml:space="preserve">    610612  Multas ctrl animal</v>
          </cell>
          <cell r="E146">
            <v>0</v>
          </cell>
          <cell r="F146" t="str">
            <v xml:space="preserve">    610612  Multas ctrl animal</v>
          </cell>
          <cell r="G146">
            <v>0</v>
          </cell>
          <cell r="H146" t="str">
            <v xml:space="preserve">    610612  Multas ctrl animal</v>
          </cell>
          <cell r="I146">
            <v>0</v>
          </cell>
        </row>
        <row r="147">
          <cell r="B147" t="str">
            <v xml:space="preserve">    610613  Multas est no fisc</v>
          </cell>
          <cell r="C147">
            <v>69570.67</v>
          </cell>
          <cell r="D147" t="str">
            <v xml:space="preserve">    610613  Multas est no fisc</v>
          </cell>
          <cell r="E147">
            <v>-5184.92</v>
          </cell>
          <cell r="F147" t="str">
            <v xml:space="preserve">    610613  Multas est no fisc</v>
          </cell>
          <cell r="G147">
            <v>-12451.72</v>
          </cell>
          <cell r="H147" t="str">
            <v xml:space="preserve">    610613  Multas est no fisc</v>
          </cell>
          <cell r="I147">
            <v>-15651.78</v>
          </cell>
        </row>
        <row r="148">
          <cell r="B148" t="str">
            <v xml:space="preserve">    610614  Multas fed no fisc</v>
          </cell>
          <cell r="C148">
            <v>0</v>
          </cell>
          <cell r="D148" t="str">
            <v xml:space="preserve">    610614  Multas fed no fisc</v>
          </cell>
          <cell r="E148">
            <v>0</v>
          </cell>
          <cell r="F148" t="str">
            <v xml:space="preserve">    610614  Multas fed no fisc</v>
          </cell>
          <cell r="G148">
            <v>0</v>
          </cell>
          <cell r="H148" t="str">
            <v xml:space="preserve">    610614  Multas fed no fisc</v>
          </cell>
          <cell r="I148">
            <v>0</v>
          </cell>
        </row>
        <row r="149">
          <cell r="B149" t="str">
            <v xml:space="preserve">    610701  Otros ingresos</v>
          </cell>
          <cell r="C149">
            <v>2522901.7599999998</v>
          </cell>
          <cell r="D149" t="str">
            <v xml:space="preserve">    610701  Otros ingresos</v>
          </cell>
          <cell r="E149">
            <v>-106874.55</v>
          </cell>
          <cell r="F149" t="str">
            <v xml:space="preserve">    610701  Otros ingresos</v>
          </cell>
          <cell r="G149">
            <v>-53076.13</v>
          </cell>
          <cell r="H149" t="str">
            <v xml:space="preserve">    610701  Otros ingresos</v>
          </cell>
          <cell r="I149">
            <v>-374074.52</v>
          </cell>
        </row>
        <row r="150">
          <cell r="B150" t="str">
            <v xml:space="preserve">    610702  Reintegros de obra</v>
          </cell>
          <cell r="C150">
            <v>0</v>
          </cell>
          <cell r="D150" t="str">
            <v xml:space="preserve">    610702  Reintegros de obra</v>
          </cell>
          <cell r="E150">
            <v>0</v>
          </cell>
          <cell r="F150" t="str">
            <v xml:space="preserve">    610702  Reintegros de obra</v>
          </cell>
          <cell r="G150">
            <v>0</v>
          </cell>
          <cell r="H150" t="str">
            <v xml:space="preserve">    610702  Reintegros de obra</v>
          </cell>
          <cell r="I150">
            <v>0</v>
          </cell>
        </row>
        <row r="151">
          <cell r="B151" t="str">
            <v xml:space="preserve">    610703  Hon ejecución obra</v>
          </cell>
          <cell r="C151">
            <v>7411.41</v>
          </cell>
          <cell r="D151" t="str">
            <v xml:space="preserve">    610703  Hon ejecución obra</v>
          </cell>
          <cell r="E151">
            <v>-695.04</v>
          </cell>
          <cell r="F151" t="str">
            <v xml:space="preserve">    610703  Hon ejecución obra</v>
          </cell>
          <cell r="G151">
            <v>0</v>
          </cell>
          <cell r="H151" t="str">
            <v xml:space="preserve">    610703  Hon ejecución obra</v>
          </cell>
          <cell r="I151">
            <v>-768.4</v>
          </cell>
        </row>
        <row r="152">
          <cell r="B152" t="str">
            <v xml:space="preserve">    610704  Exp de lic conduci</v>
          </cell>
          <cell r="C152">
            <v>17548408</v>
          </cell>
          <cell r="D152" t="str">
            <v xml:space="preserve">    610704  Exp de lic conduci</v>
          </cell>
          <cell r="E152">
            <v>-2104941</v>
          </cell>
          <cell r="F152" t="str">
            <v xml:space="preserve">    610704  Exp de lic conduci</v>
          </cell>
          <cell r="G152">
            <v>-1738012</v>
          </cell>
          <cell r="H152" t="str">
            <v xml:space="preserve">    610704  Exp de lic conduci</v>
          </cell>
          <cell r="I152">
            <v>-2135722</v>
          </cell>
        </row>
        <row r="153">
          <cell r="B153" t="str">
            <v xml:space="preserve">    610705  Recup de seguros</v>
          </cell>
          <cell r="C153">
            <v>2962197.83</v>
          </cell>
          <cell r="D153" t="str">
            <v xml:space="preserve">    610705  Recup de seguros</v>
          </cell>
          <cell r="E153">
            <v>0</v>
          </cell>
          <cell r="F153" t="str">
            <v xml:space="preserve">    610705  Recup de seguros</v>
          </cell>
          <cell r="G153">
            <v>0</v>
          </cell>
          <cell r="H153" t="str">
            <v xml:space="preserve">    610705  Recup de seguros</v>
          </cell>
          <cell r="I153">
            <v>0</v>
          </cell>
        </row>
        <row r="154">
          <cell r="B154" t="str">
            <v xml:space="preserve">    610706  Trámite de pasapor</v>
          </cell>
          <cell r="C154">
            <v>2831140</v>
          </cell>
          <cell r="D154" t="str">
            <v xml:space="preserve">    610706  Trámite de pasapor</v>
          </cell>
          <cell r="E154">
            <v>-441740</v>
          </cell>
          <cell r="F154" t="str">
            <v xml:space="preserve">    610706  Trámite de pasapor</v>
          </cell>
          <cell r="G154">
            <v>-402480</v>
          </cell>
          <cell r="H154" t="str">
            <v xml:space="preserve">    610706  Trámite de pasapor</v>
          </cell>
          <cell r="I154">
            <v>-291200</v>
          </cell>
        </row>
        <row r="155">
          <cell r="B155" t="str">
            <v xml:space="preserve">    610707  Foto de pasaporte</v>
          </cell>
          <cell r="C155">
            <v>642578</v>
          </cell>
          <cell r="D155" t="str">
            <v xml:space="preserve">    610707  Foto de pasaporte</v>
          </cell>
          <cell r="E155">
            <v>-101880</v>
          </cell>
          <cell r="F155" t="str">
            <v xml:space="preserve">    610707  Foto de pasaporte</v>
          </cell>
          <cell r="G155">
            <v>-92880</v>
          </cell>
          <cell r="H155" t="str">
            <v xml:space="preserve">    610707  Foto de pasaporte</v>
          </cell>
          <cell r="I155">
            <v>-67200</v>
          </cell>
        </row>
        <row r="156">
          <cell r="B156" t="str">
            <v xml:space="preserve">    610708  Copias fotostática</v>
          </cell>
          <cell r="C156">
            <v>172390</v>
          </cell>
          <cell r="D156" t="str">
            <v xml:space="preserve">    610708  Copias fotostática</v>
          </cell>
          <cell r="E156">
            <v>-27038</v>
          </cell>
          <cell r="F156" t="str">
            <v xml:space="preserve">    610708  Copias fotostática</v>
          </cell>
          <cell r="G156">
            <v>-23596</v>
          </cell>
          <cell r="H156" t="str">
            <v xml:space="preserve">    610708  Copias fotostática</v>
          </cell>
          <cell r="I156">
            <v>-17510</v>
          </cell>
        </row>
        <row r="157">
          <cell r="B157" t="str">
            <v xml:space="preserve">    610709  Otros serv pasapor</v>
          </cell>
          <cell r="C157">
            <v>5980</v>
          </cell>
          <cell r="D157" t="str">
            <v xml:space="preserve">    610709  Otros serv pasapor</v>
          </cell>
          <cell r="E157">
            <v>-780</v>
          </cell>
          <cell r="F157" t="str">
            <v xml:space="preserve">    610709  Otros serv pasapor</v>
          </cell>
          <cell r="G157">
            <v>-520</v>
          </cell>
          <cell r="H157" t="str">
            <v xml:space="preserve">    610709  Otros serv pasapor</v>
          </cell>
          <cell r="I157">
            <v>-2860</v>
          </cell>
        </row>
        <row r="158">
          <cell r="B158" t="str">
            <v xml:space="preserve">    630101  Recargos multas</v>
          </cell>
          <cell r="C158">
            <v>549534.94999999995</v>
          </cell>
          <cell r="D158" t="str">
            <v xml:space="preserve">    630101  Recargos multas</v>
          </cell>
          <cell r="E158">
            <v>-50748.71</v>
          </cell>
          <cell r="F158" t="str">
            <v xml:space="preserve">    630101  Recargos multas</v>
          </cell>
          <cell r="G158">
            <v>-58539.199999999997</v>
          </cell>
          <cell r="H158" t="str">
            <v xml:space="preserve">    630101  Recargos multas</v>
          </cell>
          <cell r="I158">
            <v>-69821.66</v>
          </cell>
        </row>
        <row r="159">
          <cell r="B159" t="str">
            <v xml:space="preserve">    630102  Recargos obras</v>
          </cell>
          <cell r="C159">
            <v>87677.42</v>
          </cell>
          <cell r="D159" t="str">
            <v xml:space="preserve">    630102  Recargos obras</v>
          </cell>
          <cell r="E159">
            <v>-13246.39</v>
          </cell>
          <cell r="F159" t="str">
            <v xml:space="preserve">    630102  Recargos obras</v>
          </cell>
          <cell r="G159">
            <v>-1300</v>
          </cell>
          <cell r="H159" t="str">
            <v xml:space="preserve">    630102  Recargos obras</v>
          </cell>
          <cell r="I159">
            <v>-11736.53</v>
          </cell>
        </row>
        <row r="160">
          <cell r="B160" t="str">
            <v xml:space="preserve">    630201  Gtos ejec multas</v>
          </cell>
          <cell r="C160">
            <v>543649.67000000004</v>
          </cell>
          <cell r="D160" t="str">
            <v xml:space="preserve">    630201  Gtos ejec multas</v>
          </cell>
          <cell r="E160">
            <v>-48652.800000000003</v>
          </cell>
          <cell r="F160" t="str">
            <v xml:space="preserve">    630201  Gtos ejec multas</v>
          </cell>
          <cell r="G160">
            <v>-56127.45</v>
          </cell>
          <cell r="H160" t="str">
            <v xml:space="preserve">    630201  Gtos ejec multas</v>
          </cell>
          <cell r="I160">
            <v>-54734.400000000001</v>
          </cell>
        </row>
        <row r="161">
          <cell r="B161" t="str">
            <v xml:space="preserve">    630202  Gtos Ejec Multas F</v>
          </cell>
          <cell r="C161">
            <v>9269.36</v>
          </cell>
          <cell r="D161" t="str">
            <v xml:space="preserve">    630202  Gtos Ejec Multas F</v>
          </cell>
          <cell r="E161">
            <v>-695.04</v>
          </cell>
          <cell r="F161" t="str">
            <v xml:space="preserve">    630202  Gtos Ejec Multas F</v>
          </cell>
          <cell r="G161">
            <v>-1216.32</v>
          </cell>
          <cell r="H161" t="str">
            <v xml:space="preserve">    630202  Gtos Ejec Multas F</v>
          </cell>
          <cell r="I161">
            <v>-1563.82</v>
          </cell>
        </row>
        <row r="162">
          <cell r="B162" t="str">
            <v xml:space="preserve">    630301  Act.aprovechamient</v>
          </cell>
          <cell r="C162">
            <v>0</v>
          </cell>
          <cell r="D162" t="str">
            <v xml:space="preserve">    630301  Act.aprovechamient</v>
          </cell>
          <cell r="E162">
            <v>0</v>
          </cell>
          <cell r="F162" t="str">
            <v xml:space="preserve">    630301  Act.aprovechamient</v>
          </cell>
          <cell r="G162">
            <v>0</v>
          </cell>
          <cell r="H162" t="str">
            <v xml:space="preserve">    630301  Act.aprovechamient</v>
          </cell>
          <cell r="I162">
            <v>0</v>
          </cell>
        </row>
        <row r="163">
          <cell r="B163" t="str">
            <v>*   80 Participaciones y</v>
          </cell>
          <cell r="C163">
            <v>1464050029.5899999</v>
          </cell>
          <cell r="D163" t="str">
            <v>*   80 Participaciones y</v>
          </cell>
          <cell r="E163">
            <v>-124745600.39</v>
          </cell>
          <cell r="F163" t="str">
            <v>*   80 Participaciones y</v>
          </cell>
          <cell r="G163">
            <v>-107880976.94</v>
          </cell>
          <cell r="H163" t="str">
            <v>*   80 Participaciones y</v>
          </cell>
          <cell r="I163">
            <v>-136124147.31999999</v>
          </cell>
        </row>
        <row r="164">
          <cell r="B164" t="str">
            <v xml:space="preserve">    810101  Fdo gral participa</v>
          </cell>
          <cell r="C164">
            <v>492466529.67000002</v>
          </cell>
          <cell r="D164" t="str">
            <v xml:space="preserve">    810101  Fdo gral participa</v>
          </cell>
          <cell r="E164">
            <v>-38709375.899999999</v>
          </cell>
          <cell r="F164" t="str">
            <v xml:space="preserve">    810101  Fdo gral participa</v>
          </cell>
          <cell r="G164">
            <v>-36894050.130000003</v>
          </cell>
          <cell r="H164" t="str">
            <v xml:space="preserve">    810101  Fdo gral participa</v>
          </cell>
          <cell r="I164">
            <v>-46224655.979999997</v>
          </cell>
        </row>
        <row r="165">
          <cell r="B165" t="str">
            <v xml:space="preserve">    810201  Fdo fomento mun</v>
          </cell>
          <cell r="C165">
            <v>85006379.859999999</v>
          </cell>
          <cell r="D165" t="str">
            <v xml:space="preserve">    810201  Fdo fomento mun</v>
          </cell>
          <cell r="E165">
            <v>-4849854.2300000004</v>
          </cell>
          <cell r="F165" t="str">
            <v xml:space="preserve">    810201  Fdo fomento mun</v>
          </cell>
          <cell r="G165">
            <v>-5498055.1900000004</v>
          </cell>
          <cell r="H165" t="str">
            <v xml:space="preserve">    810201  Fdo fomento mun</v>
          </cell>
          <cell r="I165">
            <v>-6774882.5899999999</v>
          </cell>
        </row>
        <row r="166">
          <cell r="B166" t="str">
            <v xml:space="preserve">    810301  Fdo fiscaliz recau</v>
          </cell>
          <cell r="C166">
            <v>43998269.829999998</v>
          </cell>
          <cell r="D166" t="str">
            <v xml:space="preserve">    810301  Fdo fiscaliz recau</v>
          </cell>
          <cell r="E166">
            <v>-1954713.46</v>
          </cell>
          <cell r="F166" t="str">
            <v xml:space="preserve">    810301  Fdo fiscaliz recau</v>
          </cell>
          <cell r="G166">
            <v>-6670189.4199999999</v>
          </cell>
          <cell r="H166" t="str">
            <v xml:space="preserve">    810301  Fdo fiscaliz recau</v>
          </cell>
          <cell r="I166">
            <v>-2037750.45</v>
          </cell>
        </row>
        <row r="167">
          <cell r="B167" t="str">
            <v xml:space="preserve">    810401  IEPS</v>
          </cell>
          <cell r="C167">
            <v>6058919.2199999997</v>
          </cell>
          <cell r="D167" t="str">
            <v xml:space="preserve">    810401  IEPS</v>
          </cell>
          <cell r="E167">
            <v>-527284.07999999996</v>
          </cell>
          <cell r="F167" t="str">
            <v xml:space="preserve">    810401  IEPS</v>
          </cell>
          <cell r="G167">
            <v>-701471.94</v>
          </cell>
          <cell r="H167" t="str">
            <v xml:space="preserve">    810401  IEPS</v>
          </cell>
          <cell r="I167">
            <v>-512638.42</v>
          </cell>
        </row>
        <row r="168">
          <cell r="B168" t="str">
            <v xml:space="preserve">    810501  Gasolinas y diésel</v>
          </cell>
          <cell r="C168">
            <v>11595058.449999999</v>
          </cell>
          <cell r="D168" t="str">
            <v xml:space="preserve">    810501  Gasolinas y diésel</v>
          </cell>
          <cell r="E168">
            <v>-820514.5</v>
          </cell>
          <cell r="F168" t="str">
            <v xml:space="preserve">    810501  Gasolinas y diésel</v>
          </cell>
          <cell r="G168">
            <v>-816115.34</v>
          </cell>
          <cell r="H168" t="str">
            <v xml:space="preserve">    810501  Gasolinas y diésel</v>
          </cell>
          <cell r="I168">
            <v>-942454.97</v>
          </cell>
        </row>
        <row r="169">
          <cell r="B169" t="str">
            <v xml:space="preserve">    810601  Fondo de ISR</v>
          </cell>
          <cell r="C169">
            <v>76060723</v>
          </cell>
          <cell r="D169" t="str">
            <v xml:space="preserve">    810601  Fondo de ISR</v>
          </cell>
          <cell r="E169">
            <v>-12138238</v>
          </cell>
          <cell r="F169" t="str">
            <v xml:space="preserve">    810601  Fondo de ISR</v>
          </cell>
          <cell r="G169">
            <v>-10383735</v>
          </cell>
          <cell r="H169" t="str">
            <v xml:space="preserve">    810601  Fondo de ISR</v>
          </cell>
          <cell r="I169">
            <v>-10823791</v>
          </cell>
        </row>
        <row r="170">
          <cell r="B170" t="str">
            <v xml:space="preserve">    810801  ISR enaj.bienes in</v>
          </cell>
          <cell r="C170">
            <v>1367804.16</v>
          </cell>
          <cell r="D170" t="str">
            <v xml:space="preserve">    810801  ISR enaj.bienes in</v>
          </cell>
          <cell r="E170">
            <v>-316374.59000000003</v>
          </cell>
          <cell r="F170" t="str">
            <v xml:space="preserve">    810801  ISR enaj.bienes in</v>
          </cell>
          <cell r="G170">
            <v>-137732.35999999999</v>
          </cell>
          <cell r="H170" t="str">
            <v xml:space="preserve">    810801  ISR enaj.bienes in</v>
          </cell>
          <cell r="I170">
            <v>-160716.4</v>
          </cell>
        </row>
        <row r="171">
          <cell r="B171" t="str">
            <v xml:space="preserve">    820101  Fdo aport FAISM</v>
          </cell>
          <cell r="C171">
            <v>97167424</v>
          </cell>
          <cell r="D171" t="str">
            <v xml:space="preserve">    820101  Fdo aport FAISM</v>
          </cell>
          <cell r="E171">
            <v>-9716746</v>
          </cell>
          <cell r="F171" t="str">
            <v xml:space="preserve">    820101  Fdo aport FAISM</v>
          </cell>
          <cell r="G171">
            <v>0</v>
          </cell>
          <cell r="H171" t="str">
            <v xml:space="preserve">    820101  Fdo aport FAISM</v>
          </cell>
          <cell r="I171">
            <v>0</v>
          </cell>
        </row>
        <row r="172">
          <cell r="B172" t="str">
            <v xml:space="preserve">    820201  Fondo aport FORTAM</v>
          </cell>
          <cell r="C172">
            <v>344071327</v>
          </cell>
          <cell r="D172" t="str">
            <v xml:space="preserve">    820201  Fondo aport FORTAM</v>
          </cell>
          <cell r="E172">
            <v>-28672611</v>
          </cell>
          <cell r="F172" t="str">
            <v xml:space="preserve">    820201  Fondo aport FORTAM</v>
          </cell>
          <cell r="G172">
            <v>-28672611</v>
          </cell>
          <cell r="H172" t="str">
            <v xml:space="preserve">    820201  Fondo aport FORTAM</v>
          </cell>
          <cell r="I172">
            <v>-28672606</v>
          </cell>
        </row>
        <row r="173">
          <cell r="B173" t="str">
            <v xml:space="preserve">    830101  Prog de seguridad</v>
          </cell>
          <cell r="C173">
            <v>17213553</v>
          </cell>
          <cell r="D173" t="str">
            <v xml:space="preserve">    830101  Prog de seguridad</v>
          </cell>
          <cell r="E173">
            <v>-3442710.6</v>
          </cell>
          <cell r="F173" t="str">
            <v xml:space="preserve">    830101  Prog de seguridad</v>
          </cell>
          <cell r="G173">
            <v>0</v>
          </cell>
          <cell r="H173" t="str">
            <v xml:space="preserve">    830101  Prog de seguridad</v>
          </cell>
          <cell r="I173">
            <v>0</v>
          </cell>
        </row>
        <row r="174">
          <cell r="B174" t="str">
            <v xml:space="preserve">    830301  Inc mult est no fi</v>
          </cell>
          <cell r="C174">
            <v>0</v>
          </cell>
          <cell r="D174" t="str">
            <v xml:space="preserve">    830301  Inc mult est no fi</v>
          </cell>
          <cell r="E174">
            <v>0</v>
          </cell>
          <cell r="F174" t="str">
            <v xml:space="preserve">    830301  Inc mult est no fi</v>
          </cell>
          <cell r="G174">
            <v>0</v>
          </cell>
          <cell r="H174" t="str">
            <v xml:space="preserve">    830301  Inc mult est no fi</v>
          </cell>
          <cell r="I174">
            <v>0</v>
          </cell>
        </row>
        <row r="175">
          <cell r="B175" t="str">
            <v xml:space="preserve">    830302  Conv de colab RIF</v>
          </cell>
          <cell r="C175">
            <v>7266773</v>
          </cell>
          <cell r="D175" t="str">
            <v xml:space="preserve">    830302  Conv de colab RIF</v>
          </cell>
          <cell r="E175">
            <v>0</v>
          </cell>
          <cell r="F175" t="str">
            <v xml:space="preserve">    830302  Conv de colab RIF</v>
          </cell>
          <cell r="G175">
            <v>0</v>
          </cell>
          <cell r="H175" t="str">
            <v xml:space="preserve">    830302  Conv de colab RIF</v>
          </cell>
          <cell r="I175">
            <v>0</v>
          </cell>
        </row>
        <row r="176">
          <cell r="B176" t="str">
            <v xml:space="preserve">    830303  Prog mi riego prod</v>
          </cell>
          <cell r="C176">
            <v>0</v>
          </cell>
          <cell r="D176" t="str">
            <v xml:space="preserve">    830303  Prog mi riego prod</v>
          </cell>
          <cell r="E176">
            <v>0</v>
          </cell>
          <cell r="F176" t="str">
            <v xml:space="preserve">    830303  Prog mi riego prod</v>
          </cell>
          <cell r="G176">
            <v>0</v>
          </cell>
          <cell r="H176" t="str">
            <v xml:space="preserve">    830303  Prog mi riego prod</v>
          </cell>
          <cell r="I176">
            <v>0</v>
          </cell>
        </row>
        <row r="177">
          <cell r="B177" t="str">
            <v xml:space="preserve">    830304  Por mi campo(Trans</v>
          </cell>
          <cell r="C177">
            <v>0</v>
          </cell>
          <cell r="D177" t="str">
            <v xml:space="preserve">    830304  Por mi campo(Trans</v>
          </cell>
          <cell r="E177">
            <v>0</v>
          </cell>
          <cell r="F177" t="str">
            <v xml:space="preserve">    830304  Por mi campo(Trans</v>
          </cell>
          <cell r="G177">
            <v>0</v>
          </cell>
          <cell r="H177" t="str">
            <v xml:space="preserve">    830304  Por mi campo(Trans</v>
          </cell>
          <cell r="I177">
            <v>0</v>
          </cell>
        </row>
        <row r="178">
          <cell r="B178" t="str">
            <v xml:space="preserve">    830305  Mi patio productiv</v>
          </cell>
          <cell r="C178">
            <v>1625065</v>
          </cell>
          <cell r="D178" t="str">
            <v xml:space="preserve">    830305  Mi patio productiv</v>
          </cell>
          <cell r="E178">
            <v>0</v>
          </cell>
          <cell r="F178" t="str">
            <v xml:space="preserve">    830305  Mi patio productiv</v>
          </cell>
          <cell r="G178">
            <v>0</v>
          </cell>
          <cell r="H178" t="str">
            <v xml:space="preserve">    830305  Mi patio productiv</v>
          </cell>
          <cell r="I178">
            <v>124677.5</v>
          </cell>
        </row>
        <row r="179">
          <cell r="B179" t="str">
            <v xml:space="preserve">    830306  Prog Tecnocampo Gt</v>
          </cell>
          <cell r="C179">
            <v>494000</v>
          </cell>
          <cell r="D179" t="str">
            <v xml:space="preserve">    830306  Prog Tecnocampo Gt</v>
          </cell>
          <cell r="E179">
            <v>-494000</v>
          </cell>
          <cell r="F179" t="str">
            <v xml:space="preserve">    830306  Prog Tecnocampo Gt</v>
          </cell>
          <cell r="G179">
            <v>0</v>
          </cell>
          <cell r="H179" t="str">
            <v xml:space="preserve">    830306  Prog Tecnocampo Gt</v>
          </cell>
          <cell r="I179">
            <v>0</v>
          </cell>
        </row>
        <row r="180">
          <cell r="B180" t="str">
            <v xml:space="preserve">    830307  Prog. Reconv produ</v>
          </cell>
          <cell r="C180">
            <v>499800</v>
          </cell>
          <cell r="D180" t="str">
            <v xml:space="preserve">    830307  Prog. Reconv produ</v>
          </cell>
          <cell r="E180">
            <v>0</v>
          </cell>
          <cell r="F180" t="str">
            <v xml:space="preserve">    830307  Prog. Reconv produ</v>
          </cell>
          <cell r="G180">
            <v>0</v>
          </cell>
          <cell r="H180" t="str">
            <v xml:space="preserve">    830307  Prog. Reconv produ</v>
          </cell>
          <cell r="I180">
            <v>200</v>
          </cell>
        </row>
        <row r="181">
          <cell r="B181" t="str">
            <v xml:space="preserve">    830308  Prog Fort prod gan</v>
          </cell>
          <cell r="C181">
            <v>0</v>
          </cell>
          <cell r="D181" t="str">
            <v xml:space="preserve">    830308  Prog Fort prod gan</v>
          </cell>
          <cell r="E181">
            <v>0</v>
          </cell>
          <cell r="F181" t="str">
            <v xml:space="preserve">    830308  Prog Fort prod gan</v>
          </cell>
          <cell r="G181">
            <v>0</v>
          </cell>
          <cell r="H181" t="str">
            <v xml:space="preserve">    830308  Prog Fort prod gan</v>
          </cell>
          <cell r="I181">
            <v>0</v>
          </cell>
        </row>
        <row r="182">
          <cell r="B182" t="str">
            <v xml:space="preserve">    830309  Prog san veg masag</v>
          </cell>
          <cell r="C182">
            <v>0</v>
          </cell>
          <cell r="D182" t="str">
            <v xml:space="preserve">    830309  Prog san veg masag</v>
          </cell>
          <cell r="E182">
            <v>0</v>
          </cell>
          <cell r="F182" t="str">
            <v xml:space="preserve">    830309  Prog san veg masag</v>
          </cell>
          <cell r="G182">
            <v>0</v>
          </cell>
          <cell r="H182" t="str">
            <v xml:space="preserve">    830309  Prog san veg masag</v>
          </cell>
          <cell r="I182">
            <v>0</v>
          </cell>
        </row>
        <row r="183">
          <cell r="B183" t="str">
            <v xml:space="preserve">    830310  Prog serv de calid</v>
          </cell>
          <cell r="C183">
            <v>50000</v>
          </cell>
          <cell r="D183" t="str">
            <v xml:space="preserve">    830310  Prog serv de calid</v>
          </cell>
          <cell r="E183">
            <v>0</v>
          </cell>
          <cell r="F183" t="str">
            <v xml:space="preserve">    830310  Prog serv de calid</v>
          </cell>
          <cell r="G183">
            <v>0</v>
          </cell>
          <cell r="H183" t="str">
            <v xml:space="preserve">    830310  Prog serv de calid</v>
          </cell>
          <cell r="I183">
            <v>0</v>
          </cell>
        </row>
        <row r="184">
          <cell r="B184" t="str">
            <v xml:space="preserve">    830311  Prog apoyo MYPIMES</v>
          </cell>
          <cell r="C184">
            <v>0</v>
          </cell>
          <cell r="D184" t="str">
            <v xml:space="preserve">    830311  Prog apoyo MYPIMES</v>
          </cell>
          <cell r="E184">
            <v>0</v>
          </cell>
          <cell r="F184" t="str">
            <v xml:space="preserve">    830311  Prog apoyo MYPIMES</v>
          </cell>
          <cell r="G184">
            <v>0</v>
          </cell>
          <cell r="H184" t="str">
            <v xml:space="preserve">    830311  Prog apoyo MYPIMES</v>
          </cell>
          <cell r="I184">
            <v>0</v>
          </cell>
        </row>
        <row r="185">
          <cell r="B185" t="str">
            <v xml:space="preserve">    830312  Programa SMAOT</v>
          </cell>
          <cell r="C185">
            <v>0</v>
          </cell>
          <cell r="D185" t="str">
            <v xml:space="preserve">    830312  Programa SMAOT</v>
          </cell>
          <cell r="E185">
            <v>0</v>
          </cell>
          <cell r="F185" t="str">
            <v xml:space="preserve">    830312  Programa SMAOT</v>
          </cell>
          <cell r="G185">
            <v>0</v>
          </cell>
          <cell r="H185" t="str">
            <v xml:space="preserve">    830312  Programa SMAOT</v>
          </cell>
          <cell r="I185">
            <v>0</v>
          </cell>
        </row>
        <row r="186">
          <cell r="B186" t="str">
            <v xml:space="preserve">    830313  PEMC</v>
          </cell>
          <cell r="C186">
            <v>3054764.39</v>
          </cell>
          <cell r="D186" t="str">
            <v xml:space="preserve">    830313  PEMC</v>
          </cell>
          <cell r="E186">
            <v>0</v>
          </cell>
          <cell r="F186" t="str">
            <v xml:space="preserve">    830313  PEMC</v>
          </cell>
          <cell r="G186">
            <v>0</v>
          </cell>
          <cell r="H186" t="str">
            <v xml:space="preserve">    830313  PEMC</v>
          </cell>
          <cell r="I186">
            <v>0</v>
          </cell>
        </row>
        <row r="187">
          <cell r="B187" t="str">
            <v xml:space="preserve">    830314  PVEMC</v>
          </cell>
          <cell r="C187">
            <v>1286815.9099999999</v>
          </cell>
          <cell r="D187" t="str">
            <v xml:space="preserve">    830314  PVEMC</v>
          </cell>
          <cell r="E187">
            <v>0</v>
          </cell>
          <cell r="F187" t="str">
            <v xml:space="preserve">    830314  PVEMC</v>
          </cell>
          <cell r="G187">
            <v>0</v>
          </cell>
          <cell r="H187" t="str">
            <v xml:space="preserve">    830314  PVEMC</v>
          </cell>
          <cell r="I187">
            <v>0</v>
          </cell>
        </row>
        <row r="188">
          <cell r="B188" t="str">
            <v xml:space="preserve">    830315  Const Can Plu Des</v>
          </cell>
          <cell r="C188">
            <v>11500000</v>
          </cell>
          <cell r="D188" t="str">
            <v xml:space="preserve">    830315  Const Can Plu Des</v>
          </cell>
          <cell r="E188">
            <v>0</v>
          </cell>
          <cell r="F188" t="str">
            <v xml:space="preserve">    830315  Const Can Plu Des</v>
          </cell>
          <cell r="G188">
            <v>0</v>
          </cell>
          <cell r="H188" t="str">
            <v xml:space="preserve">    830315  Const Can Plu Des</v>
          </cell>
          <cell r="I188">
            <v>0</v>
          </cell>
        </row>
        <row r="189">
          <cell r="B189" t="str">
            <v xml:space="preserve">    830316  Apoyo estatal p/se</v>
          </cell>
          <cell r="C189">
            <v>116309434.77</v>
          </cell>
          <cell r="D189" t="str">
            <v xml:space="preserve">    830316  Apoyo estatal p/se</v>
          </cell>
          <cell r="E189">
            <v>0</v>
          </cell>
          <cell r="F189" t="str">
            <v xml:space="preserve">    830316  Apoyo estatal p/se</v>
          </cell>
          <cell r="G189">
            <v>0</v>
          </cell>
          <cell r="H189" t="str">
            <v xml:space="preserve">    830316  Apoyo estatal p/se</v>
          </cell>
          <cell r="I189">
            <v>-29232562.77</v>
          </cell>
        </row>
        <row r="190">
          <cell r="B190" t="str">
            <v xml:space="preserve">    830317  Acc. SEDESHU 2020</v>
          </cell>
          <cell r="C190">
            <v>0</v>
          </cell>
          <cell r="D190" t="str">
            <v xml:space="preserve">    830317  Acc. SEDESHU 2020</v>
          </cell>
          <cell r="E190">
            <v>0</v>
          </cell>
          <cell r="F190" t="str">
            <v xml:space="preserve">    830317  Acc. SEDESHU 2020</v>
          </cell>
          <cell r="G190">
            <v>0</v>
          </cell>
          <cell r="H190" t="str">
            <v xml:space="preserve">    830317  Acc. SEDESHU 2020</v>
          </cell>
          <cell r="I190">
            <v>0</v>
          </cell>
        </row>
        <row r="191">
          <cell r="B191" t="str">
            <v xml:space="preserve">    830318  Acciones CEAG 2020</v>
          </cell>
          <cell r="C191">
            <v>0</v>
          </cell>
          <cell r="D191" t="str">
            <v xml:space="preserve">    830318  Acciones CEAG 2020</v>
          </cell>
          <cell r="E191">
            <v>0</v>
          </cell>
          <cell r="F191" t="str">
            <v xml:space="preserve">    830318  Acciones CEAG 2020</v>
          </cell>
          <cell r="G191">
            <v>0</v>
          </cell>
          <cell r="H191" t="str">
            <v xml:space="preserve">    830318  Acciones CEAG 2020</v>
          </cell>
          <cell r="I191">
            <v>0</v>
          </cell>
        </row>
        <row r="192">
          <cell r="B192" t="str">
            <v xml:space="preserve">    830319  Acciones SDAYR 202</v>
          </cell>
          <cell r="C192">
            <v>708896.84</v>
          </cell>
          <cell r="D192" t="str">
            <v xml:space="preserve">    830319  Acciones SDAYR 202</v>
          </cell>
          <cell r="E192">
            <v>-154350</v>
          </cell>
          <cell r="F192" t="str">
            <v xml:space="preserve">    830319  Acciones SDAYR 202</v>
          </cell>
          <cell r="G192">
            <v>-554546.86</v>
          </cell>
          <cell r="H192" t="str">
            <v xml:space="preserve">    830319  Acciones SDAYR 202</v>
          </cell>
          <cell r="I192">
            <v>0.02</v>
          </cell>
        </row>
        <row r="193">
          <cell r="B193" t="str">
            <v xml:space="preserve">    830320  ALIANZA PARA CAMPO</v>
          </cell>
          <cell r="C193">
            <v>764449</v>
          </cell>
          <cell r="D193" t="str">
            <v xml:space="preserve">    830320  ALIANZA PARA CAMPO</v>
          </cell>
          <cell r="E193">
            <v>0</v>
          </cell>
          <cell r="F193" t="str">
            <v xml:space="preserve">    830320  ALIANZA PARA CAMPO</v>
          </cell>
          <cell r="G193">
            <v>-764449</v>
          </cell>
          <cell r="H193" t="str">
            <v xml:space="preserve">    830320  ALIANZA PARA CAMPO</v>
          </cell>
          <cell r="I193">
            <v>0</v>
          </cell>
        </row>
        <row r="194">
          <cell r="B194" t="str">
            <v xml:space="preserve">    830321  SEDESHU  PSBGTO 20</v>
          </cell>
          <cell r="C194">
            <v>7759735.7999999998</v>
          </cell>
          <cell r="D194" t="str">
            <v xml:space="preserve">    830321  SEDESHU  PSBGTO 20</v>
          </cell>
          <cell r="E194">
            <v>-3938234.64</v>
          </cell>
          <cell r="F194" t="str">
            <v xml:space="preserve">    830321  SEDESHU  PSBGTO 20</v>
          </cell>
          <cell r="G194">
            <v>-3123232.7</v>
          </cell>
          <cell r="H194" t="str">
            <v xml:space="preserve">    830321  SEDESHU  PSBGTO 20</v>
          </cell>
          <cell r="I194">
            <v>-698268.46</v>
          </cell>
        </row>
        <row r="195">
          <cell r="B195" t="str">
            <v xml:space="preserve">    830322  SEDESHU PSBMC 2020</v>
          </cell>
          <cell r="C195">
            <v>4749997.58</v>
          </cell>
          <cell r="D195" t="str">
            <v xml:space="preserve">    830322  SEDESHU PSBMC 2020</v>
          </cell>
          <cell r="E195">
            <v>-1807232.25</v>
          </cell>
          <cell r="F195" t="str">
            <v xml:space="preserve">    830322  SEDESHU PSBMC 2020</v>
          </cell>
          <cell r="G195">
            <v>-2008791.98</v>
          </cell>
          <cell r="H195" t="str">
            <v xml:space="preserve">    830322  SEDESHU PSBMC 2020</v>
          </cell>
          <cell r="I195">
            <v>-933973.35</v>
          </cell>
        </row>
        <row r="196">
          <cell r="B196" t="str">
            <v xml:space="preserve">    830323  SEDESHU PVIMEI 202</v>
          </cell>
          <cell r="C196">
            <v>7718296.5</v>
          </cell>
          <cell r="D196" t="str">
            <v xml:space="preserve">    830323  SEDESHU PVIMEI 202</v>
          </cell>
          <cell r="E196">
            <v>-2602493.46</v>
          </cell>
          <cell r="F196" t="str">
            <v xml:space="preserve">    830323  SEDESHU PVIMEI 202</v>
          </cell>
          <cell r="G196">
            <v>0</v>
          </cell>
          <cell r="H196" t="str">
            <v xml:space="preserve">    830323  SEDESHU PVIMEI 202</v>
          </cell>
          <cell r="I196">
            <v>-1355803.04</v>
          </cell>
        </row>
        <row r="197">
          <cell r="B197" t="str">
            <v xml:space="preserve">    830324  SUSTIT. LUMINARIAS</v>
          </cell>
          <cell r="C197">
            <v>10000000</v>
          </cell>
          <cell r="D197" t="str">
            <v xml:space="preserve">    830324  SUSTIT. LUMINARIAS</v>
          </cell>
          <cell r="E197">
            <v>0</v>
          </cell>
          <cell r="F197" t="str">
            <v xml:space="preserve">    830324  SUSTIT. LUMINARIAS</v>
          </cell>
          <cell r="G197">
            <v>0</v>
          </cell>
          <cell r="H197" t="str">
            <v xml:space="preserve">    830324  SUSTIT. LUMINARIAS</v>
          </cell>
          <cell r="I197">
            <v>0</v>
          </cell>
        </row>
        <row r="198">
          <cell r="B198" t="str">
            <v xml:space="preserve">    830325  PROG.PVEMC (SEDESH</v>
          </cell>
          <cell r="C198">
            <v>12539288.92</v>
          </cell>
          <cell r="D198" t="str">
            <v xml:space="preserve">    830325  PROG.PVEMC (SEDESH</v>
          </cell>
          <cell r="E198">
            <v>-6501865.6799999997</v>
          </cell>
          <cell r="F198" t="str">
            <v xml:space="preserve">    830325  PROG.PVEMC (SEDESH</v>
          </cell>
          <cell r="G198">
            <v>-4323093.5599999996</v>
          </cell>
          <cell r="H198" t="str">
            <v xml:space="preserve">    830325  PROG.PVEMC (SEDESH</v>
          </cell>
          <cell r="I198">
            <v>-1714329.68</v>
          </cell>
        </row>
        <row r="199">
          <cell r="B199" t="str">
            <v xml:space="preserve">    830326  Prog Infraestruc C</v>
          </cell>
          <cell r="C199">
            <v>1650000</v>
          </cell>
          <cell r="D199" t="str">
            <v xml:space="preserve">    830326  Prog Infraestruc C</v>
          </cell>
          <cell r="E199">
            <v>-825000</v>
          </cell>
          <cell r="F199" t="str">
            <v xml:space="preserve">    830326  Prog Infraestruc C</v>
          </cell>
          <cell r="G199">
            <v>-659999.99</v>
          </cell>
          <cell r="H199" t="str">
            <v xml:space="preserve">    830326  Prog Infraestruc C</v>
          </cell>
          <cell r="I199">
            <v>-165000.01</v>
          </cell>
        </row>
        <row r="200">
          <cell r="B200" t="str">
            <v xml:space="preserve">    830327  Prog Equipamient C</v>
          </cell>
          <cell r="C200">
            <v>650000</v>
          </cell>
          <cell r="D200" t="str">
            <v xml:space="preserve">    830327  Prog Equipamient C</v>
          </cell>
          <cell r="E200">
            <v>0</v>
          </cell>
          <cell r="F200" t="str">
            <v xml:space="preserve">    830327  Prog Equipamient C</v>
          </cell>
          <cell r="G200">
            <v>-650000</v>
          </cell>
          <cell r="H200" t="str">
            <v xml:space="preserve">    830327  Prog Equipamient C</v>
          </cell>
          <cell r="I200">
            <v>0</v>
          </cell>
        </row>
        <row r="201">
          <cell r="B201" t="str">
            <v xml:space="preserve">    830330  Fideicomiso BIR</v>
          </cell>
          <cell r="C201">
            <v>300000</v>
          </cell>
          <cell r="D201" t="str">
            <v xml:space="preserve">    830330  Fideicomiso BIR</v>
          </cell>
          <cell r="E201">
            <v>0</v>
          </cell>
          <cell r="F201" t="str">
            <v xml:space="preserve">    830330  Fideicomiso BIR</v>
          </cell>
          <cell r="G201">
            <v>0</v>
          </cell>
          <cell r="H201" t="str">
            <v xml:space="preserve">    830330  Fideicomiso BIR</v>
          </cell>
          <cell r="I201">
            <v>-300000</v>
          </cell>
        </row>
        <row r="202">
          <cell r="B202" t="str">
            <v xml:space="preserve">    830390  SDAYR 2020 CAM. RU</v>
          </cell>
          <cell r="C202">
            <v>13292890</v>
          </cell>
          <cell r="D202" t="str">
            <v xml:space="preserve">    830390  SDAYR 2020 CAM. RU</v>
          </cell>
          <cell r="E202">
            <v>-2802960.6</v>
          </cell>
          <cell r="F202" t="str">
            <v xml:space="preserve">    830390  SDAYR 2020 CAM. RU</v>
          </cell>
          <cell r="G202">
            <v>-772602.25</v>
          </cell>
          <cell r="H202" t="str">
            <v xml:space="preserve">    830390  SDAYR 2020 CAM. RU</v>
          </cell>
          <cell r="I202">
            <v>0.02</v>
          </cell>
        </row>
        <row r="203">
          <cell r="B203" t="str">
            <v xml:space="preserve">    830391  SDAYR 2020 CAM. SA</v>
          </cell>
          <cell r="C203">
            <v>2443000</v>
          </cell>
          <cell r="D203" t="str">
            <v xml:space="preserve">    830391  SDAYR 2020 CAM. SA</v>
          </cell>
          <cell r="E203">
            <v>461000</v>
          </cell>
          <cell r="F203" t="str">
            <v xml:space="preserve">    830391  SDAYR 2020 CAM. SA</v>
          </cell>
          <cell r="G203">
            <v>-200000</v>
          </cell>
          <cell r="H203" t="str">
            <v xml:space="preserve">    830391  SDAYR 2020 CAM. SA</v>
          </cell>
          <cell r="I203">
            <v>0</v>
          </cell>
        </row>
        <row r="204">
          <cell r="B204" t="str">
            <v xml:space="preserve">    830392  CODE  2020</v>
          </cell>
          <cell r="C204">
            <v>2398073.83</v>
          </cell>
          <cell r="D204" t="str">
            <v xml:space="preserve">    830392  CODE  2020</v>
          </cell>
          <cell r="E204">
            <v>-265824.74</v>
          </cell>
          <cell r="F204" t="str">
            <v xml:space="preserve">    830392  CODE  2020</v>
          </cell>
          <cell r="G204">
            <v>-1412249.09</v>
          </cell>
          <cell r="H204" t="str">
            <v xml:space="preserve">    830392  CODE  2020</v>
          </cell>
          <cell r="I204">
            <v>0</v>
          </cell>
        </row>
        <row r="205">
          <cell r="B205" t="str">
            <v xml:space="preserve">    830393  PEMC 2020</v>
          </cell>
          <cell r="C205">
            <v>69912269.790000007</v>
          </cell>
          <cell r="D205" t="str">
            <v xml:space="preserve">    830393  PEMC 2020</v>
          </cell>
          <cell r="E205">
            <v>-3285520.27</v>
          </cell>
          <cell r="F205" t="str">
            <v xml:space="preserve">    830393  PEMC 2020</v>
          </cell>
          <cell r="G205">
            <v>-2954819.52</v>
          </cell>
          <cell r="H205" t="str">
            <v xml:space="preserve">    830393  PEMC 2020</v>
          </cell>
          <cell r="I205">
            <v>-4989750.51</v>
          </cell>
        </row>
        <row r="206">
          <cell r="B206" t="str">
            <v xml:space="preserve">    830501  Benef prog año 202</v>
          </cell>
          <cell r="C206">
            <v>768864.88</v>
          </cell>
          <cell r="D206" t="str">
            <v xml:space="preserve">    830501  Benef prog año 202</v>
          </cell>
          <cell r="E206">
            <v>-768444.88</v>
          </cell>
          <cell r="F206" t="str">
            <v xml:space="preserve">    830501  Benef prog año 202</v>
          </cell>
          <cell r="G206">
            <v>-420</v>
          </cell>
          <cell r="H206" t="str">
            <v xml:space="preserve">    830501  Benef prog año 202</v>
          </cell>
          <cell r="I206">
            <v>0</v>
          </cell>
        </row>
        <row r="207">
          <cell r="B207" t="str">
            <v xml:space="preserve">    840101  Tenencia uso vehíc</v>
          </cell>
          <cell r="C207">
            <v>105845.68</v>
          </cell>
          <cell r="D207" t="str">
            <v xml:space="preserve">    840101  Tenencia uso vehíc</v>
          </cell>
          <cell r="E207">
            <v>-8250.77</v>
          </cell>
          <cell r="F207" t="str">
            <v xml:space="preserve">    840101  Tenencia uso vehíc</v>
          </cell>
          <cell r="G207">
            <v>-9759.44</v>
          </cell>
          <cell r="H207" t="str">
            <v xml:space="preserve">    840101  Tenencia uso vehíc</v>
          </cell>
          <cell r="I207">
            <v>-15366.49</v>
          </cell>
        </row>
        <row r="208">
          <cell r="B208" t="str">
            <v xml:space="preserve">    840201  Fondo de comp ISAN</v>
          </cell>
          <cell r="C208">
            <v>5173022.66</v>
          </cell>
          <cell r="D208" t="str">
            <v xml:space="preserve">    840201  Fondo de comp ISAN</v>
          </cell>
          <cell r="E208">
            <v>-117715.2</v>
          </cell>
          <cell r="F208" t="str">
            <v xml:space="preserve">    840201  Fondo de comp ISAN</v>
          </cell>
          <cell r="G208">
            <v>-117715.2</v>
          </cell>
          <cell r="H208" t="str">
            <v xml:space="preserve">    840201  Fondo de comp ISAN</v>
          </cell>
          <cell r="I208">
            <v>-117715.2</v>
          </cell>
        </row>
        <row r="209">
          <cell r="B209" t="str">
            <v xml:space="preserve">    840301  Impto autos nuevos</v>
          </cell>
          <cell r="C209">
            <v>5611417.6100000003</v>
          </cell>
          <cell r="D209" t="str">
            <v xml:space="preserve">    840301  Impto autos nuevos</v>
          </cell>
          <cell r="E209">
            <v>-454074</v>
          </cell>
          <cell r="F209" t="str">
            <v xml:space="preserve">    840301  Impto autos nuevos</v>
          </cell>
          <cell r="G209">
            <v>-512722.18</v>
          </cell>
          <cell r="H209" t="str">
            <v xml:space="preserve">    840301  Impto autos nuevos</v>
          </cell>
          <cell r="I209">
            <v>-534106.89</v>
          </cell>
        </row>
        <row r="210">
          <cell r="B210" t="str">
            <v xml:space="preserve">    840601  Imp vta fin  beb a</v>
          </cell>
          <cell r="C210">
            <v>411339.24</v>
          </cell>
          <cell r="D210" t="str">
            <v xml:space="preserve">    840601  Imp vta fin  beb a</v>
          </cell>
          <cell r="E210">
            <v>-32211.54</v>
          </cell>
          <cell r="F210" t="str">
            <v xml:space="preserve">    840601  Alcoholes</v>
          </cell>
          <cell r="G210">
            <v>-42614.79</v>
          </cell>
          <cell r="H210" t="str">
            <v xml:space="preserve">    840601  Alcoholes</v>
          </cell>
          <cell r="I210">
            <v>-42652.65</v>
          </cell>
        </row>
        <row r="211">
          <cell r="B211" t="str">
            <v>*   00 Ingresos deriv de</v>
          </cell>
          <cell r="C211">
            <v>183471766</v>
          </cell>
          <cell r="D211" t="str">
            <v>*   00 Ingresos deriv de</v>
          </cell>
          <cell r="E211">
            <v>-13082899.59</v>
          </cell>
          <cell r="F211" t="str">
            <v>*   00 Ingresos deriv de</v>
          </cell>
          <cell r="G211">
            <v>-16239894.51</v>
          </cell>
          <cell r="H211" t="str">
            <v>*   00 Ingresos deriv de</v>
          </cell>
          <cell r="I211">
            <v>-29080969.859999999</v>
          </cell>
        </row>
        <row r="212">
          <cell r="B212" t="str">
            <v xml:space="preserve">    080401  REMANENTE ESTATAL</v>
          </cell>
          <cell r="C212">
            <v>19112827.989999998</v>
          </cell>
          <cell r="D212" t="str">
            <v xml:space="preserve">    080401  REMANENTE ESTATAL</v>
          </cell>
          <cell r="E212">
            <v>0</v>
          </cell>
          <cell r="F212" t="str">
            <v xml:space="preserve">    080401  REMANENTE ESTATAL</v>
          </cell>
          <cell r="G212">
            <v>0</v>
          </cell>
          <cell r="H212" t="str">
            <v xml:space="preserve">    080401  REMANENTE ESTATAL</v>
          </cell>
          <cell r="I212">
            <v>0</v>
          </cell>
        </row>
        <row r="213">
          <cell r="B213" t="str">
            <v xml:space="preserve">    080801  REMA. CUENTA PÚBLI</v>
          </cell>
          <cell r="C213">
            <v>163217190.09</v>
          </cell>
          <cell r="D213" t="str">
            <v xml:space="preserve">    080801  REMA. CUENTA PÚBLI</v>
          </cell>
          <cell r="E213">
            <v>-13082899.59</v>
          </cell>
          <cell r="F213" t="str">
            <v xml:space="preserve">    080801  REMA. CUENTA PÚBLI</v>
          </cell>
          <cell r="G213">
            <v>-16225287.060000001</v>
          </cell>
          <cell r="H213" t="str">
            <v xml:space="preserve">    080801  REMA. CUENTA PÚBLI</v>
          </cell>
          <cell r="I213">
            <v>-29080969.859999999</v>
          </cell>
        </row>
        <row r="214">
          <cell r="B214" t="str">
            <v xml:space="preserve">    081003  REMANENTE FEDERAL</v>
          </cell>
          <cell r="C214">
            <v>1141747.92</v>
          </cell>
          <cell r="D214" t="str">
            <v xml:space="preserve">    081003  REMANENTE FEDERAL</v>
          </cell>
          <cell r="E214">
            <v>0</v>
          </cell>
          <cell r="F214" t="str">
            <v xml:space="preserve">    081003  REMANENTE FEDERAL</v>
          </cell>
          <cell r="G214">
            <v>-14607.45</v>
          </cell>
          <cell r="H214" t="str">
            <v xml:space="preserve">    081003  REMANENTE FEDERAL</v>
          </cell>
          <cell r="I214">
            <v>0</v>
          </cell>
        </row>
        <row r="215">
          <cell r="B215" t="str">
            <v xml:space="preserve">    081007  REMA. TEJIDO SOCIA</v>
          </cell>
          <cell r="C215">
            <v>0</v>
          </cell>
          <cell r="D215" t="str">
            <v xml:space="preserve">    081007  REMA. TEJIDO SOCIA</v>
          </cell>
          <cell r="E215">
            <v>0</v>
          </cell>
          <cell r="F215" t="str">
            <v xml:space="preserve">    081007  REMA. TEJIDO SOCIA</v>
          </cell>
          <cell r="G215">
            <v>0</v>
          </cell>
          <cell r="H215" t="str">
            <v xml:space="preserve">    081007  REMA. TEJIDO SOCIA</v>
          </cell>
          <cell r="I215">
            <v>0</v>
          </cell>
        </row>
        <row r="216">
          <cell r="B216" t="str">
            <v xml:space="preserve">    081009  REMANENTE FAISM</v>
          </cell>
          <cell r="C216">
            <v>0</v>
          </cell>
          <cell r="D216" t="str">
            <v xml:space="preserve">    081009  REMANENTE FAISM</v>
          </cell>
          <cell r="E216">
            <v>0</v>
          </cell>
          <cell r="F216" t="str">
            <v xml:space="preserve">    081009  REMANENTE FAISM</v>
          </cell>
          <cell r="G216">
            <v>0</v>
          </cell>
          <cell r="H216" t="str">
            <v xml:space="preserve">    081009  REMANENTE FAISM</v>
          </cell>
          <cell r="I216">
            <v>0</v>
          </cell>
        </row>
        <row r="217">
          <cell r="B217" t="str">
            <v>**  Rubros de Ingreso</v>
          </cell>
          <cell r="C217">
            <v>2232609109.9499998</v>
          </cell>
          <cell r="D217" t="str">
            <v>**  Rubros de Ingreso</v>
          </cell>
          <cell r="E217">
            <v>-169429312.16</v>
          </cell>
          <cell r="F217" t="str">
            <v>**  Rubros de Ingreso</v>
          </cell>
          <cell r="G217">
            <v>-155110427.08000001</v>
          </cell>
          <cell r="H217" t="str">
            <v>**  Rubros de Ingreso</v>
          </cell>
          <cell r="I217">
            <v>-194105476.28999999</v>
          </cell>
        </row>
        <row r="218">
          <cell r="B218" t="str">
            <v>*   1000 Servicios Perso</v>
          </cell>
          <cell r="C218">
            <v>778842082.64999998</v>
          </cell>
          <cell r="D218" t="str">
            <v>*   1000 Servicios Perso</v>
          </cell>
          <cell r="E218">
            <v>68513440.290000007</v>
          </cell>
          <cell r="F218" t="str">
            <v>*   1000 Servicios Perso</v>
          </cell>
          <cell r="G218">
            <v>64442711.280000001</v>
          </cell>
          <cell r="H218" t="str">
            <v>*   1000 Servicios Perso</v>
          </cell>
          <cell r="I218">
            <v>89121827.370000005</v>
          </cell>
        </row>
        <row r="219">
          <cell r="B219" t="str">
            <v>*   2000 Materiales y Su</v>
          </cell>
          <cell r="C219">
            <v>136783321.66</v>
          </cell>
          <cell r="D219" t="str">
            <v>*   2000 Materiales y Su</v>
          </cell>
          <cell r="E219">
            <v>28494987.43</v>
          </cell>
          <cell r="F219" t="str">
            <v>*   2000 Materiales y Su</v>
          </cell>
          <cell r="G219">
            <v>13900459.710000001</v>
          </cell>
          <cell r="H219" t="str">
            <v>*   2000 Materiales y Su</v>
          </cell>
          <cell r="I219">
            <v>16040763.029999999</v>
          </cell>
        </row>
        <row r="220">
          <cell r="B220" t="str">
            <v>*   3000 Servicios Gener</v>
          </cell>
          <cell r="C220">
            <v>256247119.86000001</v>
          </cell>
          <cell r="D220" t="str">
            <v>*   3000 Servicios Gener</v>
          </cell>
          <cell r="E220">
            <v>21789485.170000002</v>
          </cell>
          <cell r="F220" t="str">
            <v>*   3000 Servicios Gener</v>
          </cell>
          <cell r="G220">
            <v>21831251.829999998</v>
          </cell>
          <cell r="H220" t="str">
            <v>*   3000 Servicios Gener</v>
          </cell>
          <cell r="I220">
            <v>44451194.979999997</v>
          </cell>
        </row>
        <row r="221">
          <cell r="B221" t="str">
            <v>*   4000 Transf, Asign,</v>
          </cell>
          <cell r="C221">
            <v>255491352.88999999</v>
          </cell>
          <cell r="D221" t="str">
            <v>*   4000 Transf, Asign,</v>
          </cell>
          <cell r="E221">
            <v>23714144.789999999</v>
          </cell>
          <cell r="F221" t="str">
            <v>*   4000 Transf, Asign,</v>
          </cell>
          <cell r="G221">
            <v>25657393.940000001</v>
          </cell>
          <cell r="H221" t="str">
            <v>*   4000 Transf, Asign,</v>
          </cell>
          <cell r="I221">
            <v>30055905.030000001</v>
          </cell>
        </row>
        <row r="222">
          <cell r="B222" t="str">
            <v>*   5000 Bienes Muebles,</v>
          </cell>
          <cell r="C222">
            <v>131531963.29000001</v>
          </cell>
          <cell r="D222" t="str">
            <v>*   5000 Bienes Muebles,</v>
          </cell>
          <cell r="E222">
            <v>23099667.039999999</v>
          </cell>
          <cell r="F222" t="str">
            <v>*   5000 Bienes Muebles,</v>
          </cell>
          <cell r="G222">
            <v>9791775.6300000008</v>
          </cell>
          <cell r="H222" t="str">
            <v>*   5000 Bienes Muebles,</v>
          </cell>
          <cell r="I222">
            <v>14855585.99</v>
          </cell>
        </row>
        <row r="223">
          <cell r="B223" t="str">
            <v>*   6000 Inversion Públi</v>
          </cell>
          <cell r="C223">
            <v>406363805.18000001</v>
          </cell>
          <cell r="D223" t="str">
            <v>*   6000 Inversion Públi</v>
          </cell>
          <cell r="E223">
            <v>52646459.460000001</v>
          </cell>
          <cell r="F223" t="str">
            <v>*   6000 Inversion Públi</v>
          </cell>
          <cell r="G223">
            <v>67825845.180000007</v>
          </cell>
          <cell r="H223" t="str">
            <v>*   6000 Inversion Públi</v>
          </cell>
          <cell r="I223">
            <v>165966837.16</v>
          </cell>
        </row>
        <row r="224">
          <cell r="B224" t="str">
            <v>*   8000 Participaciones</v>
          </cell>
          <cell r="C224">
            <v>29232562.77</v>
          </cell>
          <cell r="D224" t="str">
            <v>*   8000 Participaciones</v>
          </cell>
          <cell r="E224">
            <v>0</v>
          </cell>
          <cell r="F224" t="str">
            <v>*   8000 Participaciones</v>
          </cell>
          <cell r="G224">
            <v>0</v>
          </cell>
          <cell r="H224" t="str">
            <v>*   8000 Participaciones</v>
          </cell>
          <cell r="I224">
            <v>29232562.77</v>
          </cell>
        </row>
        <row r="225">
          <cell r="B225" t="str">
            <v>*   9000 Deuda Pública</v>
          </cell>
          <cell r="C225">
            <v>40496546.119999997</v>
          </cell>
          <cell r="D225" t="str">
            <v>*   9000 Deuda Pública</v>
          </cell>
          <cell r="E225">
            <v>0</v>
          </cell>
          <cell r="F225" t="str">
            <v>*   9000 Deuda Pública</v>
          </cell>
          <cell r="G225">
            <v>6114184.0700000003</v>
          </cell>
          <cell r="H225" t="str">
            <v>*   9000 Deuda Pública</v>
          </cell>
          <cell r="I225">
            <v>3051243.56</v>
          </cell>
        </row>
        <row r="226">
          <cell r="B226" t="str">
            <v>**  Capítulos de Gasto</v>
          </cell>
          <cell r="C226">
            <v>2034988754.4200001</v>
          </cell>
          <cell r="D226" t="str">
            <v>**  Capítulos de Gasto</v>
          </cell>
          <cell r="E226">
            <v>218258184.18000001</v>
          </cell>
          <cell r="F226" t="str">
            <v>**  Capítulos de Gasto</v>
          </cell>
          <cell r="G226">
            <v>209563621.63999999</v>
          </cell>
          <cell r="H226" t="str">
            <v>**  Capítulos de Gasto</v>
          </cell>
          <cell r="I226">
            <v>392775919.88999999</v>
          </cell>
        </row>
        <row r="227">
          <cell r="B227" t="str">
            <v>*** Remanente</v>
          </cell>
          <cell r="C227">
            <v>197620355.53</v>
          </cell>
          <cell r="D227" t="str">
            <v>*** Remanente</v>
          </cell>
          <cell r="E227">
            <v>48828872.020000003</v>
          </cell>
          <cell r="F227" t="str">
            <v>*** Remanente</v>
          </cell>
          <cell r="G227">
            <v>54453194.560000002</v>
          </cell>
          <cell r="H227" t="str">
            <v>*** Remanente</v>
          </cell>
          <cell r="I227">
            <v>198670443.59999999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O2">
            <v>225522544.85600001</v>
          </cell>
        </row>
        <row r="3">
          <cell r="O3">
            <v>2712323.2648050007</v>
          </cell>
        </row>
        <row r="4">
          <cell r="O4">
            <v>60000000</v>
          </cell>
        </row>
        <row r="5">
          <cell r="O5">
            <v>1577446.4682900002</v>
          </cell>
        </row>
      </sheetData>
      <sheetData sheetId="10"/>
      <sheetData sheetId="11">
        <row r="16">
          <cell r="F16">
            <v>6112568.7699999996</v>
          </cell>
        </row>
        <row r="17">
          <cell r="F17">
            <v>4131489.32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manentes"/>
      <sheetName val="ANALÍTICO INGRESOS"/>
      <sheetName val="Hoja3"/>
      <sheetName val="PRESUPUESTO A DICIEMBRE "/>
      <sheetName val="FORTAMUN"/>
      <sheetName val="PRESUPUESTADOS 2021"/>
      <sheetName val="Hoja1"/>
      <sheetName val="Distribución Remanente"/>
      <sheetName val="Compromisos 2020"/>
    </sheetNames>
    <sheetDataSet>
      <sheetData sheetId="0">
        <row r="3">
          <cell r="N3" t="str">
            <v>Etiquetas de fila</v>
          </cell>
          <cell r="O3" t="str">
            <v>Suma de 2019 CIERRE DE EJERCICIO</v>
          </cell>
          <cell r="P3" t="str">
            <v>Suma de APROBADO 2020</v>
          </cell>
          <cell r="Q3" t="str">
            <v>Suma de TERCERA MODIFICACIÓN</v>
          </cell>
          <cell r="R3" t="str">
            <v>Suma de PRESUPUESTO AL CIERRE DE EJERCICIO</v>
          </cell>
          <cell r="S3" t="str">
            <v>Suma de PRESUPUESTO 2021</v>
          </cell>
        </row>
        <row r="4">
          <cell r="N4">
            <v>1131</v>
          </cell>
          <cell r="O4">
            <v>62717291.550000004</v>
          </cell>
          <cell r="P4">
            <v>70559856.249999985</v>
          </cell>
          <cell r="Q4">
            <v>66575286.349999994</v>
          </cell>
          <cell r="R4">
            <v>71986310.840000004</v>
          </cell>
          <cell r="S4">
            <v>71450577.469999984</v>
          </cell>
        </row>
        <row r="5">
          <cell r="N5">
            <v>1132</v>
          </cell>
          <cell r="O5">
            <v>177481264.91</v>
          </cell>
          <cell r="P5">
            <v>218449235.29000002</v>
          </cell>
          <cell r="Q5">
            <v>196876544.20000002</v>
          </cell>
          <cell r="R5">
            <v>200497694.76000002</v>
          </cell>
          <cell r="S5">
            <v>208390604.39999998</v>
          </cell>
        </row>
        <row r="6">
          <cell r="N6">
            <v>1212</v>
          </cell>
          <cell r="O6">
            <v>90430437.819999993</v>
          </cell>
          <cell r="P6">
            <v>107410499.34</v>
          </cell>
          <cell r="Q6">
            <v>142856544.71000001</v>
          </cell>
          <cell r="R6">
            <v>140150386.93999997</v>
          </cell>
          <cell r="S6">
            <v>157316177.70000005</v>
          </cell>
        </row>
        <row r="7">
          <cell r="N7">
            <v>1221</v>
          </cell>
          <cell r="O7">
            <v>49431.66</v>
          </cell>
          <cell r="P7">
            <v>375000</v>
          </cell>
          <cell r="Q7">
            <v>252355</v>
          </cell>
          <cell r="R7">
            <v>103615.66</v>
          </cell>
          <cell r="S7">
            <v>252355</v>
          </cell>
        </row>
        <row r="8">
          <cell r="N8">
            <v>1321</v>
          </cell>
          <cell r="O8">
            <v>14072597.629999997</v>
          </cell>
          <cell r="P8">
            <v>16257197.759999996</v>
          </cell>
          <cell r="Q8">
            <v>15562402.439999996</v>
          </cell>
          <cell r="R8">
            <v>14966345.189999999</v>
          </cell>
          <cell r="S8">
            <v>19517297.999999993</v>
          </cell>
        </row>
        <row r="9">
          <cell r="N9">
            <v>1322</v>
          </cell>
          <cell r="O9">
            <v>794389.70000000007</v>
          </cell>
          <cell r="P9">
            <v>960800</v>
          </cell>
          <cell r="Q9">
            <v>848607.05999999994</v>
          </cell>
          <cell r="R9">
            <v>720275.7300000001</v>
          </cell>
          <cell r="S9">
            <v>848607.5</v>
          </cell>
        </row>
        <row r="10">
          <cell r="N10">
            <v>1323</v>
          </cell>
          <cell r="O10">
            <v>48392891.75</v>
          </cell>
          <cell r="P10">
            <v>55252518.390000001</v>
          </cell>
          <cell r="Q10">
            <v>55288399.100000009</v>
          </cell>
          <cell r="R10">
            <v>52422867.200000003</v>
          </cell>
          <cell r="S10">
            <v>65944163.100000001</v>
          </cell>
        </row>
        <row r="11">
          <cell r="N11">
            <v>1331</v>
          </cell>
          <cell r="O11">
            <v>3186684.8100000005</v>
          </cell>
          <cell r="P11">
            <v>4182672.4</v>
          </cell>
          <cell r="Q11">
            <v>3059639.4</v>
          </cell>
          <cell r="R11">
            <v>1700864.8900000001</v>
          </cell>
          <cell r="S11">
            <v>3059639.8</v>
          </cell>
        </row>
        <row r="12">
          <cell r="N12">
            <v>1342</v>
          </cell>
          <cell r="O12">
            <v>0</v>
          </cell>
          <cell r="P12">
            <v>209890.5</v>
          </cell>
          <cell r="Q12">
            <v>125933.5</v>
          </cell>
          <cell r="R12">
            <v>0</v>
          </cell>
          <cell r="S12">
            <v>125933.5</v>
          </cell>
        </row>
        <row r="13">
          <cell r="N13">
            <v>1413</v>
          </cell>
          <cell r="O13">
            <v>69654968.930000022</v>
          </cell>
          <cell r="P13">
            <v>90143362.859999985</v>
          </cell>
          <cell r="Q13">
            <v>87101535.659999996</v>
          </cell>
          <cell r="R13">
            <v>84986683.400000021</v>
          </cell>
          <cell r="S13">
            <v>92739534.399999976</v>
          </cell>
        </row>
        <row r="14">
          <cell r="N14">
            <v>1421</v>
          </cell>
          <cell r="O14">
            <v>23549675.600000001</v>
          </cell>
          <cell r="P14">
            <v>27217592.350000001</v>
          </cell>
          <cell r="Q14">
            <v>24011999.740000002</v>
          </cell>
          <cell r="R14">
            <v>25699130.609999999</v>
          </cell>
          <cell r="S14">
            <v>29715741.900000002</v>
          </cell>
        </row>
        <row r="15">
          <cell r="N15">
            <v>1431</v>
          </cell>
          <cell r="O15">
            <v>28217736.470000003</v>
          </cell>
          <cell r="P15">
            <v>28242775.909999996</v>
          </cell>
          <cell r="Q15">
            <v>27706469.449999996</v>
          </cell>
          <cell r="R15">
            <v>29529147.690000005</v>
          </cell>
          <cell r="S15">
            <v>26340287.300000001</v>
          </cell>
        </row>
        <row r="16">
          <cell r="N16">
            <v>1441</v>
          </cell>
          <cell r="O16">
            <v>5086564.6100000003</v>
          </cell>
          <cell r="P16">
            <v>6500000</v>
          </cell>
          <cell r="Q16">
            <v>4873000</v>
          </cell>
          <cell r="R16">
            <v>4857142.8600000003</v>
          </cell>
          <cell r="S16">
            <v>5000000</v>
          </cell>
        </row>
        <row r="17">
          <cell r="N17">
            <v>1511</v>
          </cell>
          <cell r="O17">
            <v>3382105.1</v>
          </cell>
          <cell r="P17">
            <v>3897832.5599999996</v>
          </cell>
          <cell r="Q17">
            <v>3656340.4499999993</v>
          </cell>
          <cell r="R17">
            <v>3777048.2100000009</v>
          </cell>
          <cell r="S17">
            <v>5289767.1999999983</v>
          </cell>
        </row>
        <row r="18">
          <cell r="N18">
            <v>1522</v>
          </cell>
          <cell r="O18">
            <v>24061415.640000001</v>
          </cell>
          <cell r="P18">
            <v>18250000</v>
          </cell>
          <cell r="Q18">
            <v>18598218</v>
          </cell>
          <cell r="R18">
            <v>15037125.75</v>
          </cell>
          <cell r="S18">
            <v>23000000</v>
          </cell>
        </row>
        <row r="19">
          <cell r="N19">
            <v>1531</v>
          </cell>
          <cell r="O19">
            <v>572922.26</v>
          </cell>
          <cell r="P19">
            <v>715375</v>
          </cell>
          <cell r="Q19">
            <v>663628.77</v>
          </cell>
          <cell r="R19">
            <v>675088.35</v>
          </cell>
          <cell r="S19">
            <v>692472.29999999993</v>
          </cell>
        </row>
        <row r="20">
          <cell r="N20">
            <v>1541</v>
          </cell>
          <cell r="O20">
            <v>31080083.359999996</v>
          </cell>
          <cell r="P20">
            <v>36577548.359999985</v>
          </cell>
          <cell r="Q20">
            <v>37654410.249999993</v>
          </cell>
          <cell r="R20">
            <v>35167188.629999995</v>
          </cell>
          <cell r="S20">
            <v>44271208.299999997</v>
          </cell>
        </row>
        <row r="21">
          <cell r="N21">
            <v>1591</v>
          </cell>
          <cell r="O21">
            <v>1571237.7</v>
          </cell>
          <cell r="P21">
            <v>2258000</v>
          </cell>
          <cell r="Q21">
            <v>2027373</v>
          </cell>
          <cell r="R21">
            <v>1162649.67</v>
          </cell>
          <cell r="S21">
            <v>2026773</v>
          </cell>
        </row>
        <row r="22">
          <cell r="N22">
            <v>1592</v>
          </cell>
          <cell r="O22">
            <v>73116848.329999998</v>
          </cell>
          <cell r="P22">
            <v>83726285.11999999</v>
          </cell>
          <cell r="Q22">
            <v>78854476.309999973</v>
          </cell>
          <cell r="R22">
            <v>81373924.379999965</v>
          </cell>
          <cell r="S22">
            <v>81984942.5</v>
          </cell>
        </row>
        <row r="23">
          <cell r="N23">
            <v>1593</v>
          </cell>
          <cell r="O23">
            <v>4313663.32</v>
          </cell>
          <cell r="P23">
            <v>13855377.9</v>
          </cell>
          <cell r="Q23">
            <v>13602292.4</v>
          </cell>
          <cell r="R23">
            <v>13931311.890000001</v>
          </cell>
          <cell r="S23">
            <v>11914971.699999999</v>
          </cell>
        </row>
        <row r="24">
          <cell r="N24">
            <v>1611</v>
          </cell>
          <cell r="O24">
            <v>0</v>
          </cell>
          <cell r="P24">
            <v>1793920.39</v>
          </cell>
          <cell r="Q24">
            <v>1076352.24</v>
          </cell>
          <cell r="R24">
            <v>0</v>
          </cell>
          <cell r="S24">
            <v>1130169.9000000001</v>
          </cell>
        </row>
        <row r="25">
          <cell r="N25">
            <v>1711</v>
          </cell>
          <cell r="O25">
            <v>53220</v>
          </cell>
          <cell r="P25">
            <v>245200</v>
          </cell>
          <cell r="Q25">
            <v>213648</v>
          </cell>
          <cell r="R25">
            <v>97280</v>
          </cell>
          <cell r="S25">
            <v>213648</v>
          </cell>
        </row>
        <row r="26">
          <cell r="N26">
            <v>1712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N27">
            <v>2111</v>
          </cell>
          <cell r="O27">
            <v>1679920.88</v>
          </cell>
          <cell r="P27">
            <v>1859750</v>
          </cell>
          <cell r="Q27">
            <v>1445714.96</v>
          </cell>
          <cell r="R27">
            <v>1230526.49</v>
          </cell>
          <cell r="S27">
            <v>2187060.83</v>
          </cell>
        </row>
        <row r="28">
          <cell r="N28">
            <v>2112</v>
          </cell>
          <cell r="O28">
            <v>1473712.62</v>
          </cell>
          <cell r="P28">
            <v>1750377.84</v>
          </cell>
          <cell r="Q28">
            <v>2358394.5599999996</v>
          </cell>
          <cell r="R28">
            <v>1937172.7600000002</v>
          </cell>
          <cell r="S28">
            <v>524460</v>
          </cell>
        </row>
        <row r="29">
          <cell r="N29">
            <v>2121</v>
          </cell>
          <cell r="O29">
            <v>1244277.6200000001</v>
          </cell>
          <cell r="P29">
            <v>1357443</v>
          </cell>
          <cell r="Q29">
            <v>1041909.1</v>
          </cell>
          <cell r="R29">
            <v>870049.88</v>
          </cell>
          <cell r="S29">
            <v>1481393</v>
          </cell>
        </row>
        <row r="30">
          <cell r="N30">
            <v>2131</v>
          </cell>
          <cell r="O30">
            <v>0</v>
          </cell>
          <cell r="P30">
            <v>80000</v>
          </cell>
          <cell r="Q30">
            <v>80000</v>
          </cell>
          <cell r="R30">
            <v>80000</v>
          </cell>
          <cell r="S30">
            <v>800000</v>
          </cell>
        </row>
        <row r="31">
          <cell r="N31">
            <v>2142</v>
          </cell>
          <cell r="O31">
            <v>333053.40000000002</v>
          </cell>
          <cell r="P31">
            <v>470844</v>
          </cell>
          <cell r="Q31">
            <v>1249044</v>
          </cell>
          <cell r="R31">
            <v>528000.01</v>
          </cell>
          <cell r="S31">
            <v>70957.2</v>
          </cell>
        </row>
        <row r="32">
          <cell r="N32">
            <v>2151</v>
          </cell>
          <cell r="O32">
            <v>1495</v>
          </cell>
          <cell r="P32">
            <v>4500</v>
          </cell>
          <cell r="Q32">
            <v>4500</v>
          </cell>
          <cell r="R32">
            <v>1495</v>
          </cell>
          <cell r="S32">
            <v>2000</v>
          </cell>
        </row>
        <row r="33">
          <cell r="N33">
            <v>2161</v>
          </cell>
          <cell r="O33">
            <v>931530.17999999993</v>
          </cell>
          <cell r="P33">
            <v>1133599.02</v>
          </cell>
          <cell r="Q33">
            <v>1472551.95</v>
          </cell>
          <cell r="R33">
            <v>1197382.8200000005</v>
          </cell>
          <cell r="S33">
            <v>1511750</v>
          </cell>
        </row>
        <row r="34">
          <cell r="N34">
            <v>2171</v>
          </cell>
          <cell r="O34">
            <v>159270.14000000001</v>
          </cell>
          <cell r="P34">
            <v>487188</v>
          </cell>
          <cell r="Q34">
            <v>462855.96</v>
          </cell>
          <cell r="R34">
            <v>180775.59</v>
          </cell>
          <cell r="S34">
            <v>452000</v>
          </cell>
        </row>
        <row r="35">
          <cell r="N35">
            <v>2182</v>
          </cell>
          <cell r="O35">
            <v>4786177.6599999992</v>
          </cell>
          <cell r="P35">
            <v>4696572</v>
          </cell>
          <cell r="Q35">
            <v>2848204</v>
          </cell>
          <cell r="R35">
            <v>2798975.6</v>
          </cell>
          <cell r="S35">
            <v>4912100</v>
          </cell>
        </row>
        <row r="36">
          <cell r="N36">
            <v>2211</v>
          </cell>
          <cell r="O36">
            <v>217920.47</v>
          </cell>
          <cell r="P36">
            <v>250000</v>
          </cell>
          <cell r="Q36">
            <v>3113160</v>
          </cell>
          <cell r="R36">
            <v>3960568.19</v>
          </cell>
          <cell r="S36">
            <v>8500000</v>
          </cell>
        </row>
        <row r="37">
          <cell r="N37">
            <v>2212</v>
          </cell>
          <cell r="O37">
            <v>2925170.77</v>
          </cell>
          <cell r="P37">
            <v>3408200</v>
          </cell>
          <cell r="Q37">
            <v>3767167</v>
          </cell>
          <cell r="R37">
            <v>3886267.72</v>
          </cell>
          <cell r="S37">
            <v>4259700</v>
          </cell>
        </row>
        <row r="38">
          <cell r="N38">
            <v>2221</v>
          </cell>
          <cell r="O38">
            <v>1148325.4600000002</v>
          </cell>
          <cell r="P38">
            <v>1264900</v>
          </cell>
          <cell r="Q38">
            <v>740900</v>
          </cell>
          <cell r="R38">
            <v>675064.71000000008</v>
          </cell>
          <cell r="S38">
            <v>434900</v>
          </cell>
        </row>
        <row r="39">
          <cell r="N39">
            <v>2231</v>
          </cell>
          <cell r="O39">
            <v>6630</v>
          </cell>
          <cell r="P39">
            <v>0</v>
          </cell>
          <cell r="Q39">
            <v>31800</v>
          </cell>
          <cell r="R39">
            <v>31639</v>
          </cell>
          <cell r="S39">
            <v>0</v>
          </cell>
        </row>
        <row r="40">
          <cell r="N40">
            <v>2312</v>
          </cell>
          <cell r="O40">
            <v>49808.37</v>
          </cell>
          <cell r="P40">
            <v>60000</v>
          </cell>
          <cell r="Q40">
            <v>89740</v>
          </cell>
          <cell r="R40">
            <v>82795.03</v>
          </cell>
          <cell r="S40">
            <v>90000</v>
          </cell>
        </row>
        <row r="41">
          <cell r="N41">
            <v>2321</v>
          </cell>
          <cell r="O41">
            <v>0</v>
          </cell>
          <cell r="P41">
            <v>0</v>
          </cell>
          <cell r="Q41">
            <v>164230.32</v>
          </cell>
          <cell r="R41">
            <v>0</v>
          </cell>
          <cell r="S41">
            <v>164230</v>
          </cell>
        </row>
        <row r="42">
          <cell r="N42">
            <v>2391</v>
          </cell>
          <cell r="O42">
            <v>580894</v>
          </cell>
          <cell r="P42">
            <v>903457</v>
          </cell>
          <cell r="Q42">
            <v>2321426.4700000002</v>
          </cell>
          <cell r="R42">
            <v>1653509.5</v>
          </cell>
          <cell r="S42">
            <v>750000</v>
          </cell>
        </row>
        <row r="43">
          <cell r="N43">
            <v>2411</v>
          </cell>
          <cell r="O43">
            <v>19272.09</v>
          </cell>
          <cell r="P43">
            <v>50000</v>
          </cell>
          <cell r="Q43">
            <v>44500</v>
          </cell>
          <cell r="R43">
            <v>35774.89</v>
          </cell>
          <cell r="S43">
            <v>25000</v>
          </cell>
        </row>
        <row r="44">
          <cell r="N44">
            <v>2421</v>
          </cell>
          <cell r="O44">
            <v>2061177.0900000003</v>
          </cell>
          <cell r="P44">
            <v>2545799.39</v>
          </cell>
          <cell r="Q44">
            <v>4285182.4000000004</v>
          </cell>
          <cell r="R44">
            <v>3547568.28</v>
          </cell>
          <cell r="S44">
            <v>2089352</v>
          </cell>
        </row>
        <row r="45">
          <cell r="N45">
            <v>2431</v>
          </cell>
          <cell r="O45">
            <v>6710</v>
          </cell>
          <cell r="P45">
            <v>0</v>
          </cell>
          <cell r="Q45">
            <v>0</v>
          </cell>
          <cell r="R45">
            <v>0</v>
          </cell>
          <cell r="S45">
            <v>5000</v>
          </cell>
        </row>
        <row r="46">
          <cell r="N46">
            <v>2441</v>
          </cell>
          <cell r="O46">
            <v>39913.81</v>
          </cell>
          <cell r="P46">
            <v>40000</v>
          </cell>
          <cell r="Q46">
            <v>40000</v>
          </cell>
          <cell r="R46">
            <v>34915.99</v>
          </cell>
          <cell r="S46">
            <v>0</v>
          </cell>
        </row>
        <row r="47">
          <cell r="N47">
            <v>2461</v>
          </cell>
          <cell r="O47">
            <v>3434341.39</v>
          </cell>
          <cell r="P47">
            <v>4454299.8</v>
          </cell>
          <cell r="Q47">
            <v>7789088.4800000004</v>
          </cell>
          <cell r="R47">
            <v>4706009.42</v>
          </cell>
          <cell r="S47">
            <v>7917057.3899999997</v>
          </cell>
        </row>
        <row r="48">
          <cell r="N48">
            <v>2471</v>
          </cell>
          <cell r="O48">
            <v>0</v>
          </cell>
          <cell r="P48">
            <v>0</v>
          </cell>
          <cell r="Q48">
            <v>55000</v>
          </cell>
          <cell r="R48">
            <v>0</v>
          </cell>
          <cell r="S48">
            <v>58000</v>
          </cell>
        </row>
        <row r="49">
          <cell r="N49">
            <v>2481</v>
          </cell>
          <cell r="O49">
            <v>17683936.170000002</v>
          </cell>
          <cell r="P49">
            <v>13000000</v>
          </cell>
          <cell r="Q49">
            <v>15091031.539999999</v>
          </cell>
          <cell r="R49">
            <v>7303575.5299999993</v>
          </cell>
          <cell r="S49">
            <v>20077999</v>
          </cell>
        </row>
        <row r="50">
          <cell r="N50">
            <v>2491</v>
          </cell>
          <cell r="O50">
            <v>8578975.6800000016</v>
          </cell>
          <cell r="P50">
            <v>14235071.710000001</v>
          </cell>
          <cell r="Q50">
            <v>11371503.849999998</v>
          </cell>
          <cell r="R50">
            <v>10435999.989999998</v>
          </cell>
          <cell r="S50">
            <v>13252009</v>
          </cell>
        </row>
        <row r="51">
          <cell r="N51">
            <v>2492</v>
          </cell>
          <cell r="O51">
            <v>0</v>
          </cell>
          <cell r="P51">
            <v>0</v>
          </cell>
          <cell r="Q51">
            <v>5709211.6299999999</v>
          </cell>
          <cell r="R51">
            <v>5441927.9400000004</v>
          </cell>
          <cell r="S51">
            <v>0</v>
          </cell>
        </row>
        <row r="52">
          <cell r="N52">
            <v>2493</v>
          </cell>
          <cell r="O52">
            <v>0</v>
          </cell>
          <cell r="P52">
            <v>0</v>
          </cell>
          <cell r="Q52">
            <v>3765000</v>
          </cell>
          <cell r="R52">
            <v>2914420.24</v>
          </cell>
          <cell r="S52">
            <v>0</v>
          </cell>
        </row>
        <row r="53">
          <cell r="N53">
            <v>2511</v>
          </cell>
          <cell r="O53">
            <v>27150.73</v>
          </cell>
          <cell r="P53">
            <v>40000</v>
          </cell>
          <cell r="Q53">
            <v>40000</v>
          </cell>
          <cell r="R53">
            <v>28285.97</v>
          </cell>
          <cell r="S53">
            <v>48000</v>
          </cell>
        </row>
        <row r="54">
          <cell r="N54">
            <v>2521</v>
          </cell>
          <cell r="O54">
            <v>74810</v>
          </cell>
          <cell r="P54">
            <v>85000</v>
          </cell>
          <cell r="Q54">
            <v>260000</v>
          </cell>
          <cell r="R54">
            <v>54952.2</v>
          </cell>
          <cell r="S54">
            <v>100000</v>
          </cell>
        </row>
        <row r="55">
          <cell r="N55">
            <v>2522</v>
          </cell>
          <cell r="O55">
            <v>830237.09000000008</v>
          </cell>
          <cell r="P55">
            <v>1176000</v>
          </cell>
          <cell r="Q55">
            <v>1048208.63</v>
          </cell>
          <cell r="R55">
            <v>983453.78</v>
          </cell>
          <cell r="S55">
            <v>1171000</v>
          </cell>
        </row>
        <row r="56">
          <cell r="N56">
            <v>2531</v>
          </cell>
          <cell r="O56">
            <v>757228.02999999991</v>
          </cell>
          <cell r="P56">
            <v>1169000</v>
          </cell>
          <cell r="Q56">
            <v>753267.67999999993</v>
          </cell>
          <cell r="R56">
            <v>698321.19999999984</v>
          </cell>
          <cell r="S56">
            <v>922000</v>
          </cell>
        </row>
        <row r="57">
          <cell r="N57">
            <v>2541</v>
          </cell>
          <cell r="O57">
            <v>81406.14</v>
          </cell>
          <cell r="P57">
            <v>405000</v>
          </cell>
          <cell r="Q57">
            <v>425616.48</v>
          </cell>
          <cell r="R57">
            <v>370518.47</v>
          </cell>
          <cell r="S57">
            <v>415000</v>
          </cell>
        </row>
        <row r="58">
          <cell r="N58">
            <v>2551</v>
          </cell>
          <cell r="O58">
            <v>34486.44</v>
          </cell>
          <cell r="P58">
            <v>20000</v>
          </cell>
          <cell r="Q58">
            <v>20000</v>
          </cell>
          <cell r="R58">
            <v>19280.36</v>
          </cell>
          <cell r="S58">
            <v>35000</v>
          </cell>
        </row>
        <row r="59">
          <cell r="N59">
            <v>2611</v>
          </cell>
          <cell r="O59">
            <v>26469555.25</v>
          </cell>
          <cell r="P59">
            <v>25000000</v>
          </cell>
          <cell r="Q59">
            <v>26000000</v>
          </cell>
          <cell r="R59">
            <v>21861270.449999999</v>
          </cell>
          <cell r="S59">
            <v>26000000</v>
          </cell>
        </row>
        <row r="60">
          <cell r="N60">
            <v>2612</v>
          </cell>
          <cell r="O60">
            <v>40805390.82</v>
          </cell>
          <cell r="P60">
            <v>35857862</v>
          </cell>
          <cell r="Q60">
            <v>35326000</v>
          </cell>
          <cell r="R60">
            <v>33036012.669999998</v>
          </cell>
          <cell r="S60">
            <v>36205000</v>
          </cell>
        </row>
        <row r="61">
          <cell r="N61">
            <v>2613</v>
          </cell>
          <cell r="O61">
            <v>61754.49</v>
          </cell>
          <cell r="P61">
            <v>160000</v>
          </cell>
          <cell r="Q61">
            <v>160000</v>
          </cell>
          <cell r="R61">
            <v>154068.33000000002</v>
          </cell>
          <cell r="S61">
            <v>340000</v>
          </cell>
        </row>
        <row r="62">
          <cell r="N62">
            <v>2614</v>
          </cell>
          <cell r="O62">
            <v>0</v>
          </cell>
          <cell r="P62">
            <v>4800000</v>
          </cell>
          <cell r="Q62">
            <v>1274999.22</v>
          </cell>
          <cell r="R62">
            <v>848123.33</v>
          </cell>
          <cell r="S62">
            <v>1830000</v>
          </cell>
        </row>
        <row r="63">
          <cell r="N63">
            <v>2711</v>
          </cell>
          <cell r="O63">
            <v>12884259.92</v>
          </cell>
          <cell r="P63">
            <v>19495800</v>
          </cell>
          <cell r="Q63">
            <v>25039702.469999999</v>
          </cell>
          <cell r="R63">
            <v>21841907.049999997</v>
          </cell>
          <cell r="S63">
            <v>14319992.319999998</v>
          </cell>
        </row>
        <row r="64">
          <cell r="N64">
            <v>2721</v>
          </cell>
          <cell r="O64">
            <v>54918.959999999992</v>
          </cell>
          <cell r="P64">
            <v>1865000</v>
          </cell>
          <cell r="Q64">
            <v>358096.65</v>
          </cell>
          <cell r="R64">
            <v>40368.78</v>
          </cell>
          <cell r="S64">
            <v>1955000</v>
          </cell>
        </row>
        <row r="65">
          <cell r="N65">
            <v>2722</v>
          </cell>
          <cell r="O65">
            <v>41887.839999999997</v>
          </cell>
          <cell r="P65">
            <v>28000</v>
          </cell>
          <cell r="Q65">
            <v>515476.2</v>
          </cell>
          <cell r="R65">
            <v>266549.74</v>
          </cell>
          <cell r="S65">
            <v>280905.43</v>
          </cell>
        </row>
        <row r="66">
          <cell r="N66">
            <v>2731</v>
          </cell>
          <cell r="O66">
            <v>17632.72</v>
          </cell>
          <cell r="P66">
            <v>20000</v>
          </cell>
          <cell r="Q66">
            <v>35000</v>
          </cell>
          <cell r="R66">
            <v>34293.119999999995</v>
          </cell>
          <cell r="S66">
            <v>20000</v>
          </cell>
        </row>
        <row r="67">
          <cell r="N67">
            <v>2751</v>
          </cell>
          <cell r="O67">
            <v>462999.98</v>
          </cell>
          <cell r="P67">
            <v>600000</v>
          </cell>
          <cell r="Q67">
            <v>600000</v>
          </cell>
          <cell r="R67">
            <v>435000</v>
          </cell>
          <cell r="S67">
            <v>200000</v>
          </cell>
        </row>
        <row r="68">
          <cell r="N68">
            <v>2821</v>
          </cell>
          <cell r="O68">
            <v>347570.11</v>
          </cell>
          <cell r="P68">
            <v>0</v>
          </cell>
          <cell r="Q68">
            <v>859050</v>
          </cell>
          <cell r="R68">
            <v>859050</v>
          </cell>
          <cell r="S68">
            <v>0</v>
          </cell>
        </row>
        <row r="69">
          <cell r="N69">
            <v>2831</v>
          </cell>
          <cell r="O69">
            <v>4779432</v>
          </cell>
          <cell r="P69">
            <v>5012000</v>
          </cell>
          <cell r="Q69">
            <v>0</v>
          </cell>
          <cell r="R69">
            <v>0</v>
          </cell>
          <cell r="S69">
            <v>0</v>
          </cell>
        </row>
        <row r="70">
          <cell r="N70">
            <v>2911</v>
          </cell>
          <cell r="O70">
            <v>413097.0799999999</v>
          </cell>
          <cell r="P70">
            <v>490664</v>
          </cell>
          <cell r="Q70">
            <v>543201.25</v>
          </cell>
          <cell r="R70">
            <v>443033.69000000006</v>
          </cell>
          <cell r="S70">
            <v>519142.04</v>
          </cell>
        </row>
        <row r="71">
          <cell r="N71">
            <v>2921</v>
          </cell>
          <cell r="O71">
            <v>6250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N72">
            <v>2932</v>
          </cell>
          <cell r="O72">
            <v>0</v>
          </cell>
          <cell r="P72">
            <v>0</v>
          </cell>
          <cell r="Q72">
            <v>11000</v>
          </cell>
          <cell r="R72">
            <v>0</v>
          </cell>
          <cell r="S72">
            <v>0</v>
          </cell>
        </row>
        <row r="73">
          <cell r="N73">
            <v>2941</v>
          </cell>
          <cell r="O73">
            <v>93475.17</v>
          </cell>
          <cell r="P73">
            <v>249500</v>
          </cell>
          <cell r="Q73">
            <v>1460234.56</v>
          </cell>
          <cell r="R73">
            <v>1274417.93</v>
          </cell>
          <cell r="S73">
            <v>153000</v>
          </cell>
        </row>
        <row r="74">
          <cell r="N74">
            <v>2951</v>
          </cell>
          <cell r="O74">
            <v>0</v>
          </cell>
          <cell r="P74">
            <v>5000</v>
          </cell>
          <cell r="Q74">
            <v>5000</v>
          </cell>
          <cell r="R74">
            <v>0</v>
          </cell>
          <cell r="S74">
            <v>5000</v>
          </cell>
        </row>
        <row r="75">
          <cell r="N75">
            <v>2961</v>
          </cell>
          <cell r="O75">
            <v>12750.72</v>
          </cell>
          <cell r="P75">
            <v>15000</v>
          </cell>
          <cell r="Q75">
            <v>15000</v>
          </cell>
          <cell r="R75">
            <v>0</v>
          </cell>
          <cell r="S75">
            <v>0</v>
          </cell>
        </row>
        <row r="76">
          <cell r="N76">
            <v>3111</v>
          </cell>
          <cell r="O76">
            <v>7024362</v>
          </cell>
          <cell r="P76">
            <v>8796500</v>
          </cell>
          <cell r="Q76">
            <v>9107961.0999999996</v>
          </cell>
          <cell r="R76">
            <v>7056578.4000000004</v>
          </cell>
          <cell r="S76">
            <v>10902000</v>
          </cell>
        </row>
        <row r="77">
          <cell r="N77">
            <v>3112</v>
          </cell>
          <cell r="O77">
            <v>98202395</v>
          </cell>
          <cell r="P77">
            <v>97000000</v>
          </cell>
          <cell r="Q77">
            <v>90000000</v>
          </cell>
          <cell r="R77">
            <v>86175623.559999987</v>
          </cell>
          <cell r="S77">
            <v>75000000</v>
          </cell>
        </row>
        <row r="78">
          <cell r="N78">
            <v>3121</v>
          </cell>
          <cell r="O78">
            <v>244202.92</v>
          </cell>
          <cell r="P78">
            <v>240800</v>
          </cell>
          <cell r="Q78">
            <v>240800</v>
          </cell>
          <cell r="R78">
            <v>211736.96000000002</v>
          </cell>
          <cell r="S78">
            <v>235800</v>
          </cell>
        </row>
        <row r="79">
          <cell r="N79">
            <v>3131</v>
          </cell>
          <cell r="O79">
            <v>1594246.2899999998</v>
          </cell>
          <cell r="P79">
            <v>2210550</v>
          </cell>
          <cell r="Q79">
            <v>2144050</v>
          </cell>
          <cell r="R79">
            <v>1937795.73</v>
          </cell>
          <cell r="S79">
            <v>2837500</v>
          </cell>
        </row>
        <row r="80">
          <cell r="N80">
            <v>3141</v>
          </cell>
          <cell r="O80">
            <v>3071137.2600000002</v>
          </cell>
          <cell r="P80">
            <v>3851700</v>
          </cell>
          <cell r="Q80">
            <v>3733700</v>
          </cell>
          <cell r="R80">
            <v>3011167.919999999</v>
          </cell>
          <cell r="S80">
            <v>3998900</v>
          </cell>
        </row>
        <row r="81">
          <cell r="N81">
            <v>3151</v>
          </cell>
          <cell r="O81">
            <v>352454.44000000012</v>
          </cell>
          <cell r="P81">
            <v>508007.01</v>
          </cell>
          <cell r="Q81">
            <v>605000</v>
          </cell>
          <cell r="R81">
            <v>558823.5</v>
          </cell>
          <cell r="S81">
            <v>1408124</v>
          </cell>
        </row>
        <row r="82">
          <cell r="N82">
            <v>3161</v>
          </cell>
          <cell r="O82">
            <v>1191318.98</v>
          </cell>
          <cell r="P82">
            <v>3065000</v>
          </cell>
          <cell r="Q82">
            <v>3065000</v>
          </cell>
          <cell r="R82">
            <v>1119982.5699999998</v>
          </cell>
          <cell r="S82">
            <v>1405267.52</v>
          </cell>
        </row>
        <row r="83">
          <cell r="N83">
            <v>3171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120000</v>
          </cell>
        </row>
        <row r="84">
          <cell r="N84">
            <v>3172</v>
          </cell>
          <cell r="O84">
            <v>30612.95</v>
          </cell>
          <cell r="P84">
            <v>155000</v>
          </cell>
          <cell r="Q84">
            <v>949846.91999999993</v>
          </cell>
          <cell r="R84">
            <v>931941.23</v>
          </cell>
          <cell r="S84">
            <v>250000</v>
          </cell>
        </row>
        <row r="85">
          <cell r="N85">
            <v>3173</v>
          </cell>
          <cell r="O85">
            <v>124534.87</v>
          </cell>
          <cell r="P85">
            <v>1410000</v>
          </cell>
          <cell r="Q85">
            <v>541462</v>
          </cell>
          <cell r="R85">
            <v>433370.22</v>
          </cell>
          <cell r="S85">
            <v>860000</v>
          </cell>
        </row>
        <row r="86">
          <cell r="N86">
            <v>3181</v>
          </cell>
          <cell r="O86">
            <v>733313.98</v>
          </cell>
          <cell r="P86">
            <v>1407450</v>
          </cell>
          <cell r="Q86">
            <v>1260629.97</v>
          </cell>
          <cell r="R86">
            <v>570940.84000000008</v>
          </cell>
          <cell r="S86">
            <v>1292000</v>
          </cell>
        </row>
        <row r="87">
          <cell r="N87">
            <v>3191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N88">
            <v>3192</v>
          </cell>
          <cell r="O88">
            <v>0</v>
          </cell>
          <cell r="P88">
            <v>0</v>
          </cell>
          <cell r="Q88">
            <v>3820.84</v>
          </cell>
          <cell r="R88">
            <v>0</v>
          </cell>
          <cell r="S88">
            <v>83821</v>
          </cell>
        </row>
        <row r="89">
          <cell r="N89">
            <v>3221</v>
          </cell>
          <cell r="O89">
            <v>5985878.4199999999</v>
          </cell>
          <cell r="P89">
            <v>6165766.8199999994</v>
          </cell>
          <cell r="Q89">
            <v>6121173.71</v>
          </cell>
          <cell r="R89">
            <v>6104297.3799999999</v>
          </cell>
          <cell r="S89">
            <v>6051846.7000000002</v>
          </cell>
        </row>
        <row r="90">
          <cell r="N90">
            <v>3231</v>
          </cell>
          <cell r="O90">
            <v>1854013.3800000001</v>
          </cell>
          <cell r="P90">
            <v>2250000</v>
          </cell>
          <cell r="Q90">
            <v>2250000</v>
          </cell>
          <cell r="R90">
            <v>1617235.8599999999</v>
          </cell>
          <cell r="S90">
            <v>2300000</v>
          </cell>
        </row>
        <row r="91">
          <cell r="N91">
            <v>3233</v>
          </cell>
          <cell r="O91">
            <v>0</v>
          </cell>
          <cell r="P91">
            <v>600000</v>
          </cell>
          <cell r="Q91">
            <v>14500</v>
          </cell>
          <cell r="R91">
            <v>14500</v>
          </cell>
          <cell r="S91">
            <v>0</v>
          </cell>
        </row>
        <row r="92">
          <cell r="N92">
            <v>3251</v>
          </cell>
          <cell r="O92">
            <v>2047.21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N93">
            <v>3261</v>
          </cell>
          <cell r="O93">
            <v>4693824</v>
          </cell>
          <cell r="P93">
            <v>4814832</v>
          </cell>
          <cell r="Q93">
            <v>4717682</v>
          </cell>
          <cell r="R93">
            <v>4099654.6</v>
          </cell>
          <cell r="S93">
            <v>4749436.8</v>
          </cell>
        </row>
        <row r="94">
          <cell r="N94">
            <v>3271</v>
          </cell>
          <cell r="O94">
            <v>0</v>
          </cell>
          <cell r="P94">
            <v>1100000</v>
          </cell>
          <cell r="Q94">
            <v>160800</v>
          </cell>
          <cell r="R94">
            <v>220696.96000000002</v>
          </cell>
          <cell r="S94">
            <v>0</v>
          </cell>
        </row>
        <row r="95">
          <cell r="N95">
            <v>3311</v>
          </cell>
          <cell r="O95">
            <v>498552.54</v>
          </cell>
          <cell r="P95">
            <v>1490000</v>
          </cell>
          <cell r="Q95">
            <v>866100</v>
          </cell>
          <cell r="R95">
            <v>609173.72</v>
          </cell>
          <cell r="S95">
            <v>840000</v>
          </cell>
        </row>
        <row r="96">
          <cell r="N96">
            <v>3314</v>
          </cell>
          <cell r="O96">
            <v>0</v>
          </cell>
          <cell r="P96">
            <v>100000</v>
          </cell>
          <cell r="Q96">
            <v>100000</v>
          </cell>
          <cell r="R96">
            <v>0</v>
          </cell>
          <cell r="S96">
            <v>100000</v>
          </cell>
        </row>
        <row r="97">
          <cell r="N97">
            <v>3321</v>
          </cell>
          <cell r="O97">
            <v>10134781.610000001</v>
          </cell>
          <cell r="P97">
            <v>15042131.98</v>
          </cell>
          <cell r="Q97">
            <v>32446492.560000002</v>
          </cell>
          <cell r="R97">
            <v>20164043.049999997</v>
          </cell>
          <cell r="S97">
            <v>13829687.609999999</v>
          </cell>
        </row>
        <row r="98">
          <cell r="N98">
            <v>3331</v>
          </cell>
          <cell r="O98">
            <v>1481183.84</v>
          </cell>
          <cell r="P98">
            <v>1861420</v>
          </cell>
          <cell r="Q98">
            <v>4325710.3</v>
          </cell>
          <cell r="R98">
            <v>2490458.27</v>
          </cell>
          <cell r="S98">
            <v>2352785.35</v>
          </cell>
        </row>
        <row r="99">
          <cell r="N99">
            <v>3332</v>
          </cell>
          <cell r="O99">
            <v>964993.21000000008</v>
          </cell>
          <cell r="P99">
            <v>1232000</v>
          </cell>
          <cell r="Q99">
            <v>4360211.71</v>
          </cell>
          <cell r="R99">
            <v>1702495.78</v>
          </cell>
          <cell r="S99">
            <v>4801936.2</v>
          </cell>
        </row>
        <row r="100">
          <cell r="N100">
            <v>3341</v>
          </cell>
          <cell r="O100">
            <v>4307930.7</v>
          </cell>
          <cell r="P100">
            <v>3869700</v>
          </cell>
          <cell r="Q100">
            <v>5736360.4500000002</v>
          </cell>
          <cell r="R100">
            <v>4670330.24</v>
          </cell>
          <cell r="S100">
            <v>2053200</v>
          </cell>
        </row>
        <row r="101">
          <cell r="N101">
            <v>3352</v>
          </cell>
          <cell r="O101">
            <v>0</v>
          </cell>
          <cell r="P101">
            <v>0</v>
          </cell>
          <cell r="Q101">
            <v>25000.32</v>
          </cell>
          <cell r="R101">
            <v>25000</v>
          </cell>
          <cell r="S101">
            <v>0</v>
          </cell>
        </row>
        <row r="102">
          <cell r="N102">
            <v>3361</v>
          </cell>
          <cell r="O102">
            <v>816839.5</v>
          </cell>
          <cell r="P102">
            <v>1231280</v>
          </cell>
          <cell r="Q102">
            <v>1522861.04</v>
          </cell>
          <cell r="R102">
            <v>970899.04</v>
          </cell>
          <cell r="S102">
            <v>1470112.96</v>
          </cell>
        </row>
        <row r="103">
          <cell r="N103">
            <v>3381</v>
          </cell>
          <cell r="O103">
            <v>236421.53</v>
          </cell>
          <cell r="P103">
            <v>1065000</v>
          </cell>
          <cell r="Q103">
            <v>160245</v>
          </cell>
          <cell r="R103">
            <v>39269.599999999999</v>
          </cell>
          <cell r="S103">
            <v>14000</v>
          </cell>
        </row>
        <row r="104">
          <cell r="N104">
            <v>3391</v>
          </cell>
          <cell r="O104">
            <v>7458999.0500000007</v>
          </cell>
          <cell r="P104">
            <v>9016652.4800000004</v>
          </cell>
          <cell r="Q104">
            <v>5941540.1100000003</v>
          </cell>
          <cell r="R104">
            <v>3976793.87</v>
          </cell>
          <cell r="S104">
            <v>9088767</v>
          </cell>
        </row>
        <row r="105">
          <cell r="N105">
            <v>3411</v>
          </cell>
          <cell r="O105">
            <v>1316690.9600000002</v>
          </cell>
          <cell r="P105">
            <v>1800000</v>
          </cell>
          <cell r="Q105">
            <v>1700000</v>
          </cell>
          <cell r="R105">
            <v>1470857.2799999998</v>
          </cell>
          <cell r="S105">
            <v>1850562</v>
          </cell>
        </row>
        <row r="106">
          <cell r="N106">
            <v>3421</v>
          </cell>
          <cell r="O106">
            <v>7397835.3200000003</v>
          </cell>
          <cell r="P106">
            <v>7360000</v>
          </cell>
          <cell r="Q106">
            <v>6433000</v>
          </cell>
          <cell r="R106">
            <v>8358238.0199999996</v>
          </cell>
          <cell r="S106">
            <v>6650000</v>
          </cell>
        </row>
        <row r="107">
          <cell r="N107">
            <v>3431</v>
          </cell>
          <cell r="O107">
            <v>364578.28</v>
          </cell>
          <cell r="P107">
            <v>450000</v>
          </cell>
          <cell r="Q107">
            <v>420000</v>
          </cell>
          <cell r="R107">
            <v>150309.21</v>
          </cell>
          <cell r="S107">
            <v>440000</v>
          </cell>
        </row>
        <row r="108">
          <cell r="N108">
            <v>3441</v>
          </cell>
          <cell r="O108">
            <v>659464.68999999994</v>
          </cell>
          <cell r="P108">
            <v>850000</v>
          </cell>
          <cell r="Q108">
            <v>1350000</v>
          </cell>
          <cell r="R108">
            <v>1070056.22</v>
          </cell>
          <cell r="S108">
            <v>1458000</v>
          </cell>
        </row>
        <row r="109">
          <cell r="N109">
            <v>3451</v>
          </cell>
          <cell r="O109">
            <v>5906310.54</v>
          </cell>
          <cell r="P109">
            <v>6500000</v>
          </cell>
          <cell r="Q109">
            <v>11199905.92</v>
          </cell>
          <cell r="R109">
            <v>11188947.07</v>
          </cell>
          <cell r="S109">
            <v>11399887</v>
          </cell>
        </row>
        <row r="110">
          <cell r="N110">
            <v>3461</v>
          </cell>
          <cell r="O110">
            <v>134560</v>
          </cell>
          <cell r="P110">
            <v>201672</v>
          </cell>
          <cell r="Q110">
            <v>151672</v>
          </cell>
          <cell r="R110">
            <v>134096</v>
          </cell>
          <cell r="S110">
            <v>155000</v>
          </cell>
        </row>
        <row r="111">
          <cell r="N111">
            <v>3471</v>
          </cell>
          <cell r="O111">
            <v>114157.92</v>
          </cell>
          <cell r="P111">
            <v>35000</v>
          </cell>
          <cell r="Q111">
            <v>136471.12</v>
          </cell>
          <cell r="R111">
            <v>123365.3</v>
          </cell>
          <cell r="S111">
            <v>50000</v>
          </cell>
        </row>
        <row r="112">
          <cell r="N112">
            <v>3511</v>
          </cell>
          <cell r="O112">
            <v>2529211.8000000003</v>
          </cell>
          <cell r="P112">
            <v>11781140</v>
          </cell>
          <cell r="Q112">
            <v>5646096.21</v>
          </cell>
          <cell r="R112">
            <v>2873097.03</v>
          </cell>
          <cell r="S112">
            <v>10554339.92</v>
          </cell>
        </row>
        <row r="113">
          <cell r="N113">
            <v>3512</v>
          </cell>
          <cell r="O113">
            <v>166112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N114">
            <v>3513</v>
          </cell>
          <cell r="O114">
            <v>0</v>
          </cell>
          <cell r="P114">
            <v>1000000</v>
          </cell>
          <cell r="Q114">
            <v>1233170.24</v>
          </cell>
          <cell r="R114">
            <v>1203695.73</v>
          </cell>
          <cell r="S114">
            <v>1200000</v>
          </cell>
        </row>
        <row r="115">
          <cell r="N115">
            <v>3521</v>
          </cell>
          <cell r="O115">
            <v>75133.820000000007</v>
          </cell>
          <cell r="P115">
            <v>481311.3</v>
          </cell>
          <cell r="Q115">
            <v>488711.3</v>
          </cell>
          <cell r="R115">
            <v>457987.3</v>
          </cell>
          <cell r="S115">
            <v>45000</v>
          </cell>
        </row>
        <row r="116">
          <cell r="N116">
            <v>3522</v>
          </cell>
          <cell r="O116">
            <v>200000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N117">
            <v>3531</v>
          </cell>
          <cell r="O117">
            <v>618553.68000000005</v>
          </cell>
          <cell r="P117">
            <v>835000</v>
          </cell>
          <cell r="Q117">
            <v>320317.78000000003</v>
          </cell>
          <cell r="R117">
            <v>52701.919999999998</v>
          </cell>
          <cell r="S117">
            <v>115000</v>
          </cell>
        </row>
        <row r="118">
          <cell r="N118">
            <v>3551</v>
          </cell>
          <cell r="O118">
            <v>29510917.509999994</v>
          </cell>
          <cell r="P118">
            <v>33508600</v>
          </cell>
          <cell r="Q118">
            <v>35605597.899999999</v>
          </cell>
          <cell r="R118">
            <v>36581064.630000003</v>
          </cell>
          <cell r="S118">
            <v>36870000</v>
          </cell>
        </row>
        <row r="119">
          <cell r="N119">
            <v>3561</v>
          </cell>
          <cell r="O119">
            <v>709200.8</v>
          </cell>
          <cell r="P119">
            <v>750000</v>
          </cell>
          <cell r="Q119">
            <v>150000</v>
          </cell>
          <cell r="R119">
            <v>0</v>
          </cell>
          <cell r="S119">
            <v>50000</v>
          </cell>
        </row>
        <row r="120">
          <cell r="N120">
            <v>3571</v>
          </cell>
          <cell r="O120">
            <v>2855621.1699999995</v>
          </cell>
          <cell r="P120">
            <v>5410200</v>
          </cell>
          <cell r="Q120">
            <v>2412643.08</v>
          </cell>
          <cell r="R120">
            <v>1192213.8000000003</v>
          </cell>
          <cell r="S120">
            <v>2329450</v>
          </cell>
        </row>
        <row r="121">
          <cell r="N121">
            <v>3581</v>
          </cell>
          <cell r="O121">
            <v>4209760.82</v>
          </cell>
          <cell r="P121">
            <v>3710400</v>
          </cell>
          <cell r="Q121">
            <v>3191340.4400000004</v>
          </cell>
          <cell r="R121">
            <v>3183339.7800000003</v>
          </cell>
          <cell r="S121">
            <v>3364825.7199999997</v>
          </cell>
        </row>
        <row r="122">
          <cell r="N122">
            <v>3591</v>
          </cell>
          <cell r="O122">
            <v>8305.6</v>
          </cell>
          <cell r="P122">
            <v>27520</v>
          </cell>
          <cell r="Q122">
            <v>104200</v>
          </cell>
          <cell r="R122">
            <v>71626.64</v>
          </cell>
          <cell r="S122">
            <v>58560</v>
          </cell>
        </row>
        <row r="123">
          <cell r="N123">
            <v>3611</v>
          </cell>
          <cell r="O123">
            <v>7174674.2499999991</v>
          </cell>
          <cell r="P123">
            <v>10552545</v>
          </cell>
          <cell r="Q123">
            <v>10361166.09</v>
          </cell>
          <cell r="R123">
            <v>8844313.0399999991</v>
          </cell>
          <cell r="S123">
            <v>9429368</v>
          </cell>
        </row>
        <row r="124">
          <cell r="N124">
            <v>3612</v>
          </cell>
          <cell r="O124">
            <v>359456.97000000003</v>
          </cell>
          <cell r="P124">
            <v>595000</v>
          </cell>
          <cell r="Q124">
            <v>495000</v>
          </cell>
          <cell r="R124">
            <v>402130.43000000005</v>
          </cell>
          <cell r="S124">
            <v>435000</v>
          </cell>
        </row>
        <row r="125">
          <cell r="N125">
            <v>3631</v>
          </cell>
          <cell r="O125">
            <v>141520</v>
          </cell>
          <cell r="P125">
            <v>324000</v>
          </cell>
          <cell r="Q125">
            <v>0</v>
          </cell>
          <cell r="R125">
            <v>0</v>
          </cell>
          <cell r="S125">
            <v>100000</v>
          </cell>
        </row>
        <row r="126">
          <cell r="N126">
            <v>3661</v>
          </cell>
          <cell r="O126">
            <v>1030618.08</v>
          </cell>
          <cell r="P126">
            <v>1570000</v>
          </cell>
          <cell r="Q126">
            <v>1599000</v>
          </cell>
          <cell r="R126">
            <v>1518553.73</v>
          </cell>
          <cell r="S126">
            <v>1529000</v>
          </cell>
        </row>
        <row r="127">
          <cell r="N127">
            <v>3691</v>
          </cell>
          <cell r="O127">
            <v>157112</v>
          </cell>
          <cell r="P127">
            <v>145000</v>
          </cell>
          <cell r="Q127">
            <v>60000</v>
          </cell>
          <cell r="R127">
            <v>31219</v>
          </cell>
          <cell r="S127">
            <v>18000</v>
          </cell>
        </row>
        <row r="128">
          <cell r="N128">
            <v>3711</v>
          </cell>
          <cell r="O128">
            <v>5622.39</v>
          </cell>
          <cell r="P128">
            <v>30000</v>
          </cell>
          <cell r="Q128">
            <v>30000</v>
          </cell>
          <cell r="R128">
            <v>0</v>
          </cell>
          <cell r="S128">
            <v>30000</v>
          </cell>
        </row>
        <row r="129">
          <cell r="N129">
            <v>3712</v>
          </cell>
          <cell r="O129">
            <v>114252.20000000001</v>
          </cell>
          <cell r="P129">
            <v>190000</v>
          </cell>
          <cell r="Q129">
            <v>46721</v>
          </cell>
          <cell r="R129">
            <v>36720.99</v>
          </cell>
          <cell r="S129">
            <v>40000</v>
          </cell>
        </row>
        <row r="130">
          <cell r="N130">
            <v>3721</v>
          </cell>
          <cell r="O130">
            <v>5442.87</v>
          </cell>
          <cell r="P130">
            <v>36000</v>
          </cell>
          <cell r="Q130">
            <v>39000</v>
          </cell>
          <cell r="R130">
            <v>4679.95</v>
          </cell>
          <cell r="S130">
            <v>18000</v>
          </cell>
        </row>
        <row r="131">
          <cell r="N131">
            <v>3751</v>
          </cell>
          <cell r="O131">
            <v>139276.93000000002</v>
          </cell>
          <cell r="P131">
            <v>458000</v>
          </cell>
          <cell r="Q131">
            <v>422989.59</v>
          </cell>
          <cell r="R131">
            <v>97818.530000000013</v>
          </cell>
          <cell r="S131">
            <v>416500</v>
          </cell>
        </row>
        <row r="132">
          <cell r="N132">
            <v>3761</v>
          </cell>
          <cell r="O132">
            <v>161012.07</v>
          </cell>
          <cell r="P132">
            <v>265000</v>
          </cell>
          <cell r="Q132">
            <v>71804.320000000007</v>
          </cell>
          <cell r="R132">
            <v>71804.320000000007</v>
          </cell>
          <cell r="S132">
            <v>10000</v>
          </cell>
        </row>
        <row r="133">
          <cell r="N133">
            <v>3791</v>
          </cell>
          <cell r="O133">
            <v>157881.87</v>
          </cell>
          <cell r="P133">
            <v>311900</v>
          </cell>
          <cell r="Q133">
            <v>339096</v>
          </cell>
          <cell r="R133">
            <v>157610.23000000001</v>
          </cell>
          <cell r="S133">
            <v>335500</v>
          </cell>
        </row>
        <row r="134">
          <cell r="N134">
            <v>3821</v>
          </cell>
          <cell r="O134">
            <v>12085132.16</v>
          </cell>
          <cell r="P134">
            <v>12990000</v>
          </cell>
          <cell r="Q134">
            <v>8572748</v>
          </cell>
          <cell r="R134">
            <v>4502455.5599999996</v>
          </cell>
          <cell r="S134">
            <v>8139040</v>
          </cell>
        </row>
        <row r="135">
          <cell r="N135">
            <v>3831</v>
          </cell>
          <cell r="O135">
            <v>55449.120000000003</v>
          </cell>
          <cell r="P135">
            <v>770000</v>
          </cell>
          <cell r="Q135">
            <v>127800.56</v>
          </cell>
          <cell r="R135">
            <v>3150</v>
          </cell>
          <cell r="S135">
            <v>625000</v>
          </cell>
        </row>
        <row r="136">
          <cell r="N136">
            <v>3841</v>
          </cell>
          <cell r="O136">
            <v>179494.46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N137">
            <v>3852</v>
          </cell>
          <cell r="O137">
            <v>1188788.6400000004</v>
          </cell>
          <cell r="P137">
            <v>7230000</v>
          </cell>
          <cell r="Q137">
            <v>1634100</v>
          </cell>
          <cell r="R137">
            <v>1091978.1099999999</v>
          </cell>
          <cell r="S137">
            <v>7087500</v>
          </cell>
        </row>
        <row r="138">
          <cell r="N138">
            <v>3854</v>
          </cell>
          <cell r="O138">
            <v>1561083.21</v>
          </cell>
          <cell r="P138">
            <v>3200000</v>
          </cell>
          <cell r="Q138">
            <v>4849897.01</v>
          </cell>
          <cell r="R138">
            <v>3635411.59</v>
          </cell>
          <cell r="S138">
            <v>1000000</v>
          </cell>
        </row>
        <row r="139">
          <cell r="N139">
            <v>3921</v>
          </cell>
          <cell r="O139">
            <v>3252623.8499999987</v>
          </cell>
          <cell r="P139">
            <v>3497720</v>
          </cell>
          <cell r="Q139">
            <v>3374498</v>
          </cell>
          <cell r="R139">
            <v>3131981.600000001</v>
          </cell>
          <cell r="S139">
            <v>3624764.4000000004</v>
          </cell>
        </row>
        <row r="140">
          <cell r="N140">
            <v>3941</v>
          </cell>
          <cell r="O140">
            <v>313494</v>
          </cell>
          <cell r="P140">
            <v>550000</v>
          </cell>
          <cell r="Q140">
            <v>550000</v>
          </cell>
          <cell r="R140">
            <v>0</v>
          </cell>
          <cell r="S140">
            <v>550000</v>
          </cell>
        </row>
        <row r="141">
          <cell r="N141">
            <v>3951</v>
          </cell>
          <cell r="O141">
            <v>105745.79999999999</v>
          </cell>
          <cell r="P141">
            <v>320000</v>
          </cell>
          <cell r="Q141">
            <v>320000</v>
          </cell>
          <cell r="R141">
            <v>75286.89</v>
          </cell>
          <cell r="S141">
            <v>420000</v>
          </cell>
        </row>
        <row r="142">
          <cell r="N142">
            <v>3961</v>
          </cell>
          <cell r="O142">
            <v>5093176.49</v>
          </cell>
          <cell r="P142">
            <v>4617870.66</v>
          </cell>
          <cell r="Q142">
            <v>6527144.0800000001</v>
          </cell>
          <cell r="R142">
            <v>4410262.66</v>
          </cell>
          <cell r="S142">
            <v>9091000</v>
          </cell>
        </row>
        <row r="143">
          <cell r="N143">
            <v>3981</v>
          </cell>
          <cell r="O143">
            <v>9507520</v>
          </cell>
          <cell r="P143">
            <v>10867858</v>
          </cell>
          <cell r="Q143">
            <v>10867858</v>
          </cell>
          <cell r="R143">
            <v>11407338</v>
          </cell>
          <cell r="S143">
            <v>11954643.800000001</v>
          </cell>
        </row>
        <row r="144">
          <cell r="N144">
            <v>4151</v>
          </cell>
          <cell r="O144">
            <v>97364801.459999993</v>
          </cell>
          <cell r="P144">
            <v>122588840.12</v>
          </cell>
          <cell r="Q144">
            <v>118209633.27</v>
          </cell>
          <cell r="R144">
            <v>114526076.3</v>
          </cell>
          <cell r="S144">
            <v>121093209.65000001</v>
          </cell>
        </row>
        <row r="145">
          <cell r="N145">
            <v>4152</v>
          </cell>
          <cell r="O145">
            <v>3141355.7</v>
          </cell>
          <cell r="P145">
            <v>100000</v>
          </cell>
          <cell r="Q145">
            <v>469458</v>
          </cell>
          <cell r="R145">
            <v>99278.52</v>
          </cell>
          <cell r="S145">
            <v>0</v>
          </cell>
        </row>
        <row r="146">
          <cell r="N146">
            <v>4153</v>
          </cell>
          <cell r="O146">
            <v>17807059.84</v>
          </cell>
          <cell r="P146">
            <v>5991077</v>
          </cell>
          <cell r="Q146">
            <v>15781238.57</v>
          </cell>
          <cell r="R146">
            <v>14941645.52</v>
          </cell>
          <cell r="S146">
            <v>5780000</v>
          </cell>
        </row>
        <row r="147">
          <cell r="N147">
            <v>4154</v>
          </cell>
          <cell r="O147">
            <v>3181095.28</v>
          </cell>
          <cell r="P147">
            <v>1000000</v>
          </cell>
          <cell r="Q147">
            <v>4500000</v>
          </cell>
          <cell r="R147">
            <v>4590500</v>
          </cell>
          <cell r="S147">
            <v>1000000</v>
          </cell>
        </row>
        <row r="148">
          <cell r="N148">
            <v>4155</v>
          </cell>
          <cell r="O148">
            <v>286655.57999999996</v>
          </cell>
          <cell r="P148">
            <v>80000</v>
          </cell>
          <cell r="Q148">
            <v>168199</v>
          </cell>
          <cell r="R148">
            <v>280000</v>
          </cell>
          <cell r="S148">
            <v>100000</v>
          </cell>
        </row>
        <row r="149">
          <cell r="N149">
            <v>4156</v>
          </cell>
          <cell r="O149">
            <v>20904955.439999998</v>
          </cell>
          <cell r="P149">
            <v>465868.93</v>
          </cell>
          <cell r="Q149">
            <v>15101189.060000001</v>
          </cell>
          <cell r="R149">
            <v>3977500</v>
          </cell>
          <cell r="S149">
            <v>9455135.6500000004</v>
          </cell>
        </row>
        <row r="150">
          <cell r="N150">
            <v>4321</v>
          </cell>
          <cell r="O150">
            <v>424039.23000000004</v>
          </cell>
          <cell r="P150">
            <v>1880000</v>
          </cell>
          <cell r="Q150">
            <v>630000</v>
          </cell>
          <cell r="R150">
            <v>339200</v>
          </cell>
          <cell r="S150">
            <v>828800</v>
          </cell>
        </row>
        <row r="151">
          <cell r="N151">
            <v>4331</v>
          </cell>
          <cell r="O151">
            <v>1435640.08</v>
          </cell>
          <cell r="P151">
            <v>1955000</v>
          </cell>
          <cell r="Q151">
            <v>3434279</v>
          </cell>
          <cell r="R151">
            <v>2778646.34</v>
          </cell>
          <cell r="S151">
            <v>2510000</v>
          </cell>
        </row>
        <row r="152">
          <cell r="N152">
            <v>4341</v>
          </cell>
          <cell r="O152">
            <v>3007333</v>
          </cell>
          <cell r="P152">
            <v>924000</v>
          </cell>
          <cell r="Q152">
            <v>1240824</v>
          </cell>
          <cell r="R152">
            <v>1091063.8799999999</v>
          </cell>
          <cell r="S152">
            <v>1268796.48</v>
          </cell>
        </row>
        <row r="153">
          <cell r="N153">
            <v>4391</v>
          </cell>
          <cell r="O153">
            <v>5555075.1699999999</v>
          </cell>
          <cell r="P153">
            <v>9000000</v>
          </cell>
          <cell r="Q153">
            <v>7114262.79</v>
          </cell>
          <cell r="R153">
            <v>5940960.3799999999</v>
          </cell>
          <cell r="S153">
            <v>7576689.8700000001</v>
          </cell>
        </row>
        <row r="154">
          <cell r="N154">
            <v>4411</v>
          </cell>
          <cell r="O154">
            <v>13802688.49</v>
          </cell>
          <cell r="P154">
            <v>19285000</v>
          </cell>
          <cell r="Q154">
            <v>23705912.5</v>
          </cell>
          <cell r="R154">
            <v>22451439.539999995</v>
          </cell>
          <cell r="S154">
            <v>18182062</v>
          </cell>
        </row>
        <row r="155">
          <cell r="N155">
            <v>4413</v>
          </cell>
          <cell r="O155">
            <v>419000</v>
          </cell>
          <cell r="P155">
            <v>600000</v>
          </cell>
          <cell r="Q155">
            <v>600000</v>
          </cell>
          <cell r="R155">
            <v>461000</v>
          </cell>
          <cell r="S155">
            <v>640000</v>
          </cell>
        </row>
        <row r="156">
          <cell r="N156">
            <v>4421</v>
          </cell>
          <cell r="O156">
            <v>7778201.96</v>
          </cell>
          <cell r="P156">
            <v>8000000</v>
          </cell>
          <cell r="Q156">
            <v>4808800</v>
          </cell>
          <cell r="R156">
            <v>4801600</v>
          </cell>
          <cell r="S156">
            <v>8000000</v>
          </cell>
        </row>
        <row r="157">
          <cell r="N157">
            <v>4431</v>
          </cell>
          <cell r="O157">
            <v>4193118.3</v>
          </cell>
          <cell r="P157">
            <v>4624000</v>
          </cell>
          <cell r="Q157">
            <v>4673380</v>
          </cell>
          <cell r="R157">
            <v>4487804.17</v>
          </cell>
          <cell r="S157">
            <v>4624000</v>
          </cell>
        </row>
        <row r="158">
          <cell r="N158">
            <v>4451</v>
          </cell>
          <cell r="O158">
            <v>6820223.8799999999</v>
          </cell>
          <cell r="P158">
            <v>7088224</v>
          </cell>
          <cell r="Q158">
            <v>7095530.96</v>
          </cell>
          <cell r="R158">
            <v>7036634.8499999996</v>
          </cell>
          <cell r="S158">
            <v>7113998.3600000003</v>
          </cell>
        </row>
        <row r="159">
          <cell r="N159">
            <v>4481</v>
          </cell>
          <cell r="O159">
            <v>586513.27</v>
          </cell>
          <cell r="P159">
            <v>1000000</v>
          </cell>
          <cell r="Q159">
            <v>6065259.9400000004</v>
          </cell>
          <cell r="R159">
            <v>3836967.99</v>
          </cell>
          <cell r="S159">
            <v>1500000</v>
          </cell>
        </row>
        <row r="160">
          <cell r="N160">
            <v>4511</v>
          </cell>
          <cell r="O160">
            <v>52513722.5</v>
          </cell>
          <cell r="P160">
            <v>62146965.560000002</v>
          </cell>
          <cell r="Q160">
            <v>62684500.560000002</v>
          </cell>
          <cell r="R160">
            <v>63851035.399999999</v>
          </cell>
          <cell r="S160">
            <v>70825136.839999989</v>
          </cell>
        </row>
        <row r="161">
          <cell r="N161">
            <v>5111</v>
          </cell>
          <cell r="O161">
            <v>190458.74</v>
          </cell>
          <cell r="P161">
            <v>750597.8</v>
          </cell>
          <cell r="Q161">
            <v>710436.19000000006</v>
          </cell>
          <cell r="R161">
            <v>404727.65</v>
          </cell>
          <cell r="S161">
            <v>657000</v>
          </cell>
        </row>
        <row r="162">
          <cell r="N162">
            <v>5151</v>
          </cell>
          <cell r="O162">
            <v>3222983.6500000004</v>
          </cell>
          <cell r="P162">
            <v>4854309</v>
          </cell>
          <cell r="Q162">
            <v>7647342.1000000006</v>
          </cell>
          <cell r="R162">
            <v>6816143.0599999996</v>
          </cell>
          <cell r="S162">
            <v>1717000</v>
          </cell>
        </row>
        <row r="163">
          <cell r="N163">
            <v>5191</v>
          </cell>
          <cell r="O163">
            <v>440119.51999999996</v>
          </cell>
          <cell r="P163">
            <v>403160</v>
          </cell>
          <cell r="Q163">
            <v>458909</v>
          </cell>
          <cell r="R163">
            <v>363772</v>
          </cell>
          <cell r="S163">
            <v>128000</v>
          </cell>
        </row>
        <row r="164">
          <cell r="N164">
            <v>5192</v>
          </cell>
          <cell r="O164">
            <v>0</v>
          </cell>
          <cell r="P164">
            <v>18000</v>
          </cell>
          <cell r="Q164">
            <v>18000</v>
          </cell>
          <cell r="R164">
            <v>12000.98</v>
          </cell>
          <cell r="S164">
            <v>0</v>
          </cell>
        </row>
        <row r="165">
          <cell r="N165">
            <v>5211</v>
          </cell>
          <cell r="O165">
            <v>425164.77999999997</v>
          </cell>
          <cell r="P165">
            <v>280598</v>
          </cell>
          <cell r="Q165">
            <v>409103.39999999997</v>
          </cell>
          <cell r="R165">
            <v>401997.36</v>
          </cell>
          <cell r="S165">
            <v>55000</v>
          </cell>
        </row>
        <row r="166">
          <cell r="N166">
            <v>5231</v>
          </cell>
          <cell r="O166">
            <v>157004.68</v>
          </cell>
          <cell r="P166">
            <v>730187.5</v>
          </cell>
          <cell r="Q166">
            <v>864787.5</v>
          </cell>
          <cell r="R166">
            <v>848410.13</v>
          </cell>
          <cell r="S166">
            <v>0</v>
          </cell>
        </row>
        <row r="167">
          <cell r="N167">
            <v>5291</v>
          </cell>
          <cell r="O167">
            <v>0</v>
          </cell>
          <cell r="P167">
            <v>0</v>
          </cell>
          <cell r="Q167">
            <v>25000</v>
          </cell>
          <cell r="R167">
            <v>24348</v>
          </cell>
          <cell r="S167">
            <v>0</v>
          </cell>
        </row>
        <row r="168">
          <cell r="N168">
            <v>5311</v>
          </cell>
          <cell r="O168">
            <v>0</v>
          </cell>
          <cell r="P168">
            <v>20000</v>
          </cell>
          <cell r="Q168">
            <v>20000</v>
          </cell>
          <cell r="R168">
            <v>0</v>
          </cell>
          <cell r="S168">
            <v>20000</v>
          </cell>
        </row>
        <row r="169">
          <cell r="N169">
            <v>5321</v>
          </cell>
          <cell r="O169">
            <v>14503.03</v>
          </cell>
          <cell r="P169">
            <v>13103</v>
          </cell>
          <cell r="Q169">
            <v>13103</v>
          </cell>
          <cell r="R169">
            <v>0</v>
          </cell>
          <cell r="S169">
            <v>15000</v>
          </cell>
        </row>
        <row r="170">
          <cell r="N170">
            <v>5411</v>
          </cell>
          <cell r="O170">
            <v>34791226.159999996</v>
          </cell>
          <cell r="P170">
            <v>18270000</v>
          </cell>
          <cell r="Q170">
            <v>92574110</v>
          </cell>
          <cell r="R170">
            <v>89367055.080000013</v>
          </cell>
          <cell r="S170">
            <v>13919453</v>
          </cell>
        </row>
        <row r="171">
          <cell r="N171">
            <v>5421</v>
          </cell>
          <cell r="O171">
            <v>280000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N172">
            <v>5491</v>
          </cell>
          <cell r="O172">
            <v>220900</v>
          </cell>
          <cell r="P172">
            <v>1522400</v>
          </cell>
          <cell r="Q172">
            <v>6412882.7199999997</v>
          </cell>
          <cell r="R172">
            <v>6287000</v>
          </cell>
          <cell r="S172">
            <v>95000</v>
          </cell>
        </row>
        <row r="173">
          <cell r="N173">
            <v>5511</v>
          </cell>
          <cell r="O173">
            <v>0</v>
          </cell>
          <cell r="P173">
            <v>0</v>
          </cell>
          <cell r="Q173">
            <v>11237770</v>
          </cell>
          <cell r="R173">
            <v>11131390.390000001</v>
          </cell>
          <cell r="S173">
            <v>0</v>
          </cell>
        </row>
        <row r="174">
          <cell r="N174">
            <v>5611</v>
          </cell>
          <cell r="O174">
            <v>1511785.3599999999</v>
          </cell>
          <cell r="P174">
            <v>289542.28000000003</v>
          </cell>
          <cell r="Q174">
            <v>205559.28</v>
          </cell>
          <cell r="R174">
            <v>205559.28</v>
          </cell>
          <cell r="S174">
            <v>0</v>
          </cell>
        </row>
        <row r="175">
          <cell r="N175">
            <v>5631</v>
          </cell>
          <cell r="O175">
            <v>9096746</v>
          </cell>
          <cell r="P175">
            <v>3479172.2800000003</v>
          </cell>
          <cell r="Q175">
            <v>1472607</v>
          </cell>
          <cell r="R175">
            <v>1464937</v>
          </cell>
          <cell r="S175">
            <v>2340477.52</v>
          </cell>
        </row>
        <row r="176">
          <cell r="N176">
            <v>5641</v>
          </cell>
          <cell r="O176">
            <v>78022.64</v>
          </cell>
          <cell r="P176">
            <v>340000</v>
          </cell>
          <cell r="Q176">
            <v>146660</v>
          </cell>
          <cell r="R176">
            <v>109310.23</v>
          </cell>
          <cell r="S176">
            <v>276000</v>
          </cell>
        </row>
        <row r="177">
          <cell r="N177">
            <v>5651</v>
          </cell>
          <cell r="O177">
            <v>2170291.63</v>
          </cell>
          <cell r="P177">
            <v>2330838.3199999998</v>
          </cell>
          <cell r="Q177">
            <v>5756134.3200000003</v>
          </cell>
          <cell r="R177">
            <v>5499433.8200000003</v>
          </cell>
          <cell r="S177">
            <v>90000</v>
          </cell>
        </row>
        <row r="178">
          <cell r="N178">
            <v>5661</v>
          </cell>
          <cell r="O178">
            <v>0</v>
          </cell>
          <cell r="P178">
            <v>300000</v>
          </cell>
          <cell r="Q178">
            <v>280000</v>
          </cell>
          <cell r="R178">
            <v>222386.4</v>
          </cell>
          <cell r="S178">
            <v>0</v>
          </cell>
        </row>
        <row r="179">
          <cell r="N179">
            <v>5662</v>
          </cell>
          <cell r="O179">
            <v>0</v>
          </cell>
          <cell r="P179">
            <v>7000</v>
          </cell>
          <cell r="Q179">
            <v>7000</v>
          </cell>
          <cell r="R179">
            <v>0</v>
          </cell>
          <cell r="S179">
            <v>7000</v>
          </cell>
        </row>
        <row r="180">
          <cell r="N180">
            <v>5663</v>
          </cell>
          <cell r="O180">
            <v>0</v>
          </cell>
          <cell r="P180">
            <v>0</v>
          </cell>
          <cell r="Q180">
            <v>274006.53999999998</v>
          </cell>
          <cell r="R180">
            <v>0</v>
          </cell>
          <cell r="S180">
            <v>274007</v>
          </cell>
        </row>
        <row r="181">
          <cell r="N181">
            <v>5671</v>
          </cell>
          <cell r="O181">
            <v>266449.17000000004</v>
          </cell>
          <cell r="P181">
            <v>371000</v>
          </cell>
          <cell r="Q181">
            <v>475350</v>
          </cell>
          <cell r="R181">
            <v>295655.33999999997</v>
          </cell>
          <cell r="S181">
            <v>448875.32</v>
          </cell>
        </row>
        <row r="182">
          <cell r="N182">
            <v>5691</v>
          </cell>
          <cell r="O182">
            <v>1820767.4900000002</v>
          </cell>
          <cell r="P182">
            <v>6708984.6500000004</v>
          </cell>
          <cell r="Q182">
            <v>6802250.8599999994</v>
          </cell>
          <cell r="R182">
            <v>6288916.71</v>
          </cell>
          <cell r="S182">
            <v>1448839</v>
          </cell>
        </row>
        <row r="183">
          <cell r="N183">
            <v>5811</v>
          </cell>
          <cell r="O183">
            <v>14553976.640000001</v>
          </cell>
          <cell r="P183">
            <v>5000000</v>
          </cell>
          <cell r="Q183">
            <v>3000000</v>
          </cell>
          <cell r="R183">
            <v>0</v>
          </cell>
          <cell r="S183">
            <v>1000000</v>
          </cell>
        </row>
        <row r="184">
          <cell r="N184">
            <v>5911</v>
          </cell>
          <cell r="O184">
            <v>26601.119999999999</v>
          </cell>
          <cell r="P184">
            <v>450000</v>
          </cell>
          <cell r="Q184">
            <v>45588</v>
          </cell>
          <cell r="R184">
            <v>15080</v>
          </cell>
          <cell r="S184">
            <v>342680</v>
          </cell>
        </row>
        <row r="185">
          <cell r="N185">
            <v>5921</v>
          </cell>
          <cell r="O185">
            <v>0</v>
          </cell>
          <cell r="P185">
            <v>10000</v>
          </cell>
          <cell r="Q185">
            <v>10000</v>
          </cell>
          <cell r="R185">
            <v>0</v>
          </cell>
          <cell r="S185">
            <v>5000</v>
          </cell>
        </row>
        <row r="186">
          <cell r="N186">
            <v>5971</v>
          </cell>
          <cell r="O186">
            <v>813824.89999999991</v>
          </cell>
          <cell r="P186">
            <v>4225657</v>
          </cell>
          <cell r="Q186">
            <v>2723679.16</v>
          </cell>
          <cell r="R186">
            <v>1773839.8599999999</v>
          </cell>
          <cell r="S186">
            <v>2276500</v>
          </cell>
        </row>
        <row r="187">
          <cell r="N187">
            <v>6111</v>
          </cell>
          <cell r="O187">
            <v>36868671.509999998</v>
          </cell>
          <cell r="P187">
            <v>29463.759999999998</v>
          </cell>
          <cell r="Q187">
            <v>37652509.210000001</v>
          </cell>
          <cell r="R187">
            <v>41741672.189999998</v>
          </cell>
          <cell r="S187">
            <v>7488860.1500000004</v>
          </cell>
        </row>
        <row r="188">
          <cell r="N188">
            <v>6121</v>
          </cell>
          <cell r="O188">
            <v>43772076.870000005</v>
          </cell>
          <cell r="P188">
            <v>12933149.060000001</v>
          </cell>
          <cell r="Q188">
            <v>131011059.68999998</v>
          </cell>
          <cell r="R188">
            <v>100765940.98</v>
          </cell>
          <cell r="S188">
            <v>72434336.000000015</v>
          </cell>
        </row>
        <row r="189">
          <cell r="N189">
            <v>6131</v>
          </cell>
          <cell r="O189">
            <v>46532104.869999997</v>
          </cell>
          <cell r="P189">
            <v>74794398.620000005</v>
          </cell>
          <cell r="Q189">
            <v>137027363.40999997</v>
          </cell>
          <cell r="R189">
            <v>81344344.209999993</v>
          </cell>
          <cell r="S189">
            <v>123824291.65999998</v>
          </cell>
        </row>
        <row r="190">
          <cell r="N190">
            <v>6141</v>
          </cell>
          <cell r="O190">
            <v>162697442.11000001</v>
          </cell>
          <cell r="P190">
            <v>233030875.31999999</v>
          </cell>
          <cell r="Q190">
            <v>238564344.42000002</v>
          </cell>
          <cell r="R190">
            <v>180048472.25999999</v>
          </cell>
          <cell r="S190">
            <v>217206311.36000004</v>
          </cell>
        </row>
        <row r="191">
          <cell r="N191">
            <v>6221</v>
          </cell>
          <cell r="O191">
            <v>14403783.739999998</v>
          </cell>
          <cell r="P191">
            <v>8602559.0999999996</v>
          </cell>
          <cell r="Q191">
            <v>14837847.029999999</v>
          </cell>
          <cell r="R191">
            <v>2463375.54</v>
          </cell>
          <cell r="S191">
            <v>10518300.76</v>
          </cell>
        </row>
        <row r="192">
          <cell r="N192">
            <v>7993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100000</v>
          </cell>
        </row>
        <row r="193">
          <cell r="N193">
            <v>8531</v>
          </cell>
          <cell r="O193">
            <v>0</v>
          </cell>
          <cell r="P193">
            <v>0</v>
          </cell>
          <cell r="Q193">
            <v>0</v>
          </cell>
          <cell r="R193">
            <v>29232562.77</v>
          </cell>
          <cell r="S193">
            <v>0</v>
          </cell>
        </row>
        <row r="194">
          <cell r="N194">
            <v>9111</v>
          </cell>
          <cell r="O194">
            <v>27244249.349999998</v>
          </cell>
          <cell r="P194">
            <v>23536625.920000002</v>
          </cell>
          <cell r="Q194">
            <v>23536625.920000002</v>
          </cell>
          <cell r="R194">
            <v>23536625.879999999</v>
          </cell>
          <cell r="S194">
            <v>23536625.920000002</v>
          </cell>
        </row>
        <row r="195">
          <cell r="N195">
            <v>9211</v>
          </cell>
          <cell r="O195">
            <v>25603050.600000001</v>
          </cell>
          <cell r="P195">
            <v>21040806.780000001</v>
          </cell>
          <cell r="Q195">
            <v>19025622.539999999</v>
          </cell>
          <cell r="R195">
            <v>16959920.239999998</v>
          </cell>
          <cell r="S195">
            <v>12181726</v>
          </cell>
        </row>
        <row r="196">
          <cell r="N196" t="str">
            <v>31111-0101</v>
          </cell>
          <cell r="O196">
            <v>9619946.3500000015</v>
          </cell>
          <cell r="P196">
            <v>11396212.42</v>
          </cell>
          <cell r="Q196">
            <v>9284033.1799999997</v>
          </cell>
          <cell r="R196">
            <v>8970898.5399999991</v>
          </cell>
          <cell r="S196">
            <v>10399352.41</v>
          </cell>
        </row>
        <row r="197">
          <cell r="N197" t="str">
            <v>31111-0102</v>
          </cell>
          <cell r="O197">
            <v>17447572.919999998</v>
          </cell>
          <cell r="P197">
            <v>18988266.020000003</v>
          </cell>
          <cell r="Q197">
            <v>18820456.619999997</v>
          </cell>
          <cell r="R197">
            <v>19070235.980000004</v>
          </cell>
          <cell r="S197">
            <v>20244636.600000001</v>
          </cell>
        </row>
        <row r="198">
          <cell r="N198" t="str">
            <v>31111-0145</v>
          </cell>
          <cell r="O198">
            <v>1634936.1500000001</v>
          </cell>
          <cell r="P198">
            <v>2062552.1699999997</v>
          </cell>
          <cell r="Q198">
            <v>1719145.53</v>
          </cell>
          <cell r="R198">
            <v>1546278.7899999996</v>
          </cell>
          <cell r="S198">
            <v>1678750.1000000003</v>
          </cell>
        </row>
        <row r="199">
          <cell r="N199" t="str">
            <v>31111-0147</v>
          </cell>
          <cell r="O199">
            <v>451081.13</v>
          </cell>
          <cell r="P199">
            <v>459121</v>
          </cell>
          <cell r="Q199">
            <v>455916.83</v>
          </cell>
          <cell r="R199">
            <v>454746.18</v>
          </cell>
          <cell r="S199">
            <v>458712.7</v>
          </cell>
        </row>
        <row r="200">
          <cell r="N200" t="str">
            <v>31111-0148</v>
          </cell>
          <cell r="O200">
            <v>444999.24</v>
          </cell>
          <cell r="P200">
            <v>459121</v>
          </cell>
          <cell r="Q200">
            <v>455925.20999999996</v>
          </cell>
          <cell r="R200">
            <v>429406.32999999996</v>
          </cell>
          <cell r="S200">
            <v>458721.5</v>
          </cell>
        </row>
        <row r="201">
          <cell r="N201" t="str">
            <v>31111-0149</v>
          </cell>
          <cell r="O201">
            <v>443471.41000000003</v>
          </cell>
          <cell r="P201">
            <v>453210</v>
          </cell>
          <cell r="Q201">
            <v>450333.92</v>
          </cell>
          <cell r="R201">
            <v>447353.52999999997</v>
          </cell>
          <cell r="S201">
            <v>452850.7</v>
          </cell>
        </row>
        <row r="202">
          <cell r="N202" t="str">
            <v>31111-0150</v>
          </cell>
          <cell r="O202">
            <v>440951.09</v>
          </cell>
          <cell r="P202">
            <v>453210</v>
          </cell>
          <cell r="Q202">
            <v>450333.92</v>
          </cell>
          <cell r="R202">
            <v>449623.49</v>
          </cell>
          <cell r="S202">
            <v>452850.7</v>
          </cell>
        </row>
        <row r="203">
          <cell r="N203" t="str">
            <v>31111-0151</v>
          </cell>
          <cell r="O203">
            <v>446987.37999999995</v>
          </cell>
          <cell r="P203">
            <v>453210</v>
          </cell>
          <cell r="Q203">
            <v>450333.92</v>
          </cell>
          <cell r="R203">
            <v>448015.47000000003</v>
          </cell>
          <cell r="S203">
            <v>452850.7</v>
          </cell>
        </row>
        <row r="204">
          <cell r="N204" t="str">
            <v>31111-0152</v>
          </cell>
          <cell r="O204">
            <v>445853.13</v>
          </cell>
          <cell r="P204">
            <v>453210</v>
          </cell>
          <cell r="Q204">
            <v>450333.92</v>
          </cell>
          <cell r="R204">
            <v>446500.54</v>
          </cell>
          <cell r="S204">
            <v>452850.7</v>
          </cell>
        </row>
        <row r="205">
          <cell r="N205" t="str">
            <v>31111-0153</v>
          </cell>
          <cell r="O205">
            <v>441172.14</v>
          </cell>
          <cell r="P205">
            <v>453210</v>
          </cell>
          <cell r="Q205">
            <v>450333.92</v>
          </cell>
          <cell r="R205">
            <v>443205.79</v>
          </cell>
          <cell r="S205">
            <v>452850.7</v>
          </cell>
        </row>
        <row r="206">
          <cell r="N206" t="str">
            <v>31111-0154</v>
          </cell>
          <cell r="O206">
            <v>436840.79000000004</v>
          </cell>
          <cell r="P206">
            <v>453210</v>
          </cell>
          <cell r="Q206">
            <v>450333.92</v>
          </cell>
          <cell r="R206">
            <v>438161.6</v>
          </cell>
          <cell r="S206">
            <v>452850.7</v>
          </cell>
        </row>
        <row r="207">
          <cell r="N207" t="str">
            <v>31111-0155</v>
          </cell>
          <cell r="O207">
            <v>393472.29000000004</v>
          </cell>
          <cell r="P207">
            <v>453210</v>
          </cell>
          <cell r="Q207">
            <v>454466.11</v>
          </cell>
          <cell r="R207">
            <v>447411.78</v>
          </cell>
          <cell r="S207">
            <v>452850.7</v>
          </cell>
        </row>
        <row r="208">
          <cell r="N208" t="str">
            <v>31111-0156</v>
          </cell>
          <cell r="O208">
            <v>398965.69</v>
          </cell>
          <cell r="P208">
            <v>400000</v>
          </cell>
          <cell r="Q208">
            <v>400000</v>
          </cell>
          <cell r="R208">
            <v>398253.59</v>
          </cell>
          <cell r="S208">
            <v>400000</v>
          </cell>
        </row>
        <row r="209">
          <cell r="N209" t="str">
            <v>31111-0157</v>
          </cell>
          <cell r="O209">
            <v>396934.11</v>
          </cell>
          <cell r="P209">
            <v>400000</v>
          </cell>
          <cell r="Q209">
            <v>400000</v>
          </cell>
          <cell r="R209">
            <v>399300.28</v>
          </cell>
          <cell r="S209">
            <v>400000</v>
          </cell>
        </row>
        <row r="210">
          <cell r="N210" t="str">
            <v>31111-0158</v>
          </cell>
          <cell r="O210">
            <v>444537.29000000004</v>
          </cell>
          <cell r="P210">
            <v>453210</v>
          </cell>
          <cell r="Q210">
            <v>450333.92</v>
          </cell>
          <cell r="R210">
            <v>450160.56</v>
          </cell>
          <cell r="S210">
            <v>452850.7</v>
          </cell>
        </row>
        <row r="211">
          <cell r="N211" t="str">
            <v>31111-0159</v>
          </cell>
          <cell r="O211">
            <v>399999.6</v>
          </cell>
          <cell r="P211">
            <v>400000</v>
          </cell>
          <cell r="Q211">
            <v>400000</v>
          </cell>
          <cell r="R211">
            <v>398999.8</v>
          </cell>
          <cell r="S211">
            <v>400000</v>
          </cell>
        </row>
        <row r="212">
          <cell r="N212" t="str">
            <v>31111-0160</v>
          </cell>
          <cell r="O212">
            <v>437699.63</v>
          </cell>
          <cell r="P212">
            <v>453210</v>
          </cell>
          <cell r="Q212">
            <v>450333.92</v>
          </cell>
          <cell r="R212">
            <v>450001.64</v>
          </cell>
          <cell r="S212">
            <v>452850.7</v>
          </cell>
        </row>
        <row r="213">
          <cell r="N213" t="str">
            <v>31111-0201</v>
          </cell>
          <cell r="O213">
            <v>8230900.5999999996</v>
          </cell>
          <cell r="P213">
            <v>12117307.43</v>
          </cell>
          <cell r="Q213">
            <v>11201175.609999999</v>
          </cell>
          <cell r="R213">
            <v>9790612.4100000001</v>
          </cell>
          <cell r="S213">
            <v>12071711</v>
          </cell>
        </row>
        <row r="214">
          <cell r="N214" t="str">
            <v>31111-0301</v>
          </cell>
          <cell r="O214">
            <v>16625190.269999996</v>
          </cell>
          <cell r="P214">
            <v>19725301.259999998</v>
          </cell>
          <cell r="Q214">
            <v>21685118.130000003</v>
          </cell>
          <cell r="R214">
            <v>21502741.119999994</v>
          </cell>
          <cell r="S214">
            <v>21465635.5</v>
          </cell>
        </row>
        <row r="215">
          <cell r="N215" t="str">
            <v>31111-0302</v>
          </cell>
          <cell r="O215">
            <v>3396410.8600000003</v>
          </cell>
          <cell r="P215">
            <v>4076349.7599999993</v>
          </cell>
          <cell r="Q215">
            <v>3849777.7899999996</v>
          </cell>
          <cell r="R215">
            <v>3696210.919999999</v>
          </cell>
          <cell r="S215">
            <v>3545375.2</v>
          </cell>
        </row>
        <row r="216">
          <cell r="N216" t="str">
            <v>31111-0303</v>
          </cell>
          <cell r="O216">
            <v>15188874.199999999</v>
          </cell>
          <cell r="P216">
            <v>16473122.770000001</v>
          </cell>
          <cell r="Q216">
            <v>16682231.189999999</v>
          </cell>
          <cell r="R216">
            <v>16534218.350000001</v>
          </cell>
          <cell r="S216">
            <v>16736141</v>
          </cell>
        </row>
        <row r="217">
          <cell r="N217" t="str">
            <v>31111-0304</v>
          </cell>
          <cell r="O217">
            <v>6666857.25</v>
          </cell>
          <cell r="P217">
            <v>7691185.2199999997</v>
          </cell>
          <cell r="Q217">
            <v>9333223.9700000007</v>
          </cell>
          <cell r="R217">
            <v>6616783.3499999996</v>
          </cell>
          <cell r="S217">
            <v>9751509.3000000007</v>
          </cell>
        </row>
        <row r="218">
          <cell r="N218" t="str">
            <v>31111-0305</v>
          </cell>
          <cell r="O218">
            <v>4325159.03</v>
          </cell>
          <cell r="P218">
            <v>3059998.6799999997</v>
          </cell>
          <cell r="Q218">
            <v>2971298.07</v>
          </cell>
          <cell r="R218">
            <v>2881627.84</v>
          </cell>
          <cell r="S218">
            <v>11386886.699999999</v>
          </cell>
        </row>
        <row r="219">
          <cell r="N219" t="str">
            <v>31111-0307</v>
          </cell>
          <cell r="O219">
            <v>1480216.6899999997</v>
          </cell>
          <cell r="P219">
            <v>1784896.7399999998</v>
          </cell>
          <cell r="Q219">
            <v>1573006.1099999999</v>
          </cell>
          <cell r="R219">
            <v>1604741.21</v>
          </cell>
          <cell r="S219">
            <v>1652160.2999999996</v>
          </cell>
        </row>
        <row r="220">
          <cell r="N220" t="str">
            <v>31111-0308</v>
          </cell>
          <cell r="O220">
            <v>2828030</v>
          </cell>
          <cell r="P220">
            <v>11930000</v>
          </cell>
          <cell r="Q220">
            <v>9179942.5</v>
          </cell>
          <cell r="R220">
            <v>8946848.0899999999</v>
          </cell>
          <cell r="S220">
            <v>0</v>
          </cell>
        </row>
        <row r="221">
          <cell r="N221" t="str">
            <v>31111-0401</v>
          </cell>
          <cell r="O221">
            <v>12774691.529999999</v>
          </cell>
          <cell r="P221">
            <v>16046993.960000001</v>
          </cell>
          <cell r="Q221">
            <v>15250517.16</v>
          </cell>
          <cell r="R221">
            <v>14580172.480000002</v>
          </cell>
          <cell r="S221">
            <v>14209071.1</v>
          </cell>
        </row>
        <row r="222">
          <cell r="N222" t="str">
            <v>31111-0402</v>
          </cell>
          <cell r="O222">
            <v>4414216.74</v>
          </cell>
          <cell r="P222">
            <v>7243699.8399999999</v>
          </cell>
          <cell r="Q222">
            <v>5460999.5300000003</v>
          </cell>
          <cell r="R222">
            <v>2951397.2699999996</v>
          </cell>
          <cell r="S222">
            <v>7004386.6999999993</v>
          </cell>
        </row>
        <row r="223">
          <cell r="N223" t="str">
            <v>31111-0501</v>
          </cell>
          <cell r="O223">
            <v>31258357.110000007</v>
          </cell>
          <cell r="P223">
            <v>34257567.070000008</v>
          </cell>
          <cell r="Q223">
            <v>33953812.339999996</v>
          </cell>
          <cell r="R223">
            <v>33637013.799999997</v>
          </cell>
          <cell r="S223">
            <v>36189096.82</v>
          </cell>
        </row>
        <row r="224">
          <cell r="N224" t="str">
            <v>31111-0502</v>
          </cell>
          <cell r="O224">
            <v>23602510.659999996</v>
          </cell>
          <cell r="P224">
            <v>16248903.699999999</v>
          </cell>
          <cell r="Q224">
            <v>14230074.289999999</v>
          </cell>
          <cell r="R224">
            <v>10855136.330000002</v>
          </cell>
          <cell r="S224">
            <v>11066648.699999999</v>
          </cell>
        </row>
        <row r="225">
          <cell r="N225" t="str">
            <v>31111-0503</v>
          </cell>
          <cell r="O225">
            <v>5458986.6100000013</v>
          </cell>
          <cell r="P225">
            <v>6400257.3299999991</v>
          </cell>
          <cell r="Q225">
            <v>5840893.0599999996</v>
          </cell>
          <cell r="R225">
            <v>5213361.2699999996</v>
          </cell>
          <cell r="S225">
            <v>6387279.8000000007</v>
          </cell>
        </row>
        <row r="226">
          <cell r="N226" t="str">
            <v>31111-0505</v>
          </cell>
          <cell r="O226">
            <v>1978635.98</v>
          </cell>
          <cell r="P226">
            <v>2181894.75</v>
          </cell>
          <cell r="Q226">
            <v>2154771.75</v>
          </cell>
          <cell r="R226">
            <v>2191768.9299999997</v>
          </cell>
          <cell r="S226">
            <v>2443347.2599999998</v>
          </cell>
        </row>
        <row r="227">
          <cell r="N227" t="str">
            <v>31111-0510</v>
          </cell>
          <cell r="O227">
            <v>11038730.369999997</v>
          </cell>
          <cell r="P227">
            <v>10141509.519999998</v>
          </cell>
          <cell r="Q227">
            <v>9706944.5199999996</v>
          </cell>
          <cell r="R227">
            <v>9055727.7300000004</v>
          </cell>
          <cell r="S227">
            <v>10289152.800000001</v>
          </cell>
        </row>
        <row r="228">
          <cell r="N228" t="str">
            <v>31111-0601</v>
          </cell>
          <cell r="O228">
            <v>48260003.280000016</v>
          </cell>
          <cell r="P228">
            <v>59878663.139999993</v>
          </cell>
          <cell r="Q228">
            <v>61971482.050000004</v>
          </cell>
          <cell r="R228">
            <v>56668167.480000019</v>
          </cell>
          <cell r="S228">
            <v>66704520.560000002</v>
          </cell>
        </row>
        <row r="229">
          <cell r="N229" t="str">
            <v>31111-0602</v>
          </cell>
          <cell r="O229">
            <v>6742413.2000000002</v>
          </cell>
          <cell r="P229">
            <v>6519506.75</v>
          </cell>
          <cell r="Q229">
            <v>6617001.7100000009</v>
          </cell>
          <cell r="R229">
            <v>6882696.6399999997</v>
          </cell>
          <cell r="S229">
            <v>7547018.2000000011</v>
          </cell>
        </row>
        <row r="230">
          <cell r="N230" t="str">
            <v>31111-0603</v>
          </cell>
          <cell r="O230">
            <v>37716976.740000002</v>
          </cell>
          <cell r="P230">
            <v>40454235.829999998</v>
          </cell>
          <cell r="Q230">
            <v>39011468.460000001</v>
          </cell>
          <cell r="R230">
            <v>37925437.199999996</v>
          </cell>
          <cell r="S230">
            <v>47088912.369999997</v>
          </cell>
        </row>
        <row r="231">
          <cell r="N231" t="str">
            <v>31111-0604</v>
          </cell>
          <cell r="O231">
            <v>52513722.5</v>
          </cell>
          <cell r="P231">
            <v>62146965.560000002</v>
          </cell>
          <cell r="Q231">
            <v>62684500.560000002</v>
          </cell>
          <cell r="R231">
            <v>63851035.399999999</v>
          </cell>
          <cell r="S231">
            <v>70825136.839999989</v>
          </cell>
        </row>
        <row r="232">
          <cell r="N232" t="str">
            <v>31111-0605</v>
          </cell>
          <cell r="O232">
            <v>923145.72</v>
          </cell>
          <cell r="P232">
            <v>1204657.3999999999</v>
          </cell>
          <cell r="Q232">
            <v>1182777.3999999999</v>
          </cell>
          <cell r="R232">
            <v>1047540.79</v>
          </cell>
          <cell r="S232">
            <v>1494058.7</v>
          </cell>
        </row>
        <row r="233">
          <cell r="N233" t="str">
            <v>31111-0606</v>
          </cell>
          <cell r="O233">
            <v>881542.87</v>
          </cell>
          <cell r="P233">
            <v>1072049.82</v>
          </cell>
          <cell r="Q233">
            <v>1004880.99</v>
          </cell>
          <cell r="R233">
            <v>998723.52</v>
          </cell>
          <cell r="S233">
            <v>1291375.2000000002</v>
          </cell>
        </row>
        <row r="234">
          <cell r="N234" t="str">
            <v>31111-0701</v>
          </cell>
          <cell r="O234">
            <v>58355394.630000003</v>
          </cell>
          <cell r="P234">
            <v>53796176.32</v>
          </cell>
          <cell r="Q234">
            <v>50601050.460000001</v>
          </cell>
          <cell r="R234">
            <v>46307243.739999995</v>
          </cell>
          <cell r="S234">
            <v>42683000.719999999</v>
          </cell>
        </row>
        <row r="235">
          <cell r="N235" t="str">
            <v>31111-0702</v>
          </cell>
          <cell r="O235">
            <v>7635026.6400000006</v>
          </cell>
          <cell r="P235">
            <v>10697499.25</v>
          </cell>
          <cell r="Q235">
            <v>8180541.9700000007</v>
          </cell>
          <cell r="R235">
            <v>8112327.2800000003</v>
          </cell>
          <cell r="S235">
            <v>9337342.0199999977</v>
          </cell>
        </row>
        <row r="236">
          <cell r="N236" t="str">
            <v>31111-0703</v>
          </cell>
          <cell r="O236">
            <v>21071254.439999998</v>
          </cell>
          <cell r="P236">
            <v>21745263.469999999</v>
          </cell>
          <cell r="Q236">
            <v>21723682.559999999</v>
          </cell>
          <cell r="R236">
            <v>23019398.520000003</v>
          </cell>
          <cell r="S236">
            <v>22545043.199999999</v>
          </cell>
        </row>
        <row r="237">
          <cell r="N237" t="str">
            <v>31111-0704</v>
          </cell>
          <cell r="O237">
            <v>11627167.909999998</v>
          </cell>
          <cell r="P237">
            <v>14655397.209999999</v>
          </cell>
          <cell r="Q237">
            <v>14297591.16</v>
          </cell>
          <cell r="R237">
            <v>11490397.750000004</v>
          </cell>
          <cell r="S237">
            <v>18012349.399999999</v>
          </cell>
        </row>
        <row r="238">
          <cell r="N238" t="str">
            <v>31111-0705</v>
          </cell>
          <cell r="O238">
            <v>11440456.269999998</v>
          </cell>
          <cell r="P238">
            <v>13678490.490000002</v>
          </cell>
          <cell r="Q238">
            <v>10916659.439999999</v>
          </cell>
          <cell r="R238">
            <v>9735040.9800000023</v>
          </cell>
          <cell r="S238">
            <v>13437034.300000001</v>
          </cell>
        </row>
        <row r="239">
          <cell r="N239" t="str">
            <v>31111-0706</v>
          </cell>
          <cell r="O239">
            <v>2691956.3800000008</v>
          </cell>
          <cell r="P239">
            <v>3310564.17</v>
          </cell>
          <cell r="Q239">
            <v>3269355.9000000004</v>
          </cell>
          <cell r="R239">
            <v>3296058.98</v>
          </cell>
          <cell r="S239">
            <v>4510800.9999999991</v>
          </cell>
        </row>
        <row r="240">
          <cell r="N240" t="str">
            <v>31111-0708</v>
          </cell>
          <cell r="O240">
            <v>7939326.1500000004</v>
          </cell>
          <cell r="P240">
            <v>17200905.02</v>
          </cell>
          <cell r="Q240">
            <v>19293573.859999999</v>
          </cell>
          <cell r="R240">
            <v>15126605.16</v>
          </cell>
          <cell r="S240">
            <v>15398166.5</v>
          </cell>
        </row>
        <row r="241">
          <cell r="N241" t="str">
            <v>31111-0709</v>
          </cell>
          <cell r="O241">
            <v>6554633.5199999996</v>
          </cell>
          <cell r="P241">
            <v>7540828.3399999999</v>
          </cell>
          <cell r="Q241">
            <v>6922854.8499999996</v>
          </cell>
          <cell r="R241">
            <v>6854719.040000001</v>
          </cell>
          <cell r="S241">
            <v>7688721.3999999994</v>
          </cell>
        </row>
        <row r="242">
          <cell r="N242" t="str">
            <v>31111-0801</v>
          </cell>
          <cell r="O242">
            <v>12745386.779999999</v>
          </cell>
          <cell r="P242">
            <v>14722506.279999997</v>
          </cell>
          <cell r="Q242">
            <v>14062905.909999996</v>
          </cell>
          <cell r="R242">
            <v>14190852.840000002</v>
          </cell>
          <cell r="S242">
            <v>15686114.75</v>
          </cell>
        </row>
        <row r="243">
          <cell r="N243" t="str">
            <v>31111-0901</v>
          </cell>
          <cell r="O243">
            <v>59690757.670000002</v>
          </cell>
          <cell r="P243">
            <v>53691924.909999996</v>
          </cell>
          <cell r="Q243">
            <v>52460698.670000009</v>
          </cell>
          <cell r="R243">
            <v>44086694.730000004</v>
          </cell>
          <cell r="S243">
            <v>62301597.019999996</v>
          </cell>
        </row>
        <row r="244">
          <cell r="N244" t="str">
            <v>31111-1001</v>
          </cell>
          <cell r="O244">
            <v>15607397.239999998</v>
          </cell>
          <cell r="P244">
            <v>18090795.439999998</v>
          </cell>
          <cell r="Q244">
            <v>17488509.770000003</v>
          </cell>
          <cell r="R244">
            <v>17437334.59</v>
          </cell>
          <cell r="S244">
            <v>20075439.699999999</v>
          </cell>
        </row>
        <row r="245">
          <cell r="N245" t="str">
            <v>31111-1101</v>
          </cell>
          <cell r="O245">
            <v>264311472.69000003</v>
          </cell>
          <cell r="P245">
            <v>276027254.35999995</v>
          </cell>
          <cell r="Q245">
            <v>278538656.73000002</v>
          </cell>
          <cell r="R245">
            <v>273212099.61999995</v>
          </cell>
          <cell r="S245">
            <v>255866987.24000004</v>
          </cell>
        </row>
        <row r="246">
          <cell r="N246" t="str">
            <v>31111-1200</v>
          </cell>
          <cell r="O246">
            <v>10532852.920000002</v>
          </cell>
          <cell r="P246">
            <v>12022188.370000001</v>
          </cell>
          <cell r="Q246">
            <v>11789051.609999999</v>
          </cell>
          <cell r="R246">
            <v>10295907.219999999</v>
          </cell>
          <cell r="S246">
            <v>12904323.199999999</v>
          </cell>
        </row>
        <row r="247">
          <cell r="N247" t="str">
            <v>31111-1201</v>
          </cell>
          <cell r="O247">
            <v>299258943.5</v>
          </cell>
          <cell r="P247">
            <v>378428309.85000002</v>
          </cell>
          <cell r="Q247">
            <v>468542051.23000008</v>
          </cell>
          <cell r="R247">
            <v>482750872.9799999</v>
          </cell>
          <cell r="S247">
            <v>376546459.69999999</v>
          </cell>
        </row>
        <row r="248">
          <cell r="N248" t="str">
            <v>31111-1202</v>
          </cell>
          <cell r="O248">
            <v>78358523.959999993</v>
          </cell>
          <cell r="P248">
            <v>89925973.599999994</v>
          </cell>
          <cell r="Q248">
            <v>93590501.140000001</v>
          </cell>
          <cell r="R248">
            <v>87103697.709999993</v>
          </cell>
          <cell r="S248">
            <v>89308190.519999996</v>
          </cell>
        </row>
        <row r="249">
          <cell r="N249" t="str">
            <v>31111-1203</v>
          </cell>
          <cell r="O249">
            <v>10752732.029999997</v>
          </cell>
          <cell r="P249">
            <v>11328621.259999998</v>
          </cell>
          <cell r="Q249">
            <v>15228339.18</v>
          </cell>
          <cell r="R249">
            <v>15219140.540000007</v>
          </cell>
          <cell r="S249">
            <v>20442421.599999998</v>
          </cell>
        </row>
        <row r="250">
          <cell r="N250" t="str">
            <v>31111-1204</v>
          </cell>
          <cell r="O250">
            <v>19740819.590000004</v>
          </cell>
          <cell r="P250">
            <v>25264566.579999998</v>
          </cell>
          <cell r="Q250">
            <v>31787036.170000002</v>
          </cell>
          <cell r="R250">
            <v>27506777.859999999</v>
          </cell>
          <cell r="S250">
            <v>27969115.490000002</v>
          </cell>
        </row>
        <row r="251">
          <cell r="N251" t="str">
            <v>31111-1205</v>
          </cell>
          <cell r="O251">
            <v>9167778.7599999998</v>
          </cell>
          <cell r="P251">
            <v>9843410.0600000005</v>
          </cell>
          <cell r="Q251">
            <v>10929715.460000001</v>
          </cell>
          <cell r="R251">
            <v>10752641.690000001</v>
          </cell>
          <cell r="S251">
            <v>13363366.940000001</v>
          </cell>
        </row>
        <row r="252">
          <cell r="N252" t="str">
            <v>31111-1301</v>
          </cell>
          <cell r="O252">
            <v>335950063.85000002</v>
          </cell>
          <cell r="P252">
            <v>344924717.43000007</v>
          </cell>
          <cell r="Q252">
            <v>606115805.38000011</v>
          </cell>
          <cell r="R252">
            <v>430505348.22999996</v>
          </cell>
          <cell r="S252">
            <v>454756923.18999994</v>
          </cell>
        </row>
        <row r="253">
          <cell r="N253" t="str">
            <v>31111-1501</v>
          </cell>
          <cell r="O253">
            <v>12295731.790000001</v>
          </cell>
          <cell r="P253">
            <v>21719160.719999999</v>
          </cell>
          <cell r="Q253">
            <v>21513298.68</v>
          </cell>
          <cell r="R253">
            <v>13112558.589999998</v>
          </cell>
          <cell r="S253">
            <v>28230258.5</v>
          </cell>
        </row>
        <row r="254">
          <cell r="N254" t="str">
            <v>31120-8201</v>
          </cell>
          <cell r="O254">
            <v>37369943.840000004</v>
          </cell>
          <cell r="P254">
            <v>37202336</v>
          </cell>
          <cell r="Q254">
            <v>37202336</v>
          </cell>
          <cell r="R254">
            <v>33313752.799999997</v>
          </cell>
          <cell r="S254">
            <v>34869943.840000004</v>
          </cell>
        </row>
        <row r="255">
          <cell r="N255" t="str">
            <v>31120-8301</v>
          </cell>
          <cell r="O255">
            <v>17030962.100000001</v>
          </cell>
          <cell r="P255">
            <v>17692000</v>
          </cell>
          <cell r="Q255">
            <v>17254900</v>
          </cell>
          <cell r="R255">
            <v>18075900</v>
          </cell>
          <cell r="S255">
            <v>18311220</v>
          </cell>
        </row>
        <row r="256">
          <cell r="N256" t="str">
            <v>31120-8401</v>
          </cell>
          <cell r="O256">
            <v>29998322.600000001</v>
          </cell>
          <cell r="P256">
            <v>29858000</v>
          </cell>
          <cell r="Q256">
            <v>31142600</v>
          </cell>
          <cell r="R256">
            <v>31142600</v>
          </cell>
          <cell r="S256">
            <v>30903029.999999996</v>
          </cell>
        </row>
        <row r="257">
          <cell r="N257" t="str">
            <v>31120-8501</v>
          </cell>
          <cell r="O257">
            <v>11357356</v>
          </cell>
          <cell r="P257">
            <v>6760615</v>
          </cell>
          <cell r="Q257">
            <v>6497135</v>
          </cell>
          <cell r="R257">
            <v>5208089</v>
          </cell>
          <cell r="S257">
            <v>4280000</v>
          </cell>
        </row>
        <row r="258">
          <cell r="N258" t="str">
            <v>31120-8601</v>
          </cell>
          <cell r="O258">
            <v>3299168.58</v>
          </cell>
          <cell r="P258">
            <v>3464127</v>
          </cell>
          <cell r="Q258">
            <v>3290921</v>
          </cell>
          <cell r="R258">
            <v>3290921</v>
          </cell>
          <cell r="S258">
            <v>3290921</v>
          </cell>
        </row>
        <row r="259">
          <cell r="N259" t="str">
            <v>31120-8801</v>
          </cell>
          <cell r="O259">
            <v>14040144.670000002</v>
          </cell>
          <cell r="P259">
            <v>13954441.119999999</v>
          </cell>
          <cell r="Q259">
            <v>13546401.84</v>
          </cell>
          <cell r="R259">
            <v>13450704.119999999</v>
          </cell>
          <cell r="S259">
            <v>14224381.859999999</v>
          </cell>
        </row>
        <row r="260">
          <cell r="N260" t="str">
            <v>31120-8901</v>
          </cell>
          <cell r="O260">
            <v>3540828</v>
          </cell>
          <cell r="P260">
            <v>3787000</v>
          </cell>
          <cell r="Q260">
            <v>3662664</v>
          </cell>
          <cell r="R260">
            <v>3409271</v>
          </cell>
          <cell r="S260">
            <v>3903704</v>
          </cell>
        </row>
        <row r="261">
          <cell r="N261" t="str">
            <v>31120-9001</v>
          </cell>
          <cell r="O261">
            <v>1659340</v>
          </cell>
          <cell r="P261">
            <v>1437967</v>
          </cell>
          <cell r="Q261">
            <v>2055005</v>
          </cell>
          <cell r="R261">
            <v>2040000</v>
          </cell>
          <cell r="S261">
            <v>1500000</v>
          </cell>
        </row>
        <row r="262">
          <cell r="N262" t="str">
            <v>31120-9101</v>
          </cell>
          <cell r="O262">
            <v>5385066</v>
          </cell>
          <cell r="P262">
            <v>5330711</v>
          </cell>
          <cell r="Q262">
            <v>5197037</v>
          </cell>
          <cell r="R262">
            <v>4662737</v>
          </cell>
          <cell r="S262">
            <v>4456493.75</v>
          </cell>
        </row>
        <row r="263">
          <cell r="N263" t="str">
            <v>31120-9201</v>
          </cell>
          <cell r="O263">
            <v>2746557.2199999997</v>
          </cell>
          <cell r="P263">
            <v>2742720</v>
          </cell>
          <cell r="Q263">
            <v>2674049</v>
          </cell>
          <cell r="R263">
            <v>2744048.33</v>
          </cell>
          <cell r="S263">
            <v>2838715.1999999997</v>
          </cell>
        </row>
        <row r="264">
          <cell r="N264" t="str">
            <v>31120-9301</v>
          </cell>
          <cell r="O264">
            <v>0</v>
          </cell>
          <cell r="P264">
            <v>5000000</v>
          </cell>
          <cell r="Q264">
            <v>11000000</v>
          </cell>
          <cell r="R264">
            <v>11000000</v>
          </cell>
          <cell r="S264">
            <v>5000000</v>
          </cell>
        </row>
        <row r="265">
          <cell r="N265" t="str">
            <v>31120-9401</v>
          </cell>
          <cell r="O265">
            <v>1211398.8500000001</v>
          </cell>
          <cell r="P265">
            <v>3280000</v>
          </cell>
          <cell r="Q265">
            <v>3200000</v>
          </cell>
          <cell r="R265">
            <v>3414497.09</v>
          </cell>
          <cell r="S265">
            <v>3394799.9999999995</v>
          </cell>
        </row>
        <row r="266">
          <cell r="N266" t="str">
            <v>E0008</v>
          </cell>
          <cell r="O266">
            <v>3396410.8600000003</v>
          </cell>
          <cell r="P266">
            <v>4076349.7599999993</v>
          </cell>
          <cell r="Q266">
            <v>3849777.7899999996</v>
          </cell>
          <cell r="R266">
            <v>3696210.919999999</v>
          </cell>
          <cell r="S266">
            <v>3545375.2</v>
          </cell>
        </row>
        <row r="267">
          <cell r="N267" t="str">
            <v>E0016</v>
          </cell>
          <cell r="O267">
            <v>2207205.0699999998</v>
          </cell>
          <cell r="P267">
            <v>2559051.37</v>
          </cell>
          <cell r="Q267">
            <v>2433847.6999999997</v>
          </cell>
          <cell r="R267">
            <v>2391681.4900000002</v>
          </cell>
          <cell r="S267">
            <v>2660954.9000000004</v>
          </cell>
        </row>
        <row r="268">
          <cell r="N268" t="str">
            <v>E0017</v>
          </cell>
          <cell r="O268">
            <v>3904953.1900000004</v>
          </cell>
          <cell r="P268">
            <v>4550267</v>
          </cell>
          <cell r="Q268">
            <v>6393291.2300000004</v>
          </cell>
          <cell r="R268">
            <v>3747797.9100000006</v>
          </cell>
          <cell r="S268">
            <v>6590275.2000000002</v>
          </cell>
        </row>
        <row r="269">
          <cell r="N269" t="str">
            <v>E0018</v>
          </cell>
          <cell r="O269">
            <v>2761904.06</v>
          </cell>
          <cell r="P269">
            <v>3140918.2199999997</v>
          </cell>
          <cell r="Q269">
            <v>2939932.7399999998</v>
          </cell>
          <cell r="R269">
            <v>2868985.439999999</v>
          </cell>
          <cell r="S269">
            <v>3161234.1</v>
          </cell>
        </row>
        <row r="270">
          <cell r="N270" t="str">
            <v>E0019</v>
          </cell>
          <cell r="O270">
            <v>3730424.84</v>
          </cell>
          <cell r="P270">
            <v>4050936.62</v>
          </cell>
          <cell r="Q270">
            <v>3903877.19</v>
          </cell>
          <cell r="R270">
            <v>4035631.1899999995</v>
          </cell>
          <cell r="S270">
            <v>3931579.2</v>
          </cell>
        </row>
        <row r="271">
          <cell r="N271" t="str">
            <v>E0020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4374632.62</v>
          </cell>
        </row>
        <row r="272">
          <cell r="N272" t="str">
            <v>E0044</v>
          </cell>
          <cell r="O272">
            <v>3776096.4600000004</v>
          </cell>
          <cell r="P272">
            <v>4990507.37</v>
          </cell>
          <cell r="Q272">
            <v>4597626.4399999995</v>
          </cell>
          <cell r="R272">
            <v>4449500.5699999994</v>
          </cell>
          <cell r="S272">
            <v>5142737.5</v>
          </cell>
        </row>
        <row r="273">
          <cell r="N273" t="str">
            <v>E0045</v>
          </cell>
          <cell r="O273">
            <v>10401.420000000002</v>
          </cell>
          <cell r="P273">
            <v>345788.44</v>
          </cell>
          <cell r="Q273">
            <v>72920.5</v>
          </cell>
          <cell r="R273">
            <v>2999.66</v>
          </cell>
          <cell r="S273">
            <v>6300</v>
          </cell>
        </row>
        <row r="274">
          <cell r="N274" t="str">
            <v>E0046</v>
          </cell>
          <cell r="O274">
            <v>23602510.659999996</v>
          </cell>
          <cell r="P274">
            <v>16248903.699999999</v>
          </cell>
          <cell r="Q274">
            <v>14230074.289999999</v>
          </cell>
          <cell r="R274">
            <v>10855136.330000002</v>
          </cell>
          <cell r="S274">
            <v>11066648.699999999</v>
          </cell>
        </row>
        <row r="275">
          <cell r="N275" t="str">
            <v>E0048</v>
          </cell>
          <cell r="O275">
            <v>5458986.6100000013</v>
          </cell>
          <cell r="P275">
            <v>6400257.3299999991</v>
          </cell>
          <cell r="Q275">
            <v>5840893.0599999996</v>
          </cell>
          <cell r="R275">
            <v>5213361.2699999996</v>
          </cell>
          <cell r="S275">
            <v>6387279.8000000007</v>
          </cell>
        </row>
        <row r="276">
          <cell r="N276" t="str">
            <v>E0050</v>
          </cell>
          <cell r="O276">
            <v>19740819.590000004</v>
          </cell>
          <cell r="P276">
            <v>25264566.579999998</v>
          </cell>
          <cell r="Q276">
            <v>31787036.170000002</v>
          </cell>
          <cell r="R276">
            <v>27506777.859999999</v>
          </cell>
          <cell r="S276">
            <v>27969115.490000002</v>
          </cell>
        </row>
        <row r="277">
          <cell r="N277" t="str">
            <v>E0052</v>
          </cell>
          <cell r="O277">
            <v>1978635.98</v>
          </cell>
          <cell r="P277">
            <v>2181894.75</v>
          </cell>
          <cell r="Q277">
            <v>2154771.75</v>
          </cell>
          <cell r="R277">
            <v>2191768.9299999997</v>
          </cell>
          <cell r="S277">
            <v>2443347.2599999998</v>
          </cell>
        </row>
        <row r="278">
          <cell r="N278" t="str">
            <v>E0054</v>
          </cell>
          <cell r="O278">
            <v>8967764.2300000004</v>
          </cell>
          <cell r="P278">
            <v>9415020.3000000007</v>
          </cell>
          <cell r="Q278">
            <v>9193896.370000001</v>
          </cell>
          <cell r="R278">
            <v>7938577.4400000004</v>
          </cell>
          <cell r="S278">
            <v>9541976.8999999985</v>
          </cell>
        </row>
        <row r="279">
          <cell r="N279" t="str">
            <v>E0055</v>
          </cell>
          <cell r="O279">
            <v>63649931.68</v>
          </cell>
          <cell r="P279">
            <v>74598823.640000001</v>
          </cell>
          <cell r="Q279">
            <v>77512158.969999999</v>
          </cell>
          <cell r="R279">
            <v>72187788.579999998</v>
          </cell>
          <cell r="S279">
            <v>71199176.419999987</v>
          </cell>
        </row>
        <row r="280">
          <cell r="N280" t="str">
            <v>E0056</v>
          </cell>
          <cell r="O280">
            <v>5740828.0499999998</v>
          </cell>
          <cell r="P280">
            <v>5912129.6600000011</v>
          </cell>
          <cell r="Q280">
            <v>6884445.8000000017</v>
          </cell>
          <cell r="R280">
            <v>6977331.6899999985</v>
          </cell>
          <cell r="S280">
            <v>8567037.1999999993</v>
          </cell>
        </row>
        <row r="281">
          <cell r="N281" t="str">
            <v>E0075</v>
          </cell>
          <cell r="O281">
            <v>11627167.909999998</v>
          </cell>
          <cell r="P281">
            <v>14655397.209999999</v>
          </cell>
          <cell r="Q281">
            <v>14297591.16</v>
          </cell>
          <cell r="R281">
            <v>11490397.750000004</v>
          </cell>
          <cell r="S281">
            <v>18012349.399999999</v>
          </cell>
        </row>
        <row r="282">
          <cell r="N282" t="str">
            <v>E0080</v>
          </cell>
          <cell r="O282">
            <v>1469766.88</v>
          </cell>
          <cell r="P282">
            <v>2076885.7000000002</v>
          </cell>
          <cell r="Q282">
            <v>2174469.1799999997</v>
          </cell>
          <cell r="R282">
            <v>2222764.3800000004</v>
          </cell>
          <cell r="S282">
            <v>2531733.4</v>
          </cell>
        </row>
        <row r="283">
          <cell r="N283" t="str">
            <v>E0081</v>
          </cell>
          <cell r="O283">
            <v>706199.23</v>
          </cell>
          <cell r="P283">
            <v>702503.94000000006</v>
          </cell>
          <cell r="Q283">
            <v>852383.01</v>
          </cell>
          <cell r="R283">
            <v>754760.45999999985</v>
          </cell>
          <cell r="S283">
            <v>1341274.5999999999</v>
          </cell>
        </row>
        <row r="284">
          <cell r="N284" t="str">
            <v>E0082</v>
          </cell>
          <cell r="O284">
            <v>2159066.3100000005</v>
          </cell>
          <cell r="P284">
            <v>2266039.6800000002</v>
          </cell>
          <cell r="Q284">
            <v>2652052.06</v>
          </cell>
          <cell r="R284">
            <v>2586630.75</v>
          </cell>
          <cell r="S284">
            <v>2737932</v>
          </cell>
        </row>
        <row r="285">
          <cell r="N285" t="str">
            <v>E0083</v>
          </cell>
          <cell r="O285">
            <v>4832746.34</v>
          </cell>
          <cell r="P285">
            <v>4797980.74</v>
          </cell>
          <cell r="Q285">
            <v>5250811.2100000009</v>
          </cell>
          <cell r="R285">
            <v>5188486.1000000006</v>
          </cell>
          <cell r="S285">
            <v>6752426.9400000004</v>
          </cell>
        </row>
        <row r="286">
          <cell r="N286" t="str">
            <v>E0095</v>
          </cell>
          <cell r="O286">
            <v>40652556.609999999</v>
          </cell>
          <cell r="P286">
            <v>32682962.120000001</v>
          </cell>
          <cell r="Q286">
            <v>31137374.470000006</v>
          </cell>
          <cell r="R286">
            <v>22794614.630000003</v>
          </cell>
          <cell r="S286">
            <v>39466916.32</v>
          </cell>
        </row>
        <row r="287">
          <cell r="N287" t="str">
            <v>E0097</v>
          </cell>
          <cell r="O287">
            <v>4803032.3299999973</v>
          </cell>
          <cell r="P287">
            <v>5122888.5399999991</v>
          </cell>
          <cell r="Q287">
            <v>5182438.78</v>
          </cell>
          <cell r="R287">
            <v>5070264.1300000008</v>
          </cell>
          <cell r="S287">
            <v>5817348</v>
          </cell>
        </row>
        <row r="288">
          <cell r="N288" t="str">
            <v>E0098</v>
          </cell>
          <cell r="O288">
            <v>3385077.0300000003</v>
          </cell>
          <cell r="P288">
            <v>3775208.3699999996</v>
          </cell>
          <cell r="Q288">
            <v>4055967.85</v>
          </cell>
          <cell r="R288">
            <v>4078670.79</v>
          </cell>
          <cell r="S288">
            <v>4286808.9000000004</v>
          </cell>
        </row>
        <row r="289">
          <cell r="N289" t="str">
            <v>E0101</v>
          </cell>
          <cell r="O289">
            <v>7419287.8800000008</v>
          </cell>
          <cell r="P289">
            <v>9192698.5300000012</v>
          </cell>
          <cell r="Q289">
            <v>8250103.1400000006</v>
          </cell>
          <cell r="R289">
            <v>8288399.669999999</v>
          </cell>
          <cell r="S289">
            <v>9971282.7999999989</v>
          </cell>
        </row>
        <row r="290">
          <cell r="N290" t="str">
            <v>E0104</v>
          </cell>
          <cell r="O290">
            <v>8033808.459999999</v>
          </cell>
          <cell r="P290">
            <v>11267797.149999999</v>
          </cell>
          <cell r="Q290">
            <v>9337879.0599999987</v>
          </cell>
          <cell r="R290">
            <v>8493043.2300000004</v>
          </cell>
          <cell r="S290">
            <v>10019132.620000001</v>
          </cell>
        </row>
        <row r="291">
          <cell r="N291" t="str">
            <v>E0106</v>
          </cell>
          <cell r="O291">
            <v>43956767.800000004</v>
          </cell>
          <cell r="P291">
            <v>49104236.089999996</v>
          </cell>
          <cell r="Q291">
            <v>56456352.900000006</v>
          </cell>
          <cell r="R291">
            <v>55652476.640000001</v>
          </cell>
          <cell r="S291">
            <v>50796095.700000003</v>
          </cell>
        </row>
        <row r="292">
          <cell r="N292" t="str">
            <v>E0107</v>
          </cell>
          <cell r="O292">
            <v>9472609.0299999975</v>
          </cell>
          <cell r="P292">
            <v>10493071.699999999</v>
          </cell>
          <cell r="Q292">
            <v>11547632</v>
          </cell>
          <cell r="R292">
            <v>11240666.700000001</v>
          </cell>
          <cell r="S292">
            <v>10426709.100000001</v>
          </cell>
        </row>
        <row r="293">
          <cell r="N293" t="str">
            <v>E0108</v>
          </cell>
          <cell r="O293">
            <v>110217156.49000001</v>
          </cell>
          <cell r="P293">
            <v>112875129.98</v>
          </cell>
          <cell r="Q293">
            <v>105043488.67</v>
          </cell>
          <cell r="R293">
            <v>101797223.31999999</v>
          </cell>
          <cell r="S293">
            <v>92381487.600000009</v>
          </cell>
        </row>
        <row r="294">
          <cell r="N294" t="str">
            <v>E0109</v>
          </cell>
          <cell r="O294">
            <v>5549880.04</v>
          </cell>
          <cell r="P294">
            <v>6147302.0199999996</v>
          </cell>
          <cell r="Q294">
            <v>7016742.9699999988</v>
          </cell>
          <cell r="R294">
            <v>7130499.0200000005</v>
          </cell>
          <cell r="S294">
            <v>6816906.3000000007</v>
          </cell>
        </row>
        <row r="295">
          <cell r="N295" t="str">
            <v>E0110</v>
          </cell>
          <cell r="O295">
            <v>8404768.129999999</v>
          </cell>
          <cell r="P295">
            <v>9353894.5699999984</v>
          </cell>
          <cell r="Q295">
            <v>9240745.9999999981</v>
          </cell>
          <cell r="R295">
            <v>9395929.0300000012</v>
          </cell>
          <cell r="S295">
            <v>10864016.92</v>
          </cell>
        </row>
        <row r="296">
          <cell r="N296" t="str">
            <v>E0111</v>
          </cell>
          <cell r="O296">
            <v>70712356.910000011</v>
          </cell>
          <cell r="P296">
            <v>70394565.689999998</v>
          </cell>
          <cell r="Q296">
            <v>73585466.430000007</v>
          </cell>
          <cell r="R296">
            <v>73883499.150000006</v>
          </cell>
          <cell r="S296">
            <v>68152799.799999997</v>
          </cell>
        </row>
        <row r="297">
          <cell r="N297" t="str">
            <v>E0113</v>
          </cell>
          <cell r="O297">
            <v>7964125.8300000001</v>
          </cell>
          <cell r="P297">
            <v>6391257.1600000001</v>
          </cell>
          <cell r="Q297">
            <v>6310348.7000000002</v>
          </cell>
          <cell r="R297">
            <v>5618762.5300000003</v>
          </cell>
          <cell r="S297">
            <v>6409839.1999999993</v>
          </cell>
        </row>
        <row r="298">
          <cell r="N298" t="str">
            <v>E0116</v>
          </cell>
          <cell r="O298">
            <v>183797473.21000001</v>
          </cell>
          <cell r="P298">
            <v>292251612.83000004</v>
          </cell>
          <cell r="Q298">
            <v>344010433.47000003</v>
          </cell>
          <cell r="R298">
            <v>362440684.57999992</v>
          </cell>
          <cell r="S298">
            <v>251692758.29999995</v>
          </cell>
        </row>
        <row r="299">
          <cell r="N299" t="str">
            <v>E0118</v>
          </cell>
          <cell r="O299">
            <v>41455575.439999998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N300" t="str">
            <v>E0159</v>
          </cell>
          <cell r="O300">
            <v>4997473.3100000005</v>
          </cell>
          <cell r="P300">
            <v>5127748.2</v>
          </cell>
          <cell r="Q300">
            <v>5160698.24</v>
          </cell>
          <cell r="R300">
            <v>5113936.83</v>
          </cell>
          <cell r="S300">
            <v>5620634.7000000002</v>
          </cell>
        </row>
        <row r="301">
          <cell r="N301" t="str">
            <v>E0274</v>
          </cell>
          <cell r="O301">
            <v>283921.26</v>
          </cell>
          <cell r="P301">
            <v>2259196</v>
          </cell>
          <cell r="Q301">
            <v>2183500</v>
          </cell>
          <cell r="R301">
            <v>1043791.8899999999</v>
          </cell>
          <cell r="S301">
            <v>1221360</v>
          </cell>
        </row>
        <row r="302">
          <cell r="N302" t="str">
            <v>E0289</v>
          </cell>
          <cell r="O302">
            <v>250812.02999999997</v>
          </cell>
          <cell r="P302">
            <v>267771.75</v>
          </cell>
          <cell r="Q302">
            <v>284753.56999999995</v>
          </cell>
          <cell r="R302">
            <v>240126.35000000003</v>
          </cell>
          <cell r="S302">
            <v>286503.5</v>
          </cell>
        </row>
        <row r="303">
          <cell r="N303" t="str">
            <v>E0292</v>
          </cell>
          <cell r="O303">
            <v>199999.98</v>
          </cell>
          <cell r="P303">
            <v>400000</v>
          </cell>
          <cell r="Q303">
            <v>250000</v>
          </cell>
          <cell r="R303">
            <v>172161.78</v>
          </cell>
          <cell r="S303">
            <v>300000</v>
          </cell>
        </row>
        <row r="304">
          <cell r="N304" t="str">
            <v>E0305</v>
          </cell>
          <cell r="O304">
            <v>3320243.3099999996</v>
          </cell>
          <cell r="P304">
            <v>3126426.92</v>
          </cell>
          <cell r="Q304">
            <v>3440618.9799999995</v>
          </cell>
          <cell r="R304">
            <v>3094285.1099999989</v>
          </cell>
          <cell r="S304">
            <v>2806083.4000000004</v>
          </cell>
        </row>
        <row r="305">
          <cell r="N305" t="str">
            <v>E0307</v>
          </cell>
          <cell r="O305">
            <v>4678339.3800000008</v>
          </cell>
          <cell r="P305">
            <v>5487652.419999999</v>
          </cell>
          <cell r="Q305">
            <v>5605820.6799999997</v>
          </cell>
          <cell r="R305">
            <v>5604256.4900000002</v>
          </cell>
          <cell r="S305">
            <v>6058045.3999999994</v>
          </cell>
        </row>
        <row r="306">
          <cell r="N306" t="str">
            <v>E0308</v>
          </cell>
          <cell r="O306">
            <v>23480.65</v>
          </cell>
          <cell r="P306">
            <v>21000</v>
          </cell>
          <cell r="Q306">
            <v>21250</v>
          </cell>
          <cell r="R306">
            <v>16124.84</v>
          </cell>
          <cell r="S306">
            <v>25250</v>
          </cell>
        </row>
        <row r="307">
          <cell r="N307" t="str">
            <v>E0309</v>
          </cell>
          <cell r="O307">
            <v>985809.94000000006</v>
          </cell>
          <cell r="P307">
            <v>1318624.58</v>
          </cell>
          <cell r="Q307">
            <v>1445502.2799999998</v>
          </cell>
          <cell r="R307">
            <v>1378771.7999999998</v>
          </cell>
          <cell r="S307">
            <v>1390943.6999999997</v>
          </cell>
        </row>
        <row r="308">
          <cell r="N308" t="str">
            <v>E0310</v>
          </cell>
          <cell r="O308">
            <v>460500</v>
          </cell>
          <cell r="P308">
            <v>8000000</v>
          </cell>
          <cell r="Q308">
            <v>7750257.5000000009</v>
          </cell>
          <cell r="R308">
            <v>0</v>
          </cell>
          <cell r="S308">
            <v>15080255</v>
          </cell>
        </row>
        <row r="309">
          <cell r="N309" t="str">
            <v>E0311</v>
          </cell>
          <cell r="O309">
            <v>131728.15</v>
          </cell>
          <cell r="P309">
            <v>140000</v>
          </cell>
          <cell r="Q309">
            <v>144510.41</v>
          </cell>
          <cell r="R309">
            <v>137083.87</v>
          </cell>
          <cell r="S309">
            <v>147000</v>
          </cell>
        </row>
        <row r="310">
          <cell r="N310" t="str">
            <v>F0040</v>
          </cell>
          <cell r="O310">
            <v>12774691.529999999</v>
          </cell>
          <cell r="P310">
            <v>16046993.960000001</v>
          </cell>
          <cell r="Q310">
            <v>15250517.16</v>
          </cell>
          <cell r="R310">
            <v>14580172.480000002</v>
          </cell>
          <cell r="S310">
            <v>14209071.1</v>
          </cell>
        </row>
        <row r="311">
          <cell r="N311" t="str">
            <v>F0041</v>
          </cell>
          <cell r="O311">
            <v>4414216.74</v>
          </cell>
          <cell r="P311">
            <v>7243699.8399999999</v>
          </cell>
          <cell r="Q311">
            <v>5460999.5300000003</v>
          </cell>
          <cell r="R311">
            <v>2951397.2699999996</v>
          </cell>
          <cell r="S311">
            <v>7004386.6999999993</v>
          </cell>
        </row>
        <row r="312">
          <cell r="N312" t="str">
            <v>J0068</v>
          </cell>
          <cell r="O312">
            <v>52513722.5</v>
          </cell>
          <cell r="P312">
            <v>62146965.560000002</v>
          </cell>
          <cell r="Q312">
            <v>62684500.560000002</v>
          </cell>
          <cell r="R312">
            <v>63851035.399999999</v>
          </cell>
          <cell r="S312">
            <v>70825136.839999989</v>
          </cell>
        </row>
        <row r="313">
          <cell r="N313" t="str">
            <v>K0002</v>
          </cell>
          <cell r="O313">
            <v>4858811.1499999994</v>
          </cell>
          <cell r="P313">
            <v>6726141.9399999995</v>
          </cell>
          <cell r="Q313">
            <v>5961582.7199999988</v>
          </cell>
          <cell r="R313">
            <v>4954409.0699999994</v>
          </cell>
          <cell r="S313">
            <v>7310286.9000000004</v>
          </cell>
        </row>
        <row r="314">
          <cell r="N314" t="str">
            <v>K0003</v>
          </cell>
          <cell r="O314">
            <v>3372089.45</v>
          </cell>
          <cell r="P314">
            <v>5391165.4900000002</v>
          </cell>
          <cell r="Q314">
            <v>5239592.8899999997</v>
          </cell>
          <cell r="R314">
            <v>4836203.34</v>
          </cell>
          <cell r="S314">
            <v>4761424.0999999996</v>
          </cell>
        </row>
        <row r="315">
          <cell r="N315" t="str">
            <v>M0073</v>
          </cell>
          <cell r="O315">
            <v>7635026.6400000006</v>
          </cell>
          <cell r="P315">
            <v>10697499.25</v>
          </cell>
          <cell r="Q315">
            <v>8180541.9700000007</v>
          </cell>
          <cell r="R315">
            <v>8112327.2800000003</v>
          </cell>
          <cell r="S315">
            <v>9337342.0199999977</v>
          </cell>
        </row>
        <row r="316">
          <cell r="N316" t="str">
            <v>O0001</v>
          </cell>
          <cell r="O316">
            <v>23470537.839999992</v>
          </cell>
          <cell r="P316">
            <v>25185398.020000003</v>
          </cell>
          <cell r="Q316">
            <v>24989436.13000001</v>
          </cell>
          <cell r="R316">
            <v>25171376.560000002</v>
          </cell>
          <cell r="S316">
            <v>26437727.099999994</v>
          </cell>
        </row>
        <row r="317">
          <cell r="N317" t="str">
            <v>O0005</v>
          </cell>
          <cell r="O317">
            <v>13633676.369999995</v>
          </cell>
          <cell r="P317">
            <v>15225301.26</v>
          </cell>
          <cell r="Q317">
            <v>17405204.530000001</v>
          </cell>
          <cell r="R317">
            <v>17038070.119999994</v>
          </cell>
          <cell r="S317">
            <v>17715635.5</v>
          </cell>
        </row>
        <row r="318">
          <cell r="N318" t="str">
            <v>O0015</v>
          </cell>
          <cell r="O318">
            <v>7355503.5</v>
          </cell>
          <cell r="P318">
            <v>7914071.4000000004</v>
          </cell>
          <cell r="Q318">
            <v>8268283.4900000002</v>
          </cell>
          <cell r="R318">
            <v>8324838.5900000008</v>
          </cell>
          <cell r="S318">
            <v>8075186.0999999996</v>
          </cell>
        </row>
        <row r="319">
          <cell r="N319" t="str">
            <v>O0020</v>
          </cell>
          <cell r="O319">
            <v>2825159.0300000003</v>
          </cell>
          <cell r="P319">
            <v>3039998.6799999997</v>
          </cell>
          <cell r="Q319">
            <v>2971298.07</v>
          </cell>
          <cell r="R319">
            <v>2881627.84</v>
          </cell>
          <cell r="S319">
            <v>3078086.6999999997</v>
          </cell>
        </row>
        <row r="320">
          <cell r="N320" t="str">
            <v>O0035</v>
          </cell>
          <cell r="O320">
            <v>1480216.6899999997</v>
          </cell>
          <cell r="P320">
            <v>1784896.7399999998</v>
          </cell>
          <cell r="Q320">
            <v>1573006.1099999999</v>
          </cell>
          <cell r="R320">
            <v>1604741.21</v>
          </cell>
          <cell r="S320">
            <v>1652160.2999999996</v>
          </cell>
        </row>
        <row r="321">
          <cell r="N321" t="str">
            <v>O0036</v>
          </cell>
          <cell r="O321">
            <v>5647243.9400000004</v>
          </cell>
          <cell r="P321">
            <v>5817318.2300000004</v>
          </cell>
          <cell r="Q321">
            <v>5840712.5600000005</v>
          </cell>
          <cell r="R321">
            <v>5777979.96</v>
          </cell>
          <cell r="S321">
            <v>6455465.3100000005</v>
          </cell>
        </row>
        <row r="322">
          <cell r="N322" t="str">
            <v>O0037</v>
          </cell>
          <cell r="O322">
            <v>2607877.13</v>
          </cell>
          <cell r="P322">
            <v>3671334.96</v>
          </cell>
          <cell r="Q322">
            <v>2149675.4300000002</v>
          </cell>
          <cell r="R322">
            <v>1923769.23</v>
          </cell>
          <cell r="S322">
            <v>2058184.1</v>
          </cell>
        </row>
        <row r="323">
          <cell r="N323" t="str">
            <v>O0038</v>
          </cell>
          <cell r="O323">
            <v>501123.71</v>
          </cell>
          <cell r="P323">
            <v>712538.16000000015</v>
          </cell>
          <cell r="Q323">
            <v>696378.36000000022</v>
          </cell>
          <cell r="R323">
            <v>709096.27</v>
          </cell>
          <cell r="S323">
            <v>1061142.4000000001</v>
          </cell>
        </row>
        <row r="324">
          <cell r="N324" t="str">
            <v>O0039</v>
          </cell>
          <cell r="O324">
            <v>334352.13999999996</v>
          </cell>
          <cell r="P324">
            <v>530862.54</v>
          </cell>
          <cell r="Q324">
            <v>25000</v>
          </cell>
          <cell r="R324">
            <v>7375.9</v>
          </cell>
          <cell r="S324">
            <v>0</v>
          </cell>
        </row>
        <row r="325">
          <cell r="N325" t="str">
            <v>O0040</v>
          </cell>
          <cell r="O325">
            <v>529349.43000000005</v>
          </cell>
          <cell r="P325">
            <v>664158.53</v>
          </cell>
          <cell r="Q325">
            <v>572266.83000000007</v>
          </cell>
          <cell r="R325">
            <v>552677.17999999993</v>
          </cell>
          <cell r="S325">
            <v>824560.59999999986</v>
          </cell>
        </row>
        <row r="326">
          <cell r="N326" t="str">
            <v>O0058</v>
          </cell>
          <cell r="O326">
            <v>1634936.1500000001</v>
          </cell>
          <cell r="P326">
            <v>2062552.1699999997</v>
          </cell>
          <cell r="Q326">
            <v>1719145.53</v>
          </cell>
          <cell r="R326">
            <v>1546278.7899999996</v>
          </cell>
          <cell r="S326">
            <v>1678750.1000000003</v>
          </cell>
        </row>
        <row r="327">
          <cell r="N327" t="str">
            <v>O0059</v>
          </cell>
          <cell r="O327">
            <v>625276.85</v>
          </cell>
          <cell r="P327">
            <v>737262.42</v>
          </cell>
          <cell r="Q327">
            <v>737964.73</v>
          </cell>
          <cell r="R327">
            <v>735669.42999999982</v>
          </cell>
          <cell r="S327">
            <v>759601.89999999991</v>
          </cell>
        </row>
        <row r="328">
          <cell r="N328" t="str">
            <v>O0060</v>
          </cell>
          <cell r="O328">
            <v>35785354.600000009</v>
          </cell>
          <cell r="P328">
            <v>45680502.519999996</v>
          </cell>
          <cell r="Q328">
            <v>48731249.900000006</v>
          </cell>
          <cell r="R328">
            <v>43504837.560000017</v>
          </cell>
          <cell r="S328">
            <v>49015513.899999999</v>
          </cell>
        </row>
        <row r="329">
          <cell r="N329" t="str">
            <v>O0062</v>
          </cell>
          <cell r="O329">
            <v>6742413.2000000002</v>
          </cell>
          <cell r="P329">
            <v>6519506.75</v>
          </cell>
          <cell r="Q329">
            <v>6617001.7100000009</v>
          </cell>
          <cell r="R329">
            <v>6882696.6399999997</v>
          </cell>
          <cell r="S329">
            <v>7547018.2000000011</v>
          </cell>
        </row>
        <row r="330">
          <cell r="N330" t="str">
            <v>O0063</v>
          </cell>
          <cell r="O330">
            <v>37716976.740000002</v>
          </cell>
          <cell r="P330">
            <v>40454235.829999998</v>
          </cell>
          <cell r="Q330">
            <v>39011468.460000001</v>
          </cell>
          <cell r="R330">
            <v>37925437.199999996</v>
          </cell>
          <cell r="S330">
            <v>47088912.369999997</v>
          </cell>
        </row>
        <row r="331">
          <cell r="N331" t="str">
            <v>O0069</v>
          </cell>
          <cell r="O331">
            <v>923145.72</v>
          </cell>
          <cell r="P331">
            <v>1204657.3999999999</v>
          </cell>
          <cell r="Q331">
            <v>1182777.3999999999</v>
          </cell>
          <cell r="R331">
            <v>1047540.79</v>
          </cell>
          <cell r="S331">
            <v>1494058.7</v>
          </cell>
        </row>
        <row r="332">
          <cell r="N332" t="str">
            <v>O0070</v>
          </cell>
          <cell r="O332">
            <v>681542.89</v>
          </cell>
          <cell r="P332">
            <v>672049.82000000007</v>
          </cell>
          <cell r="Q332">
            <v>754880.99</v>
          </cell>
          <cell r="R332">
            <v>826561.74</v>
          </cell>
          <cell r="S332">
            <v>991375.20000000007</v>
          </cell>
        </row>
        <row r="333">
          <cell r="N333" t="str">
            <v>O0072</v>
          </cell>
          <cell r="O333">
            <v>5222469.9799999995</v>
          </cell>
          <cell r="P333">
            <v>7338097.6199999992</v>
          </cell>
          <cell r="Q333">
            <v>7133600.6400000006</v>
          </cell>
          <cell r="R333">
            <v>4905496.26</v>
          </cell>
          <cell r="S333">
            <v>6864648.7999999998</v>
          </cell>
        </row>
        <row r="334">
          <cell r="N334" t="str">
            <v>O0074</v>
          </cell>
          <cell r="O334">
            <v>13836322.059999995</v>
          </cell>
          <cell r="P334">
            <v>15094983.92</v>
          </cell>
          <cell r="Q334">
            <v>15196854.77</v>
          </cell>
          <cell r="R334">
            <v>14915972.390000001</v>
          </cell>
          <cell r="S334">
            <v>15583107.299999999</v>
          </cell>
        </row>
        <row r="335">
          <cell r="N335" t="str">
            <v>O0076</v>
          </cell>
          <cell r="O335">
            <v>11440456.269999998</v>
          </cell>
          <cell r="P335">
            <v>13678490.490000002</v>
          </cell>
          <cell r="Q335">
            <v>10916659.439999999</v>
          </cell>
          <cell r="R335">
            <v>9735040.9800000023</v>
          </cell>
          <cell r="S335">
            <v>13437034.300000001</v>
          </cell>
        </row>
        <row r="336">
          <cell r="N336" t="str">
            <v>O0078</v>
          </cell>
          <cell r="O336">
            <v>2691956.3800000008</v>
          </cell>
          <cell r="P336">
            <v>3310564.17</v>
          </cell>
          <cell r="Q336">
            <v>3269355.9000000004</v>
          </cell>
          <cell r="R336">
            <v>3296058.98</v>
          </cell>
          <cell r="S336">
            <v>4510800.9999999991</v>
          </cell>
        </row>
        <row r="337">
          <cell r="N337" t="str">
            <v>O0084</v>
          </cell>
          <cell r="O337">
            <v>4750024.3100000005</v>
          </cell>
          <cell r="P337">
            <v>4946041.4399999995</v>
          </cell>
          <cell r="Q337">
            <v>6479426.870000001</v>
          </cell>
          <cell r="R337">
            <v>6216743.6399999987</v>
          </cell>
          <cell r="S337">
            <v>8121748.9000000004</v>
          </cell>
        </row>
        <row r="338">
          <cell r="N338" t="str">
            <v>O0085</v>
          </cell>
          <cell r="O338">
            <v>3189301.8400000003</v>
          </cell>
          <cell r="P338">
            <v>12254863.58</v>
          </cell>
          <cell r="Q338">
            <v>12814146.99</v>
          </cell>
          <cell r="R338">
            <v>8909861.5200000014</v>
          </cell>
          <cell r="S338">
            <v>7276417.5999999996</v>
          </cell>
        </row>
        <row r="339">
          <cell r="N339" t="str">
            <v>O0086</v>
          </cell>
          <cell r="O339">
            <v>2294540.9</v>
          </cell>
          <cell r="P339">
            <v>2609244.7400000002</v>
          </cell>
          <cell r="Q339">
            <v>2279127.6599999997</v>
          </cell>
          <cell r="R339">
            <v>2026900.7600000005</v>
          </cell>
          <cell r="S339">
            <v>1823012.5</v>
          </cell>
        </row>
        <row r="340">
          <cell r="N340" t="str">
            <v>O0087</v>
          </cell>
          <cell r="O340">
            <v>4260092.6199999992</v>
          </cell>
          <cell r="P340">
            <v>4931583.5999999996</v>
          </cell>
          <cell r="Q340">
            <v>4643727.1899999995</v>
          </cell>
          <cell r="R340">
            <v>4827818.28</v>
          </cell>
          <cell r="S340">
            <v>5865708.8999999994</v>
          </cell>
        </row>
        <row r="341">
          <cell r="N341" t="str">
            <v>O0090</v>
          </cell>
          <cell r="O341">
            <v>4107237.939999999</v>
          </cell>
          <cell r="P341">
            <v>5416868.6999999993</v>
          </cell>
          <cell r="Q341">
            <v>4826437.6399999987</v>
          </cell>
          <cell r="R341">
            <v>4685354.95</v>
          </cell>
          <cell r="S341">
            <v>5449431.9500000002</v>
          </cell>
        </row>
        <row r="342">
          <cell r="N342" t="str">
            <v>O0091</v>
          </cell>
          <cell r="O342">
            <v>6506035.2700000005</v>
          </cell>
          <cell r="P342">
            <v>6972450.3599999994</v>
          </cell>
          <cell r="Q342">
            <v>6934977.5499999998</v>
          </cell>
          <cell r="R342">
            <v>7136081.7400000012</v>
          </cell>
          <cell r="S342">
            <v>7728353.6000000006</v>
          </cell>
        </row>
        <row r="343">
          <cell r="N343" t="str">
            <v>O0092</v>
          </cell>
          <cell r="O343">
            <v>2132113.5700000003</v>
          </cell>
          <cell r="P343">
            <v>2333187.2199999997</v>
          </cell>
          <cell r="Q343">
            <v>2301490.7199999997</v>
          </cell>
          <cell r="R343">
            <v>2369416.1500000004</v>
          </cell>
          <cell r="S343">
            <v>2508329.1999999997</v>
          </cell>
        </row>
        <row r="344">
          <cell r="N344" t="str">
            <v>O0093</v>
          </cell>
          <cell r="O344">
            <v>14853909.170000002</v>
          </cell>
          <cell r="P344">
            <v>16628970.889999999</v>
          </cell>
          <cell r="Q344">
            <v>17009282.550000001</v>
          </cell>
          <cell r="R344">
            <v>16925213.039999999</v>
          </cell>
          <cell r="S344">
            <v>18201455.5</v>
          </cell>
        </row>
        <row r="345">
          <cell r="N345" t="str">
            <v>O0094</v>
          </cell>
          <cell r="O345">
            <v>4184291.8899999997</v>
          </cell>
          <cell r="P345">
            <v>4379991.9000000004</v>
          </cell>
          <cell r="Q345">
            <v>4314041.6500000004</v>
          </cell>
          <cell r="R345">
            <v>4366867.0600000005</v>
          </cell>
          <cell r="S345">
            <v>4633225.1999999993</v>
          </cell>
        </row>
        <row r="346">
          <cell r="N346" t="str">
            <v>O0117</v>
          </cell>
          <cell r="O346">
            <v>52227113.589999989</v>
          </cell>
          <cell r="P346">
            <v>67704522.020000011</v>
          </cell>
          <cell r="Q346">
            <v>103875353.84</v>
          </cell>
          <cell r="R346">
            <v>99731420.430000007</v>
          </cell>
          <cell r="S346">
            <v>124853701.40000004</v>
          </cell>
        </row>
        <row r="347">
          <cell r="N347" t="str">
            <v>O0119</v>
          </cell>
          <cell r="O347">
            <v>21778781.259999998</v>
          </cell>
          <cell r="P347">
            <v>18472175</v>
          </cell>
          <cell r="Q347">
            <v>20656263.920000002</v>
          </cell>
          <cell r="R347">
            <v>20578767.969999995</v>
          </cell>
          <cell r="S347">
            <v>0</v>
          </cell>
        </row>
        <row r="348">
          <cell r="N348" t="str">
            <v>O0220</v>
          </cell>
          <cell r="O348">
            <v>2695630.36</v>
          </cell>
          <cell r="P348">
            <v>3625456.8</v>
          </cell>
          <cell r="Q348">
            <v>3105338.8299999996</v>
          </cell>
          <cell r="R348">
            <v>2882036.48</v>
          </cell>
          <cell r="S348">
            <v>2722681</v>
          </cell>
        </row>
        <row r="349">
          <cell r="N349" t="str">
            <v>O0221</v>
          </cell>
          <cell r="O349">
            <v>6472835.2000000002</v>
          </cell>
          <cell r="P349">
            <v>4772485</v>
          </cell>
          <cell r="Q349">
            <v>5007925.17</v>
          </cell>
          <cell r="R349">
            <v>4802614.7600000007</v>
          </cell>
          <cell r="S349">
            <v>6540225.7000000002</v>
          </cell>
        </row>
        <row r="350">
          <cell r="N350" t="str">
            <v>O0262</v>
          </cell>
          <cell r="O350">
            <v>0</v>
          </cell>
          <cell r="P350">
            <v>750000</v>
          </cell>
          <cell r="Q350">
            <v>0</v>
          </cell>
          <cell r="R350">
            <v>0</v>
          </cell>
          <cell r="S350">
            <v>0</v>
          </cell>
        </row>
        <row r="351">
          <cell r="N351" t="str">
            <v>O0267</v>
          </cell>
          <cell r="O351">
            <v>6984120.3499999996</v>
          </cell>
          <cell r="P351">
            <v>6382507.7999999998</v>
          </cell>
          <cell r="Q351">
            <v>6242074.2199999997</v>
          </cell>
          <cell r="R351">
            <v>7863299.7800000003</v>
          </cell>
          <cell r="S351">
            <v>6675432.4000000004</v>
          </cell>
        </row>
        <row r="352">
          <cell r="N352" t="str">
            <v>P0042</v>
          </cell>
          <cell r="O352">
            <v>8223426.1000000006</v>
          </cell>
          <cell r="P352">
            <v>9053370.5700000003</v>
          </cell>
          <cell r="Q352">
            <v>9109003.6099999994</v>
          </cell>
          <cell r="R352">
            <v>8781000.9900000002</v>
          </cell>
          <cell r="S352">
            <v>9446103.5200000014</v>
          </cell>
        </row>
        <row r="353">
          <cell r="N353" t="str">
            <v>P0287</v>
          </cell>
          <cell r="O353">
            <v>11038730.369999997</v>
          </cell>
          <cell r="P353">
            <v>10141509.519999998</v>
          </cell>
          <cell r="Q353">
            <v>9706944.5199999996</v>
          </cell>
          <cell r="R353">
            <v>9055727.7300000004</v>
          </cell>
          <cell r="S353">
            <v>10289152.800000001</v>
          </cell>
        </row>
        <row r="354">
          <cell r="N354" t="str">
            <v>R0043</v>
          </cell>
          <cell r="O354">
            <v>17401779.43</v>
          </cell>
          <cell r="P354">
            <v>18993397.440000001</v>
          </cell>
          <cell r="Q354">
            <v>18873225.259999998</v>
          </cell>
          <cell r="R354">
            <v>19003406.889999997</v>
          </cell>
          <cell r="S354">
            <v>20356456.699999999</v>
          </cell>
        </row>
        <row r="355">
          <cell r="N355" t="str">
            <v>R0057</v>
          </cell>
          <cell r="O355">
            <v>10752732.029999997</v>
          </cell>
          <cell r="P355">
            <v>11328621.259999998</v>
          </cell>
          <cell r="Q355">
            <v>15228339.18</v>
          </cell>
          <cell r="R355">
            <v>15219140.540000007</v>
          </cell>
          <cell r="S355">
            <v>20442421.599999998</v>
          </cell>
        </row>
        <row r="356">
          <cell r="N356" t="str">
            <v>R0137</v>
          </cell>
          <cell r="O356">
            <v>52847299.950000003</v>
          </cell>
          <cell r="P356">
            <v>44577432.700000003</v>
          </cell>
          <cell r="Q356">
            <v>42562248.460000001</v>
          </cell>
          <cell r="R356">
            <v>40496546.119999997</v>
          </cell>
          <cell r="S356">
            <v>35718351.920000002</v>
          </cell>
        </row>
        <row r="357">
          <cell r="N357" t="str">
            <v>R0138</v>
          </cell>
          <cell r="O357">
            <v>46585259.390000001</v>
          </cell>
          <cell r="P357">
            <v>166714747.5</v>
          </cell>
          <cell r="Q357">
            <v>268359513.45000002</v>
          </cell>
          <cell r="R357">
            <v>105434943.72</v>
          </cell>
          <cell r="S357">
            <v>162151741.68999997</v>
          </cell>
        </row>
        <row r="358">
          <cell r="N358" t="str">
            <v>R0139</v>
          </cell>
          <cell r="O358">
            <v>95191220.700000003</v>
          </cell>
          <cell r="P358">
            <v>93343367.939999998</v>
          </cell>
          <cell r="Q358">
            <v>99359118</v>
          </cell>
          <cell r="R358">
            <v>98783184.75</v>
          </cell>
          <cell r="S358">
            <v>104226115.01000001</v>
          </cell>
        </row>
        <row r="359">
          <cell r="N359" t="str">
            <v>R0140</v>
          </cell>
          <cell r="O359">
            <v>63990763.929999992</v>
          </cell>
          <cell r="P359">
            <v>58460422</v>
          </cell>
          <cell r="Q359">
            <v>63890900.039999999</v>
          </cell>
          <cell r="R359">
            <v>63890900.039999999</v>
          </cell>
          <cell r="S359">
            <v>47850465.850000001</v>
          </cell>
        </row>
        <row r="360">
          <cell r="N360" t="str">
            <v>R0180</v>
          </cell>
          <cell r="O360">
            <v>33456315.579999998</v>
          </cell>
          <cell r="P360">
            <v>0</v>
          </cell>
          <cell r="Q360">
            <v>19743436.18</v>
          </cell>
          <cell r="R360">
            <v>6550356.5199999996</v>
          </cell>
          <cell r="S360">
            <v>11214117.689999999</v>
          </cell>
        </row>
        <row r="361">
          <cell r="N361" t="str">
            <v>S0012</v>
          </cell>
          <cell r="O361">
            <v>1000000</v>
          </cell>
          <cell r="P361">
            <v>1000000</v>
          </cell>
          <cell r="Q361">
            <v>1000000</v>
          </cell>
          <cell r="R361">
            <v>1000000</v>
          </cell>
          <cell r="S361">
            <v>1000000</v>
          </cell>
        </row>
        <row r="362">
          <cell r="N362" t="str">
            <v>S0025</v>
          </cell>
          <cell r="O362">
            <v>991710.67</v>
          </cell>
          <cell r="P362">
            <v>1500000</v>
          </cell>
          <cell r="Q362">
            <v>1251000</v>
          </cell>
          <cell r="R362">
            <v>1018194.11</v>
          </cell>
          <cell r="S362">
            <v>1500000</v>
          </cell>
        </row>
        <row r="363">
          <cell r="N363" t="str">
            <v>S0030</v>
          </cell>
          <cell r="O363">
            <v>2284701.56</v>
          </cell>
          <cell r="P363">
            <v>1229353.22</v>
          </cell>
          <cell r="Q363">
            <v>11087580.75</v>
          </cell>
          <cell r="R363">
            <v>7759735.7999999998</v>
          </cell>
          <cell r="S363">
            <v>6869521.7699999996</v>
          </cell>
        </row>
        <row r="364">
          <cell r="N364" t="str">
            <v>S0031</v>
          </cell>
          <cell r="O364">
            <v>1993356.1</v>
          </cell>
          <cell r="P364">
            <v>569342.97</v>
          </cell>
          <cell r="Q364">
            <v>2735260.16</v>
          </cell>
          <cell r="R364">
            <v>4749997.58</v>
          </cell>
          <cell r="S364">
            <v>4269933.71</v>
          </cell>
        </row>
        <row r="365">
          <cell r="N365" t="str">
            <v>S0037</v>
          </cell>
          <cell r="O365">
            <v>35640276.399999999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N366" t="str">
            <v>S0041</v>
          </cell>
          <cell r="O366">
            <v>2145768.6800000002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N367" t="str">
            <v>S0043</v>
          </cell>
          <cell r="O367">
            <v>2315222.23</v>
          </cell>
          <cell r="P367">
            <v>0</v>
          </cell>
          <cell r="Q367">
            <v>18365564.239999998</v>
          </cell>
          <cell r="R367">
            <v>16444786.83</v>
          </cell>
          <cell r="S367">
            <v>3044459.67</v>
          </cell>
        </row>
        <row r="368">
          <cell r="N368" t="str">
            <v>S0044</v>
          </cell>
          <cell r="O368">
            <v>1500000</v>
          </cell>
          <cell r="P368">
            <v>0</v>
          </cell>
          <cell r="Q368">
            <v>300000</v>
          </cell>
          <cell r="R368">
            <v>709271.09000000008</v>
          </cell>
          <cell r="S368">
            <v>0</v>
          </cell>
        </row>
        <row r="369">
          <cell r="N369" t="str">
            <v>S0046</v>
          </cell>
          <cell r="O369">
            <v>2360141.0099999998</v>
          </cell>
          <cell r="P369">
            <v>0</v>
          </cell>
          <cell r="Q369">
            <v>2400000</v>
          </cell>
          <cell r="R369">
            <v>2398073.8199999998</v>
          </cell>
          <cell r="S369">
            <v>625222.85</v>
          </cell>
        </row>
        <row r="370">
          <cell r="N370" t="str">
            <v>S0055</v>
          </cell>
          <cell r="O370">
            <v>999803.23</v>
          </cell>
          <cell r="P370">
            <v>1999999.9999999998</v>
          </cell>
          <cell r="Q370">
            <v>2028913.5999999999</v>
          </cell>
          <cell r="R370">
            <v>1737205.7999999998</v>
          </cell>
          <cell r="S370">
            <v>500000</v>
          </cell>
        </row>
        <row r="371">
          <cell r="N371" t="str">
            <v>S0058</v>
          </cell>
          <cell r="O371">
            <v>979550</v>
          </cell>
          <cell r="P371">
            <v>1000000</v>
          </cell>
          <cell r="Q371">
            <v>0</v>
          </cell>
          <cell r="R371">
            <v>0</v>
          </cell>
          <cell r="S371">
            <v>0</v>
          </cell>
        </row>
        <row r="372">
          <cell r="N372" t="str">
            <v>S0059</v>
          </cell>
          <cell r="O372">
            <v>9341812.2899999991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N373" t="str">
            <v>S0063</v>
          </cell>
          <cell r="O373">
            <v>279120.02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N374" t="str">
            <v>S0064</v>
          </cell>
          <cell r="O374">
            <v>0</v>
          </cell>
          <cell r="P374">
            <v>0</v>
          </cell>
          <cell r="Q374">
            <v>10000000</v>
          </cell>
          <cell r="R374">
            <v>10000000</v>
          </cell>
          <cell r="S374">
            <v>0</v>
          </cell>
        </row>
        <row r="375">
          <cell r="N375" t="str">
            <v>S0065</v>
          </cell>
          <cell r="O375">
            <v>8002542.04</v>
          </cell>
          <cell r="P375">
            <v>24374983.799999997</v>
          </cell>
          <cell r="Q375">
            <v>0</v>
          </cell>
          <cell r="R375">
            <v>0</v>
          </cell>
          <cell r="S375">
            <v>0</v>
          </cell>
        </row>
        <row r="376">
          <cell r="N376" t="str">
            <v>S0066</v>
          </cell>
          <cell r="O376">
            <v>28233730.760000002</v>
          </cell>
          <cell r="P376">
            <v>0</v>
          </cell>
          <cell r="Q376">
            <v>81619675.300000012</v>
          </cell>
          <cell r="R376">
            <v>76811800.340000004</v>
          </cell>
          <cell r="S376">
            <v>84268728.709999993</v>
          </cell>
        </row>
        <row r="377">
          <cell r="N377" t="str">
            <v>S0067</v>
          </cell>
          <cell r="O377">
            <v>3354833.16</v>
          </cell>
          <cell r="P377">
            <v>0</v>
          </cell>
          <cell r="Q377">
            <v>2585018.34</v>
          </cell>
          <cell r="R377">
            <v>15124307.25</v>
          </cell>
          <cell r="S377">
            <v>11053171.58</v>
          </cell>
        </row>
        <row r="378">
          <cell r="N378" t="str">
            <v>S0069</v>
          </cell>
          <cell r="O378">
            <v>0</v>
          </cell>
          <cell r="P378">
            <v>0</v>
          </cell>
          <cell r="Q378">
            <v>846622.92</v>
          </cell>
          <cell r="R378">
            <v>846622.92</v>
          </cell>
          <cell r="S378">
            <v>0</v>
          </cell>
        </row>
        <row r="379">
          <cell r="N379" t="str">
            <v>S0070</v>
          </cell>
          <cell r="O379">
            <v>0</v>
          </cell>
          <cell r="P379">
            <v>0</v>
          </cell>
          <cell r="Q379">
            <v>1679257.5</v>
          </cell>
          <cell r="R379">
            <v>1548468</v>
          </cell>
          <cell r="S379">
            <v>1900000</v>
          </cell>
        </row>
        <row r="380">
          <cell r="N380" t="str">
            <v>S0071</v>
          </cell>
          <cell r="O380">
            <v>0</v>
          </cell>
          <cell r="P380">
            <v>0</v>
          </cell>
          <cell r="Q380">
            <v>1250000</v>
          </cell>
          <cell r="R380">
            <v>1296000</v>
          </cell>
          <cell r="S380">
            <v>1008800</v>
          </cell>
        </row>
        <row r="381">
          <cell r="N381" t="str">
            <v>S0072</v>
          </cell>
          <cell r="O381">
            <v>0</v>
          </cell>
          <cell r="P381">
            <v>0</v>
          </cell>
          <cell r="Q381">
            <v>741200</v>
          </cell>
          <cell r="R381">
            <v>857983.47</v>
          </cell>
          <cell r="S381">
            <v>750000</v>
          </cell>
        </row>
        <row r="382">
          <cell r="N382" t="str">
            <v>S0073</v>
          </cell>
          <cell r="O382">
            <v>0</v>
          </cell>
          <cell r="P382">
            <v>1000000</v>
          </cell>
          <cell r="Q382">
            <v>0</v>
          </cell>
          <cell r="R382">
            <v>0</v>
          </cell>
          <cell r="S382">
            <v>0</v>
          </cell>
        </row>
        <row r="383">
          <cell r="N383" t="str">
            <v>S0074</v>
          </cell>
          <cell r="O383">
            <v>0</v>
          </cell>
          <cell r="P383">
            <v>400000</v>
          </cell>
          <cell r="Q383">
            <v>260000</v>
          </cell>
          <cell r="R383">
            <v>244666.62</v>
          </cell>
          <cell r="S383">
            <v>600000</v>
          </cell>
        </row>
        <row r="384">
          <cell r="N384" t="str">
            <v>S0075</v>
          </cell>
          <cell r="O384">
            <v>0</v>
          </cell>
          <cell r="P384">
            <v>0</v>
          </cell>
          <cell r="Q384">
            <v>1545000</v>
          </cell>
          <cell r="R384">
            <v>843022.59</v>
          </cell>
          <cell r="S384">
            <v>649781.65</v>
          </cell>
        </row>
        <row r="385">
          <cell r="N385" t="str">
            <v>S0076</v>
          </cell>
          <cell r="O385">
            <v>0</v>
          </cell>
          <cell r="P385">
            <v>0</v>
          </cell>
          <cell r="Q385">
            <v>11500000</v>
          </cell>
          <cell r="R385">
            <v>12149319.57</v>
          </cell>
          <cell r="S385">
            <v>5754926.1100000003</v>
          </cell>
        </row>
        <row r="386">
          <cell r="N386" t="str">
            <v>S0077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6377472.9000000004</v>
          </cell>
        </row>
        <row r="387">
          <cell r="N387" t="str">
            <v>S0079</v>
          </cell>
          <cell r="O387">
            <v>0</v>
          </cell>
          <cell r="P387">
            <v>0</v>
          </cell>
          <cell r="Q387">
            <v>0</v>
          </cell>
          <cell r="R387">
            <v>1650000</v>
          </cell>
          <cell r="S387">
            <v>0</v>
          </cell>
        </row>
        <row r="388">
          <cell r="N388" t="str">
            <v>S0209</v>
          </cell>
          <cell r="O388">
            <v>932479.29</v>
          </cell>
          <cell r="P388">
            <v>1000000</v>
          </cell>
          <cell r="Q388">
            <v>1000000</v>
          </cell>
          <cell r="R388">
            <v>979451</v>
          </cell>
          <cell r="S388">
            <v>0</v>
          </cell>
        </row>
        <row r="389">
          <cell r="N389" t="str">
            <v>S0210</v>
          </cell>
          <cell r="O389">
            <v>1944000</v>
          </cell>
          <cell r="P389">
            <v>2000000</v>
          </cell>
          <cell r="Q389">
            <v>1952400</v>
          </cell>
          <cell r="R389">
            <v>1945200</v>
          </cell>
          <cell r="S389">
            <v>2000000</v>
          </cell>
        </row>
        <row r="390">
          <cell r="N390" t="str">
            <v>S0211</v>
          </cell>
          <cell r="O390">
            <v>761440.59</v>
          </cell>
          <cell r="P390">
            <v>1000000</v>
          </cell>
          <cell r="Q390">
            <v>1027700</v>
          </cell>
          <cell r="R390">
            <v>890499.12</v>
          </cell>
          <cell r="S390">
            <v>1000000</v>
          </cell>
        </row>
        <row r="391">
          <cell r="N391" t="str">
            <v>S0212</v>
          </cell>
          <cell r="O391">
            <v>1988245.75</v>
          </cell>
          <cell r="P391">
            <v>2000000</v>
          </cell>
          <cell r="Q391">
            <v>2000000</v>
          </cell>
          <cell r="R391">
            <v>2002548.15</v>
          </cell>
          <cell r="S391">
            <v>3000000</v>
          </cell>
        </row>
        <row r="392">
          <cell r="N392" t="str">
            <v>S0269</v>
          </cell>
          <cell r="O392">
            <v>300000</v>
          </cell>
          <cell r="P392">
            <v>700000</v>
          </cell>
          <cell r="Q392">
            <v>100000</v>
          </cell>
          <cell r="R392">
            <v>100000</v>
          </cell>
          <cell r="S392">
            <v>100000</v>
          </cell>
        </row>
        <row r="393">
          <cell r="N393" t="str">
            <v>S0299</v>
          </cell>
          <cell r="O393">
            <v>571249.4</v>
          </cell>
          <cell r="P393">
            <v>3761292</v>
          </cell>
          <cell r="Q393">
            <v>1810402.72</v>
          </cell>
          <cell r="R393">
            <v>1810402.72</v>
          </cell>
          <cell r="S393">
            <v>100000</v>
          </cell>
        </row>
        <row r="394">
          <cell r="N394" t="str">
            <v>U0127</v>
          </cell>
          <cell r="O394">
            <v>29998322.600000001</v>
          </cell>
          <cell r="P394">
            <v>29858000</v>
          </cell>
          <cell r="Q394">
            <v>31142600</v>
          </cell>
          <cell r="R394">
            <v>31142600</v>
          </cell>
          <cell r="S394">
            <v>30903029.999999996</v>
          </cell>
        </row>
        <row r="395">
          <cell r="N395" t="str">
            <v>U0129</v>
          </cell>
          <cell r="O395">
            <v>5385066</v>
          </cell>
          <cell r="P395">
            <v>5330711</v>
          </cell>
          <cell r="Q395">
            <v>4197037</v>
          </cell>
          <cell r="R395">
            <v>3662737</v>
          </cell>
          <cell r="S395">
            <v>4456493.75</v>
          </cell>
        </row>
        <row r="396">
          <cell r="N396" t="str">
            <v>U0130</v>
          </cell>
          <cell r="O396">
            <v>0</v>
          </cell>
          <cell r="P396">
            <v>0</v>
          </cell>
          <cell r="Q396">
            <v>1000000</v>
          </cell>
          <cell r="R396">
            <v>1000000</v>
          </cell>
          <cell r="S396">
            <v>0</v>
          </cell>
        </row>
        <row r="397">
          <cell r="N397" t="str">
            <v>U0132</v>
          </cell>
          <cell r="O397">
            <v>2746557.2199999997</v>
          </cell>
          <cell r="P397">
            <v>2742720</v>
          </cell>
          <cell r="Q397">
            <v>2674049</v>
          </cell>
          <cell r="R397">
            <v>2744048.33</v>
          </cell>
          <cell r="S397">
            <v>2838715.1999999997</v>
          </cell>
        </row>
        <row r="398">
          <cell r="N398" t="str">
            <v>U0134</v>
          </cell>
          <cell r="O398">
            <v>1659340</v>
          </cell>
          <cell r="P398">
            <v>1437967</v>
          </cell>
          <cell r="Q398">
            <v>2055005</v>
          </cell>
          <cell r="R398">
            <v>2040000</v>
          </cell>
          <cell r="S398">
            <v>1500000</v>
          </cell>
        </row>
        <row r="399">
          <cell r="N399" t="str">
            <v>U0135</v>
          </cell>
          <cell r="O399">
            <v>8744223.8399999999</v>
          </cell>
          <cell r="P399">
            <v>10147224</v>
          </cell>
          <cell r="Q399">
            <v>9336354.9600000009</v>
          </cell>
          <cell r="R399">
            <v>9127698.7300000004</v>
          </cell>
          <cell r="S399">
            <v>9382794.8399999999</v>
          </cell>
        </row>
        <row r="400">
          <cell r="N400" t="str">
            <v>U0140</v>
          </cell>
          <cell r="O400">
            <v>1211398.8500000001</v>
          </cell>
          <cell r="P400">
            <v>3280000</v>
          </cell>
          <cell r="Q400">
            <v>3200000</v>
          </cell>
          <cell r="R400">
            <v>3414497.09</v>
          </cell>
          <cell r="S400">
            <v>3394799.9999999995</v>
          </cell>
        </row>
        <row r="401">
          <cell r="N401" t="str">
            <v>U0156</v>
          </cell>
          <cell r="O401">
            <v>948480</v>
          </cell>
          <cell r="P401">
            <v>7080000</v>
          </cell>
          <cell r="Q401">
            <v>1000000</v>
          </cell>
          <cell r="R401">
            <v>999600</v>
          </cell>
          <cell r="S401">
            <v>1100000</v>
          </cell>
        </row>
        <row r="402">
          <cell r="N402" t="str">
            <v>U0189</v>
          </cell>
          <cell r="O402">
            <v>775000</v>
          </cell>
          <cell r="P402">
            <v>232500</v>
          </cell>
          <cell r="Q402">
            <v>0</v>
          </cell>
          <cell r="R402">
            <v>0</v>
          </cell>
          <cell r="S402">
            <v>0</v>
          </cell>
        </row>
        <row r="403">
          <cell r="N403" t="str">
            <v>U0232</v>
          </cell>
          <cell r="O403">
            <v>37369943.840000004</v>
          </cell>
          <cell r="P403">
            <v>37202336</v>
          </cell>
          <cell r="Q403">
            <v>37202336</v>
          </cell>
          <cell r="R403">
            <v>33313752.799999997</v>
          </cell>
          <cell r="S403">
            <v>34869943.840000004</v>
          </cell>
        </row>
        <row r="404">
          <cell r="N404" t="str">
            <v>U0236</v>
          </cell>
          <cell r="O404">
            <v>17030962.100000001</v>
          </cell>
          <cell r="P404">
            <v>17692000</v>
          </cell>
          <cell r="Q404">
            <v>17254900</v>
          </cell>
          <cell r="R404">
            <v>18075900</v>
          </cell>
          <cell r="S404">
            <v>18311220</v>
          </cell>
        </row>
        <row r="405">
          <cell r="N405" t="str">
            <v>U0241</v>
          </cell>
          <cell r="O405">
            <v>3299168.58</v>
          </cell>
          <cell r="P405">
            <v>3464127</v>
          </cell>
          <cell r="Q405">
            <v>3290921</v>
          </cell>
          <cell r="R405">
            <v>3290921</v>
          </cell>
          <cell r="S405">
            <v>3290921</v>
          </cell>
        </row>
        <row r="406">
          <cell r="N406" t="str">
            <v>U0249</v>
          </cell>
          <cell r="O406">
            <v>14040144.670000002</v>
          </cell>
          <cell r="P406">
            <v>13954441.119999999</v>
          </cell>
          <cell r="Q406">
            <v>13546401.84</v>
          </cell>
          <cell r="R406">
            <v>13450704.119999999</v>
          </cell>
          <cell r="S406">
            <v>14224381.859999999</v>
          </cell>
        </row>
        <row r="407">
          <cell r="N407" t="str">
            <v>U0253</v>
          </cell>
          <cell r="O407">
            <v>3540828</v>
          </cell>
          <cell r="P407">
            <v>3787000</v>
          </cell>
          <cell r="Q407">
            <v>3662664</v>
          </cell>
          <cell r="R407">
            <v>3409271</v>
          </cell>
          <cell r="S407">
            <v>3903704</v>
          </cell>
        </row>
        <row r="408">
          <cell r="N408" t="str">
            <v>U0267</v>
          </cell>
          <cell r="O408">
            <v>600000</v>
          </cell>
          <cell r="P408">
            <v>1000000</v>
          </cell>
          <cell r="Q408">
            <v>3499485</v>
          </cell>
          <cell r="R408">
            <v>3250130</v>
          </cell>
          <cell r="S408">
            <v>3600000</v>
          </cell>
        </row>
        <row r="409">
          <cell r="N409" t="str">
            <v>U0269</v>
          </cell>
          <cell r="O409">
            <v>0</v>
          </cell>
          <cell r="P409">
            <v>0</v>
          </cell>
          <cell r="Q409">
            <v>7953116</v>
          </cell>
          <cell r="R409">
            <v>7718296.5</v>
          </cell>
          <cell r="S409">
            <v>4998764</v>
          </cell>
        </row>
        <row r="410">
          <cell r="N410" t="str">
            <v>U0270</v>
          </cell>
          <cell r="O410">
            <v>0</v>
          </cell>
          <cell r="P410">
            <v>0</v>
          </cell>
          <cell r="Q410">
            <v>1475000</v>
          </cell>
          <cell r="R410">
            <v>0</v>
          </cell>
          <cell r="S410">
            <v>1402500</v>
          </cell>
        </row>
        <row r="411">
          <cell r="N411" t="str">
            <v>U0271</v>
          </cell>
          <cell r="O411">
            <v>0</v>
          </cell>
          <cell r="P411">
            <v>0</v>
          </cell>
          <cell r="Q411">
            <v>3825000</v>
          </cell>
          <cell r="R411">
            <v>0</v>
          </cell>
          <cell r="S411">
            <v>0</v>
          </cell>
        </row>
        <row r="412">
          <cell r="N412" t="str">
            <v>U0275</v>
          </cell>
          <cell r="O412">
            <v>11357356</v>
          </cell>
          <cell r="P412">
            <v>6760615</v>
          </cell>
          <cell r="Q412">
            <v>6497135</v>
          </cell>
          <cell r="R412">
            <v>5208089</v>
          </cell>
          <cell r="S412">
            <v>4280000</v>
          </cell>
        </row>
        <row r="413">
          <cell r="N413" t="str">
            <v>U0301</v>
          </cell>
          <cell r="O413">
            <v>0</v>
          </cell>
          <cell r="P413">
            <v>5000000</v>
          </cell>
          <cell r="Q413">
            <v>11000000</v>
          </cell>
          <cell r="R413">
            <v>11000000</v>
          </cell>
          <cell r="S413">
            <v>5000000</v>
          </cell>
        </row>
        <row r="414">
          <cell r="N414" t="str">
            <v>(en blanco)</v>
          </cell>
          <cell r="O414">
            <v>1714397757.1299996</v>
          </cell>
          <cell r="P414">
            <v>1908423699.3899996</v>
          </cell>
          <cell r="Q414">
            <v>2265513441.000001</v>
          </cell>
          <cell r="R414">
            <v>2034988754.4099994</v>
          </cell>
          <cell r="S414">
            <v>2035702119.6999996</v>
          </cell>
        </row>
        <row r="415">
          <cell r="N415" t="str">
            <v>Total general</v>
          </cell>
          <cell r="O415">
            <v>6857876653.2200089</v>
          </cell>
          <cell r="P415">
            <v>7635535443.5599966</v>
          </cell>
          <cell r="Q415">
            <v>9064608965.3600044</v>
          </cell>
          <cell r="R415">
            <v>8140860218.9999981</v>
          </cell>
          <cell r="S415">
            <v>8142808478.7999992</v>
          </cell>
        </row>
      </sheetData>
      <sheetData sheetId="1"/>
      <sheetData sheetId="2">
        <row r="6">
          <cell r="H6">
            <v>350431001.42000002</v>
          </cell>
        </row>
      </sheetData>
      <sheetData sheetId="3">
        <row r="2">
          <cell r="A2" t="str">
            <v>Etiquetas de fila</v>
          </cell>
          <cell r="B2" t="str">
            <v>Suma de Cierre de ejercicio 2020</v>
          </cell>
          <cell r="D2" t="str">
            <v>Etiquetas de fila</v>
          </cell>
          <cell r="E2" t="str">
            <v>Suma de PRESUPUESTO AL CIERRE DE EJERCICIO</v>
          </cell>
        </row>
        <row r="3">
          <cell r="A3">
            <v>1100116</v>
          </cell>
          <cell r="B3">
            <v>3937604.88</v>
          </cell>
          <cell r="D3">
            <v>1100116</v>
          </cell>
          <cell r="E3">
            <v>3937604.88</v>
          </cell>
        </row>
        <row r="4">
          <cell r="A4">
            <v>1100117</v>
          </cell>
          <cell r="B4">
            <v>2612751.64</v>
          </cell>
          <cell r="D4">
            <v>1100117</v>
          </cell>
          <cell r="E4">
            <v>2612751.64</v>
          </cell>
        </row>
        <row r="5">
          <cell r="A5">
            <v>1100118</v>
          </cell>
          <cell r="B5">
            <v>45395857.859999999</v>
          </cell>
          <cell r="D5">
            <v>1100118</v>
          </cell>
          <cell r="E5">
            <v>45395857.859999999</v>
          </cell>
        </row>
        <row r="6">
          <cell r="A6">
            <v>1100119</v>
          </cell>
          <cell r="B6">
            <v>111270975.70999999</v>
          </cell>
          <cell r="D6">
            <v>1100119</v>
          </cell>
          <cell r="E6">
            <v>110949975.70999998</v>
          </cell>
        </row>
        <row r="7">
          <cell r="A7">
            <v>1100120</v>
          </cell>
          <cell r="B7">
            <v>587596733.25999987</v>
          </cell>
          <cell r="D7">
            <v>1100120</v>
          </cell>
          <cell r="E7">
            <v>395776143.55000031</v>
          </cell>
        </row>
        <row r="8">
          <cell r="A8">
            <v>1201019</v>
          </cell>
          <cell r="B8">
            <v>0</v>
          </cell>
          <cell r="D8">
            <v>1100121</v>
          </cell>
          <cell r="E8">
            <v>0</v>
          </cell>
        </row>
        <row r="9">
          <cell r="A9">
            <v>1201020</v>
          </cell>
          <cell r="B9">
            <v>0</v>
          </cell>
          <cell r="D9">
            <v>1201019</v>
          </cell>
          <cell r="E9">
            <v>0</v>
          </cell>
        </row>
        <row r="10">
          <cell r="A10">
            <v>1500520</v>
          </cell>
          <cell r="B10">
            <v>727855309.38</v>
          </cell>
          <cell r="D10">
            <v>1500520</v>
          </cell>
          <cell r="E10">
            <v>727855309.38000011</v>
          </cell>
        </row>
        <row r="11">
          <cell r="A11">
            <v>2510119</v>
          </cell>
          <cell r="B11">
            <v>0</v>
          </cell>
          <cell r="D11">
            <v>1500521</v>
          </cell>
          <cell r="E11">
            <v>0</v>
          </cell>
        </row>
        <row r="12">
          <cell r="A12">
            <v>2510120</v>
          </cell>
          <cell r="B12">
            <v>98783184.75</v>
          </cell>
          <cell r="D12">
            <v>1701119</v>
          </cell>
          <cell r="E12">
            <v>-384693.64</v>
          </cell>
        </row>
        <row r="13">
          <cell r="A13">
            <v>2510220</v>
          </cell>
          <cell r="B13">
            <v>345663542.30000001</v>
          </cell>
          <cell r="D13">
            <v>2510119</v>
          </cell>
          <cell r="E13">
            <v>0</v>
          </cell>
        </row>
        <row r="14">
          <cell r="A14">
            <v>2520319</v>
          </cell>
          <cell r="B14">
            <v>1141747.92</v>
          </cell>
          <cell r="D14">
            <v>2510120</v>
          </cell>
          <cell r="E14">
            <v>98783184.75</v>
          </cell>
        </row>
        <row r="15">
          <cell r="A15">
            <v>2520320</v>
          </cell>
          <cell r="B15">
            <v>17213553</v>
          </cell>
          <cell r="D15">
            <v>2510220</v>
          </cell>
          <cell r="E15">
            <v>345663542.30000001</v>
          </cell>
        </row>
        <row r="16">
          <cell r="A16">
            <v>2610118</v>
          </cell>
          <cell r="B16">
            <v>6999999.8499999996</v>
          </cell>
          <cell r="D16">
            <v>2520319</v>
          </cell>
          <cell r="E16">
            <v>1141747.92</v>
          </cell>
        </row>
        <row r="17">
          <cell r="A17">
            <v>2610119</v>
          </cell>
          <cell r="B17">
            <v>12112828.140000001</v>
          </cell>
          <cell r="D17">
            <v>2520320</v>
          </cell>
          <cell r="E17">
            <v>17201287.239999998</v>
          </cell>
        </row>
        <row r="18">
          <cell r="A18">
            <v>2610120</v>
          </cell>
          <cell r="B18">
            <v>183978787.64000002</v>
          </cell>
          <cell r="D18">
            <v>2610117</v>
          </cell>
          <cell r="E18">
            <v>0</v>
          </cell>
        </row>
        <row r="19">
          <cell r="A19">
            <v>2610220</v>
          </cell>
          <cell r="B19">
            <v>88046233.620000005</v>
          </cell>
          <cell r="D19">
            <v>2610118</v>
          </cell>
          <cell r="E19">
            <v>6999999.8499999996</v>
          </cell>
        </row>
        <row r="20">
          <cell r="A20">
            <v>2610717</v>
          </cell>
          <cell r="B20">
            <v>0</v>
          </cell>
          <cell r="D20">
            <v>2610119</v>
          </cell>
          <cell r="E20">
            <v>12112828.140000001</v>
          </cell>
        </row>
        <row r="21">
          <cell r="A21">
            <v>2610718</v>
          </cell>
          <cell r="B21">
            <v>0</v>
          </cell>
          <cell r="D21">
            <v>2610120</v>
          </cell>
          <cell r="E21">
            <v>183213658.18999997</v>
          </cell>
        </row>
        <row r="22">
          <cell r="A22">
            <v>2610719</v>
          </cell>
          <cell r="B22">
            <v>0</v>
          </cell>
          <cell r="D22">
            <v>2610220</v>
          </cell>
          <cell r="E22">
            <v>83729556.640000001</v>
          </cell>
        </row>
        <row r="23">
          <cell r="A23">
            <v>2610720</v>
          </cell>
          <cell r="B23">
            <v>0</v>
          </cell>
          <cell r="D23" t="str">
            <v>(en blanco)</v>
          </cell>
          <cell r="E23">
            <v>6105871464.5899973</v>
          </cell>
        </row>
        <row r="24">
          <cell r="A24" t="str">
            <v>(en blanco)</v>
          </cell>
          <cell r="B24">
            <v>7237453667.5700006</v>
          </cell>
          <cell r="D24" t="str">
            <v>Total general</v>
          </cell>
          <cell r="E24">
            <v>8140860218.9999981</v>
          </cell>
        </row>
        <row r="25">
          <cell r="A25" t="str">
            <v>Total general</v>
          </cell>
          <cell r="B25">
            <v>9470062777.5200005</v>
          </cell>
        </row>
      </sheetData>
      <sheetData sheetId="4"/>
      <sheetData sheetId="5"/>
      <sheetData sheetId="6"/>
      <sheetData sheetId="7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</row>
        <row r="3">
          <cell r="A3">
            <v>1111</v>
          </cell>
          <cell r="B3" t="str">
            <v>Dietas</v>
          </cell>
        </row>
        <row r="4">
          <cell r="A4">
            <v>1121</v>
          </cell>
          <cell r="B4" t="str">
            <v>Haberes</v>
          </cell>
        </row>
        <row r="5">
          <cell r="A5">
            <v>1131</v>
          </cell>
          <cell r="B5" t="str">
            <v>Sueldos Base</v>
          </cell>
        </row>
        <row r="6">
          <cell r="A6">
            <v>1132</v>
          </cell>
          <cell r="B6" t="str">
            <v>Sueldos de confianza</v>
          </cell>
        </row>
        <row r="7">
          <cell r="A7">
            <v>1141</v>
          </cell>
          <cell r="B7" t="str">
            <v>Remuneraciones en el extranjero</v>
          </cell>
        </row>
        <row r="8">
          <cell r="A8">
            <v>1211</v>
          </cell>
          <cell r="B8" t="str">
            <v>Honorarios</v>
          </cell>
        </row>
        <row r="9">
          <cell r="A9">
            <v>1212</v>
          </cell>
          <cell r="B9" t="str">
            <v>Honorarios asimilados</v>
          </cell>
        </row>
        <row r="10">
          <cell r="A10">
            <v>1221</v>
          </cell>
          <cell r="B10" t="str">
            <v>Remuneraciones para eventuales</v>
          </cell>
        </row>
        <row r="11">
          <cell r="A11">
            <v>1231</v>
          </cell>
          <cell r="B11" t="str">
            <v>Servicio social</v>
          </cell>
        </row>
        <row r="12">
          <cell r="A12">
            <v>1241</v>
          </cell>
          <cell r="B12" t="str">
            <v>Junta de Conciliación y Arbitraje</v>
          </cell>
        </row>
        <row r="13">
          <cell r="A13">
            <v>1311</v>
          </cell>
          <cell r="B13" t="str">
            <v xml:space="preserve">Prima quinquenal </v>
          </cell>
        </row>
        <row r="14">
          <cell r="A14">
            <v>1312</v>
          </cell>
          <cell r="B14" t="str">
            <v>Antigüedad</v>
          </cell>
        </row>
        <row r="15">
          <cell r="A15">
            <v>1321</v>
          </cell>
          <cell r="B15" t="str">
            <v>Prima Vacacional</v>
          </cell>
        </row>
        <row r="16">
          <cell r="A16">
            <v>1322</v>
          </cell>
          <cell r="B16" t="str">
            <v>Prima Dominical</v>
          </cell>
        </row>
        <row r="17">
          <cell r="A17">
            <v>1323</v>
          </cell>
          <cell r="B17" t="str">
            <v>Gratificación de fin de año</v>
          </cell>
        </row>
        <row r="18">
          <cell r="A18">
            <v>1331</v>
          </cell>
          <cell r="B18" t="str">
            <v>Remuneraciones por horas extraordinarias</v>
          </cell>
        </row>
        <row r="19">
          <cell r="A19">
            <v>1341</v>
          </cell>
          <cell r="B19" t="str">
            <v>Compensaciones por servicios eventuales</v>
          </cell>
        </row>
        <row r="20">
          <cell r="A20">
            <v>1342</v>
          </cell>
          <cell r="B20" t="str">
            <v>Compensaciones por servicios</v>
          </cell>
        </row>
        <row r="21">
          <cell r="A21">
            <v>1351</v>
          </cell>
          <cell r="B21" t="str">
            <v>Sobrehaberes</v>
          </cell>
        </row>
        <row r="22">
          <cell r="A22">
            <v>1361</v>
          </cell>
          <cell r="B22" t="str">
            <v>Técnico especial</v>
          </cell>
        </row>
        <row r="23">
          <cell r="A23">
            <v>1371</v>
          </cell>
          <cell r="B23" t="str">
            <v>Honorarios especiales</v>
          </cell>
        </row>
        <row r="24">
          <cell r="A24">
            <v>1381</v>
          </cell>
          <cell r="B24" t="str">
            <v>Participaciones por vigilancia</v>
          </cell>
        </row>
        <row r="25">
          <cell r="A25">
            <v>1411</v>
          </cell>
          <cell r="B25" t="str">
            <v>Aportaciones al ISSEG</v>
          </cell>
        </row>
        <row r="26">
          <cell r="A26">
            <v>1412</v>
          </cell>
          <cell r="B26" t="str">
            <v>Cuotas al ISSSTE</v>
          </cell>
        </row>
        <row r="27">
          <cell r="A27">
            <v>1413</v>
          </cell>
          <cell r="B27" t="str">
            <v>Aportaciones IMSS</v>
          </cell>
        </row>
        <row r="28">
          <cell r="A28">
            <v>1421</v>
          </cell>
          <cell r="B28" t="str">
            <v>Aportaciones INFONAVIT</v>
          </cell>
        </row>
        <row r="29">
          <cell r="A29">
            <v>1431</v>
          </cell>
          <cell r="B29" t="str">
            <v>Ahorro para el retiro</v>
          </cell>
        </row>
        <row r="30">
          <cell r="A30">
            <v>1441</v>
          </cell>
          <cell r="B30" t="str">
            <v>Seguros</v>
          </cell>
        </row>
        <row r="31">
          <cell r="A31">
            <v>1511</v>
          </cell>
          <cell r="B31" t="str">
            <v>Cuotas para el fondo de ahorro</v>
          </cell>
        </row>
        <row r="32">
          <cell r="A32">
            <v>1512</v>
          </cell>
          <cell r="B32" t="str">
            <v>Cuotas para fondo de trabajo</v>
          </cell>
        </row>
        <row r="33">
          <cell r="A33">
            <v>1521</v>
          </cell>
          <cell r="B33" t="str">
            <v>Indemnizaciones por accidentes en el trabajo</v>
          </cell>
        </row>
        <row r="34">
          <cell r="A34">
            <v>1522</v>
          </cell>
          <cell r="B34" t="str">
            <v>Liquidaciones por indemnizaciones y por sueldos y salarios caídos</v>
          </cell>
        </row>
        <row r="35">
          <cell r="A35">
            <v>1523</v>
          </cell>
          <cell r="B35" t="str">
            <v>Pago por riesgo</v>
          </cell>
        </row>
        <row r="36">
          <cell r="A36">
            <v>1531</v>
          </cell>
          <cell r="B36" t="str">
            <v>Prestaciones de retiro</v>
          </cell>
        </row>
        <row r="37">
          <cell r="A37">
            <v>1532</v>
          </cell>
          <cell r="B37" t="str">
            <v>Haberes de retiro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</row>
        <row r="39">
          <cell r="A39">
            <v>1551</v>
          </cell>
          <cell r="B39" t="str">
            <v>Capacitación de los servidores públicos</v>
          </cell>
        </row>
        <row r="40">
          <cell r="A40">
            <v>1561</v>
          </cell>
          <cell r="B40" t="str">
            <v>Asignaciones adicionales al sueldo</v>
          </cell>
        </row>
        <row r="41">
          <cell r="A41">
            <v>1562</v>
          </cell>
          <cell r="B41" t="str">
            <v>Otras prestaciones</v>
          </cell>
        </row>
        <row r="42">
          <cell r="A42">
            <v>1591</v>
          </cell>
          <cell r="B42" t="str">
            <v>Asignaciones adicionales al sueldo</v>
          </cell>
        </row>
        <row r="43">
          <cell r="A43">
            <v>1592</v>
          </cell>
          <cell r="B43" t="str">
            <v>Otras prestaciones</v>
          </cell>
        </row>
        <row r="44">
          <cell r="A44">
            <v>1593</v>
          </cell>
          <cell r="B44" t="str">
            <v>Despensas</v>
          </cell>
        </row>
        <row r="45">
          <cell r="A45">
            <v>1611</v>
          </cell>
          <cell r="B45" t="str">
            <v>Previsiones de carácter laboral</v>
          </cell>
        </row>
        <row r="46">
          <cell r="A46">
            <v>1612</v>
          </cell>
          <cell r="B46" t="str">
            <v>Previsiones de carácter económico</v>
          </cell>
        </row>
        <row r="47">
          <cell r="A47">
            <v>1613</v>
          </cell>
          <cell r="B47" t="str">
            <v>Previsiones de carácter de seguridad social</v>
          </cell>
        </row>
        <row r="48">
          <cell r="A48">
            <v>1711</v>
          </cell>
          <cell r="B48" t="str">
            <v xml:space="preserve">Estímulos por productividad y eficiencia </v>
          </cell>
        </row>
        <row r="49">
          <cell r="A49">
            <v>1712</v>
          </cell>
          <cell r="B49" t="str">
            <v xml:space="preserve">Estímulos al personal operativo </v>
          </cell>
        </row>
        <row r="50">
          <cell r="A50">
            <v>1721</v>
          </cell>
          <cell r="B50" t="str">
            <v>Recompensas</v>
          </cell>
        </row>
        <row r="51">
          <cell r="A51">
            <v>1811</v>
          </cell>
          <cell r="B51" t="str">
            <v>Impuesto sobre nóminas</v>
          </cell>
        </row>
        <row r="52">
          <cell r="A52">
            <v>1821</v>
          </cell>
          <cell r="B52" t="str">
            <v>Otros impuestos</v>
          </cell>
        </row>
        <row r="53">
          <cell r="A53">
            <v>2000</v>
          </cell>
          <cell r="B53" t="str">
            <v>Materiales y Suministros</v>
          </cell>
        </row>
        <row r="54">
          <cell r="A54">
            <v>2111</v>
          </cell>
          <cell r="B54" t="str">
            <v>Materiales y útiles de oficina</v>
          </cell>
        </row>
        <row r="55">
          <cell r="A55">
            <v>2112</v>
          </cell>
          <cell r="B55" t="str">
            <v>Equipos menores de oficina</v>
          </cell>
        </row>
        <row r="56">
          <cell r="A56">
            <v>2121</v>
          </cell>
          <cell r="B56" t="str">
            <v>Materiales y útiles de impresión y reproducción</v>
          </cell>
        </row>
        <row r="57">
          <cell r="A57">
            <v>2131</v>
          </cell>
          <cell r="B57" t="str">
            <v>Material estadístico y geográfico</v>
          </cell>
        </row>
        <row r="58">
          <cell r="A58">
            <v>2141</v>
          </cell>
          <cell r="B58" t="str">
            <v>Materiales y útiles de tecnologías de la información y comunicaciones</v>
          </cell>
        </row>
        <row r="59">
          <cell r="A59">
            <v>2142</v>
          </cell>
          <cell r="B59" t="str">
            <v>Equipos menores de tecnologías de la información y comunicaciones</v>
          </cell>
        </row>
        <row r="60">
          <cell r="A60">
            <v>2151</v>
          </cell>
          <cell r="B60" t="str">
            <v>Material impreso e información digital</v>
          </cell>
        </row>
        <row r="61">
          <cell r="A61">
            <v>2161</v>
          </cell>
          <cell r="B61" t="str">
            <v>Material de limpieza</v>
          </cell>
        </row>
        <row r="62">
          <cell r="A62">
            <v>2171</v>
          </cell>
          <cell r="B62" t="str">
            <v>Materiales y útiles de enseñanza</v>
          </cell>
        </row>
        <row r="63">
          <cell r="A63">
            <v>2181</v>
          </cell>
          <cell r="B63" t="str">
            <v>Materiales para el registro e identificación de bienes</v>
          </cell>
        </row>
        <row r="64">
          <cell r="A64">
            <v>2182</v>
          </cell>
          <cell r="B64" t="str">
            <v>Materiales para el registro e identificación de personas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</row>
        <row r="67">
          <cell r="A67">
            <v>2213</v>
          </cell>
          <cell r="B67" t="str">
            <v>Productos alimenticios para la población en caso de desastres naturales</v>
          </cell>
        </row>
        <row r="68">
          <cell r="A68">
            <v>2214</v>
          </cell>
          <cell r="B68" t="str">
            <v>Alimentos Centro de detención municipal</v>
          </cell>
        </row>
        <row r="69">
          <cell r="A69">
            <v>2221</v>
          </cell>
          <cell r="B69" t="str">
            <v>Productos alimenticios para animales</v>
          </cell>
        </row>
        <row r="70">
          <cell r="A70">
            <v>2231</v>
          </cell>
          <cell r="B70" t="str">
            <v>Utensilios para el servicio de alimentación</v>
          </cell>
        </row>
        <row r="71">
          <cell r="A71">
            <v>2311</v>
          </cell>
          <cell r="B71" t="str">
            <v>Productos alimenticios, agropecuarios y forestales</v>
          </cell>
        </row>
        <row r="72">
          <cell r="A72">
            <v>2312</v>
          </cell>
          <cell r="B72" t="str">
            <v xml:space="preserve">Material agropecuario </v>
          </cell>
        </row>
        <row r="73">
          <cell r="A73">
            <v>2321</v>
          </cell>
          <cell r="B73" t="str">
            <v>Insumos textiles</v>
          </cell>
        </row>
        <row r="74">
          <cell r="A74">
            <v>2331</v>
          </cell>
          <cell r="B74" t="str">
            <v>Productos de papel, cartón e impresos</v>
          </cell>
        </row>
        <row r="75">
          <cell r="A75">
            <v>2341</v>
          </cell>
          <cell r="B75" t="str">
            <v>Combustibles, lubricantes, aditivos, carbon y sus derivados</v>
          </cell>
        </row>
        <row r="76">
          <cell r="A76">
            <v>2351</v>
          </cell>
          <cell r="B76" t="str">
            <v>Productos químicos, farmacéuticos y de laboratorio</v>
          </cell>
        </row>
        <row r="77">
          <cell r="A77">
            <v>2361</v>
          </cell>
          <cell r="B77" t="str">
            <v>Productos metálicos y a base de minerales no metálicos</v>
          </cell>
        </row>
        <row r="78">
          <cell r="A78">
            <v>2371</v>
          </cell>
          <cell r="B78" t="str">
            <v>Productos de cuero, piel, plástico y hule</v>
          </cell>
        </row>
        <row r="79">
          <cell r="A79">
            <v>2381</v>
          </cell>
          <cell r="B79" t="str">
            <v>Mercancías para su comercialización en tiendas del sector público</v>
          </cell>
        </row>
        <row r="80">
          <cell r="A80">
            <v>2382</v>
          </cell>
          <cell r="B80" t="str">
            <v>Mercancías para su distribución a la población</v>
          </cell>
        </row>
        <row r="81">
          <cell r="A81">
            <v>2391</v>
          </cell>
          <cell r="B81" t="str">
            <v xml:space="preserve">Otros productos </v>
          </cell>
        </row>
        <row r="82">
          <cell r="A82">
            <v>2411</v>
          </cell>
          <cell r="B82" t="str">
            <v>Materiales de construcción minerales no metálicos</v>
          </cell>
        </row>
        <row r="83">
          <cell r="A83">
            <v>2421</v>
          </cell>
          <cell r="B83" t="str">
            <v>Materiales de construcción de concreto</v>
          </cell>
        </row>
        <row r="84">
          <cell r="A84">
            <v>2431</v>
          </cell>
          <cell r="B84" t="str">
            <v>Materiales de construcción de cal y yeso</v>
          </cell>
        </row>
        <row r="85">
          <cell r="A85">
            <v>2441</v>
          </cell>
          <cell r="B85" t="str">
            <v>Materiales de construcción de madera</v>
          </cell>
        </row>
        <row r="86">
          <cell r="A86">
            <v>2451</v>
          </cell>
          <cell r="B86" t="str">
            <v>Materiales de construcción de vidrio</v>
          </cell>
        </row>
        <row r="87">
          <cell r="A87">
            <v>2461</v>
          </cell>
          <cell r="B87" t="str">
            <v>Material eléctrico y electrónico</v>
          </cell>
        </row>
        <row r="88">
          <cell r="A88">
            <v>2471</v>
          </cell>
          <cell r="B88" t="str">
            <v>Estructuras y manufacturas</v>
          </cell>
        </row>
        <row r="89">
          <cell r="A89">
            <v>2481</v>
          </cell>
          <cell r="B89" t="str">
            <v xml:space="preserve">Materiales complementarios </v>
          </cell>
        </row>
        <row r="90">
          <cell r="A90">
            <v>2491</v>
          </cell>
          <cell r="B90" t="str">
            <v xml:space="preserve">Materiales diversos </v>
          </cell>
        </row>
        <row r="91">
          <cell r="A91">
            <v>2492</v>
          </cell>
          <cell r="B91" t="str">
            <v>Material para señalética</v>
          </cell>
        </row>
        <row r="92">
          <cell r="A92">
            <v>2493</v>
          </cell>
          <cell r="B92" t="str">
            <v>Material para semaforización</v>
          </cell>
        </row>
        <row r="93">
          <cell r="A93">
            <v>2511</v>
          </cell>
          <cell r="B93" t="str">
            <v>Sustancias químicas</v>
          </cell>
        </row>
        <row r="94">
          <cell r="A94">
            <v>2521</v>
          </cell>
          <cell r="B94" t="str">
            <v>Fertilizantes y abonos</v>
          </cell>
        </row>
        <row r="95">
          <cell r="A95">
            <v>2522</v>
          </cell>
          <cell r="B95" t="str">
            <v>Plaguicidas y pesticidas</v>
          </cell>
        </row>
        <row r="96">
          <cell r="A96">
            <v>2531</v>
          </cell>
          <cell r="B96" t="str">
            <v>Medicinas y productos farmacéuticos</v>
          </cell>
        </row>
        <row r="97">
          <cell r="A97">
            <v>2541</v>
          </cell>
          <cell r="B97" t="str">
            <v>Materiales, accesorios y suministros médicos</v>
          </cell>
        </row>
        <row r="98">
          <cell r="A98">
            <v>2551</v>
          </cell>
          <cell r="B98" t="str">
            <v>Materiales, accesorios y suministros de laboratorio</v>
          </cell>
        </row>
        <row r="99">
          <cell r="A99">
            <v>2561</v>
          </cell>
          <cell r="B99" t="str">
            <v>Fibras sintéticas, hules, plásticos y derivados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</row>
        <row r="103">
          <cell r="A103">
            <v>2614</v>
          </cell>
          <cell r="B103" t="str">
            <v>Gas natural L.P</v>
          </cell>
        </row>
        <row r="104">
          <cell r="A104">
            <v>2621</v>
          </cell>
          <cell r="B104" t="str">
            <v>Carbón y sus derivados</v>
          </cell>
        </row>
        <row r="105">
          <cell r="A105">
            <v>2711</v>
          </cell>
          <cell r="B105" t="str">
            <v>Vestuario y uniformes</v>
          </cell>
        </row>
        <row r="106">
          <cell r="A106">
            <v>2721</v>
          </cell>
          <cell r="B106" t="str">
            <v>Prendas de seguridad</v>
          </cell>
        </row>
        <row r="107">
          <cell r="A107">
            <v>2722</v>
          </cell>
          <cell r="B107" t="str">
            <v>Prendas de protección personal</v>
          </cell>
        </row>
        <row r="108">
          <cell r="A108">
            <v>2731</v>
          </cell>
          <cell r="B108" t="str">
            <v>Artículos deportivos</v>
          </cell>
        </row>
        <row r="109">
          <cell r="A109">
            <v>2741</v>
          </cell>
          <cell r="B109" t="str">
            <v>Productos textiles</v>
          </cell>
        </row>
        <row r="110">
          <cell r="A110">
            <v>2751</v>
          </cell>
          <cell r="B110" t="str">
            <v>Blancos y otros productos textiles, excepto prendas de vestir</v>
          </cell>
        </row>
        <row r="111">
          <cell r="A111">
            <v>2811</v>
          </cell>
          <cell r="B111" t="str">
            <v>Sustancias y materiales explosivos</v>
          </cell>
        </row>
        <row r="112">
          <cell r="A112">
            <v>2821</v>
          </cell>
          <cell r="B112" t="str">
            <v>Materiales de seguridad pública</v>
          </cell>
        </row>
        <row r="113">
          <cell r="A113">
            <v>2831</v>
          </cell>
          <cell r="B113" t="str">
            <v xml:space="preserve">Prendas de protección para seguridad pública </v>
          </cell>
        </row>
        <row r="114">
          <cell r="A114">
            <v>2911</v>
          </cell>
          <cell r="B114" t="str">
            <v>Herramientas menores</v>
          </cell>
        </row>
        <row r="115">
          <cell r="A115">
            <v>2921</v>
          </cell>
          <cell r="B115" t="str">
            <v>Refacciones y accesorios menores de edificios</v>
          </cell>
        </row>
        <row r="116">
          <cell r="A116">
            <v>2931</v>
          </cell>
          <cell r="B116" t="str">
            <v xml:space="preserve">Refacciones y accesorios menores de mobiliario </v>
          </cell>
        </row>
        <row r="117">
          <cell r="A117">
            <v>2932</v>
          </cell>
          <cell r="B117" t="str">
            <v>Refacciones y accesorios de equipo educacional y recreativo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</row>
        <row r="120">
          <cell r="A120">
            <v>2961</v>
          </cell>
          <cell r="B120" t="str">
            <v>Refacciones y accesorios menores de equipo de transporte</v>
          </cell>
        </row>
        <row r="121">
          <cell r="A121">
            <v>2971</v>
          </cell>
          <cell r="B121" t="str">
            <v>Refacciones y accesorios menores de equipo de defensa y seguridad</v>
          </cell>
        </row>
        <row r="122">
          <cell r="A122">
            <v>2981</v>
          </cell>
          <cell r="B122" t="str">
            <v>Refacciones y accesorios menores de maquinaria y otros equipos</v>
          </cell>
        </row>
        <row r="123">
          <cell r="A123">
            <v>2991</v>
          </cell>
          <cell r="B123" t="str">
            <v>Refacciones y accesorios menores otros bienes muebles</v>
          </cell>
        </row>
        <row r="124">
          <cell r="A124">
            <v>3000</v>
          </cell>
          <cell r="B124" t="str">
            <v>Servicios Generales</v>
          </cell>
        </row>
        <row r="125">
          <cell r="A125">
            <v>3111</v>
          </cell>
          <cell r="B125" t="str">
            <v>Servicio de energía eléctrica</v>
          </cell>
        </row>
        <row r="126">
          <cell r="A126">
            <v>3112</v>
          </cell>
          <cell r="B126" t="str">
            <v>Alumbrado público</v>
          </cell>
        </row>
        <row r="127">
          <cell r="A127">
            <v>3121</v>
          </cell>
          <cell r="B127" t="str">
            <v>Servicio de gas</v>
          </cell>
        </row>
        <row r="128">
          <cell r="A128">
            <v>3131</v>
          </cell>
          <cell r="B128" t="str">
            <v>Servicio de agua</v>
          </cell>
        </row>
        <row r="129">
          <cell r="A129">
            <v>3141</v>
          </cell>
          <cell r="B129" t="str">
            <v>Servicio telefonía tradicional</v>
          </cell>
        </row>
        <row r="130">
          <cell r="A130">
            <v>3151</v>
          </cell>
          <cell r="B130" t="str">
            <v>Servicio telefonía celular</v>
          </cell>
        </row>
        <row r="131">
          <cell r="A131">
            <v>3152</v>
          </cell>
          <cell r="B131" t="str">
            <v>Radiolocalización</v>
          </cell>
        </row>
        <row r="132">
          <cell r="A132">
            <v>3161</v>
          </cell>
          <cell r="B132" t="str">
            <v>Servicios de telecomunicaciones y satélites</v>
          </cell>
        </row>
        <row r="133">
          <cell r="A133">
            <v>3171</v>
          </cell>
          <cell r="B133" t="str">
            <v>Servicios de acceso de internet</v>
          </cell>
        </row>
        <row r="134">
          <cell r="A134">
            <v>3172</v>
          </cell>
          <cell r="B134" t="str">
            <v>Servicios de redes</v>
          </cell>
        </row>
        <row r="135">
          <cell r="A135">
            <v>3173</v>
          </cell>
          <cell r="B135" t="str">
            <v>Servicios de procesamiento de información</v>
          </cell>
        </row>
        <row r="136">
          <cell r="A136">
            <v>3181</v>
          </cell>
          <cell r="B136" t="str">
            <v xml:space="preserve">Servicio postal </v>
          </cell>
        </row>
        <row r="137">
          <cell r="A137">
            <v>3182</v>
          </cell>
          <cell r="B137" t="str">
            <v xml:space="preserve">Servicio telegráfico </v>
          </cell>
        </row>
        <row r="138">
          <cell r="A138">
            <v>3191</v>
          </cell>
          <cell r="B138" t="str">
            <v>Servicios integrales</v>
          </cell>
        </row>
        <row r="139">
          <cell r="A139">
            <v>3192</v>
          </cell>
          <cell r="B139" t="str">
            <v xml:space="preserve">Contratación de otros servicios </v>
          </cell>
        </row>
        <row r="140">
          <cell r="A140">
            <v>3211</v>
          </cell>
          <cell r="B140" t="str">
            <v>Arrendamiento de terrenos</v>
          </cell>
        </row>
        <row r="141">
          <cell r="A141">
            <v>3221</v>
          </cell>
          <cell r="B141" t="str">
            <v>Arrendamiento de edificios y locales</v>
          </cell>
        </row>
        <row r="142">
          <cell r="A142">
            <v>3231</v>
          </cell>
          <cell r="B142" t="str">
            <v>Arrendamiento de mobiliario y equipo de administración</v>
          </cell>
        </row>
        <row r="143">
          <cell r="A143">
            <v>3232</v>
          </cell>
          <cell r="B143" t="str">
            <v>Arrendamiento de mobiliario y equipo educativo y recreativo</v>
          </cell>
        </row>
        <row r="144">
          <cell r="A144">
            <v>3233</v>
          </cell>
          <cell r="B144" t="str">
            <v xml:space="preserve">Arrendamiento de equipo y bienes informáticos </v>
          </cell>
        </row>
        <row r="145">
          <cell r="A145">
            <v>3241</v>
          </cell>
          <cell r="B145" t="str">
            <v>Arrendamiento de equipo e instrumental médico y de laboratorio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</row>
        <row r="148">
          <cell r="A148">
            <v>3261</v>
          </cell>
          <cell r="B148" t="str">
            <v xml:space="preserve">Arrendamiento de maquinaria y equipo </v>
          </cell>
        </row>
        <row r="149">
          <cell r="A149">
            <v>3262</v>
          </cell>
          <cell r="B149" t="str">
            <v>Arrendamiento de herramientas</v>
          </cell>
        </row>
        <row r="150">
          <cell r="A150">
            <v>3271</v>
          </cell>
          <cell r="B150" t="str">
            <v>Arrendamiento de activos intangibles</v>
          </cell>
        </row>
        <row r="151">
          <cell r="A151">
            <v>3281</v>
          </cell>
          <cell r="B151" t="str">
            <v>Arrendamiento financiero</v>
          </cell>
        </row>
        <row r="152">
          <cell r="A152">
            <v>3291</v>
          </cell>
          <cell r="B152" t="str">
            <v>Otros Arrendamientos</v>
          </cell>
        </row>
        <row r="153">
          <cell r="A153">
            <v>3311</v>
          </cell>
          <cell r="B153" t="str">
            <v>Servicios legales</v>
          </cell>
        </row>
        <row r="154">
          <cell r="A154">
            <v>3312</v>
          </cell>
          <cell r="B154" t="str">
            <v>Servicios de contabilidad</v>
          </cell>
        </row>
        <row r="155">
          <cell r="A155">
            <v>3313</v>
          </cell>
          <cell r="B155" t="str">
            <v>Servicios de auditoría</v>
          </cell>
        </row>
        <row r="156">
          <cell r="A156">
            <v>3314</v>
          </cell>
          <cell r="B156" t="str">
            <v>Otros servicios relacionados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</row>
        <row r="158">
          <cell r="A158">
            <v>3331</v>
          </cell>
          <cell r="B158" t="str">
            <v>Servicios de consultoría administrativa</v>
          </cell>
        </row>
        <row r="159">
          <cell r="A159">
            <v>3332</v>
          </cell>
          <cell r="B159" t="str">
            <v>Servicios de procesos, técnica y en tecnologías de la información</v>
          </cell>
        </row>
        <row r="160">
          <cell r="A160">
            <v>3341</v>
          </cell>
          <cell r="B160" t="str">
            <v xml:space="preserve">Servicios de capacitación </v>
          </cell>
        </row>
        <row r="161">
          <cell r="A161">
            <v>3351</v>
          </cell>
          <cell r="B161" t="str">
            <v>Servicios de investigación científica</v>
          </cell>
        </row>
        <row r="162">
          <cell r="A162">
            <v>3352</v>
          </cell>
          <cell r="B162" t="str">
            <v>Servicios de investigación de desarrollo</v>
          </cell>
        </row>
        <row r="163">
          <cell r="A163">
            <v>3353</v>
          </cell>
          <cell r="B163" t="str">
            <v>Servicios estadísticos y geográficos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</row>
        <row r="165">
          <cell r="A165">
            <v>3371</v>
          </cell>
          <cell r="B165" t="str">
            <v>Servicios de protección y seguridad</v>
          </cell>
        </row>
        <row r="166">
          <cell r="A166">
            <v>3381</v>
          </cell>
          <cell r="B166" t="str">
            <v xml:space="preserve">Servicios de vigilancia </v>
          </cell>
        </row>
        <row r="167">
          <cell r="A167">
            <v>3391</v>
          </cell>
          <cell r="B167" t="str">
            <v>Servicios profesionales, científicos y técnicos integrales</v>
          </cell>
        </row>
        <row r="168">
          <cell r="A168">
            <v>3411</v>
          </cell>
          <cell r="B168" t="str">
            <v>Servicios financieros y bancarios</v>
          </cell>
        </row>
        <row r="169">
          <cell r="A169">
            <v>3412</v>
          </cell>
          <cell r="B169" t="str">
            <v>Diferencias por variaciones en el tipo de cambio</v>
          </cell>
        </row>
        <row r="170">
          <cell r="A170">
            <v>3421</v>
          </cell>
          <cell r="B170" t="str">
            <v>Servicios de cobranza, investigación crediticia y similar</v>
          </cell>
        </row>
        <row r="171">
          <cell r="A171">
            <v>3431</v>
          </cell>
          <cell r="B171" t="str">
            <v>Servicios de recaudación, traslado y custodia de valores</v>
          </cell>
        </row>
        <row r="172">
          <cell r="A172">
            <v>3441</v>
          </cell>
          <cell r="B172" t="str">
            <v>Seguros de responsabilidad patrimonial y fianzas</v>
          </cell>
        </row>
        <row r="173">
          <cell r="A173">
            <v>3451</v>
          </cell>
          <cell r="B173" t="str">
            <v>Seguro de bienes patrimoniales</v>
          </cell>
        </row>
        <row r="174">
          <cell r="A174">
            <v>3461</v>
          </cell>
          <cell r="B174" t="str">
            <v>Almacenaje, envase y embalaje</v>
          </cell>
        </row>
        <row r="175">
          <cell r="A175">
            <v>3471</v>
          </cell>
          <cell r="B175" t="str">
            <v>Fletes y maniobras</v>
          </cell>
        </row>
        <row r="176">
          <cell r="A176">
            <v>3481</v>
          </cell>
          <cell r="B176" t="str">
            <v>Comisiones por ventas</v>
          </cell>
        </row>
        <row r="177">
          <cell r="A177">
            <v>3491</v>
          </cell>
          <cell r="B177" t="str">
            <v>Servicios financieros, bancarios y comerciales integrales</v>
          </cell>
        </row>
        <row r="178">
          <cell r="A178">
            <v>3511</v>
          </cell>
          <cell r="B178" t="str">
            <v>Conservación y mantenimiento de inmuebles</v>
          </cell>
        </row>
        <row r="179">
          <cell r="A179">
            <v>3512</v>
          </cell>
          <cell r="B179" t="str">
            <v xml:space="preserve">Adaptación de inmuebles </v>
          </cell>
        </row>
        <row r="180">
          <cell r="A180">
            <v>3513</v>
          </cell>
          <cell r="B180" t="str">
            <v>Mantenimiento de pozos y equipo de bombeo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</row>
        <row r="183">
          <cell r="A183">
            <v>3531</v>
          </cell>
          <cell r="B183" t="str">
            <v>Instalación, reparación y mantenimiento de bienes informáticos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</row>
        <row r="186">
          <cell r="A186">
            <v>3561</v>
          </cell>
          <cell r="B186" t="str">
            <v>Reparación y mantenimiento de equipo de defensa y seguridad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</row>
        <row r="188">
          <cell r="A188">
            <v>3581</v>
          </cell>
          <cell r="B188" t="str">
            <v>Servicios de limpieza y manejo de desechos</v>
          </cell>
        </row>
        <row r="189">
          <cell r="A189">
            <v>3591</v>
          </cell>
          <cell r="B189" t="str">
            <v>Servicios de jardinería y fumigación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</row>
        <row r="192">
          <cell r="A192">
            <v>3613</v>
          </cell>
          <cell r="B192" t="str">
            <v xml:space="preserve">Espectáculos culturales 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</row>
        <row r="194">
          <cell r="A194">
            <v>3621</v>
          </cell>
          <cell r="B194" t="str">
            <v>Promoción para la venta de bienes o servicios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</row>
        <row r="196">
          <cell r="A196">
            <v>3641</v>
          </cell>
          <cell r="B196" t="str">
            <v>Servicios de revelado de fotografías</v>
          </cell>
        </row>
        <row r="197">
          <cell r="A197">
            <v>3651</v>
          </cell>
          <cell r="B197" t="str">
            <v>Servicios de la industria fílmica, del sonido y del video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</row>
        <row r="199">
          <cell r="A199">
            <v>3691</v>
          </cell>
          <cell r="B199" t="str">
            <v>Otros servicios de información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</row>
        <row r="206">
          <cell r="A206">
            <v>3741</v>
          </cell>
          <cell r="B206" t="str">
            <v>Transporte en vehículos especializados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</row>
        <row r="209">
          <cell r="A209">
            <v>3771</v>
          </cell>
          <cell r="B209" t="str">
            <v>Gastos de instalación y traslado de menaje</v>
          </cell>
        </row>
        <row r="210">
          <cell r="A210">
            <v>3781</v>
          </cell>
          <cell r="B210" t="str">
            <v>Servicios integrales de traslado y viáticos</v>
          </cell>
        </row>
        <row r="211">
          <cell r="A211">
            <v>3791</v>
          </cell>
          <cell r="B211" t="str">
            <v>Otros servicios de traslado y hospedaje</v>
          </cell>
        </row>
        <row r="212">
          <cell r="A212">
            <v>3811</v>
          </cell>
          <cell r="B212" t="str">
            <v xml:space="preserve">Gastos de ceremonial del H. Ayuntamiento </v>
          </cell>
        </row>
        <row r="213">
          <cell r="A213">
            <v>3812</v>
          </cell>
          <cell r="B213" t="str">
            <v>Gastos de ceremonial de los titulares de las dependencias y entidades</v>
          </cell>
        </row>
        <row r="214">
          <cell r="A214">
            <v>3821</v>
          </cell>
          <cell r="B214" t="str">
            <v>Gastos de orden social y cultural</v>
          </cell>
        </row>
        <row r="215">
          <cell r="A215">
            <v>3831</v>
          </cell>
          <cell r="B215" t="str">
            <v>Congresos y convenciones</v>
          </cell>
        </row>
        <row r="216">
          <cell r="A216">
            <v>3841</v>
          </cell>
          <cell r="B216" t="str">
            <v>Exposiciones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</row>
        <row r="219">
          <cell r="A219">
            <v>3853</v>
          </cell>
          <cell r="B219" t="str">
            <v xml:space="preserve">Gastos de representación </v>
          </cell>
        </row>
        <row r="220">
          <cell r="A220">
            <v>3854</v>
          </cell>
          <cell r="B220" t="str">
            <v xml:space="preserve">Gastos de seguridad pública </v>
          </cell>
        </row>
        <row r="221">
          <cell r="A221">
            <v>3911</v>
          </cell>
          <cell r="B221" t="str">
            <v>Servicios funerarios y de cementerios</v>
          </cell>
        </row>
        <row r="222">
          <cell r="A222">
            <v>3921</v>
          </cell>
          <cell r="B222" t="str">
            <v>Otros impuestos y derechos</v>
          </cell>
        </row>
        <row r="223">
          <cell r="A223">
            <v>3922</v>
          </cell>
          <cell r="B223" t="str">
            <v>Impuestos y derechos de exportación</v>
          </cell>
        </row>
        <row r="224">
          <cell r="A224">
            <v>3931</v>
          </cell>
          <cell r="B224" t="str">
            <v xml:space="preserve">Impuestos y derechos de importación </v>
          </cell>
        </row>
        <row r="225">
          <cell r="A225">
            <v>3941</v>
          </cell>
          <cell r="B225" t="str">
            <v>Sentencias y resoluciones judiciales</v>
          </cell>
        </row>
        <row r="226">
          <cell r="A226">
            <v>3951</v>
          </cell>
          <cell r="B226" t="str">
            <v>Penas, multas, accesorios y actualizaciones</v>
          </cell>
        </row>
        <row r="227">
          <cell r="A227">
            <v>3961</v>
          </cell>
          <cell r="B227" t="str">
            <v xml:space="preserve">Otros gastos por responsabilidades </v>
          </cell>
        </row>
        <row r="228">
          <cell r="A228">
            <v>3981</v>
          </cell>
          <cell r="B228" t="str">
            <v>Impuestos sobre nóminas</v>
          </cell>
        </row>
        <row r="229">
          <cell r="A229">
            <v>3991</v>
          </cell>
          <cell r="B229" t="str">
            <v>Otros servicios generales(gastos de transición)</v>
          </cell>
        </row>
        <row r="230">
          <cell r="A230">
            <v>4000</v>
          </cell>
          <cell r="B230" t="str">
            <v>Transferencias, subsidios y otras ayudas</v>
          </cell>
        </row>
        <row r="231">
          <cell r="A231">
            <v>4151</v>
          </cell>
          <cell r="B231" t="str">
            <v>Transferencias para servicios personales</v>
          </cell>
        </row>
        <row r="232">
          <cell r="A232">
            <v>4152</v>
          </cell>
          <cell r="B232" t="str">
            <v>Transferencias para materiales y suministros</v>
          </cell>
        </row>
        <row r="233">
          <cell r="A233">
            <v>4153</v>
          </cell>
          <cell r="B233" t="str">
            <v>Transferencias para servicios básicos</v>
          </cell>
        </row>
        <row r="234">
          <cell r="A234">
            <v>4154</v>
          </cell>
          <cell r="B234" t="str">
            <v>Transferencias, asignaciones, subsidios y otras ayudas</v>
          </cell>
        </row>
        <row r="235">
          <cell r="A235">
            <v>4155</v>
          </cell>
          <cell r="B235" t="str">
            <v>Transferencias para bienes muebles, inmuebles e intangibles</v>
          </cell>
        </row>
        <row r="236">
          <cell r="A236">
            <v>4156</v>
          </cell>
          <cell r="B236" t="str">
            <v>Transfernecias para inversión pública</v>
          </cell>
        </row>
        <row r="237">
          <cell r="A237">
            <v>4157</v>
          </cell>
          <cell r="B237" t="str">
            <v>Transferencias para inversiones financieras y otras provisiones</v>
          </cell>
        </row>
        <row r="238">
          <cell r="A238">
            <v>4158</v>
          </cell>
          <cell r="B238" t="str">
            <v>Transferencias para participaciones y aportaciones</v>
          </cell>
        </row>
        <row r="239">
          <cell r="A239">
            <v>4159</v>
          </cell>
          <cell r="B239" t="str">
            <v>Transferencias para deuda pública</v>
          </cell>
        </row>
        <row r="240">
          <cell r="A240">
            <v>4231</v>
          </cell>
          <cell r="B240" t="str">
            <v>Transferencias para servicios personales</v>
          </cell>
        </row>
        <row r="241">
          <cell r="A241">
            <v>4232</v>
          </cell>
          <cell r="B241" t="str">
            <v>Transferencias para materiales y suministros</v>
          </cell>
        </row>
        <row r="242">
          <cell r="A242">
            <v>4233</v>
          </cell>
          <cell r="B242" t="str">
            <v>Transferencias para servicios básicos</v>
          </cell>
        </row>
        <row r="243">
          <cell r="A243">
            <v>4234</v>
          </cell>
          <cell r="B243" t="str">
            <v>Transferencias, asignaciones, subsidios y otras ayudas</v>
          </cell>
        </row>
        <row r="244">
          <cell r="A244">
            <v>4235</v>
          </cell>
          <cell r="B244" t="str">
            <v>Transferencias para bienes muebles, inmuebles e intangibles</v>
          </cell>
        </row>
        <row r="245">
          <cell r="A245">
            <v>4236</v>
          </cell>
          <cell r="B245" t="str">
            <v>Transferncias para inversión pública</v>
          </cell>
        </row>
        <row r="246">
          <cell r="A246">
            <v>4237</v>
          </cell>
          <cell r="B246" t="str">
            <v>Transferencias para inversiones financieras y otras provisiones</v>
          </cell>
        </row>
        <row r="247">
          <cell r="A247">
            <v>4238</v>
          </cell>
          <cell r="B247" t="str">
            <v>Transferencias para participaciones y aportaciones</v>
          </cell>
        </row>
        <row r="248">
          <cell r="A248">
            <v>4239</v>
          </cell>
          <cell r="B248" t="str">
            <v>Transferencias para deuda pública</v>
          </cell>
        </row>
        <row r="249">
          <cell r="A249">
            <v>4311</v>
          </cell>
          <cell r="B249" t="str">
            <v>Subsidios a la producción</v>
          </cell>
        </row>
        <row r="250">
          <cell r="A250">
            <v>4321</v>
          </cell>
          <cell r="B250" t="str">
            <v>Subsidios a la distribución</v>
          </cell>
        </row>
        <row r="251">
          <cell r="A251">
            <v>4331</v>
          </cell>
          <cell r="B251" t="str">
            <v>Subsidios para inversión</v>
          </cell>
        </row>
        <row r="252">
          <cell r="A252">
            <v>4341</v>
          </cell>
          <cell r="B252" t="str">
            <v>Subsidios a la prestación de servicios públicos</v>
          </cell>
        </row>
        <row r="253">
          <cell r="A253">
            <v>4342</v>
          </cell>
          <cell r="B253" t="str">
            <v xml:space="preserve">Subsidios a fideicomisos privados y estatales </v>
          </cell>
        </row>
        <row r="254">
          <cell r="A254">
            <v>4351</v>
          </cell>
          <cell r="B254" t="str">
            <v>Subsidios para cubrir diferenciales de tasas de interés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</row>
        <row r="256">
          <cell r="A256">
            <v>4371</v>
          </cell>
          <cell r="B256" t="str">
            <v>Subsidios al consumo</v>
          </cell>
        </row>
        <row r="257">
          <cell r="A257">
            <v>4391</v>
          </cell>
          <cell r="B257" t="str">
            <v>Subsidios sindicato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</row>
        <row r="259">
          <cell r="A259">
            <v>4412</v>
          </cell>
          <cell r="B259" t="str">
            <v xml:space="preserve">Funerales y pagas de defunción 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</row>
        <row r="262">
          <cell r="A262">
            <v>4421</v>
          </cell>
          <cell r="B262" t="str">
            <v>Becas</v>
          </cell>
        </row>
        <row r="263">
          <cell r="A263">
            <v>4431</v>
          </cell>
          <cell r="B263" t="str">
            <v>Ayudas sociales a instituciones de enseñanza</v>
          </cell>
        </row>
        <row r="264">
          <cell r="A264">
            <v>4441</v>
          </cell>
          <cell r="B264" t="str">
            <v>Ayudas sociales a actividades científicas o académicas</v>
          </cell>
        </row>
        <row r="265">
          <cell r="A265">
            <v>4451</v>
          </cell>
          <cell r="B265" t="str">
            <v>Donativos a instituciones sin fines de lucro</v>
          </cell>
        </row>
        <row r="266">
          <cell r="A266">
            <v>4461</v>
          </cell>
          <cell r="B266" t="str">
            <v>Ayudas sociales a cooperativas</v>
          </cell>
        </row>
        <row r="267">
          <cell r="A267">
            <v>4471</v>
          </cell>
          <cell r="B267" t="str">
            <v>Ayudas sociales a entidades de interés público</v>
          </cell>
        </row>
        <row r="268">
          <cell r="A268">
            <v>4481</v>
          </cell>
          <cell r="B268" t="str">
            <v>Ayudas por desastres naturales y otros siniestros</v>
          </cell>
        </row>
        <row r="269">
          <cell r="A269">
            <v>4511</v>
          </cell>
          <cell r="B269" t="str">
            <v>Pensiones</v>
          </cell>
        </row>
        <row r="270">
          <cell r="A270">
            <v>4521</v>
          </cell>
          <cell r="B270" t="str">
            <v>Jubilaciones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</row>
        <row r="272">
          <cell r="A272">
            <v>5000</v>
          </cell>
          <cell r="B272" t="str">
            <v>Bienes muebles, inmuebles e intangibles</v>
          </cell>
        </row>
        <row r="273">
          <cell r="A273">
            <v>5111</v>
          </cell>
          <cell r="B273" t="str">
            <v>Muebles de oficina y estantería</v>
          </cell>
        </row>
        <row r="274">
          <cell r="A274">
            <v>5121</v>
          </cell>
          <cell r="B274" t="str">
            <v>Muebles, excepto de oficina y estantería</v>
          </cell>
        </row>
        <row r="275">
          <cell r="A275">
            <v>5131</v>
          </cell>
          <cell r="B275" t="str">
            <v>Libros, revistas y otros elementos coleccionables</v>
          </cell>
        </row>
        <row r="276">
          <cell r="A276">
            <v>5132</v>
          </cell>
          <cell r="B276" t="str">
            <v>Bienes muebles inalienables e imprescriptibles</v>
          </cell>
        </row>
        <row r="277">
          <cell r="A277">
            <v>5133</v>
          </cell>
          <cell r="B277" t="str">
            <v>Otros bienes artísticos, culturales y científicos</v>
          </cell>
        </row>
        <row r="278">
          <cell r="A278">
            <v>5141</v>
          </cell>
          <cell r="B278" t="str">
            <v>Objetos valiosos</v>
          </cell>
        </row>
        <row r="279">
          <cell r="A279">
            <v>5151</v>
          </cell>
          <cell r="B279" t="str">
            <v>Computadoras y equipo periférico</v>
          </cell>
        </row>
        <row r="280">
          <cell r="A280">
            <v>5152</v>
          </cell>
          <cell r="B280" t="str">
            <v>Medios magnéticos y ópticos</v>
          </cell>
        </row>
        <row r="281">
          <cell r="A281">
            <v>5191</v>
          </cell>
          <cell r="B281" t="str">
            <v>Otros mobiliarios y equipos de administración</v>
          </cell>
        </row>
        <row r="282">
          <cell r="A282">
            <v>5192</v>
          </cell>
          <cell r="B282" t="str">
            <v>Mobiliario y equipo para comercio y servicios</v>
          </cell>
        </row>
        <row r="283">
          <cell r="A283">
            <v>5211</v>
          </cell>
          <cell r="B283" t="str">
            <v>Equipo de audio y de video</v>
          </cell>
        </row>
        <row r="284">
          <cell r="A284">
            <v>5221</v>
          </cell>
          <cell r="B284" t="str">
            <v>Aparatos deportivos</v>
          </cell>
        </row>
        <row r="285">
          <cell r="A285">
            <v>5231</v>
          </cell>
          <cell r="B285" t="str">
            <v>Camaras fotograficas y de video</v>
          </cell>
        </row>
        <row r="286">
          <cell r="A286">
            <v>5291</v>
          </cell>
          <cell r="B286" t="str">
            <v>Otro mobiliario y equipo educacional y recreativo</v>
          </cell>
        </row>
        <row r="287">
          <cell r="A287">
            <v>5311</v>
          </cell>
          <cell r="B287" t="str">
            <v>Equipo para uso médico, dental y para laboratorio</v>
          </cell>
        </row>
        <row r="288">
          <cell r="A288">
            <v>5321</v>
          </cell>
          <cell r="B288" t="str">
            <v>Instrumentos médicos</v>
          </cell>
        </row>
        <row r="289">
          <cell r="A289">
            <v>5322</v>
          </cell>
          <cell r="B289" t="str">
            <v>Instrumentos de laboratorio</v>
          </cell>
        </row>
        <row r="290">
          <cell r="A290">
            <v>5411</v>
          </cell>
          <cell r="B290" t="str">
            <v>Automóviles y camiones</v>
          </cell>
        </row>
        <row r="291">
          <cell r="A291">
            <v>5421</v>
          </cell>
          <cell r="B291" t="str">
            <v>Carrocerías y remolques</v>
          </cell>
        </row>
        <row r="292">
          <cell r="A292">
            <v>5431</v>
          </cell>
          <cell r="B292" t="str">
            <v>Equipo aeroespacial</v>
          </cell>
        </row>
        <row r="293">
          <cell r="A293">
            <v>5441</v>
          </cell>
          <cell r="B293" t="str">
            <v>Equipo ferroviario</v>
          </cell>
        </row>
        <row r="294">
          <cell r="A294">
            <v>5451</v>
          </cell>
          <cell r="B294" t="str">
            <v>Embarcaciones</v>
          </cell>
        </row>
        <row r="295">
          <cell r="A295">
            <v>5491</v>
          </cell>
          <cell r="B295" t="str">
            <v>Otro equipo de transporte</v>
          </cell>
        </row>
        <row r="296">
          <cell r="A296">
            <v>5511</v>
          </cell>
          <cell r="B296" t="str">
            <v>Equipo de defensa y de seguridad</v>
          </cell>
        </row>
        <row r="297">
          <cell r="A297">
            <v>5611</v>
          </cell>
          <cell r="B297" t="str">
            <v>Maquinaria y equipo agropecuario</v>
          </cell>
        </row>
        <row r="298">
          <cell r="A298">
            <v>5621</v>
          </cell>
          <cell r="B298" t="str">
            <v>Maquinaria y equipo industrial</v>
          </cell>
        </row>
        <row r="299">
          <cell r="A299">
            <v>5631</v>
          </cell>
          <cell r="B299" t="str">
            <v>Maquinaria y equipo de construcción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ALÍTICO INGRESOS"/>
      <sheetName val="F.F."/>
      <sheetName val="Egresos"/>
      <sheetName val="Hoja1"/>
      <sheetName val="estadística 2015-2021"/>
      <sheetName val="Pasivo Laboral"/>
      <sheetName val="Dism Ramos"/>
      <sheetName val="S.S.C"/>
      <sheetName val="Resumen Cap 1000 (3)"/>
      <sheetName val="capitulo 1000"/>
      <sheetName val="PRESUPUESTO SEPTIEMBRE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</row>
        <row r="3">
          <cell r="A3">
            <v>1111</v>
          </cell>
          <cell r="B3" t="str">
            <v>Dietas</v>
          </cell>
        </row>
        <row r="4">
          <cell r="A4">
            <v>1121</v>
          </cell>
          <cell r="B4" t="str">
            <v>Haberes</v>
          </cell>
        </row>
        <row r="5">
          <cell r="A5">
            <v>1131</v>
          </cell>
          <cell r="B5" t="str">
            <v>Sueldos Base</v>
          </cell>
        </row>
        <row r="6">
          <cell r="A6">
            <v>1132</v>
          </cell>
          <cell r="B6" t="str">
            <v>Sueldos de confianza</v>
          </cell>
        </row>
        <row r="7">
          <cell r="A7">
            <v>1141</v>
          </cell>
          <cell r="B7" t="str">
            <v>Remuneraciones en el extranjero</v>
          </cell>
        </row>
        <row r="8">
          <cell r="A8">
            <v>1211</v>
          </cell>
          <cell r="B8" t="str">
            <v>Honorarios</v>
          </cell>
        </row>
        <row r="9">
          <cell r="A9">
            <v>1212</v>
          </cell>
          <cell r="B9" t="str">
            <v>Honorarios asimilados</v>
          </cell>
        </row>
        <row r="10">
          <cell r="A10">
            <v>1221</v>
          </cell>
          <cell r="B10" t="str">
            <v>Remuneraciones para eventuales</v>
          </cell>
        </row>
        <row r="11">
          <cell r="A11">
            <v>1231</v>
          </cell>
          <cell r="B11" t="str">
            <v>Servicio social</v>
          </cell>
        </row>
        <row r="12">
          <cell r="A12">
            <v>1241</v>
          </cell>
          <cell r="B12" t="str">
            <v>Junta de Conciliación y Arbitraje</v>
          </cell>
        </row>
        <row r="13">
          <cell r="A13">
            <v>1311</v>
          </cell>
          <cell r="B13" t="str">
            <v xml:space="preserve">Prima quinquenal </v>
          </cell>
        </row>
        <row r="14">
          <cell r="A14">
            <v>1312</v>
          </cell>
          <cell r="B14" t="str">
            <v>Antigüedad</v>
          </cell>
        </row>
        <row r="15">
          <cell r="A15">
            <v>1321</v>
          </cell>
          <cell r="B15" t="str">
            <v>Prima Vacacional</v>
          </cell>
        </row>
        <row r="16">
          <cell r="A16">
            <v>1322</v>
          </cell>
          <cell r="B16" t="str">
            <v>Prima Dominical</v>
          </cell>
        </row>
        <row r="17">
          <cell r="A17">
            <v>1323</v>
          </cell>
          <cell r="B17" t="str">
            <v>Gratificación de fin de año</v>
          </cell>
        </row>
        <row r="18">
          <cell r="A18">
            <v>1331</v>
          </cell>
          <cell r="B18" t="str">
            <v>Remuneraciones por horas extraordinarias</v>
          </cell>
        </row>
        <row r="19">
          <cell r="A19">
            <v>1341</v>
          </cell>
          <cell r="B19" t="str">
            <v>Compensaciones por servicios eventuales</v>
          </cell>
        </row>
        <row r="20">
          <cell r="A20">
            <v>1342</v>
          </cell>
          <cell r="B20" t="str">
            <v>Compensaciones por servicios</v>
          </cell>
        </row>
        <row r="21">
          <cell r="A21">
            <v>1351</v>
          </cell>
          <cell r="B21" t="str">
            <v>Sobrehaberes</v>
          </cell>
        </row>
        <row r="22">
          <cell r="A22">
            <v>1361</v>
          </cell>
          <cell r="B22" t="str">
            <v>Técnico especial</v>
          </cell>
        </row>
        <row r="23">
          <cell r="A23">
            <v>1371</v>
          </cell>
          <cell r="B23" t="str">
            <v>Honorarios especiales</v>
          </cell>
        </row>
        <row r="24">
          <cell r="A24">
            <v>1381</v>
          </cell>
          <cell r="B24" t="str">
            <v>Participaciones por vigilancia</v>
          </cell>
        </row>
        <row r="25">
          <cell r="A25">
            <v>1411</v>
          </cell>
          <cell r="B25" t="str">
            <v>Aportaciones al ISSEG</v>
          </cell>
        </row>
        <row r="26">
          <cell r="A26">
            <v>1412</v>
          </cell>
          <cell r="B26" t="str">
            <v>Cuotas al ISSSTE</v>
          </cell>
        </row>
        <row r="27">
          <cell r="A27">
            <v>1413</v>
          </cell>
          <cell r="B27" t="str">
            <v>Aportaciones IMSS</v>
          </cell>
        </row>
        <row r="28">
          <cell r="A28">
            <v>1421</v>
          </cell>
          <cell r="B28" t="str">
            <v>Aportaciones INFONAVIT</v>
          </cell>
        </row>
        <row r="29">
          <cell r="A29">
            <v>1431</v>
          </cell>
          <cell r="B29" t="str">
            <v>Ahorro para el retiro</v>
          </cell>
        </row>
        <row r="30">
          <cell r="A30">
            <v>1441</v>
          </cell>
          <cell r="B30" t="str">
            <v>Seguros</v>
          </cell>
        </row>
        <row r="31">
          <cell r="A31">
            <v>1511</v>
          </cell>
          <cell r="B31" t="str">
            <v>Cuotas para el fondo de ahorro</v>
          </cell>
        </row>
        <row r="32">
          <cell r="A32">
            <v>1512</v>
          </cell>
          <cell r="B32" t="str">
            <v>Cuotas para fondo de trabajo</v>
          </cell>
        </row>
        <row r="33">
          <cell r="A33">
            <v>1521</v>
          </cell>
          <cell r="B33" t="str">
            <v>Indemnizaciones por accidentes en el trabajo</v>
          </cell>
        </row>
        <row r="34">
          <cell r="A34">
            <v>1522</v>
          </cell>
          <cell r="B34" t="str">
            <v>Liquidaciones por indemnizaciones y por sueldos y salarios caídos</v>
          </cell>
        </row>
        <row r="35">
          <cell r="A35">
            <v>1523</v>
          </cell>
          <cell r="B35" t="str">
            <v>Pago por riesgo</v>
          </cell>
        </row>
        <row r="36">
          <cell r="A36">
            <v>1531</v>
          </cell>
          <cell r="B36" t="str">
            <v>Prestaciones de retiro</v>
          </cell>
        </row>
        <row r="37">
          <cell r="A37">
            <v>1532</v>
          </cell>
          <cell r="B37" t="str">
            <v>Haberes de retiro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</row>
        <row r="39">
          <cell r="A39">
            <v>1551</v>
          </cell>
          <cell r="B39" t="str">
            <v>Capacitación de los servidores públicos</v>
          </cell>
        </row>
        <row r="40">
          <cell r="A40">
            <v>1561</v>
          </cell>
          <cell r="B40" t="str">
            <v>Asignaciones adicionales al sueldo</v>
          </cell>
        </row>
        <row r="41">
          <cell r="A41">
            <v>1562</v>
          </cell>
          <cell r="B41" t="str">
            <v>Otras prestaciones</v>
          </cell>
        </row>
        <row r="42">
          <cell r="A42">
            <v>1591</v>
          </cell>
          <cell r="B42" t="str">
            <v>Asignaciones adicionales al sueldo</v>
          </cell>
        </row>
        <row r="43">
          <cell r="A43">
            <v>1592</v>
          </cell>
          <cell r="B43" t="str">
            <v>Otras prestaciones</v>
          </cell>
        </row>
        <row r="44">
          <cell r="A44">
            <v>1593</v>
          </cell>
          <cell r="B44" t="str">
            <v>Despensas</v>
          </cell>
        </row>
        <row r="45">
          <cell r="A45">
            <v>1611</v>
          </cell>
          <cell r="B45" t="str">
            <v>Previsiones de carácter laboral</v>
          </cell>
        </row>
        <row r="46">
          <cell r="A46">
            <v>1612</v>
          </cell>
          <cell r="B46" t="str">
            <v>Previsiones de carácter económico</v>
          </cell>
        </row>
        <row r="47">
          <cell r="A47">
            <v>1613</v>
          </cell>
          <cell r="B47" t="str">
            <v>Previsiones de carácter de seguridad social</v>
          </cell>
        </row>
        <row r="48">
          <cell r="A48">
            <v>1711</v>
          </cell>
          <cell r="B48" t="str">
            <v xml:space="preserve">Estímulos por productividad y eficiencia </v>
          </cell>
        </row>
        <row r="49">
          <cell r="A49">
            <v>1712</v>
          </cell>
          <cell r="B49" t="str">
            <v xml:space="preserve">Estímulos al personal operativo </v>
          </cell>
        </row>
        <row r="50">
          <cell r="A50">
            <v>1721</v>
          </cell>
          <cell r="B50" t="str">
            <v>Recompensas</v>
          </cell>
        </row>
        <row r="51">
          <cell r="A51">
            <v>1811</v>
          </cell>
          <cell r="B51" t="str">
            <v>Impuesto sobre nóminas</v>
          </cell>
        </row>
        <row r="52">
          <cell r="A52">
            <v>1821</v>
          </cell>
          <cell r="B52" t="str">
            <v>Otros impuestos</v>
          </cell>
        </row>
        <row r="53">
          <cell r="A53">
            <v>2000</v>
          </cell>
          <cell r="B53" t="str">
            <v>Materiales y Suministros</v>
          </cell>
        </row>
        <row r="54">
          <cell r="A54">
            <v>2111</v>
          </cell>
          <cell r="B54" t="str">
            <v>Materiales y útiles de oficina</v>
          </cell>
        </row>
        <row r="55">
          <cell r="A55">
            <v>2112</v>
          </cell>
          <cell r="B55" t="str">
            <v>Equipos menores de oficina</v>
          </cell>
        </row>
        <row r="56">
          <cell r="A56">
            <v>2121</v>
          </cell>
          <cell r="B56" t="str">
            <v>Materiales y útiles de impresión y reproducción</v>
          </cell>
        </row>
        <row r="57">
          <cell r="A57">
            <v>2131</v>
          </cell>
          <cell r="B57" t="str">
            <v>Material estadístico y geográfico</v>
          </cell>
        </row>
        <row r="58">
          <cell r="A58">
            <v>2141</v>
          </cell>
          <cell r="B58" t="str">
            <v>Materiales y útiles de tecnologías de la información y comunicaciones</v>
          </cell>
        </row>
        <row r="59">
          <cell r="A59">
            <v>2142</v>
          </cell>
          <cell r="B59" t="str">
            <v>Equipos menores de tecnologías de la información y comunicaciones</v>
          </cell>
        </row>
        <row r="60">
          <cell r="A60">
            <v>2151</v>
          </cell>
          <cell r="B60" t="str">
            <v>Material impreso e información digital</v>
          </cell>
        </row>
        <row r="61">
          <cell r="A61">
            <v>2161</v>
          </cell>
          <cell r="B61" t="str">
            <v>Material de limpieza</v>
          </cell>
        </row>
        <row r="62">
          <cell r="A62">
            <v>2171</v>
          </cell>
          <cell r="B62" t="str">
            <v>Materiales y útiles de enseñanza</v>
          </cell>
        </row>
        <row r="63">
          <cell r="A63">
            <v>2181</v>
          </cell>
          <cell r="B63" t="str">
            <v>Materiales para el registro e identificación de bienes</v>
          </cell>
        </row>
        <row r="64">
          <cell r="A64">
            <v>2182</v>
          </cell>
          <cell r="B64" t="str">
            <v>Materiales para el registro e identificación de personas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</row>
        <row r="67">
          <cell r="A67">
            <v>2213</v>
          </cell>
          <cell r="B67" t="str">
            <v>Productos alimenticios para la población en caso de desastres naturales</v>
          </cell>
        </row>
        <row r="68">
          <cell r="A68">
            <v>2214</v>
          </cell>
          <cell r="B68" t="str">
            <v>Alimentos Centro de detención municipal</v>
          </cell>
        </row>
        <row r="69">
          <cell r="A69">
            <v>2221</v>
          </cell>
          <cell r="B69" t="str">
            <v>Productos alimenticios para animales</v>
          </cell>
        </row>
        <row r="70">
          <cell r="A70">
            <v>2231</v>
          </cell>
          <cell r="B70" t="str">
            <v>Utensilios para el servicio de alimentación</v>
          </cell>
        </row>
        <row r="71">
          <cell r="A71">
            <v>2311</v>
          </cell>
          <cell r="B71" t="str">
            <v>Productos alimenticios, agropecuarios y forestales</v>
          </cell>
        </row>
        <row r="72">
          <cell r="A72">
            <v>2312</v>
          </cell>
          <cell r="B72" t="str">
            <v xml:space="preserve">Material agropecuario </v>
          </cell>
        </row>
        <row r="73">
          <cell r="A73">
            <v>2321</v>
          </cell>
          <cell r="B73" t="str">
            <v>Insumos textiles</v>
          </cell>
        </row>
        <row r="74">
          <cell r="A74">
            <v>2331</v>
          </cell>
          <cell r="B74" t="str">
            <v>Productos de papel, cartón e impresos</v>
          </cell>
        </row>
        <row r="75">
          <cell r="A75">
            <v>2341</v>
          </cell>
          <cell r="B75" t="str">
            <v>Combustibles, lubricantes, aditivos, carbon y sus derivados</v>
          </cell>
        </row>
        <row r="76">
          <cell r="A76">
            <v>2351</v>
          </cell>
          <cell r="B76" t="str">
            <v>Productos químicos, farmacéuticos y de laboratorio</v>
          </cell>
        </row>
        <row r="77">
          <cell r="A77">
            <v>2361</v>
          </cell>
          <cell r="B77" t="str">
            <v>Productos metálicos y a base de minerales no metálicos</v>
          </cell>
        </row>
        <row r="78">
          <cell r="A78">
            <v>2371</v>
          </cell>
          <cell r="B78" t="str">
            <v>Productos de cuero, piel, plástico y hule</v>
          </cell>
        </row>
        <row r="79">
          <cell r="A79">
            <v>2381</v>
          </cell>
          <cell r="B79" t="str">
            <v>Mercancías para su comercialización en tiendas del sector público</v>
          </cell>
        </row>
        <row r="80">
          <cell r="A80">
            <v>2382</v>
          </cell>
          <cell r="B80" t="str">
            <v>Mercancías para su distribución a la población</v>
          </cell>
        </row>
        <row r="81">
          <cell r="A81">
            <v>2391</v>
          </cell>
          <cell r="B81" t="str">
            <v xml:space="preserve">Otros productos </v>
          </cell>
        </row>
        <row r="82">
          <cell r="A82">
            <v>2411</v>
          </cell>
          <cell r="B82" t="str">
            <v>Materiales de construcción minerales no metálicos</v>
          </cell>
        </row>
        <row r="83">
          <cell r="A83">
            <v>2421</v>
          </cell>
          <cell r="B83" t="str">
            <v>Materiales de construcción de concreto</v>
          </cell>
        </row>
        <row r="84">
          <cell r="A84">
            <v>2431</v>
          </cell>
          <cell r="B84" t="str">
            <v>Materiales de construcción de cal y yeso</v>
          </cell>
        </row>
        <row r="85">
          <cell r="A85">
            <v>2441</v>
          </cell>
          <cell r="B85" t="str">
            <v>Materiales de construcción de madera</v>
          </cell>
        </row>
        <row r="86">
          <cell r="A86">
            <v>2451</v>
          </cell>
          <cell r="B86" t="str">
            <v>Materiales de construcción de vidrio</v>
          </cell>
        </row>
        <row r="87">
          <cell r="A87">
            <v>2461</v>
          </cell>
          <cell r="B87" t="str">
            <v>Material eléctrico y electrónico</v>
          </cell>
        </row>
        <row r="88">
          <cell r="A88">
            <v>2471</v>
          </cell>
          <cell r="B88" t="str">
            <v>Estructuras y manufacturas</v>
          </cell>
        </row>
        <row r="89">
          <cell r="A89">
            <v>2481</v>
          </cell>
          <cell r="B89" t="str">
            <v xml:space="preserve">Materiales complementarios </v>
          </cell>
        </row>
        <row r="90">
          <cell r="A90">
            <v>2491</v>
          </cell>
          <cell r="B90" t="str">
            <v xml:space="preserve">Materiales diversos </v>
          </cell>
        </row>
        <row r="91">
          <cell r="A91">
            <v>2492</v>
          </cell>
          <cell r="B91" t="str">
            <v>Material para señalética</v>
          </cell>
        </row>
        <row r="92">
          <cell r="A92">
            <v>2493</v>
          </cell>
          <cell r="B92" t="str">
            <v>Material para semaforización</v>
          </cell>
        </row>
        <row r="93">
          <cell r="A93">
            <v>2511</v>
          </cell>
          <cell r="B93" t="str">
            <v>Sustancias químicas</v>
          </cell>
        </row>
        <row r="94">
          <cell r="A94">
            <v>2521</v>
          </cell>
          <cell r="B94" t="str">
            <v>Fertilizantes y abonos</v>
          </cell>
        </row>
        <row r="95">
          <cell r="A95">
            <v>2522</v>
          </cell>
          <cell r="B95" t="str">
            <v>Plaguicidas y pesticidas</v>
          </cell>
        </row>
        <row r="96">
          <cell r="A96">
            <v>2531</v>
          </cell>
          <cell r="B96" t="str">
            <v>Medicinas y productos farmacéuticos</v>
          </cell>
        </row>
        <row r="97">
          <cell r="A97">
            <v>2541</v>
          </cell>
          <cell r="B97" t="str">
            <v>Materiales, accesorios y suministros médicos</v>
          </cell>
        </row>
        <row r="98">
          <cell r="A98">
            <v>2551</v>
          </cell>
          <cell r="B98" t="str">
            <v>Materiales, accesorios y suministros de laboratorio</v>
          </cell>
        </row>
        <row r="99">
          <cell r="A99">
            <v>2561</v>
          </cell>
          <cell r="B99" t="str">
            <v>Fibras sintéticas, hules, plásticos y derivados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</row>
        <row r="103">
          <cell r="A103">
            <v>2614</v>
          </cell>
          <cell r="B103" t="str">
            <v>Gas natural L.P</v>
          </cell>
        </row>
        <row r="104">
          <cell r="A104">
            <v>2621</v>
          </cell>
          <cell r="B104" t="str">
            <v>Carbón y sus derivados</v>
          </cell>
        </row>
        <row r="105">
          <cell r="A105">
            <v>2711</v>
          </cell>
          <cell r="B105" t="str">
            <v>Vestuario y uniformes</v>
          </cell>
        </row>
        <row r="106">
          <cell r="A106">
            <v>2721</v>
          </cell>
          <cell r="B106" t="str">
            <v>Prendas de seguridad</v>
          </cell>
        </row>
        <row r="107">
          <cell r="A107">
            <v>2722</v>
          </cell>
          <cell r="B107" t="str">
            <v>Prendas de protección personal</v>
          </cell>
        </row>
        <row r="108">
          <cell r="A108">
            <v>2731</v>
          </cell>
          <cell r="B108" t="str">
            <v>Artículos deportivos</v>
          </cell>
        </row>
        <row r="109">
          <cell r="A109">
            <v>2741</v>
          </cell>
          <cell r="B109" t="str">
            <v>Productos textiles</v>
          </cell>
        </row>
        <row r="110">
          <cell r="A110">
            <v>2751</v>
          </cell>
          <cell r="B110" t="str">
            <v>Blancos y otros productos textiles, excepto prendas de vestir</v>
          </cell>
        </row>
        <row r="111">
          <cell r="A111">
            <v>2811</v>
          </cell>
          <cell r="B111" t="str">
            <v>Sustancias y materiales explosivos</v>
          </cell>
        </row>
        <row r="112">
          <cell r="A112">
            <v>2821</v>
          </cell>
          <cell r="B112" t="str">
            <v>Materiales de seguridad pública</v>
          </cell>
        </row>
        <row r="113">
          <cell r="A113">
            <v>2831</v>
          </cell>
          <cell r="B113" t="str">
            <v xml:space="preserve">Prendas de protección para seguridad pública </v>
          </cell>
        </row>
        <row r="114">
          <cell r="A114">
            <v>2911</v>
          </cell>
          <cell r="B114" t="str">
            <v>Herramientas menores</v>
          </cell>
        </row>
        <row r="115">
          <cell r="A115">
            <v>2921</v>
          </cell>
          <cell r="B115" t="str">
            <v>Refacciones y accesorios menores de edificios</v>
          </cell>
        </row>
        <row r="116">
          <cell r="A116">
            <v>2931</v>
          </cell>
          <cell r="B116" t="str">
            <v xml:space="preserve">Refacciones y accesorios menores de mobiliario </v>
          </cell>
        </row>
        <row r="117">
          <cell r="A117">
            <v>2932</v>
          </cell>
          <cell r="B117" t="str">
            <v>Refacciones y accesorios de equipo educacional y recreativo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</row>
        <row r="120">
          <cell r="A120">
            <v>2961</v>
          </cell>
          <cell r="B120" t="str">
            <v>Refacciones y accesorios menores de equipo de transporte</v>
          </cell>
        </row>
        <row r="121">
          <cell r="A121">
            <v>2971</v>
          </cell>
          <cell r="B121" t="str">
            <v>Refacciones y accesorios menores de equipo de defensa y seguridad</v>
          </cell>
        </row>
        <row r="122">
          <cell r="A122">
            <v>2981</v>
          </cell>
          <cell r="B122" t="str">
            <v>Refacciones y accesorios menores de maquinaria y otros equipos</v>
          </cell>
        </row>
        <row r="123">
          <cell r="A123">
            <v>2991</v>
          </cell>
          <cell r="B123" t="str">
            <v>Refacciones y accesorios menores otros bienes muebles</v>
          </cell>
        </row>
        <row r="124">
          <cell r="A124">
            <v>3000</v>
          </cell>
          <cell r="B124" t="str">
            <v>Servicios Generales</v>
          </cell>
        </row>
        <row r="125">
          <cell r="A125">
            <v>3111</v>
          </cell>
          <cell r="B125" t="str">
            <v>Servicio de energía eléctrica</v>
          </cell>
        </row>
        <row r="126">
          <cell r="A126">
            <v>3112</v>
          </cell>
          <cell r="B126" t="str">
            <v>Alumbrado público</v>
          </cell>
        </row>
        <row r="127">
          <cell r="A127">
            <v>3121</v>
          </cell>
          <cell r="B127" t="str">
            <v>Servicio de gas</v>
          </cell>
        </row>
        <row r="128">
          <cell r="A128">
            <v>3131</v>
          </cell>
          <cell r="B128" t="str">
            <v>Servicio de agua</v>
          </cell>
        </row>
        <row r="129">
          <cell r="A129">
            <v>3141</v>
          </cell>
          <cell r="B129" t="str">
            <v>Servicio telefonía tradicional</v>
          </cell>
        </row>
        <row r="130">
          <cell r="A130">
            <v>3151</v>
          </cell>
          <cell r="B130" t="str">
            <v>Servicio telefonía celular</v>
          </cell>
        </row>
        <row r="131">
          <cell r="A131">
            <v>3152</v>
          </cell>
          <cell r="B131" t="str">
            <v>Radiolocalización</v>
          </cell>
        </row>
        <row r="132">
          <cell r="A132">
            <v>3161</v>
          </cell>
          <cell r="B132" t="str">
            <v>Servicios de telecomunicaciones y satélites</v>
          </cell>
        </row>
        <row r="133">
          <cell r="A133">
            <v>3171</v>
          </cell>
          <cell r="B133" t="str">
            <v>Servicios de acceso de internet</v>
          </cell>
        </row>
        <row r="134">
          <cell r="A134">
            <v>3172</v>
          </cell>
          <cell r="B134" t="str">
            <v>Servicios de redes</v>
          </cell>
        </row>
        <row r="135">
          <cell r="A135">
            <v>3173</v>
          </cell>
          <cell r="B135" t="str">
            <v>Servicios de procesamiento de información</v>
          </cell>
        </row>
        <row r="136">
          <cell r="A136">
            <v>3181</v>
          </cell>
          <cell r="B136" t="str">
            <v xml:space="preserve">Servicio postal </v>
          </cell>
        </row>
        <row r="137">
          <cell r="A137">
            <v>3182</v>
          </cell>
          <cell r="B137" t="str">
            <v xml:space="preserve">Servicio telegráfico </v>
          </cell>
        </row>
        <row r="138">
          <cell r="A138">
            <v>3191</v>
          </cell>
          <cell r="B138" t="str">
            <v>Servicios integrales</v>
          </cell>
        </row>
        <row r="139">
          <cell r="A139">
            <v>3192</v>
          </cell>
          <cell r="B139" t="str">
            <v xml:space="preserve">Contratación de otros servicios </v>
          </cell>
        </row>
        <row r="140">
          <cell r="A140">
            <v>3211</v>
          </cell>
          <cell r="B140" t="str">
            <v>Arrendamiento de terrenos</v>
          </cell>
        </row>
        <row r="141">
          <cell r="A141">
            <v>3221</v>
          </cell>
          <cell r="B141" t="str">
            <v>Arrendamiento de edificios y locales</v>
          </cell>
        </row>
        <row r="142">
          <cell r="A142">
            <v>3231</v>
          </cell>
          <cell r="B142" t="str">
            <v>Arrendamiento de mobiliario y equipo de administración</v>
          </cell>
        </row>
        <row r="143">
          <cell r="A143">
            <v>3232</v>
          </cell>
          <cell r="B143" t="str">
            <v>Arrendamiento de mobiliario y equipo educativo y recreativo</v>
          </cell>
        </row>
        <row r="144">
          <cell r="A144">
            <v>3233</v>
          </cell>
          <cell r="B144" t="str">
            <v xml:space="preserve">Arrendamiento de equipo y bienes informáticos </v>
          </cell>
        </row>
        <row r="145">
          <cell r="A145">
            <v>3241</v>
          </cell>
          <cell r="B145" t="str">
            <v>Arrendamiento de equipo e instrumental médico y de laboratorio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</row>
        <row r="148">
          <cell r="A148">
            <v>3261</v>
          </cell>
          <cell r="B148" t="str">
            <v xml:space="preserve">Arrendamiento de maquinaria y equipo </v>
          </cell>
        </row>
        <row r="149">
          <cell r="A149">
            <v>3262</v>
          </cell>
          <cell r="B149" t="str">
            <v>Arrendamiento de herramientas</v>
          </cell>
        </row>
        <row r="150">
          <cell r="A150">
            <v>3271</v>
          </cell>
          <cell r="B150" t="str">
            <v>Arrendamiento de activos intangibles</v>
          </cell>
        </row>
        <row r="151">
          <cell r="A151">
            <v>3281</v>
          </cell>
          <cell r="B151" t="str">
            <v>Arrendamiento financiero</v>
          </cell>
        </row>
        <row r="152">
          <cell r="A152">
            <v>3291</v>
          </cell>
          <cell r="B152" t="str">
            <v>Otros Arrendamientos</v>
          </cell>
        </row>
        <row r="153">
          <cell r="A153">
            <v>3311</v>
          </cell>
          <cell r="B153" t="str">
            <v>Servicios legales</v>
          </cell>
        </row>
        <row r="154">
          <cell r="A154">
            <v>3312</v>
          </cell>
          <cell r="B154" t="str">
            <v>Servicios de contabilidad</v>
          </cell>
        </row>
        <row r="155">
          <cell r="A155">
            <v>3313</v>
          </cell>
          <cell r="B155" t="str">
            <v>Servicios de auditoría</v>
          </cell>
        </row>
        <row r="156">
          <cell r="A156">
            <v>3314</v>
          </cell>
          <cell r="B156" t="str">
            <v>Otros servicios relacionados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</row>
        <row r="158">
          <cell r="A158">
            <v>3331</v>
          </cell>
          <cell r="B158" t="str">
            <v>Servicios de consultoría administrativa</v>
          </cell>
        </row>
        <row r="159">
          <cell r="A159">
            <v>3332</v>
          </cell>
          <cell r="B159" t="str">
            <v>Servicios de procesos, técnica y en tecnologías de la información</v>
          </cell>
        </row>
        <row r="160">
          <cell r="A160">
            <v>3341</v>
          </cell>
          <cell r="B160" t="str">
            <v xml:space="preserve">Servicios de capacitación </v>
          </cell>
        </row>
        <row r="161">
          <cell r="A161">
            <v>3351</v>
          </cell>
          <cell r="B161" t="str">
            <v>Servicios de investigación científica</v>
          </cell>
        </row>
        <row r="162">
          <cell r="A162">
            <v>3352</v>
          </cell>
          <cell r="B162" t="str">
            <v>Servicios de investigación de desarrollo</v>
          </cell>
        </row>
        <row r="163">
          <cell r="A163">
            <v>3353</v>
          </cell>
          <cell r="B163" t="str">
            <v>Servicios estadísticos y geográficos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</row>
        <row r="165">
          <cell r="A165">
            <v>3371</v>
          </cell>
          <cell r="B165" t="str">
            <v>Servicios de protección y seguridad</v>
          </cell>
        </row>
        <row r="166">
          <cell r="A166">
            <v>3381</v>
          </cell>
          <cell r="B166" t="str">
            <v xml:space="preserve">Servicios de vigilancia </v>
          </cell>
        </row>
        <row r="167">
          <cell r="A167">
            <v>3391</v>
          </cell>
          <cell r="B167" t="str">
            <v>Servicios profesionales, científicos y técnicos integrales</v>
          </cell>
        </row>
        <row r="168">
          <cell r="A168">
            <v>3411</v>
          </cell>
          <cell r="B168" t="str">
            <v>Servicios financieros y bancarios</v>
          </cell>
        </row>
        <row r="169">
          <cell r="A169">
            <v>3412</v>
          </cell>
          <cell r="B169" t="str">
            <v>Diferencias por variaciones en el tipo de cambio</v>
          </cell>
        </row>
        <row r="170">
          <cell r="A170">
            <v>3421</v>
          </cell>
          <cell r="B170" t="str">
            <v>Servicios de cobranza, investigación crediticia y similar</v>
          </cell>
        </row>
        <row r="171">
          <cell r="A171">
            <v>3431</v>
          </cell>
          <cell r="B171" t="str">
            <v>Servicios de recaudación, traslado y custodia de valores</v>
          </cell>
        </row>
        <row r="172">
          <cell r="A172">
            <v>3441</v>
          </cell>
          <cell r="B172" t="str">
            <v>Seguros de responsabilidad patrimonial y fianzas</v>
          </cell>
        </row>
        <row r="173">
          <cell r="A173">
            <v>3451</v>
          </cell>
          <cell r="B173" t="str">
            <v>Seguro de bienes patrimoniales</v>
          </cell>
        </row>
        <row r="174">
          <cell r="A174">
            <v>3461</v>
          </cell>
          <cell r="B174" t="str">
            <v>Almacenaje, envase y embalaje</v>
          </cell>
        </row>
        <row r="175">
          <cell r="A175">
            <v>3471</v>
          </cell>
          <cell r="B175" t="str">
            <v>Fletes y maniobras</v>
          </cell>
        </row>
        <row r="176">
          <cell r="A176">
            <v>3481</v>
          </cell>
          <cell r="B176" t="str">
            <v>Comisiones por ventas</v>
          </cell>
        </row>
        <row r="177">
          <cell r="A177">
            <v>3491</v>
          </cell>
          <cell r="B177" t="str">
            <v>Servicios financieros, bancarios y comerciales integrales</v>
          </cell>
        </row>
        <row r="178">
          <cell r="A178">
            <v>3511</v>
          </cell>
          <cell r="B178" t="str">
            <v>Conservación y mantenimiento de inmuebles</v>
          </cell>
        </row>
        <row r="179">
          <cell r="A179">
            <v>3512</v>
          </cell>
          <cell r="B179" t="str">
            <v xml:space="preserve">Adaptación de inmuebles </v>
          </cell>
        </row>
        <row r="180">
          <cell r="A180">
            <v>3513</v>
          </cell>
          <cell r="B180" t="str">
            <v>Mantenimiento de pozos y equipo de bombeo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</row>
        <row r="183">
          <cell r="A183">
            <v>3531</v>
          </cell>
          <cell r="B183" t="str">
            <v>Instalación, reparación y mantenimiento de bienes informáticos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</row>
        <row r="186">
          <cell r="A186">
            <v>3561</v>
          </cell>
          <cell r="B186" t="str">
            <v>Reparación y mantenimiento de equipo de defensa y seguridad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</row>
        <row r="188">
          <cell r="A188">
            <v>3581</v>
          </cell>
          <cell r="B188" t="str">
            <v>Servicios de limpieza y manejo de desechos</v>
          </cell>
        </row>
        <row r="189">
          <cell r="A189">
            <v>3591</v>
          </cell>
          <cell r="B189" t="str">
            <v>Servicios de jardinería y fumigación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</row>
        <row r="192">
          <cell r="A192">
            <v>3613</v>
          </cell>
          <cell r="B192" t="str">
            <v xml:space="preserve">Espectáculos culturales 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</row>
        <row r="194">
          <cell r="A194">
            <v>3621</v>
          </cell>
          <cell r="B194" t="str">
            <v>Promoción para la venta de bienes o servicios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</row>
        <row r="196">
          <cell r="A196">
            <v>3641</v>
          </cell>
          <cell r="B196" t="str">
            <v>Servicios de revelado de fotografías</v>
          </cell>
        </row>
        <row r="197">
          <cell r="A197">
            <v>3651</v>
          </cell>
          <cell r="B197" t="str">
            <v>Servicios de la industria fílmica, del sonido y del video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</row>
        <row r="199">
          <cell r="A199">
            <v>3691</v>
          </cell>
          <cell r="B199" t="str">
            <v>Otros servicios de información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</row>
        <row r="206">
          <cell r="A206">
            <v>3741</v>
          </cell>
          <cell r="B206" t="str">
            <v>Transporte en vehículos especializados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</row>
        <row r="209">
          <cell r="A209">
            <v>3771</v>
          </cell>
          <cell r="B209" t="str">
            <v>Gastos de instalación y traslado de menaje</v>
          </cell>
        </row>
        <row r="210">
          <cell r="A210">
            <v>3781</v>
          </cell>
          <cell r="B210" t="str">
            <v>Servicios integrales de traslado y viáticos</v>
          </cell>
        </row>
        <row r="211">
          <cell r="A211">
            <v>3791</v>
          </cell>
          <cell r="B211" t="str">
            <v>Otros servicios de traslado y hospedaje</v>
          </cell>
        </row>
        <row r="212">
          <cell r="A212">
            <v>3811</v>
          </cell>
          <cell r="B212" t="str">
            <v xml:space="preserve">Gastos de ceremonial del H. Ayuntamiento </v>
          </cell>
        </row>
        <row r="213">
          <cell r="A213">
            <v>3812</v>
          </cell>
          <cell r="B213" t="str">
            <v>Gastos de ceremonial de los titulares de las dependencias y entidades</v>
          </cell>
        </row>
        <row r="214">
          <cell r="A214">
            <v>3821</v>
          </cell>
          <cell r="B214" t="str">
            <v>Gastos de orden social y cultural</v>
          </cell>
        </row>
        <row r="215">
          <cell r="A215">
            <v>3831</v>
          </cell>
          <cell r="B215" t="str">
            <v>Congresos y convenciones</v>
          </cell>
        </row>
        <row r="216">
          <cell r="A216">
            <v>3841</v>
          </cell>
          <cell r="B216" t="str">
            <v>Exposiciones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</row>
        <row r="219">
          <cell r="A219">
            <v>3853</v>
          </cell>
          <cell r="B219" t="str">
            <v xml:space="preserve">Gastos de representación </v>
          </cell>
        </row>
        <row r="220">
          <cell r="A220">
            <v>3854</v>
          </cell>
          <cell r="B220" t="str">
            <v xml:space="preserve">Gastos de seguridad pública </v>
          </cell>
        </row>
        <row r="221">
          <cell r="A221">
            <v>3911</v>
          </cell>
          <cell r="B221" t="str">
            <v>Servicios funerarios y de cementerios</v>
          </cell>
        </row>
        <row r="222">
          <cell r="A222">
            <v>3921</v>
          </cell>
          <cell r="B222" t="str">
            <v>Otros impuestos y derechos</v>
          </cell>
        </row>
        <row r="223">
          <cell r="A223">
            <v>3922</v>
          </cell>
          <cell r="B223" t="str">
            <v>Impuestos y derechos de exportación</v>
          </cell>
        </row>
        <row r="224">
          <cell r="A224">
            <v>3931</v>
          </cell>
          <cell r="B224" t="str">
            <v xml:space="preserve">Impuestos y derechos de importación </v>
          </cell>
        </row>
        <row r="225">
          <cell r="A225">
            <v>3941</v>
          </cell>
          <cell r="B225" t="str">
            <v>Sentencias y resoluciones judiciales</v>
          </cell>
        </row>
        <row r="226">
          <cell r="A226">
            <v>3951</v>
          </cell>
          <cell r="B226" t="str">
            <v>Penas, multas, accesorios y actualizaciones</v>
          </cell>
        </row>
        <row r="227">
          <cell r="A227">
            <v>3961</v>
          </cell>
          <cell r="B227" t="str">
            <v xml:space="preserve">Otros gastos por responsabilidades </v>
          </cell>
        </row>
        <row r="228">
          <cell r="A228">
            <v>3981</v>
          </cell>
          <cell r="B228" t="str">
            <v>Impuestos sobre nóminas</v>
          </cell>
        </row>
        <row r="229">
          <cell r="A229">
            <v>3991</v>
          </cell>
          <cell r="B229" t="str">
            <v>Otros servicios generales(gastos de transición)</v>
          </cell>
        </row>
        <row r="230">
          <cell r="A230">
            <v>4000</v>
          </cell>
          <cell r="B230" t="str">
            <v>Transferencias, subsidios y otras ayudas</v>
          </cell>
        </row>
        <row r="231">
          <cell r="A231">
            <v>4151</v>
          </cell>
          <cell r="B231" t="str">
            <v>Transferencias para servicios personales</v>
          </cell>
        </row>
        <row r="232">
          <cell r="A232">
            <v>4152</v>
          </cell>
          <cell r="B232" t="str">
            <v>Transferencias para materiales y suministros</v>
          </cell>
        </row>
        <row r="233">
          <cell r="A233">
            <v>4153</v>
          </cell>
          <cell r="B233" t="str">
            <v>Transferencias para servicios básicos</v>
          </cell>
        </row>
        <row r="234">
          <cell r="A234">
            <v>4154</v>
          </cell>
          <cell r="B234" t="str">
            <v>Transferencias, asignaciones, subsidios y otras ayudas</v>
          </cell>
        </row>
        <row r="235">
          <cell r="A235">
            <v>4155</v>
          </cell>
          <cell r="B235" t="str">
            <v>Transferencias para bienes muebles, inmuebles e intangibles</v>
          </cell>
        </row>
        <row r="236">
          <cell r="A236">
            <v>4156</v>
          </cell>
          <cell r="B236" t="str">
            <v>Transfernecias para inversión pública</v>
          </cell>
        </row>
        <row r="237">
          <cell r="A237">
            <v>4157</v>
          </cell>
          <cell r="B237" t="str">
            <v>Transferencias para inversiones financieras y otras provisiones</v>
          </cell>
        </row>
        <row r="238">
          <cell r="A238">
            <v>4158</v>
          </cell>
          <cell r="B238" t="str">
            <v>Transferencias para participaciones y aportaciones</v>
          </cell>
        </row>
        <row r="239">
          <cell r="A239">
            <v>4159</v>
          </cell>
          <cell r="B239" t="str">
            <v>Transferencias para deuda pública</v>
          </cell>
        </row>
        <row r="240">
          <cell r="A240">
            <v>4231</v>
          </cell>
          <cell r="B240" t="str">
            <v>Transferencias para servicios personales</v>
          </cell>
        </row>
        <row r="241">
          <cell r="A241">
            <v>4232</v>
          </cell>
          <cell r="B241" t="str">
            <v>Transferencias para materiales y suministros</v>
          </cell>
        </row>
        <row r="242">
          <cell r="A242">
            <v>4233</v>
          </cell>
          <cell r="B242" t="str">
            <v>Transferencias para servicios básicos</v>
          </cell>
        </row>
        <row r="243">
          <cell r="A243">
            <v>4234</v>
          </cell>
          <cell r="B243" t="str">
            <v>Transferencias, asignaciones, subsidios y otras ayudas</v>
          </cell>
        </row>
        <row r="244">
          <cell r="A244">
            <v>4235</v>
          </cell>
          <cell r="B244" t="str">
            <v>Transferencias para bienes muebles, inmuebles e intangibles</v>
          </cell>
        </row>
        <row r="245">
          <cell r="A245">
            <v>4236</v>
          </cell>
          <cell r="B245" t="str">
            <v>Transferncias para inversión pública</v>
          </cell>
        </row>
        <row r="246">
          <cell r="A246">
            <v>4237</v>
          </cell>
          <cell r="B246" t="str">
            <v>Transferencias para inversiones financieras y otras provisiones</v>
          </cell>
        </row>
        <row r="247">
          <cell r="A247">
            <v>4238</v>
          </cell>
          <cell r="B247" t="str">
            <v>Transferencias para participaciones y aportaciones</v>
          </cell>
        </row>
        <row r="248">
          <cell r="A248">
            <v>4239</v>
          </cell>
          <cell r="B248" t="str">
            <v>Transferencias para deuda pública</v>
          </cell>
        </row>
        <row r="249">
          <cell r="A249">
            <v>4311</v>
          </cell>
          <cell r="B249" t="str">
            <v>Subsidios a la producción</v>
          </cell>
        </row>
        <row r="250">
          <cell r="A250">
            <v>4321</v>
          </cell>
          <cell r="B250" t="str">
            <v>Subsidios a la distribución</v>
          </cell>
        </row>
        <row r="251">
          <cell r="A251">
            <v>4331</v>
          </cell>
          <cell r="B251" t="str">
            <v>Subsidios para inversión</v>
          </cell>
        </row>
        <row r="252">
          <cell r="A252">
            <v>4341</v>
          </cell>
          <cell r="B252" t="str">
            <v>Subsidios a la prestación de servicios públicos</v>
          </cell>
        </row>
        <row r="253">
          <cell r="A253">
            <v>4342</v>
          </cell>
          <cell r="B253" t="str">
            <v xml:space="preserve">Subsidios a fideicomisos privados y estatales </v>
          </cell>
        </row>
        <row r="254">
          <cell r="A254">
            <v>4351</v>
          </cell>
          <cell r="B254" t="str">
            <v>Subsidios para cubrir diferenciales de tasas de interés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</row>
        <row r="256">
          <cell r="A256">
            <v>4371</v>
          </cell>
          <cell r="B256" t="str">
            <v>Subsidios al consumo</v>
          </cell>
        </row>
        <row r="257">
          <cell r="A257">
            <v>4391</v>
          </cell>
          <cell r="B257" t="str">
            <v>Subsidios sindicato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</row>
        <row r="259">
          <cell r="A259">
            <v>4412</v>
          </cell>
          <cell r="B259" t="str">
            <v xml:space="preserve">Funerales y pagas de defunción 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</row>
        <row r="262">
          <cell r="A262">
            <v>4421</v>
          </cell>
          <cell r="B262" t="str">
            <v>Becas</v>
          </cell>
        </row>
        <row r="263">
          <cell r="A263">
            <v>4431</v>
          </cell>
          <cell r="B263" t="str">
            <v>Ayudas sociales a instituciones de enseñanza</v>
          </cell>
        </row>
        <row r="264">
          <cell r="A264">
            <v>4441</v>
          </cell>
          <cell r="B264" t="str">
            <v>Ayudas sociales a actividades científicas o académicas</v>
          </cell>
        </row>
        <row r="265">
          <cell r="A265">
            <v>4451</v>
          </cell>
          <cell r="B265" t="str">
            <v>Donativos a instituciones sin fines de lucro</v>
          </cell>
        </row>
        <row r="266">
          <cell r="A266">
            <v>4461</v>
          </cell>
          <cell r="B266" t="str">
            <v>Ayudas sociales a cooperativas</v>
          </cell>
        </row>
        <row r="267">
          <cell r="A267">
            <v>4471</v>
          </cell>
          <cell r="B267" t="str">
            <v>Ayudas sociales a entidades de interés público</v>
          </cell>
        </row>
        <row r="268">
          <cell r="A268">
            <v>4481</v>
          </cell>
          <cell r="B268" t="str">
            <v>Ayudas por desastres naturales y otros siniestros</v>
          </cell>
        </row>
        <row r="269">
          <cell r="A269">
            <v>4511</v>
          </cell>
          <cell r="B269" t="str">
            <v>Pensiones</v>
          </cell>
        </row>
        <row r="270">
          <cell r="A270">
            <v>4521</v>
          </cell>
          <cell r="B270" t="str">
            <v>Jubilaciones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</row>
        <row r="272">
          <cell r="A272">
            <v>5000</v>
          </cell>
          <cell r="B272" t="str">
            <v>Bienes muebles, inmuebles e intangibles</v>
          </cell>
        </row>
        <row r="273">
          <cell r="A273">
            <v>5111</v>
          </cell>
          <cell r="B273" t="str">
            <v>Muebles de oficina y estantería</v>
          </cell>
        </row>
        <row r="274">
          <cell r="A274">
            <v>5121</v>
          </cell>
          <cell r="B274" t="str">
            <v>Muebles, excepto de oficina y estantería</v>
          </cell>
        </row>
        <row r="275">
          <cell r="A275">
            <v>5131</v>
          </cell>
          <cell r="B275" t="str">
            <v>Libros, revistas y otros elementos coleccionables</v>
          </cell>
        </row>
        <row r="276">
          <cell r="A276">
            <v>5132</v>
          </cell>
          <cell r="B276" t="str">
            <v>Bienes muebles inalienables e imprescriptibles</v>
          </cell>
        </row>
        <row r="277">
          <cell r="A277">
            <v>5133</v>
          </cell>
          <cell r="B277" t="str">
            <v>Otros bienes artísticos, culturales y científicos</v>
          </cell>
        </row>
        <row r="278">
          <cell r="A278">
            <v>5141</v>
          </cell>
          <cell r="B278" t="str">
            <v>Objetos valiosos</v>
          </cell>
        </row>
        <row r="279">
          <cell r="A279">
            <v>5151</v>
          </cell>
          <cell r="B279" t="str">
            <v>Computadoras y equipo periférico</v>
          </cell>
        </row>
        <row r="280">
          <cell r="A280">
            <v>5152</v>
          </cell>
          <cell r="B280" t="str">
            <v>Medios magnéticos y ópticos</v>
          </cell>
        </row>
        <row r="281">
          <cell r="A281">
            <v>5191</v>
          </cell>
          <cell r="B281" t="str">
            <v>Otros mobiliarios y equipos de administración</v>
          </cell>
        </row>
        <row r="282">
          <cell r="A282">
            <v>5192</v>
          </cell>
          <cell r="B282" t="str">
            <v>Mobiliario y equipo para comercio y servicios</v>
          </cell>
        </row>
        <row r="283">
          <cell r="A283">
            <v>5211</v>
          </cell>
          <cell r="B283" t="str">
            <v>Equipo de audio y de video</v>
          </cell>
        </row>
        <row r="284">
          <cell r="A284">
            <v>5221</v>
          </cell>
          <cell r="B284" t="str">
            <v>Aparatos deportivos</v>
          </cell>
        </row>
        <row r="285">
          <cell r="A285">
            <v>5231</v>
          </cell>
          <cell r="B285" t="str">
            <v>Camaras fotograficas y de video</v>
          </cell>
        </row>
        <row r="286">
          <cell r="A286">
            <v>5291</v>
          </cell>
          <cell r="B286" t="str">
            <v>Otro mobiliario y equipo educacional y recreativo</v>
          </cell>
        </row>
        <row r="287">
          <cell r="A287">
            <v>5311</v>
          </cell>
          <cell r="B287" t="str">
            <v>Equipo para uso médico, dental y para laboratorio</v>
          </cell>
        </row>
        <row r="288">
          <cell r="A288">
            <v>5321</v>
          </cell>
          <cell r="B288" t="str">
            <v>Instrumentos médicos</v>
          </cell>
        </row>
        <row r="289">
          <cell r="A289">
            <v>5322</v>
          </cell>
          <cell r="B289" t="str">
            <v>Instrumentos de laboratorio</v>
          </cell>
        </row>
        <row r="290">
          <cell r="A290">
            <v>5411</v>
          </cell>
          <cell r="B290" t="str">
            <v>Automóviles y camiones</v>
          </cell>
        </row>
        <row r="291">
          <cell r="A291">
            <v>5421</v>
          </cell>
          <cell r="B291" t="str">
            <v>Carrocerías y remolques</v>
          </cell>
        </row>
        <row r="292">
          <cell r="A292">
            <v>5431</v>
          </cell>
          <cell r="B292" t="str">
            <v>Equipo aeroespacial</v>
          </cell>
        </row>
        <row r="293">
          <cell r="A293">
            <v>5441</v>
          </cell>
          <cell r="B293" t="str">
            <v>Equipo ferroviario</v>
          </cell>
        </row>
        <row r="294">
          <cell r="A294">
            <v>5451</v>
          </cell>
          <cell r="B294" t="str">
            <v>Embarcaciones</v>
          </cell>
        </row>
        <row r="295">
          <cell r="A295">
            <v>5491</v>
          </cell>
          <cell r="B295" t="str">
            <v>Otro equipo de transporte</v>
          </cell>
        </row>
        <row r="296">
          <cell r="A296">
            <v>5511</v>
          </cell>
          <cell r="B296" t="str">
            <v>Equipo de defensa y de seguridad</v>
          </cell>
        </row>
        <row r="297">
          <cell r="A297">
            <v>5611</v>
          </cell>
          <cell r="B297" t="str">
            <v>Maquinaria y equipo agropecuario</v>
          </cell>
        </row>
        <row r="298">
          <cell r="A298">
            <v>5621</v>
          </cell>
          <cell r="B298" t="str">
            <v>Maquinaria y equipo industrial</v>
          </cell>
        </row>
        <row r="299">
          <cell r="A299">
            <v>5631</v>
          </cell>
          <cell r="B299" t="str">
            <v>Maquinaria y equipo de construcción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 Y ECOLOGIA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INGRESO-EGRESO"/>
      <sheetName val="Hoja2"/>
      <sheetName val="INGRESOS"/>
      <sheetName val="PRESUPUESTO AL CIERRE"/>
      <sheetName val="PROGRAMAS Y PROYECTOS"/>
      <sheetName val="Hoja1"/>
      <sheetName val="COG"/>
      <sheetName val="COG RESUMEN"/>
      <sheetName val="CTG"/>
      <sheetName val="CA"/>
      <sheetName val="CFG"/>
      <sheetName val="GCP"/>
      <sheetName val="FONDO I"/>
      <sheetName val="FONDO II"/>
      <sheetName val="Resumen REMANENTE"/>
      <sheetName val="remanente por F.F"/>
      <sheetName val="REMANENTE FILAS OCULTAS"/>
      <sheetName val="REMANENTE (2)"/>
    </sheetNames>
    <sheetDataSet>
      <sheetData sheetId="0">
        <row r="242">
          <cell r="L242" t="str">
            <v>Etiquetas de fila</v>
          </cell>
          <cell r="M242" t="str">
            <v>Suma de ASIGNADO</v>
          </cell>
          <cell r="N242" t="str">
            <v>Suma de PRIMERA MODIFICACIÓN 2019</v>
          </cell>
          <cell r="O242" t="str">
            <v>Suma de PRESUPUESTO AL CIERRE DE NOVIEMBRE</v>
          </cell>
        </row>
        <row r="243">
          <cell r="L243">
            <v>1131</v>
          </cell>
          <cell r="M243">
            <v>64870081.68999999</v>
          </cell>
          <cell r="N243">
            <v>64024081.68999999</v>
          </cell>
          <cell r="O243">
            <v>63406647.68999999</v>
          </cell>
        </row>
        <row r="244">
          <cell r="L244">
            <v>1132</v>
          </cell>
          <cell r="M244">
            <v>212674924.53</v>
          </cell>
          <cell r="N244">
            <v>199143252.39999998</v>
          </cell>
          <cell r="O244">
            <v>194605185.5</v>
          </cell>
        </row>
        <row r="245">
          <cell r="L245">
            <v>1212</v>
          </cell>
          <cell r="M245">
            <v>84736607.00000003</v>
          </cell>
          <cell r="N245">
            <v>93975566.440000027</v>
          </cell>
          <cell r="O245">
            <v>97507366.440000027</v>
          </cell>
        </row>
        <row r="246">
          <cell r="L246">
            <v>1221</v>
          </cell>
          <cell r="M246">
            <v>525000</v>
          </cell>
          <cell r="N246">
            <v>375000</v>
          </cell>
          <cell r="O246">
            <v>375000</v>
          </cell>
        </row>
        <row r="247">
          <cell r="L247">
            <v>1321</v>
          </cell>
          <cell r="M247">
            <v>15891803.690000003</v>
          </cell>
          <cell r="N247">
            <v>15893383.940000003</v>
          </cell>
          <cell r="O247">
            <v>15952134.940000003</v>
          </cell>
        </row>
        <row r="248">
          <cell r="L248">
            <v>1322</v>
          </cell>
          <cell r="M248">
            <v>1138500</v>
          </cell>
          <cell r="N248">
            <v>1102500</v>
          </cell>
          <cell r="O248">
            <v>1102500</v>
          </cell>
        </row>
        <row r="249">
          <cell r="L249">
            <v>1323</v>
          </cell>
          <cell r="M249">
            <v>53995128.000000007</v>
          </cell>
          <cell r="N249">
            <v>51659979.780000001</v>
          </cell>
          <cell r="O249">
            <v>50370679.780000001</v>
          </cell>
        </row>
        <row r="250">
          <cell r="L250">
            <v>1331</v>
          </cell>
          <cell r="M250">
            <v>4375937</v>
          </cell>
          <cell r="N250">
            <v>4293937</v>
          </cell>
          <cell r="O250">
            <v>4131155</v>
          </cell>
        </row>
        <row r="251">
          <cell r="L251">
            <v>1413</v>
          </cell>
          <cell r="M251">
            <v>80614196.36999999</v>
          </cell>
          <cell r="N251">
            <v>77762485.559999987</v>
          </cell>
          <cell r="O251">
            <v>73400700.559999987</v>
          </cell>
        </row>
        <row r="252">
          <cell r="L252">
            <v>1421</v>
          </cell>
          <cell r="M252">
            <v>25742208.130000006</v>
          </cell>
          <cell r="N252">
            <v>25614736.040000007</v>
          </cell>
          <cell r="O252">
            <v>25495651.040000007</v>
          </cell>
        </row>
        <row r="253">
          <cell r="L253">
            <v>1431</v>
          </cell>
          <cell r="M253">
            <v>26524217.159999993</v>
          </cell>
          <cell r="N253">
            <v>29560625.659999996</v>
          </cell>
          <cell r="O253">
            <v>28130985.659999996</v>
          </cell>
        </row>
        <row r="254">
          <cell r="L254">
            <v>1441</v>
          </cell>
          <cell r="M254">
            <v>5400000</v>
          </cell>
          <cell r="N254">
            <v>6000000</v>
          </cell>
          <cell r="O254">
            <v>6586564.6100000003</v>
          </cell>
        </row>
        <row r="255">
          <cell r="L255">
            <v>1511</v>
          </cell>
          <cell r="M255">
            <v>3951538.7000000011</v>
          </cell>
          <cell r="N255">
            <v>3957138.7000000011</v>
          </cell>
          <cell r="O255">
            <v>3960138.7000000011</v>
          </cell>
        </row>
        <row r="256">
          <cell r="L256">
            <v>1522</v>
          </cell>
          <cell r="M256">
            <v>14400000</v>
          </cell>
          <cell r="N256">
            <v>23900000</v>
          </cell>
          <cell r="O256">
            <v>25900000</v>
          </cell>
        </row>
        <row r="257">
          <cell r="L257">
            <v>1531</v>
          </cell>
          <cell r="M257">
            <v>661535</v>
          </cell>
          <cell r="N257">
            <v>661535</v>
          </cell>
          <cell r="O257">
            <v>667577</v>
          </cell>
        </row>
        <row r="258">
          <cell r="L258">
            <v>1541</v>
          </cell>
          <cell r="M258">
            <v>28080598.139999997</v>
          </cell>
          <cell r="N258">
            <v>29849798.139999997</v>
          </cell>
          <cell r="O258">
            <v>33651276.140000001</v>
          </cell>
        </row>
        <row r="259">
          <cell r="L259">
            <v>1591</v>
          </cell>
          <cell r="M259">
            <v>2268000</v>
          </cell>
          <cell r="N259">
            <v>2193000</v>
          </cell>
          <cell r="O259">
            <v>2193000</v>
          </cell>
        </row>
        <row r="260">
          <cell r="L260">
            <v>1592</v>
          </cell>
          <cell r="M260">
            <v>90070225.779999956</v>
          </cell>
          <cell r="N260">
            <v>86297731.189999968</v>
          </cell>
          <cell r="O260">
            <v>81580108.089999959</v>
          </cell>
        </row>
        <row r="261">
          <cell r="L261">
            <v>1593</v>
          </cell>
          <cell r="M261">
            <v>3619687.5</v>
          </cell>
          <cell r="N261">
            <v>3447687.5</v>
          </cell>
          <cell r="O261">
            <v>5267332.5</v>
          </cell>
        </row>
        <row r="262">
          <cell r="L262">
            <v>1711</v>
          </cell>
          <cell r="M262">
            <v>346500</v>
          </cell>
          <cell r="N262">
            <v>306500</v>
          </cell>
          <cell r="O262">
            <v>306500</v>
          </cell>
        </row>
        <row r="263">
          <cell r="L263">
            <v>2111</v>
          </cell>
          <cell r="M263">
            <v>1674600</v>
          </cell>
          <cell r="N263">
            <v>2209119.0299999998</v>
          </cell>
          <cell r="O263">
            <v>2248762.92</v>
          </cell>
        </row>
        <row r="264">
          <cell r="L264">
            <v>2112</v>
          </cell>
          <cell r="M264">
            <v>594050</v>
          </cell>
          <cell r="N264">
            <v>1407690.81</v>
          </cell>
          <cell r="O264">
            <v>1678245.61</v>
          </cell>
        </row>
        <row r="265">
          <cell r="L265">
            <v>2121</v>
          </cell>
          <cell r="M265">
            <v>1427535</v>
          </cell>
          <cell r="N265">
            <v>1824253.1600000001</v>
          </cell>
          <cell r="O265">
            <v>1779563.2400000005</v>
          </cell>
        </row>
        <row r="266">
          <cell r="L266">
            <v>2131</v>
          </cell>
          <cell r="M266">
            <v>80000</v>
          </cell>
          <cell r="N266">
            <v>80000</v>
          </cell>
          <cell r="O266">
            <v>55000</v>
          </cell>
        </row>
        <row r="267">
          <cell r="L267">
            <v>2142</v>
          </cell>
          <cell r="M267">
            <v>2000</v>
          </cell>
          <cell r="N267">
            <v>2000</v>
          </cell>
          <cell r="O267">
            <v>337838.68</v>
          </cell>
        </row>
        <row r="268">
          <cell r="L268">
            <v>2151</v>
          </cell>
          <cell r="M268">
            <v>37000</v>
          </cell>
          <cell r="N268">
            <v>37000</v>
          </cell>
          <cell r="O268">
            <v>27000</v>
          </cell>
        </row>
        <row r="269">
          <cell r="L269">
            <v>2161</v>
          </cell>
          <cell r="M269">
            <v>845500</v>
          </cell>
          <cell r="N269">
            <v>948724</v>
          </cell>
          <cell r="O269">
            <v>1052927.7999999998</v>
          </cell>
        </row>
        <row r="270">
          <cell r="L270">
            <v>2171</v>
          </cell>
          <cell r="M270">
            <v>162000</v>
          </cell>
          <cell r="N270">
            <v>202000</v>
          </cell>
          <cell r="O270">
            <v>163000</v>
          </cell>
        </row>
        <row r="271">
          <cell r="L271">
            <v>2182</v>
          </cell>
          <cell r="M271">
            <v>4152000</v>
          </cell>
          <cell r="N271">
            <v>4907160</v>
          </cell>
          <cell r="O271">
            <v>4871160</v>
          </cell>
        </row>
        <row r="272">
          <cell r="L272">
            <v>2211</v>
          </cell>
          <cell r="M272">
            <v>250000</v>
          </cell>
          <cell r="N272">
            <v>250000</v>
          </cell>
          <cell r="O272">
            <v>250000</v>
          </cell>
        </row>
        <row r="273">
          <cell r="L273">
            <v>2212</v>
          </cell>
          <cell r="M273">
            <v>2985000</v>
          </cell>
          <cell r="N273">
            <v>3822000</v>
          </cell>
          <cell r="O273">
            <v>3852069.61</v>
          </cell>
        </row>
        <row r="274">
          <cell r="L274">
            <v>2221</v>
          </cell>
          <cell r="M274">
            <v>1305000</v>
          </cell>
          <cell r="N274">
            <v>1305000</v>
          </cell>
          <cell r="O274">
            <v>1305000</v>
          </cell>
        </row>
        <row r="275">
          <cell r="L275">
            <v>2231</v>
          </cell>
          <cell r="M275">
            <v>0</v>
          </cell>
          <cell r="N275"/>
          <cell r="O275">
            <v>8000</v>
          </cell>
        </row>
        <row r="276">
          <cell r="L276">
            <v>2312</v>
          </cell>
          <cell r="M276">
            <v>60000</v>
          </cell>
          <cell r="N276">
            <v>100000</v>
          </cell>
          <cell r="O276">
            <v>100000</v>
          </cell>
        </row>
        <row r="277">
          <cell r="L277">
            <v>2391</v>
          </cell>
          <cell r="M277">
            <v>450000</v>
          </cell>
          <cell r="N277">
            <v>600000</v>
          </cell>
          <cell r="O277">
            <v>600000</v>
          </cell>
        </row>
        <row r="278">
          <cell r="L278">
            <v>2411</v>
          </cell>
          <cell r="M278">
            <v>14000</v>
          </cell>
          <cell r="N278">
            <v>64000</v>
          </cell>
          <cell r="O278">
            <v>64000</v>
          </cell>
        </row>
        <row r="279">
          <cell r="L279">
            <v>2421</v>
          </cell>
          <cell r="M279">
            <v>1716500</v>
          </cell>
          <cell r="N279">
            <v>2542660</v>
          </cell>
          <cell r="O279">
            <v>2616251.75</v>
          </cell>
        </row>
        <row r="280">
          <cell r="L280">
            <v>2431</v>
          </cell>
          <cell r="M280">
            <v>7500</v>
          </cell>
          <cell r="N280">
            <v>7500</v>
          </cell>
          <cell r="O280">
            <v>7500</v>
          </cell>
        </row>
        <row r="281">
          <cell r="L281">
            <v>2441</v>
          </cell>
          <cell r="M281">
            <v>40000</v>
          </cell>
          <cell r="N281">
            <v>40000</v>
          </cell>
          <cell r="O281">
            <v>40000</v>
          </cell>
        </row>
        <row r="282">
          <cell r="L282">
            <v>2461</v>
          </cell>
          <cell r="M282">
            <v>15645000</v>
          </cell>
          <cell r="N282">
            <v>3530000</v>
          </cell>
          <cell r="O282">
            <v>3553761.4</v>
          </cell>
        </row>
        <row r="283">
          <cell r="L283">
            <v>2481</v>
          </cell>
          <cell r="M283">
            <v>15000000</v>
          </cell>
          <cell r="N283">
            <v>17435231.780000001</v>
          </cell>
          <cell r="O283">
            <v>17435231.780000001</v>
          </cell>
        </row>
        <row r="284">
          <cell r="L284">
            <v>2491</v>
          </cell>
          <cell r="M284">
            <v>7173350</v>
          </cell>
          <cell r="N284">
            <v>11509515.83</v>
          </cell>
          <cell r="O284">
            <v>10626350.709999999</v>
          </cell>
        </row>
        <row r="285">
          <cell r="L285">
            <v>2511</v>
          </cell>
          <cell r="M285">
            <v>60000</v>
          </cell>
          <cell r="N285">
            <v>60000</v>
          </cell>
          <cell r="O285">
            <v>60000</v>
          </cell>
        </row>
        <row r="286">
          <cell r="L286">
            <v>2521</v>
          </cell>
          <cell r="M286">
            <v>47000</v>
          </cell>
          <cell r="N286">
            <v>67000</v>
          </cell>
          <cell r="O286">
            <v>87000</v>
          </cell>
        </row>
        <row r="287">
          <cell r="L287">
            <v>2522</v>
          </cell>
          <cell r="M287">
            <v>1050000</v>
          </cell>
          <cell r="N287">
            <v>1070000</v>
          </cell>
          <cell r="O287">
            <v>1085000</v>
          </cell>
        </row>
        <row r="288">
          <cell r="L288">
            <v>2531</v>
          </cell>
          <cell r="M288">
            <v>1560000</v>
          </cell>
          <cell r="N288">
            <v>1267000</v>
          </cell>
          <cell r="O288">
            <v>955535.64</v>
          </cell>
        </row>
        <row r="289">
          <cell r="L289">
            <v>2541</v>
          </cell>
          <cell r="M289">
            <v>100000</v>
          </cell>
          <cell r="N289">
            <v>100000</v>
          </cell>
          <cell r="O289">
            <v>100000</v>
          </cell>
        </row>
        <row r="290">
          <cell r="L290">
            <v>2551</v>
          </cell>
          <cell r="M290">
            <v>35000</v>
          </cell>
          <cell r="N290">
            <v>35000</v>
          </cell>
          <cell r="O290">
            <v>35000</v>
          </cell>
        </row>
        <row r="291">
          <cell r="L291">
            <v>2611</v>
          </cell>
          <cell r="M291">
            <v>21000000</v>
          </cell>
          <cell r="N291">
            <v>22500000</v>
          </cell>
          <cell r="O291">
            <v>23499999.879999999</v>
          </cell>
        </row>
        <row r="292">
          <cell r="L292">
            <v>2612</v>
          </cell>
          <cell r="M292">
            <v>38757500</v>
          </cell>
          <cell r="N292">
            <v>37342840</v>
          </cell>
          <cell r="O292">
            <v>40859840</v>
          </cell>
        </row>
        <row r="293">
          <cell r="L293">
            <v>2613</v>
          </cell>
          <cell r="M293">
            <v>70000</v>
          </cell>
          <cell r="N293">
            <v>70000</v>
          </cell>
          <cell r="O293">
            <v>70000</v>
          </cell>
        </row>
        <row r="294">
          <cell r="L294">
            <v>2711</v>
          </cell>
          <cell r="M294">
            <v>21772170</v>
          </cell>
          <cell r="N294">
            <v>19713299.710000001</v>
          </cell>
          <cell r="O294">
            <v>18081250.710000001</v>
          </cell>
        </row>
        <row r="295">
          <cell r="L295">
            <v>2721</v>
          </cell>
          <cell r="M295">
            <v>1855000</v>
          </cell>
          <cell r="N295">
            <v>1375000</v>
          </cell>
          <cell r="O295">
            <v>633470</v>
          </cell>
        </row>
        <row r="296">
          <cell r="L296">
            <v>2722</v>
          </cell>
          <cell r="M296">
            <v>56000</v>
          </cell>
          <cell r="N296">
            <v>74431.58</v>
          </cell>
          <cell r="O296">
            <v>74431.58</v>
          </cell>
        </row>
        <row r="297">
          <cell r="L297">
            <v>2731</v>
          </cell>
          <cell r="M297">
            <v>20000</v>
          </cell>
          <cell r="N297">
            <v>20000</v>
          </cell>
          <cell r="O297">
            <v>20000</v>
          </cell>
        </row>
        <row r="298">
          <cell r="L298">
            <v>2751</v>
          </cell>
          <cell r="M298">
            <v>600000</v>
          </cell>
          <cell r="N298">
            <v>600000</v>
          </cell>
          <cell r="O298">
            <v>600000</v>
          </cell>
        </row>
        <row r="299">
          <cell r="L299">
            <v>2821</v>
          </cell>
          <cell r="M299">
            <v>310000</v>
          </cell>
          <cell r="N299">
            <v>310000</v>
          </cell>
          <cell r="O299">
            <v>1210000</v>
          </cell>
        </row>
        <row r="300">
          <cell r="L300">
            <v>2831</v>
          </cell>
          <cell r="M300">
            <v>1475551.8</v>
          </cell>
          <cell r="N300">
            <v>5012000</v>
          </cell>
          <cell r="O300">
            <v>5012000</v>
          </cell>
        </row>
        <row r="301">
          <cell r="L301">
            <v>2911</v>
          </cell>
          <cell r="M301">
            <v>416280</v>
          </cell>
          <cell r="N301">
            <v>651152</v>
          </cell>
          <cell r="O301">
            <v>470448.78</v>
          </cell>
        </row>
        <row r="302">
          <cell r="L302">
            <v>2921</v>
          </cell>
          <cell r="M302">
            <v>0</v>
          </cell>
          <cell r="N302">
            <v>7000</v>
          </cell>
          <cell r="O302">
            <v>7000</v>
          </cell>
        </row>
        <row r="303">
          <cell r="L303">
            <v>2941</v>
          </cell>
          <cell r="M303">
            <v>74500</v>
          </cell>
          <cell r="N303">
            <v>121015.51</v>
          </cell>
          <cell r="O303">
            <v>121015.51</v>
          </cell>
        </row>
        <row r="304">
          <cell r="L304">
            <v>2951</v>
          </cell>
          <cell r="M304">
            <v>5000</v>
          </cell>
          <cell r="N304">
            <v>5000</v>
          </cell>
          <cell r="O304">
            <v>5000</v>
          </cell>
        </row>
        <row r="305">
          <cell r="L305">
            <v>2961</v>
          </cell>
          <cell r="M305">
            <v>0</v>
          </cell>
          <cell r="N305">
            <v>0</v>
          </cell>
          <cell r="O305">
            <v>15852</v>
          </cell>
        </row>
        <row r="306">
          <cell r="L306">
            <v>3111</v>
          </cell>
          <cell r="M306">
            <v>7983420</v>
          </cell>
          <cell r="N306">
            <v>8043420</v>
          </cell>
          <cell r="O306">
            <v>8018420</v>
          </cell>
        </row>
        <row r="307">
          <cell r="L307">
            <v>3112</v>
          </cell>
          <cell r="M307">
            <v>93280000</v>
          </cell>
          <cell r="N307">
            <v>113280000</v>
          </cell>
          <cell r="O307">
            <v>104330072.30000001</v>
          </cell>
        </row>
        <row r="308">
          <cell r="L308">
            <v>3121</v>
          </cell>
          <cell r="M308">
            <v>261000</v>
          </cell>
          <cell r="N308">
            <v>261000</v>
          </cell>
          <cell r="O308">
            <v>261000</v>
          </cell>
        </row>
        <row r="309">
          <cell r="L309">
            <v>3131</v>
          </cell>
          <cell r="M309">
            <v>1895950</v>
          </cell>
          <cell r="N309">
            <v>1885950</v>
          </cell>
          <cell r="O309">
            <v>1883450</v>
          </cell>
        </row>
        <row r="310">
          <cell r="L310">
            <v>3141</v>
          </cell>
          <cell r="M310">
            <v>3742524.96</v>
          </cell>
          <cell r="N310">
            <v>3731524.96</v>
          </cell>
          <cell r="O310">
            <v>3731524.96</v>
          </cell>
        </row>
        <row r="311">
          <cell r="L311">
            <v>3151</v>
          </cell>
          <cell r="M311">
            <v>888746.18</v>
          </cell>
          <cell r="N311">
            <v>698579.72000000009</v>
          </cell>
          <cell r="O311">
            <v>698579.72000000009</v>
          </cell>
        </row>
        <row r="312">
          <cell r="L312">
            <v>3161</v>
          </cell>
          <cell r="M312">
            <v>1321988</v>
          </cell>
          <cell r="N312">
            <v>1341988</v>
          </cell>
          <cell r="O312">
            <v>1341988</v>
          </cell>
        </row>
        <row r="313">
          <cell r="L313">
            <v>3172</v>
          </cell>
          <cell r="M313">
            <v>70000</v>
          </cell>
          <cell r="N313">
            <v>119965.94</v>
          </cell>
          <cell r="O313">
            <v>515265.94</v>
          </cell>
        </row>
        <row r="314">
          <cell r="L314">
            <v>3173</v>
          </cell>
          <cell r="M314">
            <v>1320000</v>
          </cell>
          <cell r="N314">
            <v>1117000</v>
          </cell>
          <cell r="O314">
            <v>1550040</v>
          </cell>
        </row>
        <row r="315">
          <cell r="L315">
            <v>3181</v>
          </cell>
          <cell r="M315">
            <v>692000</v>
          </cell>
          <cell r="N315">
            <v>1404525.75</v>
          </cell>
          <cell r="O315">
            <v>1402525.75</v>
          </cell>
        </row>
        <row r="316">
          <cell r="L316">
            <v>3192</v>
          </cell>
          <cell r="M316">
            <v>1500000</v>
          </cell>
          <cell r="N316">
            <v>0</v>
          </cell>
          <cell r="O316">
            <v>0</v>
          </cell>
        </row>
        <row r="317">
          <cell r="L317">
            <v>3221</v>
          </cell>
          <cell r="M317">
            <v>6116627.7999999998</v>
          </cell>
          <cell r="N317">
            <v>6004332.6600000001</v>
          </cell>
          <cell r="O317">
            <v>6004332.6600000001</v>
          </cell>
        </row>
        <row r="318">
          <cell r="L318">
            <v>3231</v>
          </cell>
          <cell r="M318">
            <v>2100000</v>
          </cell>
          <cell r="N318">
            <v>2087500</v>
          </cell>
          <cell r="O318">
            <v>2087500</v>
          </cell>
        </row>
        <row r="319">
          <cell r="L319">
            <v>3233</v>
          </cell>
          <cell r="M319">
            <v>0</v>
          </cell>
          <cell r="N319">
            <v>368300</v>
          </cell>
          <cell r="O319">
            <v>368300</v>
          </cell>
        </row>
        <row r="320">
          <cell r="L320">
            <v>3251</v>
          </cell>
          <cell r="M320">
            <v>0</v>
          </cell>
          <cell r="N320">
            <v>0</v>
          </cell>
          <cell r="O320">
            <v>2050</v>
          </cell>
        </row>
        <row r="321">
          <cell r="L321">
            <v>3252</v>
          </cell>
          <cell r="M321">
            <v>0</v>
          </cell>
          <cell r="N321">
            <v>8500000</v>
          </cell>
          <cell r="O321">
            <v>8500000</v>
          </cell>
        </row>
        <row r="322">
          <cell r="L322">
            <v>3261</v>
          </cell>
          <cell r="M322">
            <v>6710000</v>
          </cell>
          <cell r="N322">
            <v>7046864</v>
          </cell>
          <cell r="O322">
            <v>4883455.08</v>
          </cell>
        </row>
        <row r="323">
          <cell r="L323">
            <v>3271</v>
          </cell>
          <cell r="M323">
            <v>2000</v>
          </cell>
          <cell r="N323">
            <v>81495</v>
          </cell>
          <cell r="O323">
            <v>81495</v>
          </cell>
        </row>
        <row r="324">
          <cell r="L324">
            <v>3311</v>
          </cell>
          <cell r="M324">
            <v>890000</v>
          </cell>
          <cell r="N324">
            <v>1490000</v>
          </cell>
          <cell r="O324">
            <v>1470000</v>
          </cell>
        </row>
        <row r="325">
          <cell r="L325">
            <v>3314</v>
          </cell>
          <cell r="M325">
            <v>100000</v>
          </cell>
          <cell r="N325">
            <v>100000</v>
          </cell>
          <cell r="O325">
            <v>100000</v>
          </cell>
        </row>
        <row r="326">
          <cell r="L326">
            <v>3321</v>
          </cell>
          <cell r="M326">
            <v>7718000</v>
          </cell>
          <cell r="N326">
            <v>28954398.199999999</v>
          </cell>
          <cell r="O326">
            <v>29186074.149999999</v>
          </cell>
        </row>
        <row r="327">
          <cell r="L327">
            <v>3331</v>
          </cell>
          <cell r="M327">
            <v>1990000</v>
          </cell>
          <cell r="N327">
            <v>4095000</v>
          </cell>
          <cell r="O327">
            <v>4067891</v>
          </cell>
        </row>
        <row r="328">
          <cell r="L328">
            <v>3332</v>
          </cell>
          <cell r="M328">
            <v>950250</v>
          </cell>
          <cell r="N328">
            <v>818250</v>
          </cell>
          <cell r="O328">
            <v>1698250</v>
          </cell>
        </row>
        <row r="329">
          <cell r="L329">
            <v>3341</v>
          </cell>
          <cell r="M329">
            <v>5646000</v>
          </cell>
          <cell r="N329">
            <v>4473667.46</v>
          </cell>
          <cell r="O329">
            <v>4558889</v>
          </cell>
        </row>
        <row r="330">
          <cell r="L330">
            <v>3361</v>
          </cell>
          <cell r="M330">
            <v>1179700</v>
          </cell>
          <cell r="N330">
            <v>1349500</v>
          </cell>
          <cell r="O330">
            <v>1427692</v>
          </cell>
        </row>
        <row r="331">
          <cell r="L331">
            <v>3381</v>
          </cell>
          <cell r="M331">
            <v>663500</v>
          </cell>
          <cell r="N331">
            <v>287688.71000000008</v>
          </cell>
          <cell r="O331">
            <v>272177.99</v>
          </cell>
        </row>
        <row r="332">
          <cell r="L332">
            <v>3391</v>
          </cell>
          <cell r="M332">
            <v>12313852.280000001</v>
          </cell>
          <cell r="N332">
            <v>9744805.7599999998</v>
          </cell>
          <cell r="O332">
            <v>9598590.7599999998</v>
          </cell>
        </row>
        <row r="333">
          <cell r="L333">
            <v>3411</v>
          </cell>
          <cell r="M333">
            <v>1800000</v>
          </cell>
          <cell r="N333">
            <v>1800000</v>
          </cell>
          <cell r="O333">
            <v>1800000</v>
          </cell>
        </row>
        <row r="334">
          <cell r="L334">
            <v>3421</v>
          </cell>
          <cell r="M334">
            <v>5660000</v>
          </cell>
          <cell r="N334">
            <v>5643000</v>
          </cell>
          <cell r="O334">
            <v>6343000</v>
          </cell>
        </row>
        <row r="335">
          <cell r="L335">
            <v>3431</v>
          </cell>
          <cell r="M335">
            <v>416400</v>
          </cell>
          <cell r="N335">
            <v>416400</v>
          </cell>
          <cell r="O335">
            <v>416400</v>
          </cell>
        </row>
        <row r="336">
          <cell r="L336">
            <v>3441</v>
          </cell>
          <cell r="M336">
            <v>790900</v>
          </cell>
          <cell r="N336">
            <v>795161.84</v>
          </cell>
          <cell r="O336">
            <v>675161.84</v>
          </cell>
        </row>
        <row r="337">
          <cell r="L337">
            <v>3451</v>
          </cell>
          <cell r="M337">
            <v>6600000</v>
          </cell>
          <cell r="N337">
            <v>6000000</v>
          </cell>
          <cell r="O337">
            <v>6531435.3899999997</v>
          </cell>
        </row>
        <row r="338">
          <cell r="L338">
            <v>3461</v>
          </cell>
          <cell r="M338">
            <v>141800</v>
          </cell>
          <cell r="N338">
            <v>145000</v>
          </cell>
          <cell r="O338">
            <v>145000</v>
          </cell>
        </row>
        <row r="339">
          <cell r="L339">
            <v>3471</v>
          </cell>
          <cell r="M339">
            <v>60000</v>
          </cell>
          <cell r="N339">
            <v>86147.199999999997</v>
          </cell>
          <cell r="O339">
            <v>114157.92</v>
          </cell>
        </row>
        <row r="340">
          <cell r="L340">
            <v>3511</v>
          </cell>
          <cell r="M340">
            <v>11974283.870000001</v>
          </cell>
          <cell r="N340">
            <v>11141140.42</v>
          </cell>
          <cell r="O340">
            <v>10227224.43</v>
          </cell>
        </row>
        <row r="341">
          <cell r="L341">
            <v>3512</v>
          </cell>
          <cell r="M341">
            <v>0</v>
          </cell>
          <cell r="N341">
            <v>168636.03</v>
          </cell>
          <cell r="O341">
            <v>168636.03</v>
          </cell>
        </row>
        <row r="342">
          <cell r="L342">
            <v>3521</v>
          </cell>
          <cell r="M342">
            <v>25000</v>
          </cell>
          <cell r="N342">
            <v>1013263.47</v>
          </cell>
          <cell r="O342">
            <v>530391.31999999995</v>
          </cell>
        </row>
        <row r="343">
          <cell r="L343">
            <v>3522</v>
          </cell>
          <cell r="M343">
            <v>0</v>
          </cell>
          <cell r="N343"/>
          <cell r="O343"/>
        </row>
        <row r="344">
          <cell r="L344">
            <v>3531</v>
          </cell>
          <cell r="M344">
            <v>75000</v>
          </cell>
          <cell r="N344">
            <v>55000</v>
          </cell>
          <cell r="O344">
            <v>665620.04</v>
          </cell>
        </row>
        <row r="345">
          <cell r="L345">
            <v>3551</v>
          </cell>
          <cell r="M345">
            <v>30135000</v>
          </cell>
          <cell r="N345">
            <v>29623230</v>
          </cell>
          <cell r="O345">
            <v>29267409</v>
          </cell>
        </row>
        <row r="346">
          <cell r="L346">
            <v>3561</v>
          </cell>
          <cell r="M346">
            <v>710000</v>
          </cell>
          <cell r="N346">
            <v>710000</v>
          </cell>
          <cell r="O346">
            <v>710000</v>
          </cell>
        </row>
        <row r="347">
          <cell r="L347">
            <v>3571</v>
          </cell>
          <cell r="M347">
            <v>1087000</v>
          </cell>
          <cell r="N347">
            <v>1270123.1500000001</v>
          </cell>
          <cell r="O347">
            <v>3024082.5700000003</v>
          </cell>
        </row>
        <row r="348">
          <cell r="L348">
            <v>3581</v>
          </cell>
          <cell r="M348">
            <v>4580000</v>
          </cell>
          <cell r="N348">
            <v>4592500</v>
          </cell>
          <cell r="O348">
            <v>4360534.0999999996</v>
          </cell>
        </row>
        <row r="349">
          <cell r="L349">
            <v>3591</v>
          </cell>
          <cell r="M349">
            <v>15000</v>
          </cell>
          <cell r="N349">
            <v>15000</v>
          </cell>
          <cell r="O349">
            <v>13900</v>
          </cell>
        </row>
        <row r="350">
          <cell r="L350">
            <v>3611</v>
          </cell>
          <cell r="M350">
            <v>9301000</v>
          </cell>
          <cell r="N350">
            <v>9496958.5999999996</v>
          </cell>
          <cell r="O350">
            <v>9529990.4000000004</v>
          </cell>
        </row>
        <row r="351">
          <cell r="L351">
            <v>3612</v>
          </cell>
          <cell r="M351">
            <v>588000</v>
          </cell>
          <cell r="N351">
            <v>598000</v>
          </cell>
          <cell r="O351">
            <v>588000</v>
          </cell>
        </row>
        <row r="352">
          <cell r="L352">
            <v>3631</v>
          </cell>
          <cell r="M352">
            <v>324000</v>
          </cell>
          <cell r="N352">
            <v>324000</v>
          </cell>
          <cell r="O352">
            <v>324000</v>
          </cell>
        </row>
        <row r="353">
          <cell r="L353">
            <v>3661</v>
          </cell>
          <cell r="M353">
            <v>570000</v>
          </cell>
          <cell r="N353">
            <v>570000</v>
          </cell>
          <cell r="O353">
            <v>570000</v>
          </cell>
        </row>
        <row r="354">
          <cell r="L354">
            <v>3691</v>
          </cell>
          <cell r="M354">
            <v>152200</v>
          </cell>
          <cell r="N354">
            <v>168538</v>
          </cell>
          <cell r="O354">
            <v>165876</v>
          </cell>
        </row>
        <row r="355">
          <cell r="L355">
            <v>3711</v>
          </cell>
          <cell r="M355">
            <v>30000</v>
          </cell>
          <cell r="N355">
            <v>30000</v>
          </cell>
          <cell r="O355">
            <v>6000</v>
          </cell>
        </row>
        <row r="356">
          <cell r="L356">
            <v>3712</v>
          </cell>
          <cell r="M356">
            <v>25000</v>
          </cell>
          <cell r="N356">
            <v>110000</v>
          </cell>
          <cell r="O356">
            <v>122100</v>
          </cell>
        </row>
        <row r="357">
          <cell r="L357">
            <v>3721</v>
          </cell>
          <cell r="M357">
            <v>42000</v>
          </cell>
          <cell r="N357">
            <v>53000</v>
          </cell>
          <cell r="O357">
            <v>36390</v>
          </cell>
        </row>
        <row r="358">
          <cell r="L358">
            <v>3751</v>
          </cell>
          <cell r="M358">
            <v>356000</v>
          </cell>
          <cell r="N358">
            <v>437000</v>
          </cell>
          <cell r="O358">
            <v>380076</v>
          </cell>
        </row>
        <row r="359">
          <cell r="L359">
            <v>3761</v>
          </cell>
          <cell r="M359">
            <v>0</v>
          </cell>
          <cell r="N359">
            <v>95000</v>
          </cell>
          <cell r="O359">
            <v>202492</v>
          </cell>
        </row>
        <row r="360">
          <cell r="L360">
            <v>3791</v>
          </cell>
          <cell r="M360">
            <v>235900</v>
          </cell>
          <cell r="N360">
            <v>298900</v>
          </cell>
          <cell r="O360">
            <v>262358.51</v>
          </cell>
        </row>
        <row r="361">
          <cell r="L361">
            <v>3821</v>
          </cell>
          <cell r="M361">
            <v>6641000</v>
          </cell>
          <cell r="N361">
            <v>15686805.199999999</v>
          </cell>
          <cell r="O361">
            <v>15948933.699999999</v>
          </cell>
        </row>
        <row r="362">
          <cell r="L362">
            <v>3831</v>
          </cell>
          <cell r="M362">
            <v>350000</v>
          </cell>
          <cell r="N362">
            <v>350000</v>
          </cell>
          <cell r="O362">
            <v>100000</v>
          </cell>
        </row>
        <row r="363">
          <cell r="L363">
            <v>3841</v>
          </cell>
          <cell r="M363">
            <v>0</v>
          </cell>
          <cell r="N363">
            <v>0</v>
          </cell>
          <cell r="O363">
            <v>180000</v>
          </cell>
        </row>
        <row r="364">
          <cell r="L364">
            <v>3852</v>
          </cell>
          <cell r="M364">
            <v>6980500</v>
          </cell>
          <cell r="N364">
            <v>1588800.99</v>
          </cell>
          <cell r="O364">
            <v>1615238.57</v>
          </cell>
        </row>
        <row r="365">
          <cell r="L365">
            <v>3854</v>
          </cell>
          <cell r="M365">
            <v>1000000</v>
          </cell>
          <cell r="N365">
            <v>1750000</v>
          </cell>
          <cell r="O365">
            <v>1750000</v>
          </cell>
        </row>
        <row r="366">
          <cell r="L366">
            <v>3921</v>
          </cell>
          <cell r="M366">
            <v>3354700</v>
          </cell>
          <cell r="N366">
            <v>3357100</v>
          </cell>
          <cell r="O366">
            <v>3358100</v>
          </cell>
        </row>
        <row r="367">
          <cell r="L367">
            <v>3941</v>
          </cell>
          <cell r="M367">
            <v>1232688</v>
          </cell>
          <cell r="N367">
            <v>1232688</v>
          </cell>
          <cell r="O367">
            <v>1232688</v>
          </cell>
        </row>
        <row r="368">
          <cell r="L368">
            <v>3951</v>
          </cell>
          <cell r="M368">
            <v>395000</v>
          </cell>
          <cell r="N368">
            <v>395000</v>
          </cell>
          <cell r="O368">
            <v>386030</v>
          </cell>
        </row>
        <row r="369">
          <cell r="L369">
            <v>3961</v>
          </cell>
          <cell r="M369">
            <v>3560000</v>
          </cell>
          <cell r="N369">
            <v>5697700</v>
          </cell>
          <cell r="O369">
            <v>6177196.0700000003</v>
          </cell>
        </row>
        <row r="370">
          <cell r="L370">
            <v>3981</v>
          </cell>
          <cell r="M370">
            <v>9309300</v>
          </cell>
          <cell r="N370">
            <v>9309300</v>
          </cell>
          <cell r="O370">
            <v>9309300</v>
          </cell>
        </row>
        <row r="371">
          <cell r="L371">
            <v>4151</v>
          </cell>
          <cell r="M371">
            <v>94156575.390000001</v>
          </cell>
          <cell r="N371">
            <v>95419408.949999988</v>
          </cell>
          <cell r="O371">
            <v>98536825.969999984</v>
          </cell>
        </row>
        <row r="372">
          <cell r="L372">
            <v>4152</v>
          </cell>
          <cell r="M372">
            <v>3003924.58</v>
          </cell>
          <cell r="N372">
            <v>5310837.32</v>
          </cell>
          <cell r="O372">
            <v>3811420.3000000003</v>
          </cell>
        </row>
        <row r="373">
          <cell r="L373">
            <v>4153</v>
          </cell>
          <cell r="M373">
            <v>20788242.100000001</v>
          </cell>
          <cell r="N373">
            <v>25465190.670000002</v>
          </cell>
          <cell r="O373">
            <v>24022720.669999998</v>
          </cell>
        </row>
        <row r="374">
          <cell r="L374">
            <v>4154</v>
          </cell>
          <cell r="M374">
            <v>3181095.28</v>
          </cell>
          <cell r="N374">
            <v>3181095.28</v>
          </cell>
          <cell r="O374">
            <v>3181095.28</v>
          </cell>
        </row>
        <row r="375">
          <cell r="L375">
            <v>4155</v>
          </cell>
          <cell r="M375">
            <v>98338.98</v>
          </cell>
          <cell r="N375">
            <v>556669.86</v>
          </cell>
          <cell r="O375">
            <v>556669.86</v>
          </cell>
        </row>
        <row r="376">
          <cell r="L376">
            <v>4156</v>
          </cell>
          <cell r="M376">
            <v>11476338.27</v>
          </cell>
          <cell r="N376">
            <v>32461418.950000003</v>
          </cell>
          <cell r="O376">
            <v>22721165.430000003</v>
          </cell>
        </row>
        <row r="377">
          <cell r="L377">
            <v>4321</v>
          </cell>
          <cell r="M377">
            <v>948000</v>
          </cell>
          <cell r="N377">
            <v>948000</v>
          </cell>
          <cell r="O377">
            <v>948000</v>
          </cell>
        </row>
        <row r="378">
          <cell r="L378">
            <v>4331</v>
          </cell>
          <cell r="M378">
            <v>1820000</v>
          </cell>
          <cell r="N378">
            <v>1885000</v>
          </cell>
          <cell r="O378">
            <v>2260000</v>
          </cell>
        </row>
        <row r="379">
          <cell r="L379">
            <v>4341</v>
          </cell>
          <cell r="M379">
            <v>924000</v>
          </cell>
          <cell r="N379">
            <v>3007333.31</v>
          </cell>
          <cell r="O379">
            <v>3007333.31</v>
          </cell>
        </row>
        <row r="380">
          <cell r="L380">
            <v>4391</v>
          </cell>
          <cell r="M380">
            <v>7519358</v>
          </cell>
          <cell r="N380">
            <v>7519358</v>
          </cell>
          <cell r="O380">
            <v>7519358</v>
          </cell>
        </row>
        <row r="381">
          <cell r="L381">
            <v>4411</v>
          </cell>
          <cell r="M381">
            <v>24494000</v>
          </cell>
          <cell r="N381">
            <v>14554162</v>
          </cell>
          <cell r="O381">
            <v>16845785.609999999</v>
          </cell>
        </row>
        <row r="382">
          <cell r="L382">
            <v>4413</v>
          </cell>
          <cell r="M382">
            <v>572000</v>
          </cell>
          <cell r="N382">
            <v>572000</v>
          </cell>
          <cell r="O382">
            <v>572000</v>
          </cell>
        </row>
        <row r="383">
          <cell r="L383">
            <v>4421</v>
          </cell>
          <cell r="M383">
            <v>8000000</v>
          </cell>
          <cell r="N383">
            <v>8000000</v>
          </cell>
          <cell r="O383">
            <v>7778202</v>
          </cell>
        </row>
        <row r="384">
          <cell r="L384">
            <v>4431</v>
          </cell>
          <cell r="M384">
            <v>4400000</v>
          </cell>
          <cell r="N384">
            <v>4415176.16</v>
          </cell>
          <cell r="O384">
            <v>4347855.3599999994</v>
          </cell>
        </row>
        <row r="385">
          <cell r="L385">
            <v>4451</v>
          </cell>
          <cell r="M385">
            <v>7000000</v>
          </cell>
          <cell r="N385">
            <v>7088224</v>
          </cell>
          <cell r="O385">
            <v>7088224</v>
          </cell>
        </row>
        <row r="386">
          <cell r="L386">
            <v>4481</v>
          </cell>
          <cell r="M386">
            <v>1000000</v>
          </cell>
          <cell r="N386">
            <v>1000000</v>
          </cell>
          <cell r="O386">
            <v>1000000</v>
          </cell>
        </row>
        <row r="387">
          <cell r="L387">
            <v>4511</v>
          </cell>
          <cell r="M387">
            <v>44926799.600000001</v>
          </cell>
          <cell r="N387">
            <v>48603799.600000001</v>
          </cell>
          <cell r="O387">
            <v>53103799.600000001</v>
          </cell>
        </row>
        <row r="388">
          <cell r="L388">
            <v>5111</v>
          </cell>
          <cell r="M388">
            <v>564000</v>
          </cell>
          <cell r="N388">
            <v>725550.00000000023</v>
          </cell>
          <cell r="O388">
            <v>219963.4</v>
          </cell>
        </row>
        <row r="389">
          <cell r="L389">
            <v>5151</v>
          </cell>
          <cell r="M389">
            <v>4849577.9000000004</v>
          </cell>
          <cell r="N389">
            <v>5359817.3999999994</v>
          </cell>
          <cell r="O389">
            <v>6811406.959999999</v>
          </cell>
        </row>
        <row r="390">
          <cell r="L390">
            <v>5191</v>
          </cell>
          <cell r="M390">
            <v>405000</v>
          </cell>
          <cell r="N390">
            <v>449000</v>
          </cell>
          <cell r="O390">
            <v>449000</v>
          </cell>
        </row>
        <row r="391">
          <cell r="L391">
            <v>5211</v>
          </cell>
          <cell r="M391">
            <v>495000</v>
          </cell>
          <cell r="N391">
            <v>732719.11</v>
          </cell>
          <cell r="O391">
            <v>342319.19999999995</v>
          </cell>
        </row>
        <row r="392">
          <cell r="L392">
            <v>5231</v>
          </cell>
          <cell r="M392">
            <v>325000</v>
          </cell>
          <cell r="N392">
            <v>1027975</v>
          </cell>
          <cell r="O392">
            <v>1045186.5</v>
          </cell>
        </row>
        <row r="393">
          <cell r="L393">
            <v>5321</v>
          </cell>
          <cell r="M393">
            <v>31229</v>
          </cell>
          <cell r="N393">
            <v>31229</v>
          </cell>
          <cell r="O393">
            <v>31229</v>
          </cell>
        </row>
        <row r="394">
          <cell r="L394">
            <v>5411</v>
          </cell>
          <cell r="M394">
            <v>15780714.189999999</v>
          </cell>
          <cell r="N394">
            <v>29910580</v>
          </cell>
          <cell r="O394">
            <v>38836496</v>
          </cell>
        </row>
        <row r="395">
          <cell r="L395">
            <v>5421</v>
          </cell>
          <cell r="M395">
            <v>351500</v>
          </cell>
          <cell r="N395">
            <v>351500</v>
          </cell>
          <cell r="O395">
            <v>351500</v>
          </cell>
        </row>
        <row r="396">
          <cell r="L396">
            <v>5491</v>
          </cell>
          <cell r="M396">
            <v>0</v>
          </cell>
          <cell r="N396">
            <v>238490</v>
          </cell>
          <cell r="O396">
            <v>238490</v>
          </cell>
        </row>
        <row r="397">
          <cell r="L397">
            <v>5611</v>
          </cell>
          <cell r="M397">
            <v>1288100</v>
          </cell>
          <cell r="N397">
            <v>1638279.5</v>
          </cell>
          <cell r="O397">
            <v>1638279.5</v>
          </cell>
        </row>
        <row r="398">
          <cell r="L398">
            <v>5631</v>
          </cell>
          <cell r="M398">
            <v>9453000</v>
          </cell>
          <cell r="N398">
            <v>10394000</v>
          </cell>
          <cell r="O398">
            <v>10394000</v>
          </cell>
        </row>
        <row r="399">
          <cell r="L399">
            <v>5641</v>
          </cell>
          <cell r="M399">
            <v>16000</v>
          </cell>
          <cell r="N399">
            <v>90042.64</v>
          </cell>
          <cell r="O399">
            <v>90042.64</v>
          </cell>
        </row>
        <row r="400">
          <cell r="L400">
            <v>5651</v>
          </cell>
          <cell r="M400">
            <v>1666000</v>
          </cell>
          <cell r="N400">
            <v>4432624.2200000007</v>
          </cell>
          <cell r="O400">
            <v>4743543.66</v>
          </cell>
        </row>
        <row r="401">
          <cell r="L401">
            <v>5663</v>
          </cell>
          <cell r="M401">
            <v>0</v>
          </cell>
          <cell r="N401">
            <v>6650.67</v>
          </cell>
          <cell r="O401">
            <v>6650.67</v>
          </cell>
        </row>
        <row r="402">
          <cell r="L402">
            <v>5671</v>
          </cell>
          <cell r="M402">
            <v>60000</v>
          </cell>
          <cell r="N402">
            <v>330000</v>
          </cell>
          <cell r="O402">
            <v>330000</v>
          </cell>
        </row>
        <row r="403">
          <cell r="L403">
            <v>5691</v>
          </cell>
          <cell r="M403">
            <v>9098839.25</v>
          </cell>
          <cell r="N403">
            <v>6084019.4100000011</v>
          </cell>
          <cell r="O403">
            <v>6365411.5700000003</v>
          </cell>
        </row>
        <row r="404">
          <cell r="L404">
            <v>5771</v>
          </cell>
          <cell r="M404">
            <v>90000</v>
          </cell>
          <cell r="N404">
            <v>90000</v>
          </cell>
          <cell r="O404">
            <v>90000</v>
          </cell>
        </row>
        <row r="405">
          <cell r="L405">
            <v>5811</v>
          </cell>
          <cell r="M405">
            <v>5000000</v>
          </cell>
          <cell r="N405">
            <v>20000000</v>
          </cell>
          <cell r="O405">
            <v>20000000</v>
          </cell>
        </row>
        <row r="406">
          <cell r="L406">
            <v>5911</v>
          </cell>
          <cell r="M406">
            <v>1162000</v>
          </cell>
          <cell r="N406">
            <v>1885410.7</v>
          </cell>
          <cell r="O406">
            <v>500321.12</v>
          </cell>
        </row>
        <row r="407">
          <cell r="L407">
            <v>5971</v>
          </cell>
          <cell r="M407">
            <v>700000</v>
          </cell>
          <cell r="N407">
            <v>2064324.7</v>
          </cell>
          <cell r="O407">
            <v>1284901.2</v>
          </cell>
        </row>
        <row r="408">
          <cell r="L408">
            <v>6111</v>
          </cell>
          <cell r="M408">
            <v>8061000</v>
          </cell>
          <cell r="N408">
            <v>46029463.759999998</v>
          </cell>
          <cell r="O408">
            <v>37788115.049999997</v>
          </cell>
        </row>
        <row r="409">
          <cell r="L409">
            <v>6121</v>
          </cell>
          <cell r="M409">
            <v>42399457.130000003</v>
          </cell>
          <cell r="N409">
            <v>70129706.25999999</v>
          </cell>
          <cell r="O409">
            <v>58114451.499999993</v>
          </cell>
        </row>
        <row r="410">
          <cell r="L410">
            <v>6131</v>
          </cell>
          <cell r="M410">
            <v>83966652.090000004</v>
          </cell>
          <cell r="N410">
            <v>54236007.509999998</v>
          </cell>
          <cell r="O410">
            <v>65361990.04999999</v>
          </cell>
        </row>
        <row r="411">
          <cell r="L411">
            <v>6141</v>
          </cell>
          <cell r="M411">
            <v>194981517.34999999</v>
          </cell>
          <cell r="N411">
            <v>192983832.22999999</v>
          </cell>
          <cell r="O411">
            <v>206885526.86000001</v>
          </cell>
        </row>
        <row r="412">
          <cell r="L412">
            <v>6221</v>
          </cell>
          <cell r="M412">
            <v>23708718</v>
          </cell>
          <cell r="N412">
            <v>26180963.5</v>
          </cell>
          <cell r="O412">
            <v>26180963.5</v>
          </cell>
        </row>
        <row r="413">
          <cell r="L413">
            <v>9111</v>
          </cell>
          <cell r="M413">
            <v>23536625.920000002</v>
          </cell>
          <cell r="N413">
            <v>27244249.390000001</v>
          </cell>
          <cell r="O413">
            <v>27244249.390000001</v>
          </cell>
        </row>
        <row r="414">
          <cell r="L414">
            <v>9211</v>
          </cell>
          <cell r="M414">
            <v>26166489.390000001</v>
          </cell>
          <cell r="N414">
            <v>26166489.390000001</v>
          </cell>
          <cell r="O414">
            <v>26166489.390000001</v>
          </cell>
        </row>
        <row r="415">
          <cell r="L415">
            <v>9212</v>
          </cell>
          <cell r="M415">
            <v>0</v>
          </cell>
          <cell r="N415">
            <v>1124000</v>
          </cell>
          <cell r="O415">
            <v>1124000</v>
          </cell>
        </row>
        <row r="416">
          <cell r="L416" t="str">
            <v>(en blanco)</v>
          </cell>
          <cell r="M416">
            <v>5457270146.9999971</v>
          </cell>
          <cell r="N416">
            <v>5926431840.0000029</v>
          </cell>
          <cell r="O416">
            <v>5926431840.0000019</v>
          </cell>
        </row>
        <row r="417">
          <cell r="L417" t="str">
            <v>Total general</v>
          </cell>
          <cell r="M417">
            <v>7276360195.9999971</v>
          </cell>
          <cell r="N417">
            <v>7901909120.0000038</v>
          </cell>
          <cell r="O417">
            <v>7901909120.0000019</v>
          </cell>
        </row>
      </sheetData>
      <sheetData sheetId="1"/>
      <sheetData sheetId="2"/>
      <sheetData sheetId="3"/>
      <sheetData sheetId="4"/>
      <sheetData sheetId="5">
        <row r="1">
          <cell r="D1" t="str">
            <v>CLASIFICACIÓN ECONOMICA</v>
          </cell>
          <cell r="E1"/>
          <cell r="G1" t="str">
            <v>CLASIFICACIÓN POR TIPO DE GASTO</v>
          </cell>
          <cell r="H1"/>
        </row>
        <row r="2">
          <cell r="D2" t="str">
            <v>COG</v>
          </cell>
          <cell r="E2" t="str">
            <v>C.E</v>
          </cell>
          <cell r="G2" t="str">
            <v>COG</v>
          </cell>
          <cell r="H2" t="str">
            <v>C.T.G</v>
          </cell>
        </row>
        <row r="3">
          <cell r="D3">
            <v>1131</v>
          </cell>
          <cell r="E3" t="str">
            <v>2.1.1.1</v>
          </cell>
          <cell r="G3">
            <v>1131</v>
          </cell>
          <cell r="H3">
            <v>1</v>
          </cell>
        </row>
        <row r="4">
          <cell r="D4">
            <v>1132</v>
          </cell>
          <cell r="E4" t="str">
            <v>2.1.1.1</v>
          </cell>
          <cell r="G4">
            <v>1132</v>
          </cell>
          <cell r="H4">
            <v>1</v>
          </cell>
        </row>
        <row r="5">
          <cell r="D5">
            <v>1212</v>
          </cell>
          <cell r="E5" t="str">
            <v>2.1.1.1</v>
          </cell>
          <cell r="G5">
            <v>1212</v>
          </cell>
          <cell r="H5">
            <v>1</v>
          </cell>
        </row>
        <row r="6">
          <cell r="D6">
            <v>1221</v>
          </cell>
          <cell r="E6" t="str">
            <v>2.1.1.1</v>
          </cell>
          <cell r="G6">
            <v>1221</v>
          </cell>
          <cell r="H6">
            <v>1</v>
          </cell>
        </row>
        <row r="7">
          <cell r="D7">
            <v>1321</v>
          </cell>
          <cell r="E7" t="str">
            <v>2.1.1.1</v>
          </cell>
          <cell r="G7">
            <v>1321</v>
          </cell>
          <cell r="H7">
            <v>1</v>
          </cell>
        </row>
        <row r="8">
          <cell r="D8">
            <v>1322</v>
          </cell>
          <cell r="E8" t="str">
            <v>2.1.1.1</v>
          </cell>
          <cell r="G8">
            <v>1322</v>
          </cell>
          <cell r="H8">
            <v>1</v>
          </cell>
        </row>
        <row r="9">
          <cell r="D9">
            <v>1323</v>
          </cell>
          <cell r="E9" t="str">
            <v>2.1.1.1</v>
          </cell>
          <cell r="G9">
            <v>1323</v>
          </cell>
          <cell r="H9">
            <v>1</v>
          </cell>
        </row>
        <row r="10">
          <cell r="D10">
            <v>1331</v>
          </cell>
          <cell r="E10" t="str">
            <v>2.1.1.1</v>
          </cell>
          <cell r="G10">
            <v>1331</v>
          </cell>
          <cell r="H10">
            <v>1</v>
          </cell>
        </row>
        <row r="11">
          <cell r="D11">
            <v>1342</v>
          </cell>
          <cell r="E11" t="str">
            <v>2.1.1.1</v>
          </cell>
          <cell r="G11">
            <v>1342</v>
          </cell>
          <cell r="H11">
            <v>1</v>
          </cell>
        </row>
        <row r="12">
          <cell r="D12">
            <v>1413</v>
          </cell>
          <cell r="E12" t="str">
            <v>2.1.1.1</v>
          </cell>
          <cell r="G12">
            <v>1413</v>
          </cell>
          <cell r="H12">
            <v>1</v>
          </cell>
        </row>
        <row r="13">
          <cell r="D13">
            <v>1421</v>
          </cell>
          <cell r="E13" t="str">
            <v>2.1.1.1</v>
          </cell>
          <cell r="G13">
            <v>1421</v>
          </cell>
          <cell r="H13">
            <v>1</v>
          </cell>
        </row>
        <row r="14">
          <cell r="D14">
            <v>1431</v>
          </cell>
          <cell r="E14" t="str">
            <v>2.1.1.1</v>
          </cell>
          <cell r="G14">
            <v>1431</v>
          </cell>
          <cell r="H14">
            <v>1</v>
          </cell>
        </row>
        <row r="15">
          <cell r="D15">
            <v>1441</v>
          </cell>
          <cell r="E15" t="str">
            <v>2.1.1.1</v>
          </cell>
          <cell r="G15">
            <v>1441</v>
          </cell>
          <cell r="H15">
            <v>1</v>
          </cell>
        </row>
        <row r="16">
          <cell r="D16">
            <v>1511</v>
          </cell>
          <cell r="E16" t="str">
            <v>2.1.1.1</v>
          </cell>
          <cell r="G16">
            <v>1511</v>
          </cell>
          <cell r="H16">
            <v>1</v>
          </cell>
        </row>
        <row r="17">
          <cell r="D17">
            <v>1522</v>
          </cell>
          <cell r="E17" t="str">
            <v>2.1.1.1</v>
          </cell>
          <cell r="G17">
            <v>1522</v>
          </cell>
          <cell r="H17">
            <v>1</v>
          </cell>
        </row>
        <row r="18">
          <cell r="D18">
            <v>1531</v>
          </cell>
          <cell r="E18" t="str">
            <v>2.1.1.1</v>
          </cell>
          <cell r="G18">
            <v>1531</v>
          </cell>
          <cell r="H18">
            <v>1</v>
          </cell>
        </row>
        <row r="19">
          <cell r="D19">
            <v>1541</v>
          </cell>
          <cell r="E19" t="str">
            <v>2.1.1.1</v>
          </cell>
          <cell r="G19">
            <v>1541</v>
          </cell>
          <cell r="H19">
            <v>1</v>
          </cell>
        </row>
        <row r="20">
          <cell r="D20">
            <v>1561</v>
          </cell>
          <cell r="E20" t="str">
            <v>2.1.1.1</v>
          </cell>
          <cell r="G20">
            <v>1561</v>
          </cell>
          <cell r="H20">
            <v>1</v>
          </cell>
        </row>
        <row r="21">
          <cell r="D21">
            <v>1591</v>
          </cell>
          <cell r="E21" t="str">
            <v>2.1.1.1</v>
          </cell>
          <cell r="G21">
            <v>1591</v>
          </cell>
          <cell r="H21">
            <v>1</v>
          </cell>
        </row>
        <row r="22">
          <cell r="D22">
            <v>1592</v>
          </cell>
          <cell r="E22" t="str">
            <v>2.1.1.1</v>
          </cell>
          <cell r="G22">
            <v>1592</v>
          </cell>
          <cell r="H22">
            <v>1</v>
          </cell>
        </row>
        <row r="23">
          <cell r="D23">
            <v>1593</v>
          </cell>
          <cell r="E23" t="str">
            <v>2.1.1.1</v>
          </cell>
          <cell r="G23">
            <v>1593</v>
          </cell>
          <cell r="H23">
            <v>1</v>
          </cell>
        </row>
        <row r="24">
          <cell r="D24">
            <v>1611</v>
          </cell>
          <cell r="E24" t="str">
            <v>2.1.1.1</v>
          </cell>
          <cell r="G24">
            <v>1611</v>
          </cell>
          <cell r="H24">
            <v>1</v>
          </cell>
        </row>
        <row r="25">
          <cell r="D25">
            <v>1711</v>
          </cell>
          <cell r="E25" t="str">
            <v>2.1.1.1</v>
          </cell>
          <cell r="G25">
            <v>1711</v>
          </cell>
          <cell r="H25">
            <v>1</v>
          </cell>
        </row>
        <row r="26">
          <cell r="D26">
            <v>2111</v>
          </cell>
          <cell r="E26" t="str">
            <v>2.1.1.2</v>
          </cell>
          <cell r="G26">
            <v>2111</v>
          </cell>
          <cell r="H26">
            <v>1</v>
          </cell>
        </row>
        <row r="27">
          <cell r="D27">
            <v>2112</v>
          </cell>
          <cell r="E27" t="str">
            <v>2.1.1.2</v>
          </cell>
          <cell r="G27">
            <v>2112</v>
          </cell>
          <cell r="H27">
            <v>1</v>
          </cell>
        </row>
        <row r="28">
          <cell r="D28">
            <v>2121</v>
          </cell>
          <cell r="E28" t="str">
            <v>2.1.1.2</v>
          </cell>
          <cell r="G28">
            <v>2121</v>
          </cell>
          <cell r="H28">
            <v>1</v>
          </cell>
        </row>
        <row r="29">
          <cell r="D29">
            <v>2131</v>
          </cell>
          <cell r="E29" t="str">
            <v>2.1.1.2</v>
          </cell>
          <cell r="G29">
            <v>2131</v>
          </cell>
          <cell r="H29">
            <v>1</v>
          </cell>
        </row>
        <row r="30">
          <cell r="D30">
            <v>2142</v>
          </cell>
          <cell r="E30" t="str">
            <v>2.1.1.2</v>
          </cell>
          <cell r="G30">
            <v>2142</v>
          </cell>
          <cell r="H30">
            <v>1</v>
          </cell>
        </row>
        <row r="31">
          <cell r="D31">
            <v>2151</v>
          </cell>
          <cell r="E31" t="str">
            <v>2.1.1.2</v>
          </cell>
          <cell r="G31">
            <v>2151</v>
          </cell>
          <cell r="H31">
            <v>1</v>
          </cell>
        </row>
        <row r="32">
          <cell r="D32">
            <v>2161</v>
          </cell>
          <cell r="E32" t="str">
            <v>2.1.1.2</v>
          </cell>
          <cell r="G32">
            <v>2161</v>
          </cell>
          <cell r="H32">
            <v>1</v>
          </cell>
        </row>
        <row r="33">
          <cell r="D33">
            <v>2171</v>
          </cell>
          <cell r="E33" t="str">
            <v>2.1.1.2</v>
          </cell>
          <cell r="G33">
            <v>2171</v>
          </cell>
          <cell r="H33">
            <v>1</v>
          </cell>
        </row>
        <row r="34">
          <cell r="D34">
            <v>2182</v>
          </cell>
          <cell r="E34" t="str">
            <v>2.1.1.2</v>
          </cell>
          <cell r="G34">
            <v>2182</v>
          </cell>
          <cell r="H34">
            <v>1</v>
          </cell>
        </row>
        <row r="35">
          <cell r="D35">
            <v>2211</v>
          </cell>
          <cell r="E35" t="str">
            <v>2.1.1.2</v>
          </cell>
          <cell r="G35">
            <v>2211</v>
          </cell>
          <cell r="H35">
            <v>1</v>
          </cell>
        </row>
        <row r="36">
          <cell r="D36">
            <v>2212</v>
          </cell>
          <cell r="E36" t="str">
            <v>2.1.1.2</v>
          </cell>
          <cell r="G36">
            <v>2212</v>
          </cell>
          <cell r="H36">
            <v>1</v>
          </cell>
        </row>
        <row r="37">
          <cell r="D37">
            <v>2214</v>
          </cell>
          <cell r="E37" t="str">
            <v>2.1.1.2</v>
          </cell>
          <cell r="G37">
            <v>2214</v>
          </cell>
          <cell r="H37">
            <v>1</v>
          </cell>
        </row>
        <row r="38">
          <cell r="D38">
            <v>2221</v>
          </cell>
          <cell r="E38" t="str">
            <v>2.1.1.2</v>
          </cell>
          <cell r="G38">
            <v>2221</v>
          </cell>
          <cell r="H38">
            <v>1</v>
          </cell>
        </row>
        <row r="39">
          <cell r="D39">
            <v>2231</v>
          </cell>
          <cell r="E39" t="str">
            <v>2.1.1.2</v>
          </cell>
          <cell r="G39">
            <v>2231</v>
          </cell>
          <cell r="H39">
            <v>1</v>
          </cell>
        </row>
        <row r="40">
          <cell r="D40">
            <v>2312</v>
          </cell>
          <cell r="E40" t="str">
            <v>2.1.1.2</v>
          </cell>
          <cell r="G40">
            <v>2312</v>
          </cell>
          <cell r="H40">
            <v>1</v>
          </cell>
        </row>
        <row r="41">
          <cell r="D41">
            <v>2351</v>
          </cell>
          <cell r="E41" t="str">
            <v>2.1.1.2</v>
          </cell>
          <cell r="G41">
            <v>2351</v>
          </cell>
          <cell r="H41">
            <v>1</v>
          </cell>
        </row>
        <row r="42">
          <cell r="D42">
            <v>2391</v>
          </cell>
          <cell r="E42" t="str">
            <v>2.1.1.2</v>
          </cell>
          <cell r="G42">
            <v>2391</v>
          </cell>
          <cell r="H42">
            <v>1</v>
          </cell>
        </row>
        <row r="43">
          <cell r="D43">
            <v>2411</v>
          </cell>
          <cell r="E43" t="str">
            <v>2.1.1.2</v>
          </cell>
          <cell r="G43">
            <v>2411</v>
          </cell>
          <cell r="H43">
            <v>1</v>
          </cell>
        </row>
        <row r="44">
          <cell r="D44">
            <v>2421</v>
          </cell>
          <cell r="E44" t="str">
            <v>2.1.1.2</v>
          </cell>
          <cell r="G44">
            <v>2421</v>
          </cell>
          <cell r="H44">
            <v>1</v>
          </cell>
        </row>
        <row r="45">
          <cell r="D45">
            <v>2431</v>
          </cell>
          <cell r="E45" t="str">
            <v>2.1.1.2</v>
          </cell>
          <cell r="G45">
            <v>2431</v>
          </cell>
          <cell r="H45">
            <v>1</v>
          </cell>
        </row>
        <row r="46">
          <cell r="D46">
            <v>2441</v>
          </cell>
          <cell r="E46" t="str">
            <v>2.1.1.2</v>
          </cell>
          <cell r="G46">
            <v>2441</v>
          </cell>
          <cell r="H46">
            <v>1</v>
          </cell>
        </row>
        <row r="47">
          <cell r="D47">
            <v>2451</v>
          </cell>
          <cell r="E47" t="str">
            <v>2.1.1.2</v>
          </cell>
          <cell r="G47">
            <v>2451</v>
          </cell>
          <cell r="H47">
            <v>1</v>
          </cell>
        </row>
        <row r="48">
          <cell r="D48">
            <v>2461</v>
          </cell>
          <cell r="E48" t="str">
            <v>2.1.1.2</v>
          </cell>
          <cell r="G48">
            <v>2461</v>
          </cell>
          <cell r="H48">
            <v>1</v>
          </cell>
        </row>
        <row r="49">
          <cell r="D49">
            <v>2481</v>
          </cell>
          <cell r="E49" t="str">
            <v>2.1.1.2</v>
          </cell>
          <cell r="G49">
            <v>2481</v>
          </cell>
          <cell r="H49">
            <v>1</v>
          </cell>
        </row>
        <row r="50">
          <cell r="D50">
            <v>2491</v>
          </cell>
          <cell r="E50" t="str">
            <v>2.1.1.2</v>
          </cell>
          <cell r="G50">
            <v>2491</v>
          </cell>
          <cell r="H50">
            <v>1</v>
          </cell>
        </row>
        <row r="51">
          <cell r="D51">
            <v>2511</v>
          </cell>
          <cell r="E51" t="str">
            <v>2.1.1.2</v>
          </cell>
          <cell r="G51">
            <v>2511</v>
          </cell>
          <cell r="H51">
            <v>1</v>
          </cell>
        </row>
        <row r="52">
          <cell r="D52">
            <v>2521</v>
          </cell>
          <cell r="E52" t="str">
            <v>2.1.1.2</v>
          </cell>
          <cell r="G52">
            <v>2521</v>
          </cell>
          <cell r="H52">
            <v>1</v>
          </cell>
        </row>
        <row r="53">
          <cell r="D53">
            <v>2522</v>
          </cell>
          <cell r="E53" t="str">
            <v>2.1.1.2</v>
          </cell>
          <cell r="G53">
            <v>2522</v>
          </cell>
          <cell r="H53">
            <v>1</v>
          </cell>
        </row>
        <row r="54">
          <cell r="D54">
            <v>2531</v>
          </cell>
          <cell r="E54" t="str">
            <v>2.1.1.2</v>
          </cell>
          <cell r="G54">
            <v>2531</v>
          </cell>
          <cell r="H54">
            <v>1</v>
          </cell>
        </row>
        <row r="55">
          <cell r="D55">
            <v>2541</v>
          </cell>
          <cell r="E55" t="str">
            <v>2.1.1.2</v>
          </cell>
          <cell r="G55">
            <v>2541</v>
          </cell>
          <cell r="H55">
            <v>1</v>
          </cell>
        </row>
        <row r="56">
          <cell r="D56">
            <v>2551</v>
          </cell>
          <cell r="E56" t="str">
            <v>2.1.1.2</v>
          </cell>
          <cell r="G56">
            <v>2551</v>
          </cell>
          <cell r="H56">
            <v>1</v>
          </cell>
        </row>
        <row r="57">
          <cell r="D57">
            <v>2611</v>
          </cell>
          <cell r="E57" t="str">
            <v>2.1.1.2</v>
          </cell>
          <cell r="G57">
            <v>2611</v>
          </cell>
          <cell r="H57">
            <v>1</v>
          </cell>
        </row>
        <row r="58">
          <cell r="D58">
            <v>2612</v>
          </cell>
          <cell r="E58" t="str">
            <v>2.1.1.2</v>
          </cell>
          <cell r="G58">
            <v>2612</v>
          </cell>
          <cell r="H58">
            <v>1</v>
          </cell>
        </row>
        <row r="59">
          <cell r="D59">
            <v>2613</v>
          </cell>
          <cell r="E59" t="str">
            <v>2.1.1.2</v>
          </cell>
          <cell r="G59">
            <v>2613</v>
          </cell>
          <cell r="H59">
            <v>1</v>
          </cell>
        </row>
        <row r="60">
          <cell r="D60">
            <v>2614</v>
          </cell>
          <cell r="E60" t="str">
            <v>2.1.1.2</v>
          </cell>
          <cell r="G60">
            <v>2614</v>
          </cell>
          <cell r="H60">
            <v>1</v>
          </cell>
        </row>
        <row r="61">
          <cell r="D61">
            <v>2711</v>
          </cell>
          <cell r="E61" t="str">
            <v>2.1.1.2</v>
          </cell>
          <cell r="G61">
            <v>2711</v>
          </cell>
          <cell r="H61">
            <v>1</v>
          </cell>
        </row>
        <row r="62">
          <cell r="D62">
            <v>2721</v>
          </cell>
          <cell r="E62" t="str">
            <v>2.1.1.2</v>
          </cell>
          <cell r="G62">
            <v>2721</v>
          </cell>
          <cell r="H62">
            <v>1</v>
          </cell>
        </row>
        <row r="63">
          <cell r="D63">
            <v>2722</v>
          </cell>
          <cell r="E63" t="str">
            <v>2.1.1.2</v>
          </cell>
          <cell r="G63">
            <v>2722</v>
          </cell>
          <cell r="H63">
            <v>1</v>
          </cell>
        </row>
        <row r="64">
          <cell r="D64">
            <v>2731</v>
          </cell>
          <cell r="E64" t="str">
            <v>2.1.1.2</v>
          </cell>
          <cell r="G64">
            <v>2731</v>
          </cell>
          <cell r="H64">
            <v>1</v>
          </cell>
        </row>
        <row r="65">
          <cell r="D65">
            <v>2751</v>
          </cell>
          <cell r="E65" t="str">
            <v>2.1.1.2</v>
          </cell>
          <cell r="G65">
            <v>2751</v>
          </cell>
          <cell r="H65">
            <v>1</v>
          </cell>
        </row>
        <row r="66">
          <cell r="D66">
            <v>2821</v>
          </cell>
          <cell r="E66" t="str">
            <v>2.1.1.2</v>
          </cell>
          <cell r="G66">
            <v>2821</v>
          </cell>
          <cell r="H66">
            <v>1</v>
          </cell>
        </row>
        <row r="67">
          <cell r="D67">
            <v>2831</v>
          </cell>
          <cell r="E67" t="str">
            <v>2.1.1.2</v>
          </cell>
          <cell r="G67">
            <v>2831</v>
          </cell>
          <cell r="H67">
            <v>1</v>
          </cell>
        </row>
        <row r="68">
          <cell r="D68">
            <v>2911</v>
          </cell>
          <cell r="E68" t="str">
            <v>2.1.1.2</v>
          </cell>
          <cell r="G68">
            <v>2911</v>
          </cell>
          <cell r="H68">
            <v>1</v>
          </cell>
        </row>
        <row r="69">
          <cell r="D69">
            <v>2921</v>
          </cell>
          <cell r="E69" t="str">
            <v>2.1.1.2</v>
          </cell>
          <cell r="G69">
            <v>2921</v>
          </cell>
          <cell r="H69">
            <v>1</v>
          </cell>
        </row>
        <row r="70">
          <cell r="D70">
            <v>2941</v>
          </cell>
          <cell r="E70" t="str">
            <v>2.1.1.2</v>
          </cell>
          <cell r="G70">
            <v>2941</v>
          </cell>
          <cell r="H70">
            <v>1</v>
          </cell>
        </row>
        <row r="71">
          <cell r="D71">
            <v>2951</v>
          </cell>
          <cell r="E71" t="str">
            <v>2.1.1.2</v>
          </cell>
          <cell r="G71">
            <v>2951</v>
          </cell>
          <cell r="H71">
            <v>1</v>
          </cell>
        </row>
        <row r="72">
          <cell r="D72">
            <v>2961</v>
          </cell>
          <cell r="E72" t="str">
            <v>2.1.1.2</v>
          </cell>
          <cell r="G72">
            <v>2961</v>
          </cell>
          <cell r="H72">
            <v>1</v>
          </cell>
        </row>
        <row r="73">
          <cell r="D73">
            <v>2971</v>
          </cell>
          <cell r="E73" t="str">
            <v>2.1.1.2</v>
          </cell>
          <cell r="G73">
            <v>2971</v>
          </cell>
          <cell r="H73">
            <v>1</v>
          </cell>
        </row>
        <row r="74">
          <cell r="D74">
            <v>2991</v>
          </cell>
          <cell r="E74" t="str">
            <v>2.1.1.2</v>
          </cell>
          <cell r="G74">
            <v>2991</v>
          </cell>
          <cell r="H74">
            <v>1</v>
          </cell>
        </row>
        <row r="75">
          <cell r="D75">
            <v>3111</v>
          </cell>
          <cell r="E75" t="str">
            <v>2.1.1.2</v>
          </cell>
          <cell r="G75">
            <v>3111</v>
          </cell>
          <cell r="H75">
            <v>1</v>
          </cell>
        </row>
        <row r="76">
          <cell r="D76">
            <v>3112</v>
          </cell>
          <cell r="E76" t="str">
            <v>2.1.1.2</v>
          </cell>
          <cell r="G76">
            <v>3112</v>
          </cell>
          <cell r="H76">
            <v>1</v>
          </cell>
        </row>
        <row r="77">
          <cell r="D77">
            <v>3121</v>
          </cell>
          <cell r="E77" t="str">
            <v>2.1.1.2</v>
          </cell>
          <cell r="G77">
            <v>3121</v>
          </cell>
          <cell r="H77">
            <v>1</v>
          </cell>
        </row>
        <row r="78">
          <cell r="D78">
            <v>3131</v>
          </cell>
          <cell r="E78" t="str">
            <v>2.1.1.2</v>
          </cell>
          <cell r="G78">
            <v>3131</v>
          </cell>
          <cell r="H78">
            <v>1</v>
          </cell>
        </row>
        <row r="79">
          <cell r="D79">
            <v>3141</v>
          </cell>
          <cell r="E79" t="str">
            <v>2.1.1.2</v>
          </cell>
          <cell r="G79">
            <v>3141</v>
          </cell>
          <cell r="H79">
            <v>1</v>
          </cell>
        </row>
        <row r="80">
          <cell r="D80">
            <v>3151</v>
          </cell>
          <cell r="E80" t="str">
            <v>2.1.1.2</v>
          </cell>
          <cell r="G80">
            <v>3151</v>
          </cell>
          <cell r="H80">
            <v>1</v>
          </cell>
        </row>
        <row r="81">
          <cell r="D81">
            <v>3161</v>
          </cell>
          <cell r="E81" t="str">
            <v>2.1.1.2</v>
          </cell>
          <cell r="G81">
            <v>3161</v>
          </cell>
          <cell r="H81">
            <v>1</v>
          </cell>
        </row>
        <row r="82">
          <cell r="D82">
            <v>3171</v>
          </cell>
          <cell r="E82" t="str">
            <v>2.1.1.2</v>
          </cell>
          <cell r="G82">
            <v>3171</v>
          </cell>
          <cell r="H82">
            <v>1</v>
          </cell>
        </row>
        <row r="83">
          <cell r="D83">
            <v>3172</v>
          </cell>
          <cell r="E83" t="str">
            <v>2.1.1.2</v>
          </cell>
          <cell r="G83">
            <v>3172</v>
          </cell>
          <cell r="H83">
            <v>1</v>
          </cell>
        </row>
        <row r="84">
          <cell r="D84">
            <v>3173</v>
          </cell>
          <cell r="E84" t="str">
            <v>2.1.1.2</v>
          </cell>
          <cell r="G84">
            <v>3173</v>
          </cell>
          <cell r="H84">
            <v>1</v>
          </cell>
        </row>
        <row r="85">
          <cell r="D85">
            <v>3181</v>
          </cell>
          <cell r="E85" t="str">
            <v>2.1.1.2</v>
          </cell>
          <cell r="G85">
            <v>3181</v>
          </cell>
          <cell r="H85">
            <v>1</v>
          </cell>
        </row>
        <row r="86">
          <cell r="D86">
            <v>3192</v>
          </cell>
          <cell r="E86" t="str">
            <v>2.1.1.2</v>
          </cell>
          <cell r="G86">
            <v>3192</v>
          </cell>
          <cell r="H86">
            <v>1</v>
          </cell>
        </row>
        <row r="87">
          <cell r="D87">
            <v>3221</v>
          </cell>
          <cell r="E87" t="str">
            <v>2.1.1.2</v>
          </cell>
          <cell r="G87">
            <v>3221</v>
          </cell>
          <cell r="H87">
            <v>1</v>
          </cell>
        </row>
        <row r="88">
          <cell r="D88">
            <v>3231</v>
          </cell>
          <cell r="E88" t="str">
            <v>2.1.1.2</v>
          </cell>
          <cell r="G88">
            <v>3231</v>
          </cell>
          <cell r="H88">
            <v>1</v>
          </cell>
        </row>
        <row r="89">
          <cell r="D89">
            <v>3233</v>
          </cell>
          <cell r="E89" t="str">
            <v>2.1.1.2</v>
          </cell>
          <cell r="G89">
            <v>3233</v>
          </cell>
          <cell r="H89">
            <v>1</v>
          </cell>
        </row>
        <row r="90">
          <cell r="D90">
            <v>3251</v>
          </cell>
          <cell r="E90" t="str">
            <v>2.1.1.2</v>
          </cell>
          <cell r="G90">
            <v>3251</v>
          </cell>
          <cell r="H90">
            <v>1</v>
          </cell>
        </row>
        <row r="91">
          <cell r="D91">
            <v>3252</v>
          </cell>
          <cell r="E91" t="str">
            <v>2.1.1.2</v>
          </cell>
          <cell r="G91">
            <v>3252</v>
          </cell>
          <cell r="H91">
            <v>1</v>
          </cell>
        </row>
        <row r="92">
          <cell r="D92">
            <v>3261</v>
          </cell>
          <cell r="E92" t="str">
            <v>2.1.1.2</v>
          </cell>
          <cell r="G92">
            <v>3261</v>
          </cell>
          <cell r="H92">
            <v>1</v>
          </cell>
        </row>
        <row r="93">
          <cell r="D93">
            <v>3271</v>
          </cell>
          <cell r="E93" t="str">
            <v>2.1.1.2</v>
          </cell>
          <cell r="G93">
            <v>3271</v>
          </cell>
          <cell r="H93">
            <v>1</v>
          </cell>
        </row>
        <row r="94">
          <cell r="D94">
            <v>3311</v>
          </cell>
          <cell r="E94" t="str">
            <v>2.1.1.2</v>
          </cell>
          <cell r="G94">
            <v>3311</v>
          </cell>
          <cell r="H94">
            <v>1</v>
          </cell>
        </row>
        <row r="95">
          <cell r="D95">
            <v>3314</v>
          </cell>
          <cell r="E95" t="str">
            <v>2.1.1.2</v>
          </cell>
          <cell r="G95">
            <v>3314</v>
          </cell>
          <cell r="H95">
            <v>1</v>
          </cell>
        </row>
        <row r="96">
          <cell r="D96">
            <v>3321</v>
          </cell>
          <cell r="E96" t="str">
            <v>2.1.1.2</v>
          </cell>
          <cell r="G96">
            <v>3321</v>
          </cell>
          <cell r="H96">
            <v>1</v>
          </cell>
        </row>
        <row r="97">
          <cell r="D97">
            <v>3331</v>
          </cell>
          <cell r="E97" t="str">
            <v>2.1.1.2</v>
          </cell>
          <cell r="G97">
            <v>3331</v>
          </cell>
          <cell r="H97">
            <v>1</v>
          </cell>
        </row>
        <row r="98">
          <cell r="D98">
            <v>3332</v>
          </cell>
          <cell r="E98" t="str">
            <v>2.1.1.2</v>
          </cell>
          <cell r="G98">
            <v>3332</v>
          </cell>
          <cell r="H98">
            <v>1</v>
          </cell>
        </row>
        <row r="99">
          <cell r="D99">
            <v>3341</v>
          </cell>
          <cell r="E99" t="str">
            <v>2.1.1.2</v>
          </cell>
          <cell r="G99">
            <v>3341</v>
          </cell>
          <cell r="H99">
            <v>1</v>
          </cell>
        </row>
        <row r="100">
          <cell r="D100">
            <v>3352</v>
          </cell>
          <cell r="E100" t="str">
            <v>2.1.1.2</v>
          </cell>
          <cell r="G100">
            <v>3352</v>
          </cell>
          <cell r="H100">
            <v>1</v>
          </cell>
        </row>
        <row r="101">
          <cell r="D101">
            <v>3361</v>
          </cell>
          <cell r="E101" t="str">
            <v>2.1.1.2</v>
          </cell>
          <cell r="G101">
            <v>3361</v>
          </cell>
          <cell r="H101">
            <v>1</v>
          </cell>
        </row>
        <row r="102">
          <cell r="D102">
            <v>3381</v>
          </cell>
          <cell r="E102" t="str">
            <v>2.1.1.2</v>
          </cell>
          <cell r="G102">
            <v>3381</v>
          </cell>
          <cell r="H102">
            <v>1</v>
          </cell>
        </row>
        <row r="103">
          <cell r="D103">
            <v>3391</v>
          </cell>
          <cell r="E103" t="str">
            <v>2.1.1.2</v>
          </cell>
          <cell r="G103">
            <v>3391</v>
          </cell>
          <cell r="H103">
            <v>1</v>
          </cell>
        </row>
        <row r="104">
          <cell r="D104">
            <v>3411</v>
          </cell>
          <cell r="E104" t="str">
            <v>2.1.1.2</v>
          </cell>
          <cell r="G104">
            <v>3411</v>
          </cell>
          <cell r="H104">
            <v>1</v>
          </cell>
        </row>
        <row r="105">
          <cell r="D105">
            <v>3421</v>
          </cell>
          <cell r="E105" t="str">
            <v>2.1.1.2</v>
          </cell>
          <cell r="G105">
            <v>3421</v>
          </cell>
          <cell r="H105">
            <v>1</v>
          </cell>
        </row>
        <row r="106">
          <cell r="D106">
            <v>3431</v>
          </cell>
          <cell r="E106" t="str">
            <v>2.1.1.2</v>
          </cell>
          <cell r="G106">
            <v>3431</v>
          </cell>
          <cell r="H106">
            <v>1</v>
          </cell>
        </row>
        <row r="107">
          <cell r="D107">
            <v>3441</v>
          </cell>
          <cell r="E107" t="str">
            <v>2.1.1.2</v>
          </cell>
          <cell r="G107">
            <v>3441</v>
          </cell>
          <cell r="H107">
            <v>1</v>
          </cell>
        </row>
        <row r="108">
          <cell r="D108">
            <v>3451</v>
          </cell>
          <cell r="E108" t="str">
            <v>2.1.1.2</v>
          </cell>
          <cell r="G108">
            <v>3451</v>
          </cell>
          <cell r="H108">
            <v>1</v>
          </cell>
        </row>
        <row r="109">
          <cell r="D109">
            <v>3461</v>
          </cell>
          <cell r="E109" t="str">
            <v>2.1.1.2</v>
          </cell>
          <cell r="G109">
            <v>3461</v>
          </cell>
          <cell r="H109">
            <v>1</v>
          </cell>
        </row>
        <row r="110">
          <cell r="D110">
            <v>3471</v>
          </cell>
          <cell r="E110" t="str">
            <v>2.1.1.2</v>
          </cell>
          <cell r="G110">
            <v>3471</v>
          </cell>
          <cell r="H110">
            <v>1</v>
          </cell>
        </row>
        <row r="111">
          <cell r="D111">
            <v>3511</v>
          </cell>
          <cell r="E111" t="str">
            <v>2.1.1.2</v>
          </cell>
          <cell r="G111">
            <v>3511</v>
          </cell>
          <cell r="H111">
            <v>1</v>
          </cell>
        </row>
        <row r="112">
          <cell r="D112">
            <v>3512</v>
          </cell>
          <cell r="E112" t="str">
            <v>2.1.1.2</v>
          </cell>
          <cell r="G112">
            <v>3512</v>
          </cell>
          <cell r="H112">
            <v>1</v>
          </cell>
        </row>
        <row r="113">
          <cell r="D113">
            <v>3513</v>
          </cell>
          <cell r="E113" t="str">
            <v>2.1.1.2</v>
          </cell>
          <cell r="G113">
            <v>3513</v>
          </cell>
          <cell r="H113">
            <v>1</v>
          </cell>
        </row>
        <row r="114">
          <cell r="D114">
            <v>3521</v>
          </cell>
          <cell r="E114" t="str">
            <v>2.1.1.2</v>
          </cell>
          <cell r="G114">
            <v>3521</v>
          </cell>
          <cell r="H114">
            <v>1</v>
          </cell>
        </row>
        <row r="115">
          <cell r="D115">
            <v>3522</v>
          </cell>
          <cell r="E115" t="str">
            <v>2.1.1.2</v>
          </cell>
          <cell r="G115">
            <v>3522</v>
          </cell>
          <cell r="H115">
            <v>1</v>
          </cell>
        </row>
        <row r="116">
          <cell r="D116">
            <v>3531</v>
          </cell>
          <cell r="E116" t="str">
            <v>2.1.1.2</v>
          </cell>
          <cell r="G116">
            <v>3531</v>
          </cell>
          <cell r="H116">
            <v>1</v>
          </cell>
        </row>
        <row r="117">
          <cell r="D117">
            <v>3551</v>
          </cell>
          <cell r="E117" t="str">
            <v>2.1.1.2</v>
          </cell>
          <cell r="G117">
            <v>3551</v>
          </cell>
          <cell r="H117">
            <v>1</v>
          </cell>
        </row>
        <row r="118">
          <cell r="D118">
            <v>3561</v>
          </cell>
          <cell r="E118" t="str">
            <v>2.1.1.2</v>
          </cell>
          <cell r="G118">
            <v>3561</v>
          </cell>
          <cell r="H118">
            <v>1</v>
          </cell>
        </row>
        <row r="119">
          <cell r="D119">
            <v>3571</v>
          </cell>
          <cell r="E119" t="str">
            <v>2.1.1.2</v>
          </cell>
          <cell r="G119">
            <v>3571</v>
          </cell>
          <cell r="H119">
            <v>1</v>
          </cell>
        </row>
        <row r="120">
          <cell r="D120">
            <v>3581</v>
          </cell>
          <cell r="E120" t="str">
            <v>2.1.1.2</v>
          </cell>
          <cell r="G120">
            <v>3581</v>
          </cell>
          <cell r="H120">
            <v>1</v>
          </cell>
        </row>
        <row r="121">
          <cell r="D121">
            <v>3591</v>
          </cell>
          <cell r="E121" t="str">
            <v>2.1.1.2</v>
          </cell>
          <cell r="G121">
            <v>3591</v>
          </cell>
          <cell r="H121">
            <v>1</v>
          </cell>
        </row>
        <row r="122">
          <cell r="D122">
            <v>3611</v>
          </cell>
          <cell r="E122" t="str">
            <v>2.1.1.2</v>
          </cell>
          <cell r="G122">
            <v>3611</v>
          </cell>
          <cell r="H122">
            <v>1</v>
          </cell>
        </row>
        <row r="123">
          <cell r="D123">
            <v>3612</v>
          </cell>
          <cell r="E123" t="str">
            <v>2.1.1.2</v>
          </cell>
          <cell r="G123">
            <v>3612</v>
          </cell>
          <cell r="H123">
            <v>1</v>
          </cell>
        </row>
        <row r="124">
          <cell r="D124">
            <v>3614</v>
          </cell>
          <cell r="E124" t="str">
            <v>2.1.1.2</v>
          </cell>
          <cell r="G124">
            <v>3614</v>
          </cell>
          <cell r="H124">
            <v>1</v>
          </cell>
        </row>
        <row r="125">
          <cell r="D125">
            <v>3631</v>
          </cell>
          <cell r="E125" t="str">
            <v>2.1.1.2</v>
          </cell>
          <cell r="G125">
            <v>3631</v>
          </cell>
          <cell r="H125">
            <v>1</v>
          </cell>
        </row>
        <row r="126">
          <cell r="D126">
            <v>3661</v>
          </cell>
          <cell r="E126" t="str">
            <v>2.1.1.2</v>
          </cell>
          <cell r="G126">
            <v>3661</v>
          </cell>
          <cell r="H126">
            <v>1</v>
          </cell>
        </row>
        <row r="127">
          <cell r="D127">
            <v>3691</v>
          </cell>
          <cell r="E127" t="str">
            <v>2.1.1.2</v>
          </cell>
          <cell r="G127">
            <v>3691</v>
          </cell>
          <cell r="H127">
            <v>1</v>
          </cell>
        </row>
        <row r="128">
          <cell r="D128">
            <v>3711</v>
          </cell>
          <cell r="E128" t="str">
            <v>2.1.1.2</v>
          </cell>
          <cell r="G128">
            <v>3711</v>
          </cell>
          <cell r="H128">
            <v>1</v>
          </cell>
        </row>
        <row r="129">
          <cell r="D129">
            <v>3712</v>
          </cell>
          <cell r="E129" t="str">
            <v>2.1.1.2</v>
          </cell>
          <cell r="G129">
            <v>3712</v>
          </cell>
          <cell r="H129">
            <v>1</v>
          </cell>
        </row>
        <row r="130">
          <cell r="D130">
            <v>3721</v>
          </cell>
          <cell r="E130" t="str">
            <v>2.1.1.2</v>
          </cell>
          <cell r="G130">
            <v>3721</v>
          </cell>
          <cell r="H130">
            <v>1</v>
          </cell>
        </row>
        <row r="131">
          <cell r="D131">
            <v>3722</v>
          </cell>
          <cell r="E131" t="str">
            <v>2.1.1.2</v>
          </cell>
          <cell r="G131">
            <v>3722</v>
          </cell>
          <cell r="H131">
            <v>1</v>
          </cell>
        </row>
        <row r="132">
          <cell r="D132">
            <v>3751</v>
          </cell>
          <cell r="E132" t="str">
            <v>2.1.1.2</v>
          </cell>
          <cell r="G132">
            <v>3751</v>
          </cell>
          <cell r="H132">
            <v>1</v>
          </cell>
        </row>
        <row r="133">
          <cell r="D133">
            <v>3761</v>
          </cell>
          <cell r="E133" t="str">
            <v>2.1.1.2</v>
          </cell>
          <cell r="G133">
            <v>3761</v>
          </cell>
          <cell r="H133">
            <v>1</v>
          </cell>
        </row>
        <row r="134">
          <cell r="D134">
            <v>3791</v>
          </cell>
          <cell r="E134" t="str">
            <v>2.1.1.2</v>
          </cell>
          <cell r="G134">
            <v>3791</v>
          </cell>
          <cell r="H134">
            <v>1</v>
          </cell>
        </row>
        <row r="135">
          <cell r="D135">
            <v>3821</v>
          </cell>
          <cell r="E135" t="str">
            <v>2.1.1.2</v>
          </cell>
          <cell r="G135">
            <v>3821</v>
          </cell>
          <cell r="H135">
            <v>1</v>
          </cell>
        </row>
        <row r="136">
          <cell r="D136">
            <v>3831</v>
          </cell>
          <cell r="E136" t="str">
            <v>2.1.1.2</v>
          </cell>
          <cell r="G136">
            <v>3831</v>
          </cell>
          <cell r="H136">
            <v>1</v>
          </cell>
        </row>
        <row r="137">
          <cell r="D137">
            <v>3841</v>
          </cell>
          <cell r="E137" t="str">
            <v>2.1.1.2</v>
          </cell>
          <cell r="G137">
            <v>3841</v>
          </cell>
          <cell r="H137">
            <v>1</v>
          </cell>
        </row>
        <row r="138">
          <cell r="D138">
            <v>3852</v>
          </cell>
          <cell r="E138" t="str">
            <v>2.1.1.2</v>
          </cell>
          <cell r="G138">
            <v>3852</v>
          </cell>
          <cell r="H138">
            <v>1</v>
          </cell>
        </row>
        <row r="139">
          <cell r="D139">
            <v>3854</v>
          </cell>
          <cell r="E139" t="str">
            <v>2.1.1.2</v>
          </cell>
          <cell r="G139">
            <v>3854</v>
          </cell>
          <cell r="H139">
            <v>1</v>
          </cell>
        </row>
        <row r="140">
          <cell r="D140">
            <v>3921</v>
          </cell>
          <cell r="E140" t="str">
            <v>2.1.1.2</v>
          </cell>
          <cell r="G140">
            <v>3921</v>
          </cell>
          <cell r="H140">
            <v>1</v>
          </cell>
        </row>
        <row r="141">
          <cell r="D141">
            <v>3941</v>
          </cell>
          <cell r="E141" t="str">
            <v>2.1.1.2</v>
          </cell>
          <cell r="G141">
            <v>3941</v>
          </cell>
          <cell r="H141">
            <v>1</v>
          </cell>
        </row>
        <row r="142">
          <cell r="D142">
            <v>3951</v>
          </cell>
          <cell r="E142" t="str">
            <v>2.1.1.2</v>
          </cell>
          <cell r="G142">
            <v>3951</v>
          </cell>
          <cell r="H142">
            <v>1</v>
          </cell>
        </row>
        <row r="143">
          <cell r="D143">
            <v>3961</v>
          </cell>
          <cell r="E143" t="str">
            <v>2.1.1.2</v>
          </cell>
          <cell r="G143">
            <v>3961</v>
          </cell>
          <cell r="H143">
            <v>1</v>
          </cell>
        </row>
        <row r="144">
          <cell r="D144">
            <v>3981</v>
          </cell>
          <cell r="E144" t="str">
            <v>2.1.1.1</v>
          </cell>
          <cell r="G144">
            <v>3981</v>
          </cell>
          <cell r="H144">
            <v>1</v>
          </cell>
        </row>
        <row r="145">
          <cell r="D145">
            <v>3991</v>
          </cell>
          <cell r="E145" t="str">
            <v>2.1.1.2</v>
          </cell>
          <cell r="G145">
            <v>3991</v>
          </cell>
          <cell r="H145">
            <v>1</v>
          </cell>
        </row>
        <row r="146">
          <cell r="D146">
            <v>4151</v>
          </cell>
          <cell r="E146" t="str">
            <v>2.1.5.2</v>
          </cell>
          <cell r="G146">
            <v>4151</v>
          </cell>
          <cell r="H146">
            <v>1</v>
          </cell>
        </row>
        <row r="147">
          <cell r="D147">
            <v>4152</v>
          </cell>
          <cell r="E147" t="str">
            <v>2.1.5.2</v>
          </cell>
          <cell r="G147">
            <v>4152</v>
          </cell>
          <cell r="H147">
            <v>1</v>
          </cell>
        </row>
        <row r="148">
          <cell r="D148">
            <v>4153</v>
          </cell>
          <cell r="E148" t="str">
            <v>2.1.5.2</v>
          </cell>
          <cell r="G148">
            <v>4153</v>
          </cell>
          <cell r="H148">
            <v>1</v>
          </cell>
        </row>
        <row r="149">
          <cell r="D149">
            <v>4154</v>
          </cell>
          <cell r="E149" t="str">
            <v>2.1.5.2</v>
          </cell>
          <cell r="G149">
            <v>4154</v>
          </cell>
          <cell r="H149">
            <v>1</v>
          </cell>
        </row>
        <row r="150">
          <cell r="D150">
            <v>4155</v>
          </cell>
          <cell r="E150" t="str">
            <v>2.1.5.2</v>
          </cell>
          <cell r="G150">
            <v>4155</v>
          </cell>
          <cell r="H150">
            <v>1</v>
          </cell>
        </row>
        <row r="151">
          <cell r="D151">
            <v>4156</v>
          </cell>
          <cell r="E151" t="str">
            <v>2.1.5.2</v>
          </cell>
          <cell r="G151">
            <v>4156</v>
          </cell>
          <cell r="H151">
            <v>1</v>
          </cell>
        </row>
        <row r="152">
          <cell r="D152">
            <v>4157</v>
          </cell>
          <cell r="E152" t="str">
            <v>2.1.5.2</v>
          </cell>
          <cell r="G152">
            <v>4157</v>
          </cell>
          <cell r="H152">
            <v>1</v>
          </cell>
        </row>
        <row r="153">
          <cell r="D153">
            <v>4311</v>
          </cell>
          <cell r="E153" t="str">
            <v>2.1.4.1</v>
          </cell>
          <cell r="G153">
            <v>4311</v>
          </cell>
          <cell r="H153">
            <v>1</v>
          </cell>
        </row>
        <row r="154">
          <cell r="D154">
            <v>4321</v>
          </cell>
          <cell r="E154" t="str">
            <v>2.1.4.1</v>
          </cell>
          <cell r="G154">
            <v>4321</v>
          </cell>
          <cell r="H154">
            <v>1</v>
          </cell>
        </row>
        <row r="155">
          <cell r="D155">
            <v>4331</v>
          </cell>
          <cell r="E155" t="str">
            <v>2.1.4.1</v>
          </cell>
          <cell r="G155">
            <v>4331</v>
          </cell>
          <cell r="H155">
            <v>1</v>
          </cell>
        </row>
        <row r="156">
          <cell r="D156">
            <v>4341</v>
          </cell>
          <cell r="E156" t="str">
            <v>2.1.4.2</v>
          </cell>
          <cell r="G156">
            <v>4341</v>
          </cell>
          <cell r="H156">
            <v>1</v>
          </cell>
        </row>
        <row r="157">
          <cell r="D157">
            <v>4391</v>
          </cell>
          <cell r="E157" t="str">
            <v>2.1.5.1</v>
          </cell>
          <cell r="G157">
            <v>4391</v>
          </cell>
          <cell r="H157">
            <v>1</v>
          </cell>
        </row>
        <row r="158">
          <cell r="D158">
            <v>4411</v>
          </cell>
          <cell r="E158" t="str">
            <v>2.1.5.1</v>
          </cell>
          <cell r="G158">
            <v>4411</v>
          </cell>
          <cell r="H158">
            <v>1</v>
          </cell>
        </row>
        <row r="159">
          <cell r="D159">
            <v>4413</v>
          </cell>
          <cell r="E159" t="str">
            <v>2.1.5.1</v>
          </cell>
          <cell r="G159">
            <v>4413</v>
          </cell>
          <cell r="H159">
            <v>1</v>
          </cell>
        </row>
        <row r="160">
          <cell r="D160">
            <v>4421</v>
          </cell>
          <cell r="E160" t="str">
            <v>2.1.5.1</v>
          </cell>
          <cell r="G160">
            <v>4421</v>
          </cell>
          <cell r="H160">
            <v>1</v>
          </cell>
        </row>
        <row r="161">
          <cell r="D161">
            <v>4431</v>
          </cell>
          <cell r="E161" t="str">
            <v>2.1.5.1</v>
          </cell>
          <cell r="G161">
            <v>4431</v>
          </cell>
          <cell r="H161">
            <v>1</v>
          </cell>
        </row>
        <row r="162">
          <cell r="D162">
            <v>4451</v>
          </cell>
          <cell r="E162" t="str">
            <v>2.1.5.1</v>
          </cell>
          <cell r="G162">
            <v>4451</v>
          </cell>
          <cell r="H162">
            <v>1</v>
          </cell>
        </row>
        <row r="163">
          <cell r="D163">
            <v>4481</v>
          </cell>
          <cell r="E163" t="str">
            <v>2.1.5.1</v>
          </cell>
          <cell r="G163">
            <v>4481</v>
          </cell>
          <cell r="H163">
            <v>1</v>
          </cell>
        </row>
        <row r="164">
          <cell r="D164">
            <v>4511</v>
          </cell>
          <cell r="E164" t="str">
            <v>2.1.2.0</v>
          </cell>
          <cell r="G164">
            <v>4511</v>
          </cell>
          <cell r="H164">
            <v>4</v>
          </cell>
        </row>
        <row r="165">
          <cell r="D165">
            <v>5111</v>
          </cell>
          <cell r="E165" t="str">
            <v>2.2.2.2</v>
          </cell>
          <cell r="G165">
            <v>5111</v>
          </cell>
          <cell r="H165">
            <v>2</v>
          </cell>
        </row>
        <row r="166">
          <cell r="D166">
            <v>5121</v>
          </cell>
          <cell r="E166" t="str">
            <v>2.2.2.2</v>
          </cell>
          <cell r="G166">
            <v>5121</v>
          </cell>
          <cell r="H166">
            <v>2</v>
          </cell>
        </row>
        <row r="167">
          <cell r="D167">
            <v>5133</v>
          </cell>
          <cell r="E167" t="str">
            <v>2.2.2.2</v>
          </cell>
          <cell r="G167">
            <v>5133</v>
          </cell>
          <cell r="H167">
            <v>2</v>
          </cell>
        </row>
        <row r="168">
          <cell r="D168">
            <v>5151</v>
          </cell>
          <cell r="E168" t="str">
            <v>2.2.2.2</v>
          </cell>
          <cell r="G168">
            <v>5151</v>
          </cell>
          <cell r="H168">
            <v>2</v>
          </cell>
        </row>
        <row r="169">
          <cell r="D169">
            <v>5191</v>
          </cell>
          <cell r="E169" t="str">
            <v>2.2.2.2</v>
          </cell>
          <cell r="G169">
            <v>5191</v>
          </cell>
          <cell r="H169">
            <v>2</v>
          </cell>
        </row>
        <row r="170">
          <cell r="D170">
            <v>5192</v>
          </cell>
          <cell r="E170" t="str">
            <v>2.2.2.2</v>
          </cell>
          <cell r="G170">
            <v>5192</v>
          </cell>
          <cell r="H170">
            <v>2</v>
          </cell>
        </row>
        <row r="171">
          <cell r="D171">
            <v>5211</v>
          </cell>
          <cell r="E171" t="str">
            <v>2.2.2.2</v>
          </cell>
          <cell r="G171">
            <v>5211</v>
          </cell>
          <cell r="H171">
            <v>2</v>
          </cell>
        </row>
        <row r="172">
          <cell r="D172">
            <v>5231</v>
          </cell>
          <cell r="E172" t="str">
            <v>2.2.2.2</v>
          </cell>
          <cell r="G172">
            <v>5231</v>
          </cell>
          <cell r="H172">
            <v>2</v>
          </cell>
        </row>
        <row r="173">
          <cell r="D173">
            <v>5291</v>
          </cell>
          <cell r="E173" t="str">
            <v>2.2.2.2</v>
          </cell>
          <cell r="G173">
            <v>5291</v>
          </cell>
          <cell r="H173">
            <v>2</v>
          </cell>
        </row>
        <row r="174">
          <cell r="D174">
            <v>5311</v>
          </cell>
          <cell r="E174" t="str">
            <v>2.2.2.2</v>
          </cell>
          <cell r="G174">
            <v>5311</v>
          </cell>
          <cell r="H174">
            <v>2</v>
          </cell>
        </row>
        <row r="175">
          <cell r="D175">
            <v>5321</v>
          </cell>
          <cell r="E175" t="str">
            <v>2.2.2.2</v>
          </cell>
          <cell r="G175">
            <v>5321</v>
          </cell>
          <cell r="H175">
            <v>2</v>
          </cell>
        </row>
        <row r="176">
          <cell r="D176">
            <v>5411</v>
          </cell>
          <cell r="E176" t="str">
            <v>2.2.2.2</v>
          </cell>
          <cell r="G176">
            <v>5411</v>
          </cell>
          <cell r="H176">
            <v>2</v>
          </cell>
        </row>
        <row r="177">
          <cell r="D177">
            <v>5421</v>
          </cell>
          <cell r="E177" t="str">
            <v>2.2.2.2</v>
          </cell>
          <cell r="G177">
            <v>5421</v>
          </cell>
          <cell r="H177">
            <v>2</v>
          </cell>
        </row>
        <row r="178">
          <cell r="D178">
            <v>5491</v>
          </cell>
          <cell r="E178" t="str">
            <v>2.2.2.2</v>
          </cell>
          <cell r="G178">
            <v>5491</v>
          </cell>
          <cell r="H178">
            <v>2</v>
          </cell>
        </row>
        <row r="179">
          <cell r="D179">
            <v>5511</v>
          </cell>
          <cell r="E179" t="str">
            <v xml:space="preserve">2.2.2.3 </v>
          </cell>
          <cell r="G179">
            <v>5511</v>
          </cell>
          <cell r="H179">
            <v>2</v>
          </cell>
        </row>
        <row r="180">
          <cell r="D180">
            <v>5611</v>
          </cell>
          <cell r="E180" t="str">
            <v>2.2.2.2</v>
          </cell>
          <cell r="G180">
            <v>5611</v>
          </cell>
          <cell r="H180">
            <v>2</v>
          </cell>
        </row>
        <row r="181">
          <cell r="D181">
            <v>5621</v>
          </cell>
          <cell r="E181" t="str">
            <v>2.2.2.2</v>
          </cell>
          <cell r="G181">
            <v>5621</v>
          </cell>
          <cell r="H181">
            <v>2</v>
          </cell>
        </row>
        <row r="182">
          <cell r="D182">
            <v>5631</v>
          </cell>
          <cell r="E182" t="str">
            <v>2.2.2.2</v>
          </cell>
          <cell r="G182">
            <v>5631</v>
          </cell>
          <cell r="H182">
            <v>2</v>
          </cell>
        </row>
        <row r="183">
          <cell r="D183">
            <v>5641</v>
          </cell>
          <cell r="E183" t="str">
            <v>2.2.2.2</v>
          </cell>
          <cell r="G183">
            <v>5641</v>
          </cell>
          <cell r="H183">
            <v>2</v>
          </cell>
        </row>
        <row r="184">
          <cell r="D184">
            <v>5651</v>
          </cell>
          <cell r="E184" t="str">
            <v>2.2.2.2</v>
          </cell>
          <cell r="G184">
            <v>5651</v>
          </cell>
          <cell r="H184">
            <v>2</v>
          </cell>
        </row>
        <row r="185">
          <cell r="D185">
            <v>5661</v>
          </cell>
          <cell r="E185" t="str">
            <v>2.2.2.2</v>
          </cell>
          <cell r="G185">
            <v>5661</v>
          </cell>
          <cell r="H185">
            <v>2</v>
          </cell>
        </row>
        <row r="186">
          <cell r="D186">
            <v>5662</v>
          </cell>
          <cell r="E186" t="str">
            <v>2.2.2.2</v>
          </cell>
          <cell r="G186">
            <v>5662</v>
          </cell>
          <cell r="H186">
            <v>2</v>
          </cell>
        </row>
        <row r="187">
          <cell r="D187">
            <v>5663</v>
          </cell>
          <cell r="E187" t="str">
            <v>2.2.2.2</v>
          </cell>
          <cell r="G187">
            <v>5663</v>
          </cell>
          <cell r="H187">
            <v>2</v>
          </cell>
        </row>
        <row r="188">
          <cell r="D188">
            <v>5671</v>
          </cell>
          <cell r="E188" t="str">
            <v>2.2.2.2</v>
          </cell>
          <cell r="G188">
            <v>5671</v>
          </cell>
          <cell r="H188">
            <v>2</v>
          </cell>
        </row>
        <row r="189">
          <cell r="D189">
            <v>5691</v>
          </cell>
          <cell r="E189" t="str">
            <v>2.2.2.2</v>
          </cell>
          <cell r="G189">
            <v>5691</v>
          </cell>
          <cell r="H189">
            <v>2</v>
          </cell>
        </row>
        <row r="190">
          <cell r="D190">
            <v>5771</v>
          </cell>
          <cell r="E190" t="str">
            <v>2.2.2.2</v>
          </cell>
          <cell r="G190">
            <v>5771</v>
          </cell>
          <cell r="H190">
            <v>2</v>
          </cell>
        </row>
        <row r="191">
          <cell r="D191">
            <v>5811</v>
          </cell>
          <cell r="E191" t="str">
            <v>2.2.5.1</v>
          </cell>
          <cell r="G191">
            <v>5811</v>
          </cell>
          <cell r="H191">
            <v>2</v>
          </cell>
        </row>
        <row r="192">
          <cell r="D192">
            <v>5911</v>
          </cell>
          <cell r="E192" t="str">
            <v>2.2.2.5</v>
          </cell>
          <cell r="G192">
            <v>5911</v>
          </cell>
          <cell r="H192">
            <v>2</v>
          </cell>
        </row>
        <row r="193">
          <cell r="D193">
            <v>5921</v>
          </cell>
          <cell r="E193" t="str">
            <v>2.2.2.2</v>
          </cell>
          <cell r="G193">
            <v>5921</v>
          </cell>
          <cell r="H193">
            <v>2</v>
          </cell>
        </row>
        <row r="194">
          <cell r="D194">
            <v>5971</v>
          </cell>
          <cell r="E194" t="str">
            <v>2.2.2.5</v>
          </cell>
          <cell r="G194">
            <v>5971</v>
          </cell>
          <cell r="H194">
            <v>2</v>
          </cell>
        </row>
        <row r="195">
          <cell r="D195">
            <v>6111</v>
          </cell>
          <cell r="E195" t="str">
            <v>2.2.1.0</v>
          </cell>
          <cell r="G195">
            <v>6111</v>
          </cell>
          <cell r="H195">
            <v>2</v>
          </cell>
        </row>
        <row r="196">
          <cell r="D196">
            <v>6121</v>
          </cell>
          <cell r="E196" t="str">
            <v>2.1.5.1</v>
          </cell>
          <cell r="G196">
            <v>6121</v>
          </cell>
          <cell r="H196">
            <v>2</v>
          </cell>
        </row>
        <row r="197">
          <cell r="D197">
            <v>6131</v>
          </cell>
          <cell r="E197" t="str">
            <v>2.2.1.0</v>
          </cell>
          <cell r="G197">
            <v>6131</v>
          </cell>
          <cell r="H197">
            <v>2</v>
          </cell>
        </row>
        <row r="198">
          <cell r="D198">
            <v>6141</v>
          </cell>
          <cell r="E198" t="str">
            <v>2.2.1.0</v>
          </cell>
          <cell r="G198">
            <v>6141</v>
          </cell>
          <cell r="H198">
            <v>2</v>
          </cell>
        </row>
        <row r="199">
          <cell r="D199">
            <v>6191</v>
          </cell>
          <cell r="E199" t="str">
            <v>2.2.1.0</v>
          </cell>
          <cell r="G199">
            <v>6191</v>
          </cell>
          <cell r="H199">
            <v>2</v>
          </cell>
        </row>
        <row r="200">
          <cell r="D200">
            <v>6221</v>
          </cell>
          <cell r="E200" t="str">
            <v>2.2.1.0</v>
          </cell>
          <cell r="G200">
            <v>6221</v>
          </cell>
          <cell r="H200">
            <v>2</v>
          </cell>
        </row>
        <row r="201">
          <cell r="D201">
            <v>7993</v>
          </cell>
          <cell r="E201" t="str">
            <v>2.2.7.1</v>
          </cell>
          <cell r="G201">
            <v>7993</v>
          </cell>
          <cell r="H201">
            <v>2</v>
          </cell>
        </row>
        <row r="202">
          <cell r="D202">
            <v>9111</v>
          </cell>
          <cell r="E202" t="str">
            <v>3.2.2.1</v>
          </cell>
          <cell r="G202">
            <v>9111</v>
          </cell>
          <cell r="H202">
            <v>3</v>
          </cell>
        </row>
        <row r="203">
          <cell r="D203">
            <v>9112</v>
          </cell>
          <cell r="E203" t="str">
            <v>3.2.2.1</v>
          </cell>
          <cell r="G203">
            <v>9112</v>
          </cell>
          <cell r="H203">
            <v>3</v>
          </cell>
        </row>
        <row r="204">
          <cell r="D204">
            <v>9211</v>
          </cell>
          <cell r="E204" t="str">
            <v>2.1.3.1</v>
          </cell>
          <cell r="G204">
            <v>9211</v>
          </cell>
          <cell r="H204">
            <v>3</v>
          </cell>
        </row>
        <row r="205">
          <cell r="D205">
            <v>9212</v>
          </cell>
          <cell r="E205" t="str">
            <v>2.1.3.1</v>
          </cell>
          <cell r="G205">
            <v>9212</v>
          </cell>
          <cell r="H205">
            <v>3</v>
          </cell>
        </row>
        <row r="206">
          <cell r="D206">
            <v>9911</v>
          </cell>
          <cell r="E206" t="str">
            <v>3.2.2.1</v>
          </cell>
          <cell r="G206">
            <v>9911</v>
          </cell>
          <cell r="H206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ALÍTICO INGRESOS"/>
      <sheetName val="Analítico de Egresos"/>
      <sheetName val="PROGRAMAS Y PROYECTOS"/>
      <sheetName val="PROGRAMAS"/>
      <sheetName val="COG DETALLE"/>
      <sheetName val="C.F.G"/>
      <sheetName val="C.T.G"/>
      <sheetName val="F.F"/>
      <sheetName val="PROG. ESTATALES"/>
      <sheetName val="FORTAMUN"/>
      <sheetName val="FAISM"/>
      <sheetName val="CLASIFICADOR FAISM FORTA"/>
      <sheetName val="Hoja3"/>
      <sheetName val="Ajustes 1a. Modif"/>
      <sheetName val="INTEGRACIÓN DE REMANENTES"/>
      <sheetName val="Hoja1"/>
      <sheetName val="Hoja6"/>
    </sheetNames>
    <sheetDataSet>
      <sheetData sheetId="0">
        <row r="4">
          <cell r="N4" t="str">
            <v>Etiquetas de fila</v>
          </cell>
          <cell r="O4" t="str">
            <v>Suma de 2019 CIERRE DE EJERCICIO</v>
          </cell>
          <cell r="P4" t="str">
            <v>Suma de APROBADO 2020</v>
          </cell>
          <cell r="Q4" t="str">
            <v>Suma de TERCERA MODIFICACIÓN</v>
          </cell>
          <cell r="R4" t="str">
            <v>Suma de PRESUPUESTO AL CIERRE DE EJERCICIO</v>
          </cell>
          <cell r="S4" t="str">
            <v>Suma de PRESUPUESTO 2021 AL 28 FEBRERO</v>
          </cell>
          <cell r="T4" t="str">
            <v>Suma de REMANENTES 2021</v>
          </cell>
          <cell r="U4" t="str">
            <v>Suma de APROBADO</v>
          </cell>
        </row>
        <row r="5">
          <cell r="N5">
            <v>1131</v>
          </cell>
          <cell r="O5">
            <v>62717291.550000004</v>
          </cell>
          <cell r="P5">
            <v>70559856.249999985</v>
          </cell>
          <cell r="Q5">
            <v>66575286.349999994</v>
          </cell>
          <cell r="R5">
            <v>71986310.840000004</v>
          </cell>
          <cell r="S5">
            <v>71450577.469999984</v>
          </cell>
          <cell r="T5">
            <v>71450577.469999984</v>
          </cell>
          <cell r="U5">
            <v>72474301.219999984</v>
          </cell>
        </row>
        <row r="6">
          <cell r="N6">
            <v>1132</v>
          </cell>
          <cell r="O6">
            <v>177481264.91</v>
          </cell>
          <cell r="P6">
            <v>218449235.29000002</v>
          </cell>
          <cell r="Q6">
            <v>196876544.20000002</v>
          </cell>
          <cell r="R6">
            <v>200497694.76000002</v>
          </cell>
          <cell r="S6">
            <v>208390604.39999998</v>
          </cell>
          <cell r="T6">
            <v>208390604.39999998</v>
          </cell>
          <cell r="U6">
            <v>213206731.51000005</v>
          </cell>
        </row>
        <row r="7">
          <cell r="N7">
            <v>1212</v>
          </cell>
          <cell r="O7">
            <v>90430437.819999993</v>
          </cell>
          <cell r="P7">
            <v>107410499.34</v>
          </cell>
          <cell r="Q7">
            <v>142856544.71000001</v>
          </cell>
          <cell r="R7">
            <v>140150386.93999997</v>
          </cell>
          <cell r="S7">
            <v>157316177.70000005</v>
          </cell>
          <cell r="T7">
            <v>157316177.70000005</v>
          </cell>
          <cell r="U7">
            <v>154906355.30000001</v>
          </cell>
        </row>
        <row r="8">
          <cell r="N8">
            <v>1221</v>
          </cell>
          <cell r="O8">
            <v>49431.66</v>
          </cell>
          <cell r="P8">
            <v>375000</v>
          </cell>
          <cell r="Q8">
            <v>252355</v>
          </cell>
          <cell r="R8">
            <v>103615.66</v>
          </cell>
          <cell r="S8">
            <v>252355</v>
          </cell>
          <cell r="T8">
            <v>252355</v>
          </cell>
          <cell r="U8">
            <v>252355</v>
          </cell>
        </row>
        <row r="9">
          <cell r="N9">
            <v>1321</v>
          </cell>
          <cell r="O9">
            <v>14072597.629999997</v>
          </cell>
          <cell r="P9">
            <v>16257197.759999996</v>
          </cell>
          <cell r="Q9">
            <v>15562402.439999996</v>
          </cell>
          <cell r="R9">
            <v>14966345.189999999</v>
          </cell>
          <cell r="S9">
            <v>19517297.999999993</v>
          </cell>
          <cell r="T9">
            <v>19517297.999999993</v>
          </cell>
          <cell r="U9">
            <v>20310692.179999996</v>
          </cell>
        </row>
        <row r="10">
          <cell r="N10">
            <v>1322</v>
          </cell>
          <cell r="O10">
            <v>794389.70000000007</v>
          </cell>
          <cell r="P10">
            <v>960800</v>
          </cell>
          <cell r="Q10">
            <v>848607.05999999994</v>
          </cell>
          <cell r="R10">
            <v>720275.7300000001</v>
          </cell>
          <cell r="S10">
            <v>848607.5</v>
          </cell>
          <cell r="T10">
            <v>848607.5</v>
          </cell>
          <cell r="U10">
            <v>848607.05999999994</v>
          </cell>
        </row>
        <row r="11">
          <cell r="N11">
            <v>1323</v>
          </cell>
          <cell r="O11">
            <v>48392891.75</v>
          </cell>
          <cell r="P11">
            <v>55252518.390000001</v>
          </cell>
          <cell r="Q11">
            <v>55288399.100000009</v>
          </cell>
          <cell r="R11">
            <v>52422867.200000003</v>
          </cell>
          <cell r="S11">
            <v>65944163.100000001</v>
          </cell>
          <cell r="T11">
            <v>65944163.100000001</v>
          </cell>
          <cell r="U11">
            <v>57288870.460000001</v>
          </cell>
        </row>
        <row r="12">
          <cell r="N12">
            <v>1331</v>
          </cell>
          <cell r="O12">
            <v>3186684.8100000005</v>
          </cell>
          <cell r="P12">
            <v>4182672.4</v>
          </cell>
          <cell r="Q12">
            <v>3059639.4</v>
          </cell>
          <cell r="R12">
            <v>1700864.8900000001</v>
          </cell>
          <cell r="S12">
            <v>3059639.8</v>
          </cell>
          <cell r="T12">
            <v>3059639.8</v>
          </cell>
          <cell r="U12">
            <v>3059639.4000000004</v>
          </cell>
        </row>
        <row r="13">
          <cell r="N13">
            <v>1342</v>
          </cell>
          <cell r="O13"/>
          <cell r="P13">
            <v>209890.5</v>
          </cell>
          <cell r="Q13">
            <v>125933.5</v>
          </cell>
          <cell r="R13">
            <v>0</v>
          </cell>
          <cell r="S13">
            <v>125933.5</v>
          </cell>
          <cell r="T13">
            <v>125933.5</v>
          </cell>
          <cell r="U13">
            <v>125933.5</v>
          </cell>
        </row>
        <row r="14">
          <cell r="N14">
            <v>1413</v>
          </cell>
          <cell r="O14">
            <v>69654968.930000022</v>
          </cell>
          <cell r="P14">
            <v>90143362.859999985</v>
          </cell>
          <cell r="Q14">
            <v>87101535.659999996</v>
          </cell>
          <cell r="R14">
            <v>84986683.400000021</v>
          </cell>
          <cell r="S14">
            <v>92739534.399999976</v>
          </cell>
          <cell r="T14">
            <v>92739534.399999976</v>
          </cell>
          <cell r="U14">
            <v>105751692.26000002</v>
          </cell>
        </row>
        <row r="15">
          <cell r="N15">
            <v>1421</v>
          </cell>
          <cell r="O15">
            <v>23549675.600000001</v>
          </cell>
          <cell r="P15">
            <v>27217592.350000001</v>
          </cell>
          <cell r="Q15">
            <v>24011999.740000002</v>
          </cell>
          <cell r="R15">
            <v>25699130.609999999</v>
          </cell>
          <cell r="S15">
            <v>29715741.900000002</v>
          </cell>
          <cell r="T15">
            <v>29715741.900000002</v>
          </cell>
          <cell r="U15">
            <v>30360134.610000003</v>
          </cell>
        </row>
        <row r="16">
          <cell r="N16">
            <v>1431</v>
          </cell>
          <cell r="O16">
            <v>28217736.470000003</v>
          </cell>
          <cell r="P16">
            <v>28242775.909999996</v>
          </cell>
          <cell r="Q16">
            <v>27706469.449999996</v>
          </cell>
          <cell r="R16">
            <v>29529147.690000005</v>
          </cell>
          <cell r="S16">
            <v>26340287.300000001</v>
          </cell>
          <cell r="T16">
            <v>26340287.300000001</v>
          </cell>
          <cell r="U16">
            <v>31267124.52</v>
          </cell>
        </row>
        <row r="17">
          <cell r="N17">
            <v>1441</v>
          </cell>
          <cell r="O17">
            <v>5086564.6100000003</v>
          </cell>
          <cell r="P17">
            <v>6500000</v>
          </cell>
          <cell r="Q17">
            <v>4873000</v>
          </cell>
          <cell r="R17">
            <v>4857142.8600000003</v>
          </cell>
          <cell r="S17">
            <v>5000000</v>
          </cell>
          <cell r="T17">
            <v>5000000</v>
          </cell>
          <cell r="U17">
            <v>7000000</v>
          </cell>
        </row>
        <row r="18">
          <cell r="N18">
            <v>1511</v>
          </cell>
          <cell r="O18">
            <v>3382105.1</v>
          </cell>
          <cell r="P18">
            <v>3897832.5599999996</v>
          </cell>
          <cell r="Q18">
            <v>3656340.4499999993</v>
          </cell>
          <cell r="R18">
            <v>3777048.2100000009</v>
          </cell>
          <cell r="S18">
            <v>5289767.1999999983</v>
          </cell>
          <cell r="T18">
            <v>5289767.1999999983</v>
          </cell>
          <cell r="U18">
            <v>3995020.1563198664</v>
          </cell>
        </row>
        <row r="19">
          <cell r="N19">
            <v>1522</v>
          </cell>
          <cell r="O19">
            <v>24061415.640000001</v>
          </cell>
          <cell r="P19">
            <v>18250000</v>
          </cell>
          <cell r="Q19">
            <v>18598218</v>
          </cell>
          <cell r="R19">
            <v>15037125.75</v>
          </cell>
          <cell r="S19">
            <v>23000000</v>
          </cell>
          <cell r="T19">
            <v>23000000</v>
          </cell>
          <cell r="U19">
            <v>23000000</v>
          </cell>
        </row>
        <row r="20">
          <cell r="N20">
            <v>1531</v>
          </cell>
          <cell r="O20">
            <v>572922.26</v>
          </cell>
          <cell r="P20">
            <v>715375</v>
          </cell>
          <cell r="Q20">
            <v>663628.77</v>
          </cell>
          <cell r="R20">
            <v>675088.35</v>
          </cell>
          <cell r="S20">
            <v>692472.29999999993</v>
          </cell>
          <cell r="T20">
            <v>692472.29999999993</v>
          </cell>
          <cell r="U20">
            <v>692471.44</v>
          </cell>
        </row>
        <row r="21">
          <cell r="N21">
            <v>1541</v>
          </cell>
          <cell r="O21">
            <v>31080083.359999996</v>
          </cell>
          <cell r="P21">
            <v>36577548.359999985</v>
          </cell>
          <cell r="Q21">
            <v>37654410.249999993</v>
          </cell>
          <cell r="R21">
            <v>35167188.629999995</v>
          </cell>
          <cell r="S21">
            <v>44271208.299999997</v>
          </cell>
          <cell r="T21">
            <v>44271208.299999997</v>
          </cell>
          <cell r="U21">
            <v>45452712.079999991</v>
          </cell>
        </row>
        <row r="22">
          <cell r="N22">
            <v>1591</v>
          </cell>
          <cell r="O22">
            <v>1571237.7</v>
          </cell>
          <cell r="P22">
            <v>2258000</v>
          </cell>
          <cell r="Q22">
            <v>2027373</v>
          </cell>
          <cell r="R22">
            <v>1162649.67</v>
          </cell>
          <cell r="S22">
            <v>2026773</v>
          </cell>
          <cell r="T22">
            <v>2026773</v>
          </cell>
          <cell r="U22">
            <v>2026773</v>
          </cell>
        </row>
        <row r="23">
          <cell r="N23">
            <v>1592</v>
          </cell>
          <cell r="O23">
            <v>73116848.329999998</v>
          </cell>
          <cell r="P23">
            <v>83726285.11999999</v>
          </cell>
          <cell r="Q23">
            <v>78854476.309999973</v>
          </cell>
          <cell r="R23">
            <v>81373924.379999965</v>
          </cell>
          <cell r="S23">
            <v>81984942.5</v>
          </cell>
          <cell r="T23">
            <v>81984942.5</v>
          </cell>
          <cell r="U23">
            <v>86356699</v>
          </cell>
        </row>
        <row r="24">
          <cell r="N24">
            <v>1593</v>
          </cell>
          <cell r="O24">
            <v>4313663.32</v>
          </cell>
          <cell r="P24">
            <v>13855377.9</v>
          </cell>
          <cell r="Q24">
            <v>13602292.4</v>
          </cell>
          <cell r="R24">
            <v>13931311.890000001</v>
          </cell>
          <cell r="S24">
            <v>11914971.699999999</v>
          </cell>
          <cell r="T24">
            <v>11914971.699999999</v>
          </cell>
          <cell r="U24">
            <v>11906007.33</v>
          </cell>
        </row>
        <row r="25">
          <cell r="N25">
            <v>1611</v>
          </cell>
          <cell r="O25"/>
          <cell r="P25">
            <v>1793920.39</v>
          </cell>
          <cell r="Q25">
            <v>1076352.24</v>
          </cell>
          <cell r="R25">
            <v>0</v>
          </cell>
          <cell r="S25">
            <v>1130169.9000000001</v>
          </cell>
          <cell r="T25">
            <v>1130169.9000000001</v>
          </cell>
          <cell r="U25">
            <v>1130169.8500000001</v>
          </cell>
        </row>
        <row r="26">
          <cell r="N26">
            <v>1711</v>
          </cell>
          <cell r="O26">
            <v>53220</v>
          </cell>
          <cell r="P26">
            <v>245200</v>
          </cell>
          <cell r="Q26">
            <v>213648</v>
          </cell>
          <cell r="R26">
            <v>97280</v>
          </cell>
          <cell r="S26">
            <v>213648</v>
          </cell>
          <cell r="T26">
            <v>213648</v>
          </cell>
          <cell r="U26">
            <v>213648</v>
          </cell>
        </row>
        <row r="27">
          <cell r="N27">
            <v>1712</v>
          </cell>
          <cell r="O27"/>
          <cell r="P27">
            <v>0</v>
          </cell>
          <cell r="Q27">
            <v>0</v>
          </cell>
          <cell r="R27">
            <v>0</v>
          </cell>
          <cell r="S27"/>
          <cell r="T27">
            <v>0</v>
          </cell>
          <cell r="U27">
            <v>0</v>
          </cell>
        </row>
        <row r="28">
          <cell r="N28">
            <v>2111</v>
          </cell>
          <cell r="O28">
            <v>1679921.3599999999</v>
          </cell>
          <cell r="P28">
            <v>1859750</v>
          </cell>
          <cell r="Q28">
            <v>1445714.96</v>
          </cell>
          <cell r="R28">
            <v>1230526.49</v>
          </cell>
          <cell r="S28">
            <v>2240060.87</v>
          </cell>
          <cell r="T28">
            <v>2250260.92</v>
          </cell>
          <cell r="U28">
            <v>1801648.46</v>
          </cell>
        </row>
        <row r="29">
          <cell r="N29">
            <v>2112</v>
          </cell>
          <cell r="O29">
            <v>1473712.4000000001</v>
          </cell>
          <cell r="P29">
            <v>1750377.84</v>
          </cell>
          <cell r="Q29">
            <v>2358394.5599999996</v>
          </cell>
          <cell r="R29">
            <v>1937172.7600000002</v>
          </cell>
          <cell r="S29">
            <v>560960</v>
          </cell>
          <cell r="T29">
            <v>590260.01</v>
          </cell>
          <cell r="U29">
            <v>737854.53</v>
          </cell>
        </row>
        <row r="30">
          <cell r="N30">
            <v>2121</v>
          </cell>
          <cell r="O30">
            <v>1244277.3900000001</v>
          </cell>
          <cell r="P30">
            <v>1357443</v>
          </cell>
          <cell r="Q30">
            <v>1041909.1</v>
          </cell>
          <cell r="R30">
            <v>870049.88</v>
          </cell>
          <cell r="S30">
            <v>1538393.41</v>
          </cell>
          <cell r="T30">
            <v>1538393.41</v>
          </cell>
          <cell r="U30">
            <v>1304517.92</v>
          </cell>
        </row>
        <row r="31">
          <cell r="N31">
            <v>2131</v>
          </cell>
          <cell r="O31"/>
          <cell r="P31">
            <v>80000</v>
          </cell>
          <cell r="Q31">
            <v>80000</v>
          </cell>
          <cell r="R31">
            <v>80000</v>
          </cell>
          <cell r="S31">
            <v>800000</v>
          </cell>
          <cell r="T31">
            <v>800000</v>
          </cell>
          <cell r="U31">
            <v>800000</v>
          </cell>
        </row>
        <row r="32">
          <cell r="N32">
            <v>2142</v>
          </cell>
          <cell r="O32">
            <v>333053.40000000002</v>
          </cell>
          <cell r="P32">
            <v>470844</v>
          </cell>
          <cell r="Q32">
            <v>1249044</v>
          </cell>
          <cell r="R32">
            <v>528000.01</v>
          </cell>
          <cell r="S32">
            <v>70957.2</v>
          </cell>
          <cell r="T32">
            <v>70957.2</v>
          </cell>
          <cell r="U32">
            <v>70957.2</v>
          </cell>
        </row>
        <row r="33">
          <cell r="N33">
            <v>2151</v>
          </cell>
          <cell r="O33">
            <v>1495</v>
          </cell>
          <cell r="P33">
            <v>4500</v>
          </cell>
          <cell r="Q33">
            <v>4500</v>
          </cell>
          <cell r="R33">
            <v>1495</v>
          </cell>
          <cell r="S33">
            <v>2000</v>
          </cell>
          <cell r="T33">
            <v>2000</v>
          </cell>
          <cell r="U33">
            <v>6000</v>
          </cell>
        </row>
        <row r="34">
          <cell r="N34">
            <v>2161</v>
          </cell>
          <cell r="O34">
            <v>931530.17999999993</v>
          </cell>
          <cell r="P34">
            <v>1133599.02</v>
          </cell>
          <cell r="Q34">
            <v>1472551.95</v>
          </cell>
          <cell r="R34">
            <v>1197382.8200000005</v>
          </cell>
          <cell r="S34">
            <v>1511750</v>
          </cell>
          <cell r="T34">
            <v>1511750</v>
          </cell>
          <cell r="U34">
            <v>1649550</v>
          </cell>
        </row>
        <row r="35">
          <cell r="N35">
            <v>2171</v>
          </cell>
          <cell r="O35">
            <v>159270.14000000001</v>
          </cell>
          <cell r="P35">
            <v>487188</v>
          </cell>
          <cell r="Q35">
            <v>462855.96</v>
          </cell>
          <cell r="R35">
            <v>180775.59</v>
          </cell>
          <cell r="S35">
            <v>452000</v>
          </cell>
          <cell r="T35">
            <v>454807.45</v>
          </cell>
          <cell r="U35">
            <v>454807.45</v>
          </cell>
        </row>
        <row r="36">
          <cell r="N36">
            <v>2182</v>
          </cell>
          <cell r="O36">
            <v>4786177.6599999992</v>
          </cell>
          <cell r="P36">
            <v>4696572</v>
          </cell>
          <cell r="Q36">
            <v>2848204</v>
          </cell>
          <cell r="R36">
            <v>2798975.6</v>
          </cell>
          <cell r="S36">
            <v>4912100</v>
          </cell>
          <cell r="T36">
            <v>4912100</v>
          </cell>
          <cell r="U36">
            <v>5112100</v>
          </cell>
        </row>
        <row r="37">
          <cell r="N37">
            <v>2211</v>
          </cell>
          <cell r="O37">
            <v>217920.47</v>
          </cell>
          <cell r="P37">
            <v>250000</v>
          </cell>
          <cell r="Q37">
            <v>3113160</v>
          </cell>
          <cell r="R37">
            <v>3960568.19</v>
          </cell>
          <cell r="S37">
            <v>8500000</v>
          </cell>
          <cell r="T37">
            <v>8500000</v>
          </cell>
          <cell r="U37">
            <v>8500000</v>
          </cell>
        </row>
        <row r="38">
          <cell r="N38">
            <v>2212</v>
          </cell>
          <cell r="O38">
            <v>2925170.77</v>
          </cell>
          <cell r="P38">
            <v>3408200</v>
          </cell>
          <cell r="Q38">
            <v>3767167</v>
          </cell>
          <cell r="R38">
            <v>3886267.72</v>
          </cell>
          <cell r="S38">
            <v>4283700</v>
          </cell>
          <cell r="T38">
            <v>4283700</v>
          </cell>
          <cell r="U38">
            <v>4283700</v>
          </cell>
        </row>
        <row r="39">
          <cell r="N39">
            <v>2221</v>
          </cell>
          <cell r="O39">
            <v>1148325.4600000002</v>
          </cell>
          <cell r="P39">
            <v>1264900</v>
          </cell>
          <cell r="Q39">
            <v>740900</v>
          </cell>
          <cell r="R39">
            <v>675064.71000000008</v>
          </cell>
          <cell r="S39">
            <v>434900</v>
          </cell>
          <cell r="T39">
            <v>466400</v>
          </cell>
          <cell r="U39">
            <v>466400</v>
          </cell>
        </row>
        <row r="40">
          <cell r="N40">
            <v>2231</v>
          </cell>
          <cell r="O40">
            <v>6630</v>
          </cell>
          <cell r="P40">
            <v>0</v>
          </cell>
          <cell r="Q40">
            <v>31800</v>
          </cell>
          <cell r="R40">
            <v>31639</v>
          </cell>
          <cell r="S40"/>
          <cell r="T40">
            <v>0</v>
          </cell>
          <cell r="U40">
            <v>20000</v>
          </cell>
        </row>
        <row r="41">
          <cell r="N41">
            <v>2312</v>
          </cell>
          <cell r="O41">
            <v>49808.37</v>
          </cell>
          <cell r="P41">
            <v>60000</v>
          </cell>
          <cell r="Q41">
            <v>89740</v>
          </cell>
          <cell r="R41">
            <v>82795.03</v>
          </cell>
          <cell r="S41">
            <v>90000</v>
          </cell>
          <cell r="T41">
            <v>90000</v>
          </cell>
          <cell r="U41">
            <v>70000</v>
          </cell>
        </row>
        <row r="42">
          <cell r="N42">
            <v>2321</v>
          </cell>
          <cell r="O42"/>
          <cell r="P42">
            <v>0</v>
          </cell>
          <cell r="Q42">
            <v>164230.32</v>
          </cell>
          <cell r="R42">
            <v>0</v>
          </cell>
          <cell r="S42">
            <v>164230.32</v>
          </cell>
          <cell r="T42">
            <v>164230.32</v>
          </cell>
          <cell r="U42">
            <v>164230.32</v>
          </cell>
        </row>
        <row r="43">
          <cell r="N43">
            <v>2391</v>
          </cell>
          <cell r="O43">
            <v>580894</v>
          </cell>
          <cell r="P43">
            <v>903457</v>
          </cell>
          <cell r="Q43">
            <v>2321426.4700000002</v>
          </cell>
          <cell r="R43">
            <v>1653509.5</v>
          </cell>
          <cell r="S43">
            <v>750000</v>
          </cell>
          <cell r="T43">
            <v>750000</v>
          </cell>
          <cell r="U43">
            <v>750000</v>
          </cell>
        </row>
        <row r="44">
          <cell r="N44">
            <v>2411</v>
          </cell>
          <cell r="O44">
            <v>19272.09</v>
          </cell>
          <cell r="P44">
            <v>50000</v>
          </cell>
          <cell r="Q44">
            <v>44500</v>
          </cell>
          <cell r="R44">
            <v>35774.89</v>
          </cell>
          <cell r="S44">
            <v>25000</v>
          </cell>
          <cell r="T44">
            <v>25000</v>
          </cell>
          <cell r="U44">
            <v>15000</v>
          </cell>
        </row>
        <row r="45">
          <cell r="N45">
            <v>2421</v>
          </cell>
          <cell r="O45">
            <v>2061177.0900000003</v>
          </cell>
          <cell r="P45">
            <v>2545799.39</v>
          </cell>
          <cell r="Q45">
            <v>4285182.4000000004</v>
          </cell>
          <cell r="R45">
            <v>3547568.28</v>
          </cell>
          <cell r="S45">
            <v>2439352</v>
          </cell>
          <cell r="T45">
            <v>2439352</v>
          </cell>
          <cell r="U45">
            <v>2432165.7999999998</v>
          </cell>
        </row>
        <row r="46">
          <cell r="N46">
            <v>2431</v>
          </cell>
          <cell r="O46">
            <v>6710</v>
          </cell>
          <cell r="P46"/>
          <cell r="Q46"/>
          <cell r="R46"/>
          <cell r="S46">
            <v>5000</v>
          </cell>
          <cell r="T46">
            <v>5000</v>
          </cell>
          <cell r="U46">
            <v>5000</v>
          </cell>
        </row>
        <row r="47">
          <cell r="N47">
            <v>2441</v>
          </cell>
          <cell r="O47">
            <v>39913.81</v>
          </cell>
          <cell r="P47">
            <v>40000</v>
          </cell>
          <cell r="Q47">
            <v>40000</v>
          </cell>
          <cell r="R47">
            <v>34915.99</v>
          </cell>
          <cell r="S47"/>
          <cell r="T47">
            <v>0</v>
          </cell>
          <cell r="U47">
            <v>0</v>
          </cell>
        </row>
        <row r="48">
          <cell r="N48">
            <v>2461</v>
          </cell>
          <cell r="O48">
            <v>3434341.39</v>
          </cell>
          <cell r="P48">
            <v>4454299.8</v>
          </cell>
          <cell r="Q48">
            <v>7789088.4800000004</v>
          </cell>
          <cell r="R48">
            <v>4706009.42</v>
          </cell>
          <cell r="S48">
            <v>7917057.29</v>
          </cell>
          <cell r="T48">
            <v>7917057.29</v>
          </cell>
          <cell r="U48">
            <v>8086057.29</v>
          </cell>
        </row>
        <row r="49">
          <cell r="N49">
            <v>2471</v>
          </cell>
          <cell r="O49"/>
          <cell r="P49">
            <v>0</v>
          </cell>
          <cell r="Q49">
            <v>55000</v>
          </cell>
          <cell r="R49">
            <v>0</v>
          </cell>
          <cell r="S49">
            <v>58000</v>
          </cell>
          <cell r="T49">
            <v>58000</v>
          </cell>
          <cell r="U49">
            <v>58000</v>
          </cell>
        </row>
        <row r="50">
          <cell r="N50">
            <v>2481</v>
          </cell>
          <cell r="O50">
            <v>17683936.170000002</v>
          </cell>
          <cell r="P50">
            <v>13000000</v>
          </cell>
          <cell r="Q50">
            <v>15091031.539999999</v>
          </cell>
          <cell r="R50">
            <v>7303575.5299999993</v>
          </cell>
          <cell r="S50">
            <v>20077998.899999999</v>
          </cell>
          <cell r="T50">
            <v>24085998.550000001</v>
          </cell>
          <cell r="U50">
            <v>24085998.550000001</v>
          </cell>
        </row>
        <row r="51">
          <cell r="N51">
            <v>2491</v>
          </cell>
          <cell r="O51">
            <v>8578975.8000000007</v>
          </cell>
          <cell r="P51">
            <v>14235071.710000001</v>
          </cell>
          <cell r="Q51">
            <v>11371503.849999998</v>
          </cell>
          <cell r="R51">
            <v>10435999.989999998</v>
          </cell>
          <cell r="S51">
            <v>13252009</v>
          </cell>
          <cell r="T51">
            <v>14040673.1</v>
          </cell>
          <cell r="U51">
            <v>14184835.109999999</v>
          </cell>
        </row>
        <row r="52">
          <cell r="N52">
            <v>2492</v>
          </cell>
          <cell r="O52"/>
          <cell r="P52">
            <v>0</v>
          </cell>
          <cell r="Q52">
            <v>5709211.6299999999</v>
          </cell>
          <cell r="R52">
            <v>5441927.9400000004</v>
          </cell>
          <cell r="S52"/>
          <cell r="T52">
            <v>1977194.42</v>
          </cell>
          <cell r="U52">
            <v>1977194.42</v>
          </cell>
        </row>
        <row r="53">
          <cell r="N53">
            <v>2493</v>
          </cell>
          <cell r="O53"/>
          <cell r="P53">
            <v>0</v>
          </cell>
          <cell r="Q53">
            <v>3765000</v>
          </cell>
          <cell r="R53">
            <v>2914420.24</v>
          </cell>
          <cell r="S53"/>
          <cell r="T53">
            <v>763039.3</v>
          </cell>
          <cell r="U53">
            <v>763039.3</v>
          </cell>
        </row>
        <row r="54">
          <cell r="N54">
            <v>2511</v>
          </cell>
          <cell r="O54">
            <v>27150.73</v>
          </cell>
          <cell r="P54">
            <v>40000</v>
          </cell>
          <cell r="Q54">
            <v>40000</v>
          </cell>
          <cell r="R54">
            <v>28285.97</v>
          </cell>
          <cell r="S54">
            <v>48000</v>
          </cell>
          <cell r="T54">
            <v>48000</v>
          </cell>
          <cell r="U54">
            <v>48000</v>
          </cell>
        </row>
        <row r="55">
          <cell r="N55">
            <v>2521</v>
          </cell>
          <cell r="O55">
            <v>74810</v>
          </cell>
          <cell r="P55">
            <v>85000</v>
          </cell>
          <cell r="Q55">
            <v>260000</v>
          </cell>
          <cell r="R55">
            <v>54952.2</v>
          </cell>
          <cell r="S55">
            <v>100000</v>
          </cell>
          <cell r="T55">
            <v>100000</v>
          </cell>
          <cell r="U55">
            <v>80000</v>
          </cell>
        </row>
        <row r="56">
          <cell r="N56">
            <v>2522</v>
          </cell>
          <cell r="O56">
            <v>830237.09000000008</v>
          </cell>
          <cell r="P56">
            <v>1176000</v>
          </cell>
          <cell r="Q56">
            <v>1048208.63</v>
          </cell>
          <cell r="R56">
            <v>983453.78</v>
          </cell>
          <cell r="S56">
            <v>1171000</v>
          </cell>
          <cell r="T56">
            <v>1171000</v>
          </cell>
          <cell r="U56">
            <v>927000</v>
          </cell>
        </row>
        <row r="57">
          <cell r="N57">
            <v>2531</v>
          </cell>
          <cell r="O57">
            <v>757228.02999999991</v>
          </cell>
          <cell r="P57">
            <v>1169000</v>
          </cell>
          <cell r="Q57">
            <v>753267.67999999993</v>
          </cell>
          <cell r="R57">
            <v>698321.19999999984</v>
          </cell>
          <cell r="S57">
            <v>922000</v>
          </cell>
          <cell r="T57">
            <v>944103.9</v>
          </cell>
          <cell r="U57">
            <v>773169.48</v>
          </cell>
        </row>
        <row r="58">
          <cell r="N58">
            <v>2541</v>
          </cell>
          <cell r="O58">
            <v>81405.670000000013</v>
          </cell>
          <cell r="P58">
            <v>405000</v>
          </cell>
          <cell r="Q58">
            <v>425616.48</v>
          </cell>
          <cell r="R58">
            <v>370518.47</v>
          </cell>
          <cell r="S58">
            <v>415000</v>
          </cell>
          <cell r="T58">
            <v>423160</v>
          </cell>
          <cell r="U58">
            <v>423160</v>
          </cell>
        </row>
        <row r="59">
          <cell r="N59">
            <v>2551</v>
          </cell>
          <cell r="O59">
            <v>34486.44</v>
          </cell>
          <cell r="P59">
            <v>20000</v>
          </cell>
          <cell r="Q59">
            <v>20000</v>
          </cell>
          <cell r="R59">
            <v>19280.36</v>
          </cell>
          <cell r="S59">
            <v>35000</v>
          </cell>
          <cell r="T59">
            <v>35000</v>
          </cell>
          <cell r="U59">
            <v>35000</v>
          </cell>
        </row>
        <row r="60">
          <cell r="N60">
            <v>2611</v>
          </cell>
          <cell r="O60">
            <v>26469555.25</v>
          </cell>
          <cell r="P60">
            <v>25000000</v>
          </cell>
          <cell r="Q60">
            <v>26000000</v>
          </cell>
          <cell r="R60">
            <v>21861270.449999999</v>
          </cell>
          <cell r="S60">
            <v>26000000</v>
          </cell>
          <cell r="T60">
            <v>26000000</v>
          </cell>
          <cell r="U60">
            <v>24200000</v>
          </cell>
        </row>
        <row r="61">
          <cell r="N61">
            <v>2612</v>
          </cell>
          <cell r="O61">
            <v>40805391.240000002</v>
          </cell>
          <cell r="P61">
            <v>35857862</v>
          </cell>
          <cell r="Q61">
            <v>35326000</v>
          </cell>
          <cell r="R61">
            <v>33036012.669999998</v>
          </cell>
          <cell r="S61">
            <v>36535200</v>
          </cell>
          <cell r="T61">
            <v>36535200</v>
          </cell>
          <cell r="U61">
            <v>35646878.129999995</v>
          </cell>
        </row>
        <row r="62">
          <cell r="N62">
            <v>2613</v>
          </cell>
          <cell r="O62">
            <v>61754.49</v>
          </cell>
          <cell r="P62">
            <v>160000</v>
          </cell>
          <cell r="Q62">
            <v>160000</v>
          </cell>
          <cell r="R62">
            <v>154068.33000000002</v>
          </cell>
          <cell r="S62">
            <v>340000</v>
          </cell>
          <cell r="T62">
            <v>340000</v>
          </cell>
          <cell r="U62">
            <v>380000</v>
          </cell>
        </row>
        <row r="63">
          <cell r="N63">
            <v>2614</v>
          </cell>
          <cell r="O63"/>
          <cell r="P63">
            <v>4800000</v>
          </cell>
          <cell r="Q63">
            <v>1274999.22</v>
          </cell>
          <cell r="R63">
            <v>848123.33</v>
          </cell>
          <cell r="S63">
            <v>1830000</v>
          </cell>
          <cell r="T63">
            <v>1830000</v>
          </cell>
          <cell r="U63">
            <v>2810000</v>
          </cell>
        </row>
        <row r="64">
          <cell r="N64">
            <v>2711</v>
          </cell>
          <cell r="O64">
            <v>12884260.120000001</v>
          </cell>
          <cell r="P64">
            <v>19495800</v>
          </cell>
          <cell r="Q64">
            <v>25039702.469999999</v>
          </cell>
          <cell r="R64">
            <v>21841907.049999997</v>
          </cell>
          <cell r="S64">
            <v>13969992.489999998</v>
          </cell>
          <cell r="T64">
            <v>13897585.15</v>
          </cell>
          <cell r="U64">
            <v>13681385.15</v>
          </cell>
        </row>
        <row r="65">
          <cell r="N65">
            <v>2721</v>
          </cell>
          <cell r="O65">
            <v>54918.959999999992</v>
          </cell>
          <cell r="P65">
            <v>1865000</v>
          </cell>
          <cell r="Q65">
            <v>358096.65</v>
          </cell>
          <cell r="R65">
            <v>40368.78</v>
          </cell>
          <cell r="S65">
            <v>1955000</v>
          </cell>
          <cell r="T65">
            <v>1971740.84</v>
          </cell>
          <cell r="U65">
            <v>1999610.84</v>
          </cell>
        </row>
        <row r="66">
          <cell r="N66">
            <v>2722</v>
          </cell>
          <cell r="O66">
            <v>41887.839999999997</v>
          </cell>
          <cell r="P66">
            <v>28000</v>
          </cell>
          <cell r="Q66">
            <v>515476.2</v>
          </cell>
          <cell r="R66">
            <v>266549.74</v>
          </cell>
          <cell r="S66">
            <v>280905.63</v>
          </cell>
          <cell r="T66">
            <v>280905.63</v>
          </cell>
          <cell r="U66">
            <v>280905.63</v>
          </cell>
        </row>
        <row r="67">
          <cell r="N67">
            <v>2731</v>
          </cell>
          <cell r="O67">
            <v>17632.72</v>
          </cell>
          <cell r="P67">
            <v>20000</v>
          </cell>
          <cell r="Q67">
            <v>35000</v>
          </cell>
          <cell r="R67">
            <v>34293.119999999995</v>
          </cell>
          <cell r="S67">
            <v>20000</v>
          </cell>
          <cell r="T67">
            <v>20000</v>
          </cell>
          <cell r="U67">
            <v>20000</v>
          </cell>
        </row>
        <row r="68">
          <cell r="N68">
            <v>2751</v>
          </cell>
          <cell r="O68">
            <v>462999.98</v>
          </cell>
          <cell r="P68">
            <v>600000</v>
          </cell>
          <cell r="Q68">
            <v>600000</v>
          </cell>
          <cell r="R68">
            <v>435000</v>
          </cell>
          <cell r="S68">
            <v>200000</v>
          </cell>
          <cell r="T68">
            <v>200000</v>
          </cell>
          <cell r="U68">
            <v>200000</v>
          </cell>
        </row>
        <row r="69">
          <cell r="N69">
            <v>2821</v>
          </cell>
          <cell r="O69">
            <v>347570.11</v>
          </cell>
          <cell r="P69">
            <v>0</v>
          </cell>
          <cell r="Q69">
            <v>859050</v>
          </cell>
          <cell r="R69">
            <v>859050</v>
          </cell>
          <cell r="S69"/>
          <cell r="T69">
            <v>0</v>
          </cell>
          <cell r="U69">
            <v>0</v>
          </cell>
        </row>
        <row r="70">
          <cell r="N70">
            <v>2831</v>
          </cell>
          <cell r="O70">
            <v>4779432</v>
          </cell>
          <cell r="P70">
            <v>5012000</v>
          </cell>
          <cell r="Q70">
            <v>0</v>
          </cell>
          <cell r="R70">
            <v>0</v>
          </cell>
          <cell r="S70"/>
          <cell r="T70">
            <v>0</v>
          </cell>
          <cell r="U70">
            <v>0</v>
          </cell>
        </row>
        <row r="71">
          <cell r="N71">
            <v>2911</v>
          </cell>
          <cell r="O71">
            <v>413097.0799999999</v>
          </cell>
          <cell r="P71">
            <v>490664</v>
          </cell>
          <cell r="Q71">
            <v>543201.25</v>
          </cell>
          <cell r="R71">
            <v>443033.69000000006</v>
          </cell>
          <cell r="S71">
            <v>519142.04</v>
          </cell>
          <cell r="T71">
            <v>519142.04</v>
          </cell>
          <cell r="U71">
            <v>522942.04</v>
          </cell>
        </row>
        <row r="72">
          <cell r="N72">
            <v>2921</v>
          </cell>
          <cell r="O72">
            <v>6250</v>
          </cell>
          <cell r="P72"/>
          <cell r="Q72"/>
          <cell r="R72"/>
          <cell r="S72"/>
          <cell r="T72">
            <v>0</v>
          </cell>
          <cell r="U72">
            <v>0</v>
          </cell>
        </row>
        <row r="73">
          <cell r="N73">
            <v>2932</v>
          </cell>
          <cell r="O73"/>
          <cell r="P73">
            <v>0</v>
          </cell>
          <cell r="Q73">
            <v>11000</v>
          </cell>
          <cell r="R73">
            <v>0</v>
          </cell>
          <cell r="S73"/>
          <cell r="T73">
            <v>9213.2999999999993</v>
          </cell>
          <cell r="U73">
            <v>9213.2999999999993</v>
          </cell>
        </row>
        <row r="74">
          <cell r="N74">
            <v>2941</v>
          </cell>
          <cell r="O74">
            <v>93475.17</v>
          </cell>
          <cell r="P74">
            <v>249500</v>
          </cell>
          <cell r="Q74">
            <v>1460234.56</v>
          </cell>
          <cell r="R74">
            <v>1274417.93</v>
          </cell>
          <cell r="S74">
            <v>156000</v>
          </cell>
          <cell r="T74">
            <v>156000</v>
          </cell>
          <cell r="U74">
            <v>156000</v>
          </cell>
        </row>
        <row r="75">
          <cell r="N75">
            <v>2951</v>
          </cell>
          <cell r="O75"/>
          <cell r="P75">
            <v>5000</v>
          </cell>
          <cell r="Q75">
            <v>5000</v>
          </cell>
          <cell r="R75">
            <v>0</v>
          </cell>
          <cell r="S75">
            <v>5000</v>
          </cell>
          <cell r="T75">
            <v>5000</v>
          </cell>
          <cell r="U75">
            <v>5000</v>
          </cell>
        </row>
        <row r="76">
          <cell r="N76">
            <v>2961</v>
          </cell>
          <cell r="O76">
            <v>12750.72</v>
          </cell>
          <cell r="P76">
            <v>15000</v>
          </cell>
          <cell r="Q76">
            <v>15000</v>
          </cell>
          <cell r="R76">
            <v>0</v>
          </cell>
          <cell r="S76"/>
          <cell r="T76">
            <v>0</v>
          </cell>
          <cell r="U76">
            <v>0</v>
          </cell>
        </row>
        <row r="77">
          <cell r="N77">
            <v>3111</v>
          </cell>
          <cell r="O77">
            <v>7024362</v>
          </cell>
          <cell r="P77">
            <v>8796500</v>
          </cell>
          <cell r="Q77">
            <v>9107961.0999999996</v>
          </cell>
          <cell r="R77">
            <v>7056578.4000000004</v>
          </cell>
          <cell r="S77">
            <v>10902000</v>
          </cell>
          <cell r="T77">
            <v>10902000</v>
          </cell>
          <cell r="U77">
            <v>10902000</v>
          </cell>
        </row>
        <row r="78">
          <cell r="N78">
            <v>3112</v>
          </cell>
          <cell r="O78">
            <v>98202395</v>
          </cell>
          <cell r="P78">
            <v>97000000</v>
          </cell>
          <cell r="Q78">
            <v>90000000</v>
          </cell>
          <cell r="R78">
            <v>86175623.559999987</v>
          </cell>
          <cell r="S78">
            <v>75000000</v>
          </cell>
          <cell r="T78">
            <v>75000000</v>
          </cell>
          <cell r="U78">
            <v>75000000</v>
          </cell>
        </row>
        <row r="79">
          <cell r="N79">
            <v>3121</v>
          </cell>
          <cell r="O79">
            <v>244202.92</v>
          </cell>
          <cell r="P79">
            <v>240800</v>
          </cell>
          <cell r="Q79">
            <v>240800</v>
          </cell>
          <cell r="R79">
            <v>211736.96000000002</v>
          </cell>
          <cell r="S79">
            <v>235800</v>
          </cell>
          <cell r="T79">
            <v>235800</v>
          </cell>
          <cell r="U79">
            <v>235800</v>
          </cell>
        </row>
        <row r="80">
          <cell r="N80">
            <v>3131</v>
          </cell>
          <cell r="O80">
            <v>1594246.2899999998</v>
          </cell>
          <cell r="P80">
            <v>2210550</v>
          </cell>
          <cell r="Q80">
            <v>2144050</v>
          </cell>
          <cell r="R80">
            <v>1937795.73</v>
          </cell>
          <cell r="S80">
            <v>2837500</v>
          </cell>
          <cell r="T80">
            <v>2837500</v>
          </cell>
          <cell r="U80">
            <v>3015500</v>
          </cell>
        </row>
        <row r="81">
          <cell r="N81">
            <v>3141</v>
          </cell>
          <cell r="O81">
            <v>3071137.2600000002</v>
          </cell>
          <cell r="P81">
            <v>3851700</v>
          </cell>
          <cell r="Q81">
            <v>3733700</v>
          </cell>
          <cell r="R81">
            <v>3011167.919999999</v>
          </cell>
          <cell r="S81">
            <v>3998900</v>
          </cell>
          <cell r="T81">
            <v>3998900</v>
          </cell>
          <cell r="U81">
            <v>3956900</v>
          </cell>
        </row>
        <row r="82">
          <cell r="N82">
            <v>3151</v>
          </cell>
          <cell r="O82">
            <v>352454.44000000012</v>
          </cell>
          <cell r="P82">
            <v>508007.01</v>
          </cell>
          <cell r="Q82">
            <v>605000</v>
          </cell>
          <cell r="R82">
            <v>558823.5</v>
          </cell>
          <cell r="S82">
            <v>1408124</v>
          </cell>
          <cell r="T82">
            <v>1408124</v>
          </cell>
          <cell r="U82">
            <v>1450124</v>
          </cell>
        </row>
        <row r="83">
          <cell r="N83">
            <v>3161</v>
          </cell>
          <cell r="O83">
            <v>1191318.98</v>
          </cell>
          <cell r="P83">
            <v>3065000</v>
          </cell>
          <cell r="Q83">
            <v>3065000</v>
          </cell>
          <cell r="R83">
            <v>1119982.5699999998</v>
          </cell>
          <cell r="S83">
            <v>1405267.52</v>
          </cell>
          <cell r="T83">
            <v>1405267.52</v>
          </cell>
          <cell r="U83">
            <v>1405267.52</v>
          </cell>
        </row>
        <row r="84">
          <cell r="N84">
            <v>3171</v>
          </cell>
          <cell r="O84"/>
          <cell r="P84"/>
          <cell r="Q84"/>
          <cell r="R84"/>
          <cell r="S84">
            <v>120000</v>
          </cell>
          <cell r="T84">
            <v>120000</v>
          </cell>
          <cell r="U84">
            <v>120000</v>
          </cell>
        </row>
        <row r="85">
          <cell r="N85">
            <v>3172</v>
          </cell>
          <cell r="O85">
            <v>30612.95</v>
          </cell>
          <cell r="P85">
            <v>155000</v>
          </cell>
          <cell r="Q85">
            <v>949846.91999999993</v>
          </cell>
          <cell r="R85">
            <v>931941.23</v>
          </cell>
          <cell r="S85">
            <v>250000</v>
          </cell>
          <cell r="T85">
            <v>250000</v>
          </cell>
          <cell r="U85">
            <v>750000</v>
          </cell>
        </row>
        <row r="86">
          <cell r="N86">
            <v>3173</v>
          </cell>
          <cell r="O86">
            <v>124534.87</v>
          </cell>
          <cell r="P86">
            <v>1410000</v>
          </cell>
          <cell r="Q86">
            <v>541462</v>
          </cell>
          <cell r="R86">
            <v>433370.22</v>
          </cell>
          <cell r="S86">
            <v>860000</v>
          </cell>
          <cell r="T86">
            <v>860000</v>
          </cell>
          <cell r="U86">
            <v>860000</v>
          </cell>
        </row>
        <row r="87">
          <cell r="N87">
            <v>3181</v>
          </cell>
          <cell r="O87">
            <v>733313.98</v>
          </cell>
          <cell r="P87">
            <v>1407450</v>
          </cell>
          <cell r="Q87">
            <v>1260629.97</v>
          </cell>
          <cell r="R87">
            <v>570940.84000000008</v>
          </cell>
          <cell r="S87">
            <v>1292000</v>
          </cell>
          <cell r="T87">
            <v>1671041.59</v>
          </cell>
          <cell r="U87">
            <v>1671041.59</v>
          </cell>
        </row>
        <row r="88">
          <cell r="N88">
            <v>3191</v>
          </cell>
          <cell r="O88"/>
          <cell r="P88">
            <v>0</v>
          </cell>
          <cell r="Q88"/>
          <cell r="R88">
            <v>0</v>
          </cell>
          <cell r="S88"/>
          <cell r="T88">
            <v>0</v>
          </cell>
          <cell r="U88">
            <v>0</v>
          </cell>
        </row>
        <row r="89">
          <cell r="N89">
            <v>3192</v>
          </cell>
          <cell r="O89"/>
          <cell r="P89">
            <v>0</v>
          </cell>
          <cell r="Q89">
            <v>3820.84</v>
          </cell>
          <cell r="R89">
            <v>0</v>
          </cell>
          <cell r="S89">
            <v>83820.84</v>
          </cell>
          <cell r="T89">
            <v>83820.84</v>
          </cell>
          <cell r="U89">
            <v>100020.84</v>
          </cell>
        </row>
        <row r="90">
          <cell r="N90">
            <v>3221</v>
          </cell>
          <cell r="O90">
            <v>5985878.4199999999</v>
          </cell>
          <cell r="P90">
            <v>6165766.8199999994</v>
          </cell>
          <cell r="Q90">
            <v>6121173.71</v>
          </cell>
          <cell r="R90">
            <v>6104297.3799999999</v>
          </cell>
          <cell r="S90">
            <v>6051846.7000000002</v>
          </cell>
          <cell r="T90">
            <v>6051846.7000000002</v>
          </cell>
          <cell r="U90">
            <v>5891707.2199999997</v>
          </cell>
        </row>
        <row r="91">
          <cell r="N91">
            <v>3231</v>
          </cell>
          <cell r="O91">
            <v>1854013.3800000001</v>
          </cell>
          <cell r="P91">
            <v>2250000</v>
          </cell>
          <cell r="Q91">
            <v>2250000</v>
          </cell>
          <cell r="R91">
            <v>1617235.8599999999</v>
          </cell>
          <cell r="S91">
            <v>2300000</v>
          </cell>
          <cell r="T91">
            <v>2300000</v>
          </cell>
          <cell r="U91">
            <v>2526105</v>
          </cell>
        </row>
        <row r="92">
          <cell r="N92">
            <v>3233</v>
          </cell>
          <cell r="O92"/>
          <cell r="P92">
            <v>600000</v>
          </cell>
          <cell r="Q92">
            <v>14500</v>
          </cell>
          <cell r="R92">
            <v>14500</v>
          </cell>
          <cell r="S92"/>
          <cell r="T92">
            <v>0</v>
          </cell>
          <cell r="U92">
            <v>0</v>
          </cell>
        </row>
        <row r="93">
          <cell r="N93">
            <v>3251</v>
          </cell>
          <cell r="O93">
            <v>2047.21</v>
          </cell>
          <cell r="P93"/>
          <cell r="Q93"/>
          <cell r="R93"/>
          <cell r="S93"/>
          <cell r="T93">
            <v>0</v>
          </cell>
          <cell r="U93">
            <v>0</v>
          </cell>
        </row>
        <row r="94">
          <cell r="N94">
            <v>3261</v>
          </cell>
          <cell r="O94">
            <v>4693824</v>
          </cell>
          <cell r="P94">
            <v>4814832</v>
          </cell>
          <cell r="Q94">
            <v>4717682</v>
          </cell>
          <cell r="R94">
            <v>4099654.6</v>
          </cell>
          <cell r="S94">
            <v>4749436.8</v>
          </cell>
          <cell r="T94">
            <v>4749436.8</v>
          </cell>
          <cell r="U94">
            <v>4749436.8</v>
          </cell>
        </row>
        <row r="95">
          <cell r="N95">
            <v>3271</v>
          </cell>
          <cell r="O95"/>
          <cell r="P95">
            <v>1100000</v>
          </cell>
          <cell r="Q95">
            <v>160800</v>
          </cell>
          <cell r="R95">
            <v>220696.96000000002</v>
          </cell>
          <cell r="S95"/>
          <cell r="T95">
            <v>0</v>
          </cell>
          <cell r="U95">
            <v>0</v>
          </cell>
        </row>
        <row r="96">
          <cell r="N96">
            <v>3311</v>
          </cell>
          <cell r="O96">
            <v>498552.54</v>
          </cell>
          <cell r="P96">
            <v>1490000</v>
          </cell>
          <cell r="Q96">
            <v>866100</v>
          </cell>
          <cell r="R96">
            <v>609173.72</v>
          </cell>
          <cell r="S96">
            <v>840000</v>
          </cell>
          <cell r="T96">
            <v>840000</v>
          </cell>
          <cell r="U96">
            <v>840000</v>
          </cell>
        </row>
        <row r="97">
          <cell r="N97">
            <v>3314</v>
          </cell>
          <cell r="O97"/>
          <cell r="P97">
            <v>100000</v>
          </cell>
          <cell r="Q97">
            <v>100000</v>
          </cell>
          <cell r="R97">
            <v>0</v>
          </cell>
          <cell r="S97">
            <v>100000</v>
          </cell>
          <cell r="T97">
            <v>100000</v>
          </cell>
          <cell r="U97">
            <v>100000</v>
          </cell>
        </row>
        <row r="98">
          <cell r="N98">
            <v>3321</v>
          </cell>
          <cell r="O98">
            <v>10134781.610000001</v>
          </cell>
          <cell r="P98">
            <v>15042131.98</v>
          </cell>
          <cell r="Q98">
            <v>32446492.560000002</v>
          </cell>
          <cell r="R98">
            <v>20164043.049999997</v>
          </cell>
          <cell r="S98">
            <v>13829687.609999999</v>
          </cell>
          <cell r="T98">
            <v>24387521.460000001</v>
          </cell>
          <cell r="U98">
            <v>25743723.460000001</v>
          </cell>
        </row>
        <row r="99">
          <cell r="N99">
            <v>3331</v>
          </cell>
          <cell r="O99">
            <v>1481183.84</v>
          </cell>
          <cell r="P99">
            <v>1861420</v>
          </cell>
          <cell r="Q99">
            <v>4325710.3</v>
          </cell>
          <cell r="R99">
            <v>2490458.27</v>
          </cell>
          <cell r="S99">
            <v>2352785.35</v>
          </cell>
          <cell r="T99">
            <v>2652785.35</v>
          </cell>
          <cell r="U99">
            <v>2637785.35</v>
          </cell>
        </row>
        <row r="100">
          <cell r="N100">
            <v>3332</v>
          </cell>
          <cell r="O100">
            <v>964993.21000000008</v>
          </cell>
          <cell r="P100">
            <v>1232000</v>
          </cell>
          <cell r="Q100">
            <v>4360211.71</v>
          </cell>
          <cell r="R100">
            <v>1702495.78</v>
          </cell>
          <cell r="S100">
            <v>4801936.2</v>
          </cell>
          <cell r="T100">
            <v>4801936.2</v>
          </cell>
          <cell r="U100">
            <v>4801936.2</v>
          </cell>
        </row>
        <row r="101">
          <cell r="N101">
            <v>3341</v>
          </cell>
          <cell r="O101">
            <v>4307930.7</v>
          </cell>
          <cell r="P101">
            <v>3869700</v>
          </cell>
          <cell r="Q101">
            <v>5736360.4500000002</v>
          </cell>
          <cell r="R101">
            <v>4670330.24</v>
          </cell>
          <cell r="S101">
            <v>2053200</v>
          </cell>
          <cell r="T101">
            <v>2053200</v>
          </cell>
          <cell r="U101">
            <v>2053200</v>
          </cell>
        </row>
        <row r="102">
          <cell r="N102">
            <v>3352</v>
          </cell>
          <cell r="O102"/>
          <cell r="P102">
            <v>0</v>
          </cell>
          <cell r="Q102">
            <v>25000.32</v>
          </cell>
          <cell r="R102">
            <v>25000</v>
          </cell>
          <cell r="S102"/>
          <cell r="T102">
            <v>0</v>
          </cell>
          <cell r="U102">
            <v>0</v>
          </cell>
        </row>
        <row r="103">
          <cell r="N103">
            <v>3361</v>
          </cell>
          <cell r="O103">
            <v>816839.5</v>
          </cell>
          <cell r="P103">
            <v>1231280</v>
          </cell>
          <cell r="Q103">
            <v>1522861.04</v>
          </cell>
          <cell r="R103">
            <v>970899.04</v>
          </cell>
          <cell r="S103">
            <v>1489412.96</v>
          </cell>
          <cell r="T103">
            <v>1519572.96</v>
          </cell>
          <cell r="U103">
            <v>1562572.96</v>
          </cell>
        </row>
        <row r="104">
          <cell r="N104">
            <v>3381</v>
          </cell>
          <cell r="O104">
            <v>236421.53</v>
          </cell>
          <cell r="P104">
            <v>1065000</v>
          </cell>
          <cell r="Q104">
            <v>160245</v>
          </cell>
          <cell r="R104">
            <v>39269.599999999999</v>
          </cell>
          <cell r="S104">
            <v>14000</v>
          </cell>
          <cell r="T104">
            <v>14000</v>
          </cell>
          <cell r="U104">
            <v>254000</v>
          </cell>
        </row>
        <row r="105">
          <cell r="N105">
            <v>3391</v>
          </cell>
          <cell r="O105">
            <v>7458999.0500000007</v>
          </cell>
          <cell r="P105">
            <v>9016652.4800000004</v>
          </cell>
          <cell r="Q105">
            <v>5941540.1100000003</v>
          </cell>
          <cell r="R105">
            <v>3976793.87</v>
          </cell>
          <cell r="S105">
            <v>9088767.2399999984</v>
          </cell>
          <cell r="T105">
            <v>9586766.7299999986</v>
          </cell>
          <cell r="U105">
            <v>9378767.2399999984</v>
          </cell>
        </row>
        <row r="106">
          <cell r="N106">
            <v>3411</v>
          </cell>
          <cell r="O106">
            <v>1316690.9600000002</v>
          </cell>
          <cell r="P106">
            <v>1800000</v>
          </cell>
          <cell r="Q106">
            <v>1700000</v>
          </cell>
          <cell r="R106">
            <v>1470857.2799999998</v>
          </cell>
          <cell r="S106">
            <v>1850562</v>
          </cell>
          <cell r="T106">
            <v>1850562</v>
          </cell>
          <cell r="U106">
            <v>1850562</v>
          </cell>
        </row>
        <row r="107">
          <cell r="N107">
            <v>3421</v>
          </cell>
          <cell r="O107">
            <v>7397835.3200000003</v>
          </cell>
          <cell r="P107">
            <v>7360000</v>
          </cell>
          <cell r="Q107">
            <v>6433000</v>
          </cell>
          <cell r="R107">
            <v>8358238.0199999996</v>
          </cell>
          <cell r="S107">
            <v>6650000</v>
          </cell>
          <cell r="T107">
            <v>6650000</v>
          </cell>
          <cell r="U107">
            <v>6850000</v>
          </cell>
        </row>
        <row r="108">
          <cell r="N108">
            <v>3431</v>
          </cell>
          <cell r="O108">
            <v>364578.28</v>
          </cell>
          <cell r="P108">
            <v>450000</v>
          </cell>
          <cell r="Q108">
            <v>420000</v>
          </cell>
          <cell r="R108">
            <v>150309.21</v>
          </cell>
          <cell r="S108">
            <v>320000</v>
          </cell>
          <cell r="T108">
            <v>320000</v>
          </cell>
          <cell r="U108">
            <v>320000</v>
          </cell>
        </row>
        <row r="109">
          <cell r="N109">
            <v>3441</v>
          </cell>
          <cell r="O109">
            <v>659464.68999999994</v>
          </cell>
          <cell r="P109">
            <v>850000</v>
          </cell>
          <cell r="Q109">
            <v>1350000</v>
          </cell>
          <cell r="R109">
            <v>1070056.22</v>
          </cell>
          <cell r="S109">
            <v>1458000</v>
          </cell>
          <cell r="T109">
            <v>1458000</v>
          </cell>
          <cell r="U109">
            <v>1458000</v>
          </cell>
        </row>
        <row r="110">
          <cell r="N110">
            <v>3451</v>
          </cell>
          <cell r="O110">
            <v>5906310.54</v>
          </cell>
          <cell r="P110">
            <v>6500000</v>
          </cell>
          <cell r="Q110">
            <v>11199905.92</v>
          </cell>
          <cell r="R110">
            <v>11188947.07</v>
          </cell>
          <cell r="S110">
            <v>11399887</v>
          </cell>
          <cell r="T110">
            <v>11399887</v>
          </cell>
          <cell r="U110">
            <v>11399887</v>
          </cell>
        </row>
        <row r="111">
          <cell r="N111">
            <v>3461</v>
          </cell>
          <cell r="O111">
            <v>134560</v>
          </cell>
          <cell r="P111">
            <v>201672</v>
          </cell>
          <cell r="Q111">
            <v>151672</v>
          </cell>
          <cell r="R111">
            <v>134096</v>
          </cell>
          <cell r="S111">
            <v>155000</v>
          </cell>
          <cell r="T111">
            <v>155000</v>
          </cell>
          <cell r="U111">
            <v>155000</v>
          </cell>
        </row>
        <row r="112">
          <cell r="N112">
            <v>3471</v>
          </cell>
          <cell r="O112">
            <v>114157.92</v>
          </cell>
          <cell r="P112">
            <v>35000</v>
          </cell>
          <cell r="Q112">
            <v>136471.12</v>
          </cell>
          <cell r="R112">
            <v>123365.3</v>
          </cell>
          <cell r="S112">
            <v>50000</v>
          </cell>
          <cell r="T112">
            <v>50000</v>
          </cell>
          <cell r="U112">
            <v>50000</v>
          </cell>
        </row>
        <row r="113">
          <cell r="N113">
            <v>3511</v>
          </cell>
          <cell r="O113">
            <v>2529211.8000000003</v>
          </cell>
          <cell r="P113">
            <v>11781140</v>
          </cell>
          <cell r="Q113">
            <v>5646096.21</v>
          </cell>
          <cell r="R113">
            <v>2873097.03</v>
          </cell>
          <cell r="S113">
            <v>10554339.92</v>
          </cell>
          <cell r="T113">
            <v>10828005.33</v>
          </cell>
          <cell r="U113">
            <v>11338005.33</v>
          </cell>
        </row>
        <row r="114">
          <cell r="N114">
            <v>3512</v>
          </cell>
          <cell r="O114">
            <v>166112</v>
          </cell>
          <cell r="P114"/>
          <cell r="Q114"/>
          <cell r="R114"/>
          <cell r="S114"/>
          <cell r="T114">
            <v>0</v>
          </cell>
          <cell r="U114">
            <v>0</v>
          </cell>
        </row>
        <row r="115">
          <cell r="N115">
            <v>3513</v>
          </cell>
          <cell r="O115"/>
          <cell r="P115">
            <v>1000000</v>
          </cell>
          <cell r="Q115">
            <v>1233170.24</v>
          </cell>
          <cell r="R115">
            <v>1203695.73</v>
          </cell>
          <cell r="S115">
            <v>1200000</v>
          </cell>
          <cell r="T115">
            <v>1200000</v>
          </cell>
          <cell r="U115">
            <v>1200000</v>
          </cell>
        </row>
        <row r="116">
          <cell r="N116">
            <v>3521</v>
          </cell>
          <cell r="O116">
            <v>75133.820000000007</v>
          </cell>
          <cell r="P116">
            <v>481311.3</v>
          </cell>
          <cell r="Q116">
            <v>488711.3</v>
          </cell>
          <cell r="R116">
            <v>457987.3</v>
          </cell>
          <cell r="S116">
            <v>45000</v>
          </cell>
          <cell r="T116">
            <v>45000</v>
          </cell>
          <cell r="U116">
            <v>45000</v>
          </cell>
        </row>
        <row r="117">
          <cell r="N117">
            <v>3522</v>
          </cell>
          <cell r="O117">
            <v>200000</v>
          </cell>
          <cell r="P117"/>
          <cell r="Q117"/>
          <cell r="R117"/>
          <cell r="S117"/>
          <cell r="T117">
            <v>0</v>
          </cell>
          <cell r="U117">
            <v>0</v>
          </cell>
        </row>
        <row r="118">
          <cell r="N118">
            <v>3531</v>
          </cell>
          <cell r="O118">
            <v>618553.68000000005</v>
          </cell>
          <cell r="P118">
            <v>835000</v>
          </cell>
          <cell r="Q118">
            <v>320317.78000000003</v>
          </cell>
          <cell r="R118">
            <v>52701.919999999998</v>
          </cell>
          <cell r="S118">
            <v>115000</v>
          </cell>
          <cell r="T118">
            <v>127323.45999999999</v>
          </cell>
          <cell r="U118">
            <v>131499.46</v>
          </cell>
        </row>
        <row r="119">
          <cell r="N119">
            <v>3551</v>
          </cell>
          <cell r="O119">
            <v>29510917.509999994</v>
          </cell>
          <cell r="P119">
            <v>33508600</v>
          </cell>
          <cell r="Q119">
            <v>35605597.899999999</v>
          </cell>
          <cell r="R119">
            <v>36581064.630000003</v>
          </cell>
          <cell r="S119">
            <v>36946000</v>
          </cell>
          <cell r="T119">
            <v>39515850</v>
          </cell>
          <cell r="U119">
            <v>39790129.68</v>
          </cell>
        </row>
        <row r="120">
          <cell r="N120">
            <v>3561</v>
          </cell>
          <cell r="O120">
            <v>709200.8</v>
          </cell>
          <cell r="P120">
            <v>750000</v>
          </cell>
          <cell r="Q120">
            <v>150000</v>
          </cell>
          <cell r="R120">
            <v>0</v>
          </cell>
          <cell r="S120">
            <v>50000</v>
          </cell>
          <cell r="T120">
            <v>50000</v>
          </cell>
          <cell r="U120">
            <v>50000</v>
          </cell>
        </row>
        <row r="121">
          <cell r="N121">
            <v>3571</v>
          </cell>
          <cell r="O121">
            <v>2855621.17</v>
          </cell>
          <cell r="P121">
            <v>5410200</v>
          </cell>
          <cell r="Q121">
            <v>2412643.08</v>
          </cell>
          <cell r="R121">
            <v>1192213.8000000003</v>
          </cell>
          <cell r="S121">
            <v>2329450</v>
          </cell>
          <cell r="T121">
            <v>2480221.4</v>
          </cell>
          <cell r="U121">
            <v>2476921.4</v>
          </cell>
        </row>
        <row r="122">
          <cell r="N122">
            <v>3581</v>
          </cell>
          <cell r="O122">
            <v>4209760.82</v>
          </cell>
          <cell r="P122">
            <v>3710400</v>
          </cell>
          <cell r="Q122">
            <v>3191340.4400000004</v>
          </cell>
          <cell r="R122">
            <v>3183339.7800000003</v>
          </cell>
          <cell r="S122">
            <v>3364825.7199999997</v>
          </cell>
          <cell r="T122">
            <v>3364825.7199999997</v>
          </cell>
          <cell r="U122">
            <v>1628408.21</v>
          </cell>
        </row>
        <row r="123">
          <cell r="N123">
            <v>3591</v>
          </cell>
          <cell r="O123">
            <v>8305.6</v>
          </cell>
          <cell r="P123">
            <v>27520</v>
          </cell>
          <cell r="Q123">
            <v>104200</v>
          </cell>
          <cell r="R123">
            <v>71626.64</v>
          </cell>
          <cell r="S123">
            <v>58560</v>
          </cell>
          <cell r="T123">
            <v>58560</v>
          </cell>
          <cell r="U123">
            <v>58560</v>
          </cell>
        </row>
        <row r="124">
          <cell r="N124">
            <v>3611</v>
          </cell>
          <cell r="O124">
            <v>7174674.2499999991</v>
          </cell>
          <cell r="P124">
            <v>10552545</v>
          </cell>
          <cell r="Q124">
            <v>10361166.09</v>
          </cell>
          <cell r="R124">
            <v>8844313.0399999991</v>
          </cell>
          <cell r="S124">
            <v>7429368.4900000002</v>
          </cell>
          <cell r="T124">
            <v>7435774.5300000003</v>
          </cell>
          <cell r="U124">
            <v>6585872.1299999999</v>
          </cell>
        </row>
        <row r="125">
          <cell r="N125">
            <v>3612</v>
          </cell>
          <cell r="O125">
            <v>359456.97000000003</v>
          </cell>
          <cell r="P125">
            <v>595000</v>
          </cell>
          <cell r="Q125">
            <v>495000</v>
          </cell>
          <cell r="R125">
            <v>402130.43000000005</v>
          </cell>
          <cell r="S125">
            <v>435000</v>
          </cell>
          <cell r="T125">
            <v>435000</v>
          </cell>
          <cell r="U125">
            <v>435000</v>
          </cell>
        </row>
        <row r="126">
          <cell r="N126">
            <v>3631</v>
          </cell>
          <cell r="O126">
            <v>141520</v>
          </cell>
          <cell r="P126">
            <v>324000</v>
          </cell>
          <cell r="Q126"/>
          <cell r="R126">
            <v>0</v>
          </cell>
          <cell r="S126">
            <v>100000</v>
          </cell>
          <cell r="T126">
            <v>100000</v>
          </cell>
          <cell r="U126">
            <v>100000</v>
          </cell>
        </row>
        <row r="127">
          <cell r="N127">
            <v>3661</v>
          </cell>
          <cell r="O127">
            <v>1030618.08</v>
          </cell>
          <cell r="P127">
            <v>1570000</v>
          </cell>
          <cell r="Q127">
            <v>1599000</v>
          </cell>
          <cell r="R127">
            <v>1518553.73</v>
          </cell>
          <cell r="S127">
            <v>1529000</v>
          </cell>
          <cell r="T127">
            <v>1529000</v>
          </cell>
          <cell r="U127">
            <v>2402326.4</v>
          </cell>
        </row>
        <row r="128">
          <cell r="N128">
            <v>3691</v>
          </cell>
          <cell r="O128">
            <v>157112</v>
          </cell>
          <cell r="P128">
            <v>145000</v>
          </cell>
          <cell r="Q128">
            <v>60000</v>
          </cell>
          <cell r="R128">
            <v>31219</v>
          </cell>
          <cell r="S128">
            <v>35000</v>
          </cell>
          <cell r="T128">
            <v>35000</v>
          </cell>
          <cell r="U128">
            <v>42576</v>
          </cell>
        </row>
        <row r="129">
          <cell r="N129">
            <v>3711</v>
          </cell>
          <cell r="O129">
            <v>5622.39</v>
          </cell>
          <cell r="P129">
            <v>30000</v>
          </cell>
          <cell r="Q129">
            <v>30000</v>
          </cell>
          <cell r="R129">
            <v>0</v>
          </cell>
          <cell r="S129">
            <v>30000</v>
          </cell>
          <cell r="T129">
            <v>30000</v>
          </cell>
          <cell r="U129">
            <v>30000</v>
          </cell>
        </row>
        <row r="130">
          <cell r="N130">
            <v>3712</v>
          </cell>
          <cell r="O130">
            <v>114252.20000000001</v>
          </cell>
          <cell r="P130">
            <v>190000</v>
          </cell>
          <cell r="Q130">
            <v>46721</v>
          </cell>
          <cell r="R130">
            <v>36720.99</v>
          </cell>
          <cell r="S130">
            <v>40000</v>
          </cell>
          <cell r="T130">
            <v>40000</v>
          </cell>
          <cell r="U130">
            <v>40000</v>
          </cell>
        </row>
        <row r="131">
          <cell r="N131">
            <v>3721</v>
          </cell>
          <cell r="O131">
            <v>5442.87</v>
          </cell>
          <cell r="P131">
            <v>36000</v>
          </cell>
          <cell r="Q131">
            <v>39000</v>
          </cell>
          <cell r="R131">
            <v>4679.95</v>
          </cell>
          <cell r="S131">
            <v>18000</v>
          </cell>
          <cell r="T131">
            <v>18000</v>
          </cell>
          <cell r="U131">
            <v>18000</v>
          </cell>
        </row>
        <row r="132">
          <cell r="N132">
            <v>3751</v>
          </cell>
          <cell r="O132">
            <v>139276.93000000002</v>
          </cell>
          <cell r="P132">
            <v>458000</v>
          </cell>
          <cell r="Q132">
            <v>422989.59</v>
          </cell>
          <cell r="R132">
            <v>97818.530000000013</v>
          </cell>
          <cell r="S132">
            <v>478500</v>
          </cell>
          <cell r="T132">
            <v>478500</v>
          </cell>
          <cell r="U132">
            <v>471500</v>
          </cell>
        </row>
        <row r="133">
          <cell r="N133">
            <v>3761</v>
          </cell>
          <cell r="O133">
            <v>161012.07</v>
          </cell>
          <cell r="P133">
            <v>265000</v>
          </cell>
          <cell r="Q133">
            <v>71804.320000000007</v>
          </cell>
          <cell r="R133">
            <v>71804.320000000007</v>
          </cell>
          <cell r="S133">
            <v>10000</v>
          </cell>
          <cell r="T133">
            <v>10000</v>
          </cell>
          <cell r="U133">
            <v>10000</v>
          </cell>
        </row>
        <row r="134">
          <cell r="N134">
            <v>3791</v>
          </cell>
          <cell r="O134">
            <v>157881.87</v>
          </cell>
          <cell r="P134">
            <v>311900</v>
          </cell>
          <cell r="Q134">
            <v>339096</v>
          </cell>
          <cell r="R134">
            <v>157610.23000000001</v>
          </cell>
          <cell r="S134">
            <v>335500</v>
          </cell>
          <cell r="T134">
            <v>335500</v>
          </cell>
          <cell r="U134">
            <v>335500</v>
          </cell>
        </row>
        <row r="135">
          <cell r="N135">
            <v>3821</v>
          </cell>
          <cell r="O135">
            <v>12085132.16</v>
          </cell>
          <cell r="P135">
            <v>12990000</v>
          </cell>
          <cell r="Q135">
            <v>8572748</v>
          </cell>
          <cell r="R135">
            <v>4502455.5599999996</v>
          </cell>
          <cell r="S135">
            <v>6641040</v>
          </cell>
          <cell r="T135">
            <v>6646838</v>
          </cell>
          <cell r="U135">
            <v>6555838</v>
          </cell>
        </row>
        <row r="136">
          <cell r="N136">
            <v>3831</v>
          </cell>
          <cell r="O136">
            <v>55449.120000000003</v>
          </cell>
          <cell r="P136">
            <v>770000</v>
          </cell>
          <cell r="Q136">
            <v>127800.56</v>
          </cell>
          <cell r="R136">
            <v>3150</v>
          </cell>
          <cell r="S136">
            <v>625000</v>
          </cell>
          <cell r="T136">
            <v>625000</v>
          </cell>
          <cell r="U136">
            <v>625000</v>
          </cell>
        </row>
        <row r="137">
          <cell r="N137">
            <v>3841</v>
          </cell>
          <cell r="O137">
            <v>179494.46</v>
          </cell>
          <cell r="P137"/>
          <cell r="Q137"/>
          <cell r="R137"/>
          <cell r="S137"/>
          <cell r="T137">
            <v>0</v>
          </cell>
          <cell r="U137">
            <v>0</v>
          </cell>
        </row>
        <row r="138">
          <cell r="N138">
            <v>3852</v>
          </cell>
          <cell r="O138">
            <v>1188788.6400000004</v>
          </cell>
          <cell r="P138">
            <v>7230000</v>
          </cell>
          <cell r="Q138">
            <v>1634100</v>
          </cell>
          <cell r="R138">
            <v>1091978.1099999999</v>
          </cell>
          <cell r="S138">
            <v>2970996</v>
          </cell>
          <cell r="T138">
            <v>2970996</v>
          </cell>
          <cell r="U138">
            <v>2970996</v>
          </cell>
        </row>
        <row r="139">
          <cell r="N139">
            <v>3854</v>
          </cell>
          <cell r="O139">
            <v>1561083.21</v>
          </cell>
          <cell r="P139">
            <v>3200000</v>
          </cell>
          <cell r="Q139">
            <v>4849897.01</v>
          </cell>
          <cell r="R139">
            <v>3635411.59</v>
          </cell>
          <cell r="S139">
            <v>1000000</v>
          </cell>
          <cell r="T139">
            <v>1000000</v>
          </cell>
          <cell r="U139">
            <v>1000000</v>
          </cell>
        </row>
        <row r="140">
          <cell r="N140">
            <v>3921</v>
          </cell>
          <cell r="O140">
            <v>3252623.8499999987</v>
          </cell>
          <cell r="P140">
            <v>3497720</v>
          </cell>
          <cell r="Q140">
            <v>3374498</v>
          </cell>
          <cell r="R140">
            <v>3131981.600000001</v>
          </cell>
          <cell r="S140">
            <v>3624764.2</v>
          </cell>
          <cell r="T140">
            <v>3624764.2</v>
          </cell>
          <cell r="U140">
            <v>3624764.2</v>
          </cell>
        </row>
        <row r="141">
          <cell r="N141">
            <v>3941</v>
          </cell>
          <cell r="O141">
            <v>313494</v>
          </cell>
          <cell r="P141">
            <v>550000</v>
          </cell>
          <cell r="Q141">
            <v>550000</v>
          </cell>
          <cell r="R141">
            <v>0</v>
          </cell>
          <cell r="S141">
            <v>550000</v>
          </cell>
          <cell r="T141">
            <v>550000</v>
          </cell>
          <cell r="U141">
            <v>550000</v>
          </cell>
        </row>
        <row r="142">
          <cell r="N142">
            <v>3951</v>
          </cell>
          <cell r="O142">
            <v>105745.79999999999</v>
          </cell>
          <cell r="P142">
            <v>320000</v>
          </cell>
          <cell r="Q142">
            <v>320000</v>
          </cell>
          <cell r="R142">
            <v>75286.89</v>
          </cell>
          <cell r="S142">
            <v>420000</v>
          </cell>
          <cell r="T142">
            <v>420000</v>
          </cell>
          <cell r="U142">
            <v>420000</v>
          </cell>
        </row>
        <row r="143">
          <cell r="N143">
            <v>3961</v>
          </cell>
          <cell r="O143">
            <v>5093176.49</v>
          </cell>
          <cell r="P143">
            <v>4617870.66</v>
          </cell>
          <cell r="Q143">
            <v>6527144.0800000001</v>
          </cell>
          <cell r="R143">
            <v>4410262.66</v>
          </cell>
          <cell r="S143">
            <v>9091000</v>
          </cell>
          <cell r="T143">
            <v>9091000</v>
          </cell>
          <cell r="U143">
            <v>13163631.24</v>
          </cell>
        </row>
        <row r="144">
          <cell r="N144">
            <v>3981</v>
          </cell>
          <cell r="O144">
            <v>9507520</v>
          </cell>
          <cell r="P144">
            <v>10867858</v>
          </cell>
          <cell r="Q144">
            <v>10867858</v>
          </cell>
          <cell r="R144">
            <v>11407338</v>
          </cell>
          <cell r="S144">
            <v>11954643.800000001</v>
          </cell>
          <cell r="T144">
            <v>11954643.800000001</v>
          </cell>
          <cell r="U144">
            <v>11954643.800000001</v>
          </cell>
        </row>
        <row r="145">
          <cell r="N145">
            <v>4151</v>
          </cell>
          <cell r="O145">
            <v>97094801.459999993</v>
          </cell>
          <cell r="P145">
            <v>122588840.12</v>
          </cell>
          <cell r="Q145">
            <v>118209633.27</v>
          </cell>
          <cell r="R145">
            <v>114526076.3</v>
          </cell>
          <cell r="S145">
            <v>121093209.65000001</v>
          </cell>
          <cell r="T145">
            <v>121093209.65000001</v>
          </cell>
          <cell r="U145">
            <v>121093209.65000001</v>
          </cell>
        </row>
        <row r="146">
          <cell r="N146">
            <v>4152</v>
          </cell>
          <cell r="O146">
            <v>3141355.7</v>
          </cell>
          <cell r="P146">
            <v>100000</v>
          </cell>
          <cell r="Q146">
            <v>469458</v>
          </cell>
          <cell r="R146">
            <v>99278.52</v>
          </cell>
          <cell r="S146"/>
          <cell r="T146">
            <v>0</v>
          </cell>
          <cell r="U146">
            <v>0</v>
          </cell>
        </row>
        <row r="147">
          <cell r="N147">
            <v>4153</v>
          </cell>
          <cell r="O147">
            <v>18077059.84</v>
          </cell>
          <cell r="P147">
            <v>5991077</v>
          </cell>
          <cell r="Q147">
            <v>15781238.57</v>
          </cell>
          <cell r="R147">
            <v>14941645.52</v>
          </cell>
          <cell r="S147">
            <v>5780000</v>
          </cell>
          <cell r="T147">
            <v>10780000</v>
          </cell>
          <cell r="U147">
            <v>11895000</v>
          </cell>
        </row>
        <row r="148">
          <cell r="N148">
            <v>4154</v>
          </cell>
          <cell r="O148">
            <v>3181095.28</v>
          </cell>
          <cell r="P148">
            <v>1000000</v>
          </cell>
          <cell r="Q148">
            <v>4500000</v>
          </cell>
          <cell r="R148">
            <v>4590500</v>
          </cell>
          <cell r="S148">
            <v>1000000</v>
          </cell>
          <cell r="T148">
            <v>1000000</v>
          </cell>
          <cell r="U148">
            <v>1000000</v>
          </cell>
        </row>
        <row r="149">
          <cell r="N149">
            <v>4155</v>
          </cell>
          <cell r="O149">
            <v>286655.57999999996</v>
          </cell>
          <cell r="P149">
            <v>80000</v>
          </cell>
          <cell r="Q149">
            <v>168199</v>
          </cell>
          <cell r="R149">
            <v>280000</v>
          </cell>
          <cell r="S149">
            <v>100000</v>
          </cell>
          <cell r="T149">
            <v>100000</v>
          </cell>
          <cell r="U149">
            <v>712000</v>
          </cell>
        </row>
        <row r="150">
          <cell r="N150">
            <v>4156</v>
          </cell>
          <cell r="O150">
            <v>20904955.439999998</v>
          </cell>
          <cell r="P150">
            <v>465868.93</v>
          </cell>
          <cell r="Q150">
            <v>15101189.060000001</v>
          </cell>
          <cell r="R150">
            <v>3977500</v>
          </cell>
          <cell r="S150">
            <v>9455135.6500000004</v>
          </cell>
          <cell r="T150">
            <v>4894348.38</v>
          </cell>
          <cell r="U150">
            <v>13086194.75</v>
          </cell>
        </row>
        <row r="151">
          <cell r="N151">
            <v>4321</v>
          </cell>
          <cell r="O151">
            <v>424039.23000000004</v>
          </cell>
          <cell r="P151">
            <v>1880000</v>
          </cell>
          <cell r="Q151">
            <v>630000</v>
          </cell>
          <cell r="R151">
            <v>339200</v>
          </cell>
          <cell r="S151">
            <v>828800</v>
          </cell>
          <cell r="T151">
            <v>828800</v>
          </cell>
          <cell r="U151">
            <v>888800</v>
          </cell>
        </row>
        <row r="152">
          <cell r="N152">
            <v>4331</v>
          </cell>
          <cell r="O152">
            <v>1435640.08</v>
          </cell>
          <cell r="P152">
            <v>1955000</v>
          </cell>
          <cell r="Q152">
            <v>3434279</v>
          </cell>
          <cell r="R152">
            <v>2778646.34</v>
          </cell>
          <cell r="S152">
            <v>2510000</v>
          </cell>
          <cell r="T152">
            <v>4510000</v>
          </cell>
          <cell r="U152">
            <v>4510000</v>
          </cell>
        </row>
        <row r="153">
          <cell r="N153">
            <v>4341</v>
          </cell>
          <cell r="O153">
            <v>3007333</v>
          </cell>
          <cell r="P153">
            <v>924000</v>
          </cell>
          <cell r="Q153">
            <v>1240824</v>
          </cell>
          <cell r="R153">
            <v>1091063.8799999999</v>
          </cell>
          <cell r="S153">
            <v>1268796.48</v>
          </cell>
          <cell r="T153">
            <v>1268796.48</v>
          </cell>
          <cell r="U153">
            <v>1268796.48</v>
          </cell>
        </row>
        <row r="154">
          <cell r="N154">
            <v>4391</v>
          </cell>
          <cell r="O154">
            <v>5555075.1699999999</v>
          </cell>
          <cell r="P154">
            <v>9000000</v>
          </cell>
          <cell r="Q154">
            <v>7114262.79</v>
          </cell>
          <cell r="R154">
            <v>5940960.3799999999</v>
          </cell>
          <cell r="S154">
            <v>7576689.8700000001</v>
          </cell>
          <cell r="T154">
            <v>7576689.8700000001</v>
          </cell>
          <cell r="U154">
            <v>7576689.8700000001</v>
          </cell>
        </row>
        <row r="155">
          <cell r="N155">
            <v>4411</v>
          </cell>
          <cell r="O155">
            <v>13802688.49</v>
          </cell>
          <cell r="P155">
            <v>19285000</v>
          </cell>
          <cell r="Q155">
            <v>23705912.5</v>
          </cell>
          <cell r="R155">
            <v>22451439.539999995</v>
          </cell>
          <cell r="S155">
            <v>21738565.530000001</v>
          </cell>
          <cell r="T155">
            <v>21773723.349999998</v>
          </cell>
          <cell r="U155">
            <v>21773723.349999998</v>
          </cell>
        </row>
        <row r="156">
          <cell r="N156">
            <v>4413</v>
          </cell>
          <cell r="O156">
            <v>419000</v>
          </cell>
          <cell r="P156">
            <v>600000</v>
          </cell>
          <cell r="Q156">
            <v>600000</v>
          </cell>
          <cell r="R156">
            <v>461000</v>
          </cell>
          <cell r="S156">
            <v>640000</v>
          </cell>
          <cell r="T156">
            <v>640000</v>
          </cell>
          <cell r="U156">
            <v>640000</v>
          </cell>
        </row>
        <row r="157">
          <cell r="N157">
            <v>4421</v>
          </cell>
          <cell r="O157">
            <v>7778201.96</v>
          </cell>
          <cell r="P157">
            <v>8000000</v>
          </cell>
          <cell r="Q157">
            <v>4808800</v>
          </cell>
          <cell r="R157">
            <v>4801600</v>
          </cell>
          <cell r="S157">
            <v>8000000</v>
          </cell>
          <cell r="T157">
            <v>8000000</v>
          </cell>
          <cell r="U157">
            <v>9500000</v>
          </cell>
        </row>
        <row r="158">
          <cell r="N158">
            <v>4431</v>
          </cell>
          <cell r="O158">
            <v>4193118.3</v>
          </cell>
          <cell r="P158">
            <v>4624000</v>
          </cell>
          <cell r="Q158">
            <v>4673380</v>
          </cell>
          <cell r="R158">
            <v>4487804.17</v>
          </cell>
          <cell r="S158">
            <v>4624000</v>
          </cell>
          <cell r="T158">
            <v>4624000</v>
          </cell>
          <cell r="U158">
            <v>4624000</v>
          </cell>
        </row>
        <row r="159">
          <cell r="N159">
            <v>4451</v>
          </cell>
          <cell r="O159">
            <v>6820223.8799999999</v>
          </cell>
          <cell r="P159">
            <v>7088224</v>
          </cell>
          <cell r="Q159">
            <v>7095530.96</v>
          </cell>
          <cell r="R159">
            <v>7036634.8499999996</v>
          </cell>
          <cell r="S159">
            <v>7113998.3600000003</v>
          </cell>
          <cell r="T159">
            <v>7113998.3600000003</v>
          </cell>
          <cell r="U159">
            <v>7113998.3600000003</v>
          </cell>
        </row>
        <row r="160">
          <cell r="N160">
            <v>4481</v>
          </cell>
          <cell r="O160">
            <v>586513.27</v>
          </cell>
          <cell r="P160">
            <v>1000000</v>
          </cell>
          <cell r="Q160">
            <v>6065259.9400000004</v>
          </cell>
          <cell r="R160">
            <v>3836967.99</v>
          </cell>
          <cell r="S160">
            <v>3000000</v>
          </cell>
          <cell r="T160">
            <v>3028000</v>
          </cell>
          <cell r="U160">
            <v>3028000</v>
          </cell>
        </row>
        <row r="161">
          <cell r="N161">
            <v>4511</v>
          </cell>
          <cell r="O161">
            <v>52513722.5</v>
          </cell>
          <cell r="P161">
            <v>62146965.560000002</v>
          </cell>
          <cell r="Q161">
            <v>62684500.560000002</v>
          </cell>
          <cell r="R161">
            <v>63851035.399999999</v>
          </cell>
          <cell r="S161">
            <v>70825136.839999989</v>
          </cell>
          <cell r="T161">
            <v>70825136.839999989</v>
          </cell>
          <cell r="U161">
            <v>70825136.839999989</v>
          </cell>
        </row>
        <row r="162">
          <cell r="N162">
            <v>5111</v>
          </cell>
          <cell r="O162">
            <v>190458.74</v>
          </cell>
          <cell r="P162">
            <v>750597.8</v>
          </cell>
          <cell r="Q162">
            <v>710436.19000000006</v>
          </cell>
          <cell r="R162">
            <v>404727.65</v>
          </cell>
          <cell r="S162">
            <v>657000</v>
          </cell>
          <cell r="T162">
            <v>721200</v>
          </cell>
          <cell r="U162">
            <v>757878</v>
          </cell>
        </row>
        <row r="163">
          <cell r="N163">
            <v>5151</v>
          </cell>
          <cell r="O163">
            <v>3222983.6500000004</v>
          </cell>
          <cell r="P163">
            <v>4854309</v>
          </cell>
          <cell r="Q163">
            <v>7647342.1000000006</v>
          </cell>
          <cell r="R163">
            <v>6816143.0599999996</v>
          </cell>
          <cell r="S163">
            <v>1717000</v>
          </cell>
          <cell r="T163">
            <v>1843738.08</v>
          </cell>
          <cell r="U163">
            <v>2000392.72</v>
          </cell>
        </row>
        <row r="164">
          <cell r="N164">
            <v>5191</v>
          </cell>
          <cell r="O164">
            <v>440119.51999999996</v>
          </cell>
          <cell r="P164">
            <v>403160</v>
          </cell>
          <cell r="Q164">
            <v>458909</v>
          </cell>
          <cell r="R164">
            <v>363772</v>
          </cell>
          <cell r="S164">
            <v>128000</v>
          </cell>
          <cell r="T164">
            <v>145632</v>
          </cell>
          <cell r="U164">
            <v>214793</v>
          </cell>
        </row>
        <row r="165">
          <cell r="N165">
            <v>5192</v>
          </cell>
          <cell r="O165"/>
          <cell r="P165">
            <v>18000</v>
          </cell>
          <cell r="Q165">
            <v>18000</v>
          </cell>
          <cell r="R165">
            <v>12000.98</v>
          </cell>
          <cell r="S165"/>
          <cell r="T165">
            <v>0</v>
          </cell>
          <cell r="U165">
            <v>0</v>
          </cell>
        </row>
        <row r="166">
          <cell r="N166">
            <v>5211</v>
          </cell>
          <cell r="O166">
            <v>425164.77999999997</v>
          </cell>
          <cell r="P166">
            <v>280598</v>
          </cell>
          <cell r="Q166">
            <v>409103.39999999997</v>
          </cell>
          <cell r="R166">
            <v>401997.36</v>
          </cell>
          <cell r="S166">
            <v>55000</v>
          </cell>
          <cell r="T166">
            <v>72156.399999999994</v>
          </cell>
          <cell r="U166">
            <v>85837.440000000002</v>
          </cell>
        </row>
        <row r="167">
          <cell r="N167">
            <v>5231</v>
          </cell>
          <cell r="O167">
            <v>157004.68</v>
          </cell>
          <cell r="P167">
            <v>730187.5</v>
          </cell>
          <cell r="Q167">
            <v>864787.5</v>
          </cell>
          <cell r="R167">
            <v>848410.13</v>
          </cell>
          <cell r="S167"/>
          <cell r="T167">
            <v>0</v>
          </cell>
          <cell r="U167">
            <v>0</v>
          </cell>
        </row>
        <row r="168">
          <cell r="N168">
            <v>5291</v>
          </cell>
          <cell r="O168"/>
          <cell r="P168">
            <v>0</v>
          </cell>
          <cell r="Q168">
            <v>25000</v>
          </cell>
          <cell r="R168">
            <v>24348</v>
          </cell>
          <cell r="S168"/>
          <cell r="T168">
            <v>0</v>
          </cell>
          <cell r="U168">
            <v>0</v>
          </cell>
        </row>
        <row r="169">
          <cell r="N169">
            <v>5311</v>
          </cell>
          <cell r="O169"/>
          <cell r="P169">
            <v>20000</v>
          </cell>
          <cell r="Q169">
            <v>20000</v>
          </cell>
          <cell r="R169">
            <v>0</v>
          </cell>
          <cell r="S169">
            <v>20000</v>
          </cell>
          <cell r="T169">
            <v>20000</v>
          </cell>
          <cell r="U169">
            <v>20000</v>
          </cell>
        </row>
        <row r="170">
          <cell r="N170">
            <v>5321</v>
          </cell>
          <cell r="O170">
            <v>14503.03</v>
          </cell>
          <cell r="P170">
            <v>13103</v>
          </cell>
          <cell r="Q170">
            <v>13103</v>
          </cell>
          <cell r="R170">
            <v>0</v>
          </cell>
          <cell r="S170">
            <v>15000</v>
          </cell>
          <cell r="T170">
            <v>15000</v>
          </cell>
          <cell r="U170">
            <v>27798</v>
          </cell>
        </row>
        <row r="171">
          <cell r="N171">
            <v>5411</v>
          </cell>
          <cell r="O171">
            <v>34791226.159999996</v>
          </cell>
          <cell r="P171">
            <v>18270000</v>
          </cell>
          <cell r="Q171">
            <v>92574110</v>
          </cell>
          <cell r="R171">
            <v>89367055.080000013</v>
          </cell>
          <cell r="S171">
            <v>13919453</v>
          </cell>
          <cell r="T171">
            <v>31388405.460000001</v>
          </cell>
          <cell r="U171">
            <v>23254405.460000001</v>
          </cell>
        </row>
        <row r="172">
          <cell r="N172">
            <v>5421</v>
          </cell>
          <cell r="O172">
            <v>280000</v>
          </cell>
          <cell r="P172"/>
          <cell r="Q172"/>
          <cell r="R172"/>
          <cell r="S172"/>
          <cell r="T172">
            <v>580000</v>
          </cell>
          <cell r="U172">
            <v>580000</v>
          </cell>
        </row>
        <row r="173">
          <cell r="N173">
            <v>5491</v>
          </cell>
          <cell r="O173">
            <v>220900</v>
          </cell>
          <cell r="P173">
            <v>1522400</v>
          </cell>
          <cell r="Q173">
            <v>6412882.7199999997</v>
          </cell>
          <cell r="R173">
            <v>6287000</v>
          </cell>
          <cell r="S173">
            <v>95000</v>
          </cell>
          <cell r="T173">
            <v>95000</v>
          </cell>
          <cell r="U173">
            <v>95000</v>
          </cell>
        </row>
        <row r="174">
          <cell r="N174">
            <v>5511</v>
          </cell>
          <cell r="O174"/>
          <cell r="P174">
            <v>0</v>
          </cell>
          <cell r="Q174">
            <v>11237770</v>
          </cell>
          <cell r="R174">
            <v>11131390.390000001</v>
          </cell>
          <cell r="S174"/>
          <cell r="T174">
            <v>0</v>
          </cell>
          <cell r="U174">
            <v>0</v>
          </cell>
        </row>
        <row r="175">
          <cell r="N175">
            <v>5611</v>
          </cell>
          <cell r="O175">
            <v>1511785.3599999999</v>
          </cell>
          <cell r="P175">
            <v>289542.28000000003</v>
          </cell>
          <cell r="Q175">
            <v>205559.28</v>
          </cell>
          <cell r="R175">
            <v>205559.28</v>
          </cell>
          <cell r="S175"/>
          <cell r="T175">
            <v>0</v>
          </cell>
          <cell r="U175">
            <v>70000</v>
          </cell>
        </row>
        <row r="176">
          <cell r="N176">
            <v>5631</v>
          </cell>
          <cell r="O176">
            <v>9096746</v>
          </cell>
          <cell r="P176">
            <v>3479172.2800000003</v>
          </cell>
          <cell r="Q176">
            <v>1472607</v>
          </cell>
          <cell r="R176">
            <v>1464937</v>
          </cell>
          <cell r="S176">
            <v>2340478</v>
          </cell>
          <cell r="T176">
            <v>6750625.0600000005</v>
          </cell>
          <cell r="U176">
            <v>6750625.0600000005</v>
          </cell>
        </row>
        <row r="177">
          <cell r="N177">
            <v>5641</v>
          </cell>
          <cell r="O177">
            <v>78022.64</v>
          </cell>
          <cell r="P177">
            <v>340000</v>
          </cell>
          <cell r="Q177">
            <v>146660</v>
          </cell>
          <cell r="R177">
            <v>109310.23</v>
          </cell>
          <cell r="S177">
            <v>276000</v>
          </cell>
          <cell r="T177">
            <v>276000</v>
          </cell>
          <cell r="U177">
            <v>356000</v>
          </cell>
        </row>
        <row r="178">
          <cell r="N178">
            <v>5651</v>
          </cell>
          <cell r="O178">
            <v>2170291.63</v>
          </cell>
          <cell r="P178">
            <v>2330838.3199999998</v>
          </cell>
          <cell r="Q178">
            <v>5756134.3200000003</v>
          </cell>
          <cell r="R178">
            <v>5499433.8200000003</v>
          </cell>
          <cell r="S178">
            <v>90000</v>
          </cell>
          <cell r="T178">
            <v>101021.28</v>
          </cell>
          <cell r="U178">
            <v>107293.28</v>
          </cell>
        </row>
        <row r="179">
          <cell r="N179">
            <v>5661</v>
          </cell>
          <cell r="O179"/>
          <cell r="P179">
            <v>300000</v>
          </cell>
          <cell r="Q179">
            <v>280000</v>
          </cell>
          <cell r="R179">
            <v>222386.4</v>
          </cell>
          <cell r="S179"/>
          <cell r="T179">
            <v>0</v>
          </cell>
          <cell r="U179">
            <v>0</v>
          </cell>
        </row>
        <row r="180">
          <cell r="N180">
            <v>5662</v>
          </cell>
          <cell r="O180"/>
          <cell r="P180">
            <v>7000</v>
          </cell>
          <cell r="Q180">
            <v>7000</v>
          </cell>
          <cell r="R180">
            <v>0</v>
          </cell>
          <cell r="S180">
            <v>7000</v>
          </cell>
          <cell r="T180">
            <v>7000</v>
          </cell>
          <cell r="U180">
            <v>7000</v>
          </cell>
        </row>
        <row r="181">
          <cell r="N181">
            <v>5663</v>
          </cell>
          <cell r="O181"/>
          <cell r="P181">
            <v>0</v>
          </cell>
          <cell r="Q181">
            <v>274006.53999999998</v>
          </cell>
          <cell r="R181">
            <v>0</v>
          </cell>
          <cell r="S181">
            <v>274006.53999999998</v>
          </cell>
          <cell r="T181">
            <v>274006.53999999998</v>
          </cell>
          <cell r="U181">
            <v>274006.53999999998</v>
          </cell>
        </row>
        <row r="182">
          <cell r="N182">
            <v>5671</v>
          </cell>
          <cell r="O182">
            <v>266449.17000000004</v>
          </cell>
          <cell r="P182">
            <v>371000</v>
          </cell>
          <cell r="Q182">
            <v>475350</v>
          </cell>
          <cell r="R182">
            <v>295655.33999999997</v>
          </cell>
          <cell r="S182">
            <v>448875.32</v>
          </cell>
          <cell r="T182">
            <v>448875.32</v>
          </cell>
          <cell r="U182">
            <v>448875.32</v>
          </cell>
        </row>
        <row r="183">
          <cell r="N183">
            <v>5691</v>
          </cell>
          <cell r="O183">
            <v>1820767.29</v>
          </cell>
          <cell r="P183">
            <v>6708984.6500000004</v>
          </cell>
          <cell r="Q183">
            <v>6802250.8599999994</v>
          </cell>
          <cell r="R183">
            <v>6288916.71</v>
          </cell>
          <cell r="S183">
            <v>1448839</v>
          </cell>
          <cell r="T183">
            <v>1461628</v>
          </cell>
          <cell r="U183">
            <v>2684874.52</v>
          </cell>
        </row>
        <row r="184">
          <cell r="N184">
            <v>5811</v>
          </cell>
          <cell r="O184">
            <v>14553976.640000001</v>
          </cell>
          <cell r="P184">
            <v>5000000</v>
          </cell>
          <cell r="Q184">
            <v>3000000</v>
          </cell>
          <cell r="R184">
            <v>0</v>
          </cell>
          <cell r="S184">
            <v>1000000</v>
          </cell>
          <cell r="T184">
            <v>5958328</v>
          </cell>
          <cell r="U184">
            <v>5000000</v>
          </cell>
        </row>
        <row r="185">
          <cell r="N185">
            <v>5911</v>
          </cell>
          <cell r="O185">
            <v>26601.119999999999</v>
          </cell>
          <cell r="P185">
            <v>450000</v>
          </cell>
          <cell r="Q185">
            <v>45588</v>
          </cell>
          <cell r="R185">
            <v>15080</v>
          </cell>
          <cell r="S185">
            <v>342680</v>
          </cell>
          <cell r="T185">
            <v>373188</v>
          </cell>
          <cell r="U185">
            <v>373188</v>
          </cell>
        </row>
        <row r="186">
          <cell r="N186">
            <v>5921</v>
          </cell>
          <cell r="O186"/>
          <cell r="P186">
            <v>10000</v>
          </cell>
          <cell r="Q186">
            <v>10000</v>
          </cell>
          <cell r="R186">
            <v>0</v>
          </cell>
          <cell r="S186">
            <v>5000</v>
          </cell>
          <cell r="T186">
            <v>5000</v>
          </cell>
          <cell r="U186">
            <v>5000</v>
          </cell>
        </row>
        <row r="187">
          <cell r="N187">
            <v>5971</v>
          </cell>
          <cell r="O187">
            <v>813824.89999999991</v>
          </cell>
          <cell r="P187">
            <v>4225657</v>
          </cell>
          <cell r="Q187">
            <v>2723679.16</v>
          </cell>
          <cell r="R187">
            <v>1773839.8599999999</v>
          </cell>
          <cell r="S187">
            <v>2276500</v>
          </cell>
          <cell r="T187">
            <v>2276500</v>
          </cell>
          <cell r="U187">
            <v>2276500</v>
          </cell>
        </row>
        <row r="188">
          <cell r="N188">
            <v>6111</v>
          </cell>
          <cell r="O188">
            <v>36868671.509999998</v>
          </cell>
          <cell r="P188">
            <v>29463.759999999998</v>
          </cell>
          <cell r="Q188">
            <v>37652509.210000001</v>
          </cell>
          <cell r="R188">
            <v>41741672.189999998</v>
          </cell>
          <cell r="S188">
            <v>5898236.1500000004</v>
          </cell>
          <cell r="T188">
            <v>0</v>
          </cell>
          <cell r="U188">
            <v>31403710.82</v>
          </cell>
        </row>
        <row r="189">
          <cell r="N189">
            <v>6121</v>
          </cell>
          <cell r="O189">
            <v>43772076.870000005</v>
          </cell>
          <cell r="P189">
            <v>12933149.060000001</v>
          </cell>
          <cell r="Q189">
            <v>131011059.68999998</v>
          </cell>
          <cell r="R189">
            <v>100765940.98</v>
          </cell>
          <cell r="S189">
            <v>76024960.000000015</v>
          </cell>
          <cell r="T189">
            <v>62261503.5</v>
          </cell>
          <cell r="U189">
            <v>123294348.5</v>
          </cell>
        </row>
        <row r="190">
          <cell r="N190">
            <v>6131</v>
          </cell>
          <cell r="O190">
            <v>46532104.869999997</v>
          </cell>
          <cell r="P190">
            <v>74794398.620000005</v>
          </cell>
          <cell r="Q190">
            <v>137027363.40999997</v>
          </cell>
          <cell r="R190">
            <v>81344344.209999993</v>
          </cell>
          <cell r="S190">
            <v>123824291.65999998</v>
          </cell>
          <cell r="T190">
            <v>128732606.88999999</v>
          </cell>
          <cell r="U190">
            <v>74470667.439999998</v>
          </cell>
        </row>
        <row r="191">
          <cell r="N191">
            <v>6141</v>
          </cell>
          <cell r="O191">
            <v>162697442.11000001</v>
          </cell>
          <cell r="P191">
            <v>233030875.31999999</v>
          </cell>
          <cell r="Q191">
            <v>238564344.42000002</v>
          </cell>
          <cell r="R191">
            <v>180048472.25999999</v>
          </cell>
          <cell r="S191">
            <v>217206310.88000005</v>
          </cell>
          <cell r="T191">
            <v>224474003.90000004</v>
          </cell>
          <cell r="U191">
            <v>296644655.10000002</v>
          </cell>
        </row>
        <row r="192">
          <cell r="N192">
            <v>6221</v>
          </cell>
          <cell r="O192">
            <v>14403783.739999998</v>
          </cell>
          <cell r="P192">
            <v>8602559.0999999996</v>
          </cell>
          <cell r="Q192">
            <v>14837847.029999999</v>
          </cell>
          <cell r="R192">
            <v>2463375.54</v>
          </cell>
          <cell r="S192">
            <v>10518300.76</v>
          </cell>
          <cell r="T192">
            <v>14464471.76</v>
          </cell>
          <cell r="U192">
            <v>20464471.759999998</v>
          </cell>
        </row>
        <row r="193">
          <cell r="N193">
            <v>7993</v>
          </cell>
          <cell r="O193"/>
          <cell r="P193"/>
          <cell r="Q193"/>
          <cell r="R193"/>
          <cell r="S193">
            <v>100000</v>
          </cell>
          <cell r="T193">
            <v>100000</v>
          </cell>
          <cell r="U193">
            <v>100000</v>
          </cell>
        </row>
        <row r="194">
          <cell r="N194">
            <v>8531</v>
          </cell>
          <cell r="O194"/>
          <cell r="P194">
            <v>0</v>
          </cell>
          <cell r="Q194"/>
          <cell r="R194">
            <v>29232562.77</v>
          </cell>
          <cell r="S194"/>
          <cell r="T194">
            <v>0</v>
          </cell>
          <cell r="U194">
            <v>0</v>
          </cell>
        </row>
        <row r="195">
          <cell r="N195">
            <v>9111</v>
          </cell>
          <cell r="O195">
            <v>27244249.349999998</v>
          </cell>
          <cell r="P195">
            <v>23536625.920000002</v>
          </cell>
          <cell r="Q195">
            <v>23536625.920000002</v>
          </cell>
          <cell r="R195">
            <v>23536625.879999999</v>
          </cell>
          <cell r="S195">
            <v>23536625.920000002</v>
          </cell>
          <cell r="T195">
            <v>23536625.920000002</v>
          </cell>
          <cell r="U195">
            <v>23536625.920000002</v>
          </cell>
        </row>
        <row r="196">
          <cell r="N196">
            <v>9211</v>
          </cell>
          <cell r="O196">
            <v>25603050.600000001</v>
          </cell>
          <cell r="P196">
            <v>21040806.780000001</v>
          </cell>
          <cell r="Q196">
            <v>19025622.539999999</v>
          </cell>
          <cell r="R196">
            <v>16959920.239999998</v>
          </cell>
          <cell r="S196">
            <v>12181726</v>
          </cell>
          <cell r="T196">
            <v>12181726</v>
          </cell>
          <cell r="U196">
            <v>12181726</v>
          </cell>
        </row>
        <row r="197">
          <cell r="N197" t="str">
            <v>31111-0101</v>
          </cell>
          <cell r="O197">
            <v>9619946.3000000007</v>
          </cell>
          <cell r="P197">
            <v>11396212.42</v>
          </cell>
          <cell r="Q197">
            <v>9284033.1799999997</v>
          </cell>
          <cell r="R197">
            <v>8970898.5399999991</v>
          </cell>
          <cell r="S197">
            <v>10399352.41</v>
          </cell>
          <cell r="T197">
            <v>10399352.41</v>
          </cell>
          <cell r="U197">
            <v>11052253.68</v>
          </cell>
        </row>
        <row r="198">
          <cell r="N198" t="str">
            <v>31111-0102</v>
          </cell>
          <cell r="O198">
            <v>17447572.919999998</v>
          </cell>
          <cell r="P198">
            <v>18988266.020000003</v>
          </cell>
          <cell r="Q198">
            <v>18820456.619999997</v>
          </cell>
          <cell r="R198">
            <v>19070235.980000004</v>
          </cell>
          <cell r="S198">
            <v>20244636.600000001</v>
          </cell>
          <cell r="T198">
            <v>20244636.600000001</v>
          </cell>
          <cell r="U198">
            <v>20408626.979999997</v>
          </cell>
        </row>
        <row r="199">
          <cell r="N199" t="str">
            <v>31111-0145</v>
          </cell>
          <cell r="O199">
            <v>1634935.58</v>
          </cell>
          <cell r="P199">
            <v>2062552.1699999997</v>
          </cell>
          <cell r="Q199">
            <v>1719145.53</v>
          </cell>
          <cell r="R199">
            <v>1546278.7899999996</v>
          </cell>
          <cell r="S199">
            <v>1678750.1000000003</v>
          </cell>
          <cell r="T199">
            <v>1678750.1000000003</v>
          </cell>
          <cell r="U199">
            <v>1701057.6799999997</v>
          </cell>
        </row>
        <row r="200">
          <cell r="N200" t="str">
            <v>31111-0147</v>
          </cell>
          <cell r="O200">
            <v>451081.13</v>
          </cell>
          <cell r="P200">
            <v>459121</v>
          </cell>
          <cell r="Q200">
            <v>455916.83</v>
          </cell>
          <cell r="R200">
            <v>454746.18</v>
          </cell>
          <cell r="S200">
            <v>458712.7</v>
          </cell>
          <cell r="T200">
            <v>458712.7</v>
          </cell>
          <cell r="U200">
            <v>458712.67</v>
          </cell>
        </row>
        <row r="201">
          <cell r="N201" t="str">
            <v>31111-0148</v>
          </cell>
          <cell r="O201">
            <v>444999.24</v>
          </cell>
          <cell r="P201">
            <v>459121</v>
          </cell>
          <cell r="Q201">
            <v>455925.20999999996</v>
          </cell>
          <cell r="R201">
            <v>429406.32999999996</v>
          </cell>
          <cell r="S201">
            <v>458721.5</v>
          </cell>
          <cell r="T201">
            <v>458721.5</v>
          </cell>
          <cell r="U201">
            <v>458721.47</v>
          </cell>
        </row>
        <row r="202">
          <cell r="N202" t="str">
            <v>31111-0149</v>
          </cell>
          <cell r="O202">
            <v>443471.41000000003</v>
          </cell>
          <cell r="P202">
            <v>453210</v>
          </cell>
          <cell r="Q202">
            <v>450333.92</v>
          </cell>
          <cell r="R202">
            <v>447353.52999999997</v>
          </cell>
          <cell r="S202">
            <v>452850.7</v>
          </cell>
          <cell r="T202">
            <v>452850.7</v>
          </cell>
          <cell r="U202">
            <v>452850.62</v>
          </cell>
        </row>
        <row r="203">
          <cell r="N203" t="str">
            <v>31111-0150</v>
          </cell>
          <cell r="O203">
            <v>440951.09</v>
          </cell>
          <cell r="P203">
            <v>453210</v>
          </cell>
          <cell r="Q203">
            <v>450333.92</v>
          </cell>
          <cell r="R203">
            <v>449623.49</v>
          </cell>
          <cell r="S203">
            <v>452850.7</v>
          </cell>
          <cell r="T203">
            <v>452850.7</v>
          </cell>
          <cell r="U203">
            <v>452850.62</v>
          </cell>
        </row>
        <row r="204">
          <cell r="N204" t="str">
            <v>31111-0151</v>
          </cell>
          <cell r="O204">
            <v>446987.37999999995</v>
          </cell>
          <cell r="P204">
            <v>453210</v>
          </cell>
          <cell r="Q204">
            <v>450333.92</v>
          </cell>
          <cell r="R204">
            <v>448015.47000000003</v>
          </cell>
          <cell r="S204">
            <v>452850.7</v>
          </cell>
          <cell r="T204">
            <v>452850.7</v>
          </cell>
          <cell r="U204">
            <v>452850.62</v>
          </cell>
        </row>
        <row r="205">
          <cell r="N205" t="str">
            <v>31111-0152</v>
          </cell>
          <cell r="O205">
            <v>445853.13</v>
          </cell>
          <cell r="P205">
            <v>453210</v>
          </cell>
          <cell r="Q205">
            <v>450333.92</v>
          </cell>
          <cell r="R205">
            <v>446500.54</v>
          </cell>
          <cell r="S205">
            <v>452850.7</v>
          </cell>
          <cell r="T205">
            <v>452850.7</v>
          </cell>
          <cell r="U205">
            <v>452850.62</v>
          </cell>
        </row>
        <row r="206">
          <cell r="N206" t="str">
            <v>31111-0153</v>
          </cell>
          <cell r="O206">
            <v>441172.14</v>
          </cell>
          <cell r="P206">
            <v>453210</v>
          </cell>
          <cell r="Q206">
            <v>450333.92</v>
          </cell>
          <cell r="R206">
            <v>443205.79</v>
          </cell>
          <cell r="S206">
            <v>452850.7</v>
          </cell>
          <cell r="T206">
            <v>452850.7</v>
          </cell>
          <cell r="U206">
            <v>452850.62</v>
          </cell>
        </row>
        <row r="207">
          <cell r="N207" t="str">
            <v>31111-0154</v>
          </cell>
          <cell r="O207">
            <v>436840.79000000004</v>
          </cell>
          <cell r="P207">
            <v>453210</v>
          </cell>
          <cell r="Q207">
            <v>450333.92</v>
          </cell>
          <cell r="R207">
            <v>438161.6</v>
          </cell>
          <cell r="S207">
            <v>452850.7</v>
          </cell>
          <cell r="T207">
            <v>452850.7</v>
          </cell>
          <cell r="U207">
            <v>452850.62</v>
          </cell>
        </row>
        <row r="208">
          <cell r="N208" t="str">
            <v>31111-0155</v>
          </cell>
          <cell r="O208">
            <v>393472.29000000004</v>
          </cell>
          <cell r="P208">
            <v>453210</v>
          </cell>
          <cell r="Q208">
            <v>454466.11</v>
          </cell>
          <cell r="R208">
            <v>447411.78</v>
          </cell>
          <cell r="S208">
            <v>452850.7</v>
          </cell>
          <cell r="T208">
            <v>452850.7</v>
          </cell>
          <cell r="U208">
            <v>452850.62</v>
          </cell>
        </row>
        <row r="209">
          <cell r="N209" t="str">
            <v>31111-0156</v>
          </cell>
          <cell r="O209">
            <v>398965.69</v>
          </cell>
          <cell r="P209">
            <v>400000</v>
          </cell>
          <cell r="Q209">
            <v>400000</v>
          </cell>
          <cell r="R209">
            <v>398253.59</v>
          </cell>
          <cell r="S209">
            <v>400000</v>
          </cell>
          <cell r="T209">
            <v>400000</v>
          </cell>
          <cell r="U209">
            <v>400000</v>
          </cell>
        </row>
        <row r="210">
          <cell r="N210" t="str">
            <v>31111-0157</v>
          </cell>
          <cell r="O210">
            <v>396934.11</v>
          </cell>
          <cell r="P210">
            <v>400000</v>
          </cell>
          <cell r="Q210">
            <v>400000</v>
          </cell>
          <cell r="R210">
            <v>399300.28</v>
          </cell>
          <cell r="S210">
            <v>400000</v>
          </cell>
          <cell r="T210">
            <v>400000</v>
          </cell>
          <cell r="U210">
            <v>400000</v>
          </cell>
        </row>
        <row r="211">
          <cell r="N211" t="str">
            <v>31111-0158</v>
          </cell>
          <cell r="O211">
            <v>444537.29000000004</v>
          </cell>
          <cell r="P211">
            <v>453210</v>
          </cell>
          <cell r="Q211">
            <v>450333.92</v>
          </cell>
          <cell r="R211">
            <v>450160.56</v>
          </cell>
          <cell r="S211">
            <v>452850.7</v>
          </cell>
          <cell r="T211">
            <v>452850.7</v>
          </cell>
          <cell r="U211">
            <v>452850.62</v>
          </cell>
        </row>
        <row r="212">
          <cell r="N212" t="str">
            <v>31111-0159</v>
          </cell>
          <cell r="O212">
            <v>399999.6</v>
          </cell>
          <cell r="P212">
            <v>400000</v>
          </cell>
          <cell r="Q212">
            <v>400000</v>
          </cell>
          <cell r="R212">
            <v>398999.8</v>
          </cell>
          <cell r="S212">
            <v>400000</v>
          </cell>
          <cell r="T212">
            <v>400000</v>
          </cell>
          <cell r="U212">
            <v>400000</v>
          </cell>
        </row>
        <row r="213">
          <cell r="N213" t="str">
            <v>31111-0160</v>
          </cell>
          <cell r="O213">
            <v>437699.63</v>
          </cell>
          <cell r="P213">
            <v>453210</v>
          </cell>
          <cell r="Q213">
            <v>450333.92</v>
          </cell>
          <cell r="R213">
            <v>450001.64</v>
          </cell>
          <cell r="S213">
            <v>452850.7</v>
          </cell>
          <cell r="T213">
            <v>452850.7</v>
          </cell>
          <cell r="U213">
            <v>452850.62</v>
          </cell>
        </row>
        <row r="214">
          <cell r="N214" t="str">
            <v>31111-0201</v>
          </cell>
          <cell r="O214">
            <v>8230900.5</v>
          </cell>
          <cell r="P214">
            <v>12117307.43</v>
          </cell>
          <cell r="Q214">
            <v>11201175.609999999</v>
          </cell>
          <cell r="R214">
            <v>9790612.4100000001</v>
          </cell>
          <cell r="S214">
            <v>12071711</v>
          </cell>
          <cell r="T214">
            <v>14090293</v>
          </cell>
          <cell r="U214">
            <v>14372378.390000001</v>
          </cell>
        </row>
        <row r="215">
          <cell r="N215" t="str">
            <v>31111-0301</v>
          </cell>
          <cell r="O215">
            <v>16625190.169999996</v>
          </cell>
          <cell r="P215">
            <v>19725301.259999998</v>
          </cell>
          <cell r="Q215">
            <v>21685118.130000003</v>
          </cell>
          <cell r="R215">
            <v>21502741.119999994</v>
          </cell>
          <cell r="S215">
            <v>21465635.5</v>
          </cell>
          <cell r="T215">
            <v>22328390.449999999</v>
          </cell>
          <cell r="U215">
            <v>22206557.470000003</v>
          </cell>
        </row>
        <row r="216">
          <cell r="N216" t="str">
            <v>31111-0302</v>
          </cell>
          <cell r="O216">
            <v>3396410.8600000003</v>
          </cell>
          <cell r="P216">
            <v>4076349.7599999993</v>
          </cell>
          <cell r="Q216">
            <v>3849777.7899999996</v>
          </cell>
          <cell r="R216">
            <v>3696210.919999999</v>
          </cell>
          <cell r="S216">
            <v>3545375.2</v>
          </cell>
          <cell r="T216">
            <v>3554588.5</v>
          </cell>
          <cell r="U216">
            <v>3623237.15</v>
          </cell>
        </row>
        <row r="217">
          <cell r="N217" t="str">
            <v>31111-0303</v>
          </cell>
          <cell r="O217">
            <v>15188874.199999999</v>
          </cell>
          <cell r="P217">
            <v>16473122.770000001</v>
          </cell>
          <cell r="Q217">
            <v>16682231.189999999</v>
          </cell>
          <cell r="R217">
            <v>16534218.350000001</v>
          </cell>
          <cell r="S217">
            <v>16736141</v>
          </cell>
          <cell r="T217">
            <v>16736141</v>
          </cell>
          <cell r="U217">
            <v>18310474.84</v>
          </cell>
        </row>
        <row r="218">
          <cell r="N218" t="str">
            <v>31111-0304</v>
          </cell>
          <cell r="O218">
            <v>6666856.5600000005</v>
          </cell>
          <cell r="P218">
            <v>7691185.2199999997</v>
          </cell>
          <cell r="Q218">
            <v>9333223.9700000007</v>
          </cell>
          <cell r="R218">
            <v>6616783.3499999996</v>
          </cell>
          <cell r="S218">
            <v>9751509.3000000007</v>
          </cell>
          <cell r="T218">
            <v>10078662.140000001</v>
          </cell>
          <cell r="U218">
            <v>10149074.26</v>
          </cell>
        </row>
        <row r="219">
          <cell r="N219" t="str">
            <v>31111-0305</v>
          </cell>
          <cell r="O219">
            <v>4325159.43</v>
          </cell>
          <cell r="P219">
            <v>3039998.6799999997</v>
          </cell>
          <cell r="Q219">
            <v>2971298.07</v>
          </cell>
          <cell r="R219">
            <v>2881627.84</v>
          </cell>
          <cell r="S219">
            <v>11386886.699999999</v>
          </cell>
          <cell r="T219">
            <v>11386886.699999999</v>
          </cell>
          <cell r="U219">
            <v>11452726.359999999</v>
          </cell>
        </row>
        <row r="220">
          <cell r="N220" t="str">
            <v>31111-0307</v>
          </cell>
          <cell r="O220">
            <v>1480216.6899999997</v>
          </cell>
          <cell r="P220">
            <v>1784896.7399999998</v>
          </cell>
          <cell r="Q220">
            <v>1573006.1099999999</v>
          </cell>
          <cell r="R220">
            <v>1604741.21</v>
          </cell>
          <cell r="S220">
            <v>1652160.2999999996</v>
          </cell>
          <cell r="T220">
            <v>1654532.6199999996</v>
          </cell>
          <cell r="U220">
            <v>1692717.66</v>
          </cell>
        </row>
        <row r="221">
          <cell r="N221" t="str">
            <v>31111-0308</v>
          </cell>
          <cell r="O221">
            <v>2828030</v>
          </cell>
          <cell r="P221">
            <v>11930000</v>
          </cell>
          <cell r="Q221">
            <v>9179942.5</v>
          </cell>
          <cell r="R221">
            <v>8946848.0899999999</v>
          </cell>
          <cell r="S221">
            <v>0</v>
          </cell>
          <cell r="T221">
            <v>0</v>
          </cell>
          <cell r="U221">
            <v>0</v>
          </cell>
        </row>
        <row r="222">
          <cell r="N222" t="str">
            <v>31111-0401</v>
          </cell>
          <cell r="O222">
            <v>12774691.529999999</v>
          </cell>
          <cell r="P222">
            <v>16046993.960000001</v>
          </cell>
          <cell r="Q222">
            <v>15250517.16</v>
          </cell>
          <cell r="R222">
            <v>14580172.480000002</v>
          </cell>
          <cell r="S222">
            <v>12209071.1</v>
          </cell>
          <cell r="T222">
            <v>12509071.1</v>
          </cell>
          <cell r="U222">
            <v>12535088.390000001</v>
          </cell>
        </row>
        <row r="223">
          <cell r="N223" t="str">
            <v>31111-0402</v>
          </cell>
          <cell r="O223">
            <v>4414216.74</v>
          </cell>
          <cell r="P223">
            <v>7243699.8399999999</v>
          </cell>
          <cell r="Q223">
            <v>5460999.5300000003</v>
          </cell>
          <cell r="R223">
            <v>2951397.2699999996</v>
          </cell>
          <cell r="S223">
            <v>5504386.6999999993</v>
          </cell>
          <cell r="T223">
            <v>5504386.6999999993</v>
          </cell>
          <cell r="U223">
            <v>5130792.83</v>
          </cell>
        </row>
        <row r="224">
          <cell r="N224" t="str">
            <v>31111-0501</v>
          </cell>
          <cell r="O224">
            <v>31258357.200000003</v>
          </cell>
          <cell r="P224">
            <v>34257567.070000008</v>
          </cell>
          <cell r="Q224">
            <v>33953812.339999996</v>
          </cell>
          <cell r="R224">
            <v>33637013.799999997</v>
          </cell>
          <cell r="S224">
            <v>36189096.82</v>
          </cell>
          <cell r="T224">
            <v>36712030.82</v>
          </cell>
          <cell r="U224">
            <v>37524023.689999998</v>
          </cell>
        </row>
        <row r="225">
          <cell r="N225" t="str">
            <v>31111-0502</v>
          </cell>
          <cell r="O225">
            <v>23602510.659999996</v>
          </cell>
          <cell r="P225">
            <v>16248903.699999999</v>
          </cell>
          <cell r="Q225">
            <v>14230074.289999999</v>
          </cell>
          <cell r="R225">
            <v>10855136.330000002</v>
          </cell>
          <cell r="S225">
            <v>11066648.699999999</v>
          </cell>
          <cell r="T225">
            <v>16024976.699999999</v>
          </cell>
          <cell r="U225">
            <v>15856420.579999998</v>
          </cell>
        </row>
        <row r="226">
          <cell r="N226" t="str">
            <v>31111-0503</v>
          </cell>
          <cell r="O226">
            <v>5458986.6100000013</v>
          </cell>
          <cell r="P226">
            <v>6400257.3299999991</v>
          </cell>
          <cell r="Q226">
            <v>5840893.0599999996</v>
          </cell>
          <cell r="R226">
            <v>5213361.2699999996</v>
          </cell>
          <cell r="S226">
            <v>6387279.8000000007</v>
          </cell>
          <cell r="T226">
            <v>6637279.8000000007</v>
          </cell>
          <cell r="U226">
            <v>6766589.1399999997</v>
          </cell>
        </row>
        <row r="227">
          <cell r="N227" t="str">
            <v>31111-0505</v>
          </cell>
          <cell r="O227">
            <v>1978635.98</v>
          </cell>
          <cell r="P227">
            <v>2181894.75</v>
          </cell>
          <cell r="Q227">
            <v>2154771.75</v>
          </cell>
          <cell r="R227">
            <v>2191768.9299999997</v>
          </cell>
          <cell r="S227">
            <v>2443347.2599999998</v>
          </cell>
          <cell r="T227">
            <v>2443347.2599999998</v>
          </cell>
          <cell r="U227">
            <v>2475309.5</v>
          </cell>
        </row>
        <row r="228">
          <cell r="N228" t="str">
            <v>31111-0510</v>
          </cell>
          <cell r="O228">
            <v>11038730.119999997</v>
          </cell>
          <cell r="P228">
            <v>10141509.519999998</v>
          </cell>
          <cell r="Q228">
            <v>9706944.5199999996</v>
          </cell>
          <cell r="R228">
            <v>9055727.7300000004</v>
          </cell>
          <cell r="S228">
            <v>10289152.800000001</v>
          </cell>
          <cell r="T228">
            <v>10418152.800000001</v>
          </cell>
          <cell r="U228">
            <v>10234793.300000001</v>
          </cell>
        </row>
        <row r="229">
          <cell r="N229" t="str">
            <v>31111-0601</v>
          </cell>
          <cell r="O229">
            <v>48260003.480000004</v>
          </cell>
          <cell r="P229">
            <v>59878663.139999993</v>
          </cell>
          <cell r="Q229">
            <v>61971482.050000004</v>
          </cell>
          <cell r="R229">
            <v>56668167.480000019</v>
          </cell>
          <cell r="S229">
            <v>66704520.560000002</v>
          </cell>
          <cell r="T229">
            <v>66748799.640000001</v>
          </cell>
          <cell r="U229">
            <v>61504246.989999995</v>
          </cell>
        </row>
        <row r="230">
          <cell r="N230" t="str">
            <v>31111-0602</v>
          </cell>
          <cell r="O230">
            <v>6742413.2000000002</v>
          </cell>
          <cell r="P230">
            <v>6519506.75</v>
          </cell>
          <cell r="Q230">
            <v>6617001.7100000009</v>
          </cell>
          <cell r="R230">
            <v>6882696.6399999997</v>
          </cell>
          <cell r="S230">
            <v>7547018.2000000011</v>
          </cell>
          <cell r="T230">
            <v>7708250.2500000009</v>
          </cell>
          <cell r="U230">
            <v>7861146.2999999998</v>
          </cell>
        </row>
        <row r="231">
          <cell r="N231" t="str">
            <v>31111-0603</v>
          </cell>
          <cell r="O231">
            <v>37716976.740000002</v>
          </cell>
          <cell r="P231">
            <v>40454235.829999998</v>
          </cell>
          <cell r="Q231">
            <v>39011468.460000001</v>
          </cell>
          <cell r="R231">
            <v>37925437.199999996</v>
          </cell>
          <cell r="S231">
            <v>47088912.369999997</v>
          </cell>
          <cell r="T231">
            <v>47101821.369999997</v>
          </cell>
          <cell r="U231">
            <v>41969896.440000005</v>
          </cell>
        </row>
        <row r="232">
          <cell r="N232" t="str">
            <v>31111-0604</v>
          </cell>
          <cell r="O232">
            <v>52513722.5</v>
          </cell>
          <cell r="P232">
            <v>62146965.560000002</v>
          </cell>
          <cell r="Q232">
            <v>62684500.560000002</v>
          </cell>
          <cell r="R232">
            <v>63851035.399999999</v>
          </cell>
          <cell r="S232">
            <v>70825136.839999989</v>
          </cell>
          <cell r="T232">
            <v>70825136.839999989</v>
          </cell>
          <cell r="U232">
            <v>70825136.839999989</v>
          </cell>
        </row>
        <row r="233">
          <cell r="N233" t="str">
            <v>31111-0605</v>
          </cell>
          <cell r="O233">
            <v>923145.72</v>
          </cell>
          <cell r="P233">
            <v>1204657.3999999999</v>
          </cell>
          <cell r="Q233">
            <v>1182777.3999999999</v>
          </cell>
          <cell r="R233">
            <v>1047540.79</v>
          </cell>
          <cell r="S233">
            <v>1494058.7</v>
          </cell>
          <cell r="T233">
            <v>1494058.7</v>
          </cell>
          <cell r="U233">
            <v>1524580.5899999999</v>
          </cell>
        </row>
        <row r="234">
          <cell r="N234" t="str">
            <v>31111-0606</v>
          </cell>
          <cell r="O234">
            <v>881542.88</v>
          </cell>
          <cell r="P234">
            <v>1072049.82</v>
          </cell>
          <cell r="Q234">
            <v>1004880.99</v>
          </cell>
          <cell r="R234">
            <v>998723.52</v>
          </cell>
          <cell r="S234">
            <v>1291375.2000000002</v>
          </cell>
          <cell r="T234">
            <v>1369213.31</v>
          </cell>
          <cell r="U234">
            <v>1397897.71</v>
          </cell>
        </row>
        <row r="235">
          <cell r="N235" t="str">
            <v>31111-0701</v>
          </cell>
          <cell r="O235">
            <v>58355394.75</v>
          </cell>
          <cell r="P235">
            <v>53796176.32</v>
          </cell>
          <cell r="Q235">
            <v>50601050.460000001</v>
          </cell>
          <cell r="R235">
            <v>46307243.739999995</v>
          </cell>
          <cell r="S235">
            <v>42683000.719999999</v>
          </cell>
          <cell r="T235">
            <v>42683000.719999999</v>
          </cell>
          <cell r="U235">
            <v>42806224</v>
          </cell>
        </row>
        <row r="236">
          <cell r="N236" t="str">
            <v>31111-0702</v>
          </cell>
          <cell r="O236">
            <v>7635026.9800000004</v>
          </cell>
          <cell r="P236">
            <v>10697499.25</v>
          </cell>
          <cell r="Q236">
            <v>8180541.9700000007</v>
          </cell>
          <cell r="R236">
            <v>8112327.2800000003</v>
          </cell>
          <cell r="S236">
            <v>9337342.0199999977</v>
          </cell>
          <cell r="T236">
            <v>9376342.0199999977</v>
          </cell>
          <cell r="U236">
            <v>9561992.1499999985</v>
          </cell>
        </row>
        <row r="237">
          <cell r="N237" t="str">
            <v>31111-0703</v>
          </cell>
          <cell r="O237">
            <v>21071254.569999997</v>
          </cell>
          <cell r="P237">
            <v>21745263.469999999</v>
          </cell>
          <cell r="Q237">
            <v>21723682.559999999</v>
          </cell>
          <cell r="R237">
            <v>23019398.520000003</v>
          </cell>
          <cell r="S237">
            <v>22545043.199999999</v>
          </cell>
          <cell r="T237">
            <v>22589659.199999999</v>
          </cell>
          <cell r="U237">
            <v>26196259.200000003</v>
          </cell>
        </row>
        <row r="238">
          <cell r="N238" t="str">
            <v>31111-0704</v>
          </cell>
          <cell r="O238">
            <v>11627167.509999998</v>
          </cell>
          <cell r="P238">
            <v>14655397.209999999</v>
          </cell>
          <cell r="Q238">
            <v>14297591.16</v>
          </cell>
          <cell r="R238">
            <v>11490397.750000004</v>
          </cell>
          <cell r="S238">
            <v>18012349.399999999</v>
          </cell>
          <cell r="T238">
            <v>18395381.030000001</v>
          </cell>
          <cell r="U238">
            <v>21858972.200000003</v>
          </cell>
        </row>
        <row r="239">
          <cell r="N239" t="str">
            <v>31111-0705</v>
          </cell>
          <cell r="O239">
            <v>11440456.469999999</v>
          </cell>
          <cell r="P239">
            <v>13678490.490000002</v>
          </cell>
          <cell r="Q239">
            <v>10916659.439999999</v>
          </cell>
          <cell r="R239">
            <v>9735040.9800000023</v>
          </cell>
          <cell r="S239">
            <v>13437034.300000001</v>
          </cell>
          <cell r="T239">
            <v>13986333.799999999</v>
          </cell>
          <cell r="U239">
            <v>15029696.43</v>
          </cell>
        </row>
        <row r="240">
          <cell r="N240" t="str">
            <v>31111-0706</v>
          </cell>
          <cell r="O240">
            <v>2691956.3800000013</v>
          </cell>
          <cell r="P240">
            <v>3310564.17</v>
          </cell>
          <cell r="Q240">
            <v>3269355.9000000004</v>
          </cell>
          <cell r="R240">
            <v>3296058.98</v>
          </cell>
          <cell r="S240">
            <v>4510801.45</v>
          </cell>
          <cell r="T240">
            <v>4510801.45</v>
          </cell>
          <cell r="U240">
            <v>3808814.93</v>
          </cell>
        </row>
        <row r="241">
          <cell r="N241" t="str">
            <v>31111-0708</v>
          </cell>
          <cell r="O241">
            <v>7939326.2300000004</v>
          </cell>
          <cell r="P241">
            <v>17200905.02</v>
          </cell>
          <cell r="Q241">
            <v>19293573.859999999</v>
          </cell>
          <cell r="R241">
            <v>15126605.16</v>
          </cell>
          <cell r="S241">
            <v>15398166.300000001</v>
          </cell>
          <cell r="T241">
            <v>15421511.039999999</v>
          </cell>
          <cell r="U241">
            <v>16061299.42</v>
          </cell>
        </row>
        <row r="242">
          <cell r="N242" t="str">
            <v>31111-0709</v>
          </cell>
          <cell r="O242">
            <v>6554633.089999998</v>
          </cell>
          <cell r="P242">
            <v>7540828.3399999999</v>
          </cell>
          <cell r="Q242">
            <v>6922854.8499999996</v>
          </cell>
          <cell r="R242">
            <v>6854719.040000001</v>
          </cell>
          <cell r="S242">
            <v>7688721.3999999994</v>
          </cell>
          <cell r="T242">
            <v>7688721.3999999994</v>
          </cell>
          <cell r="U242">
            <v>7686609.3299999991</v>
          </cell>
        </row>
        <row r="243">
          <cell r="N243" t="str">
            <v>31111-0801</v>
          </cell>
          <cell r="O243">
            <v>12745387.289999999</v>
          </cell>
          <cell r="P243">
            <v>14722506.279999997</v>
          </cell>
          <cell r="Q243">
            <v>14062905.909999996</v>
          </cell>
          <cell r="R243">
            <v>14190852.840000002</v>
          </cell>
          <cell r="S243">
            <v>15686114.75</v>
          </cell>
          <cell r="T243">
            <v>15701114.75</v>
          </cell>
          <cell r="U243">
            <v>16034930.140000001</v>
          </cell>
        </row>
        <row r="244">
          <cell r="N244" t="str">
            <v>31111-0901</v>
          </cell>
          <cell r="O244">
            <v>59690758.100000001</v>
          </cell>
          <cell r="P244">
            <v>53691924.909999996</v>
          </cell>
          <cell r="Q244">
            <v>52460698.670000009</v>
          </cell>
          <cell r="R244">
            <v>44086694.730000004</v>
          </cell>
          <cell r="S244">
            <v>62301597.400000006</v>
          </cell>
          <cell r="T244">
            <v>74230192.969999999</v>
          </cell>
          <cell r="U244">
            <v>75179024.88000001</v>
          </cell>
        </row>
        <row r="245">
          <cell r="N245" t="str">
            <v>31111-1001</v>
          </cell>
          <cell r="O245">
            <v>15607397.729999999</v>
          </cell>
          <cell r="P245">
            <v>18090795.439999998</v>
          </cell>
          <cell r="Q245">
            <v>17488509.770000003</v>
          </cell>
          <cell r="R245">
            <v>17437334.59</v>
          </cell>
          <cell r="S245">
            <v>20075439.699999999</v>
          </cell>
          <cell r="T245">
            <v>20078902.699999999</v>
          </cell>
          <cell r="U245">
            <v>20231477.469999999</v>
          </cell>
        </row>
        <row r="246">
          <cell r="N246" t="str">
            <v>31111-1101</v>
          </cell>
          <cell r="O246">
            <v>264311472.24000004</v>
          </cell>
          <cell r="P246">
            <v>276027254.35999995</v>
          </cell>
          <cell r="Q246">
            <v>278538656.73000002</v>
          </cell>
          <cell r="R246">
            <v>273212099.61999995</v>
          </cell>
          <cell r="S246">
            <v>255866987.24000004</v>
          </cell>
          <cell r="T246">
            <v>265147929.21000001</v>
          </cell>
          <cell r="U246">
            <v>264178645.66000003</v>
          </cell>
        </row>
        <row r="247">
          <cell r="N247" t="str">
            <v>31111-1200</v>
          </cell>
          <cell r="O247">
            <v>10532852.25</v>
          </cell>
          <cell r="P247">
            <v>12022188.370000001</v>
          </cell>
          <cell r="Q247">
            <v>11789051.609999999</v>
          </cell>
          <cell r="R247">
            <v>10295907.219999999</v>
          </cell>
          <cell r="S247">
            <v>12904323.199999999</v>
          </cell>
          <cell r="T247">
            <v>12939842.4</v>
          </cell>
          <cell r="U247">
            <v>12782134.75</v>
          </cell>
        </row>
        <row r="248">
          <cell r="N248" t="str">
            <v>31111-1201</v>
          </cell>
          <cell r="O248">
            <v>299258943.88</v>
          </cell>
          <cell r="P248">
            <v>378428309.85000002</v>
          </cell>
          <cell r="Q248">
            <v>468542051.23000008</v>
          </cell>
          <cell r="R248">
            <v>482750872.9799999</v>
          </cell>
          <cell r="S248">
            <v>376546459.69999999</v>
          </cell>
          <cell r="T248">
            <v>376577959.69999999</v>
          </cell>
          <cell r="U248">
            <v>390076762.25999999</v>
          </cell>
        </row>
        <row r="249">
          <cell r="N249" t="str">
            <v>31111-1202</v>
          </cell>
          <cell r="O249">
            <v>78358523.659999996</v>
          </cell>
          <cell r="P249">
            <v>89925973.599999994</v>
          </cell>
          <cell r="Q249">
            <v>93590501.140000001</v>
          </cell>
          <cell r="R249">
            <v>87103697.709999993</v>
          </cell>
          <cell r="S249">
            <v>89308190.519999996</v>
          </cell>
          <cell r="T249">
            <v>96999970.500000015</v>
          </cell>
          <cell r="U249">
            <v>95647992.656319886</v>
          </cell>
        </row>
        <row r="250">
          <cell r="N250" t="str">
            <v>31111-1203</v>
          </cell>
          <cell r="O250">
            <v>10752732.219999999</v>
          </cell>
          <cell r="P250">
            <v>11328621.259999998</v>
          </cell>
          <cell r="Q250">
            <v>15228339.18</v>
          </cell>
          <cell r="R250">
            <v>15219140.540000007</v>
          </cell>
          <cell r="S250">
            <v>20442421.599999998</v>
          </cell>
          <cell r="T250">
            <v>20448622.959999997</v>
          </cell>
          <cell r="U250">
            <v>22128567.310000002</v>
          </cell>
        </row>
        <row r="251">
          <cell r="N251" t="str">
            <v>31111-1204</v>
          </cell>
          <cell r="O251">
            <v>19740819.900000002</v>
          </cell>
          <cell r="P251">
            <v>25264566.579999998</v>
          </cell>
          <cell r="Q251">
            <v>31787036.170000002</v>
          </cell>
          <cell r="R251">
            <v>27506777.859999999</v>
          </cell>
          <cell r="S251">
            <v>29469115.490000002</v>
          </cell>
          <cell r="T251">
            <v>31075274.350000001</v>
          </cell>
          <cell r="U251">
            <v>31256378.970000006</v>
          </cell>
        </row>
        <row r="252">
          <cell r="N252" t="str">
            <v>31111-1205</v>
          </cell>
          <cell r="O252">
            <v>9167779.0500000007</v>
          </cell>
          <cell r="P252">
            <v>9843410.0600000005</v>
          </cell>
          <cell r="Q252">
            <v>10929715.460000001</v>
          </cell>
          <cell r="R252">
            <v>10752641.690000001</v>
          </cell>
          <cell r="S252">
            <v>13363366.940000001</v>
          </cell>
          <cell r="T252">
            <v>13433324.260000002</v>
          </cell>
          <cell r="U252">
            <v>14007375.75</v>
          </cell>
        </row>
        <row r="253">
          <cell r="N253" t="str">
            <v>31111-1301</v>
          </cell>
          <cell r="O253">
            <v>335950063.84999996</v>
          </cell>
          <cell r="P253">
            <v>344924717.43000007</v>
          </cell>
          <cell r="Q253">
            <v>606940805.38000011</v>
          </cell>
          <cell r="R253">
            <v>430505348.22999996</v>
          </cell>
          <cell r="S253">
            <v>456756922.70999992</v>
          </cell>
          <cell r="T253">
            <v>459214455.88999993</v>
          </cell>
          <cell r="U253">
            <v>585156403.07000005</v>
          </cell>
        </row>
        <row r="254">
          <cell r="N254" t="str">
            <v>31111-1501</v>
          </cell>
          <cell r="O254">
            <v>12295731.73</v>
          </cell>
          <cell r="P254">
            <v>21719160.719999999</v>
          </cell>
          <cell r="Q254">
            <v>21513298.68</v>
          </cell>
          <cell r="R254">
            <v>13112558.589999998</v>
          </cell>
          <cell r="S254">
            <v>28230258.729999997</v>
          </cell>
          <cell r="T254">
            <v>28426415.119999997</v>
          </cell>
          <cell r="U254">
            <v>28630103.289999999</v>
          </cell>
        </row>
        <row r="255">
          <cell r="N255" t="str">
            <v>31120-8201</v>
          </cell>
          <cell r="O255">
            <v>37369943.840000004</v>
          </cell>
          <cell r="P255">
            <v>37202336</v>
          </cell>
          <cell r="Q255">
            <v>37202336</v>
          </cell>
          <cell r="R255">
            <v>33313752.799999997</v>
          </cell>
          <cell r="S255">
            <v>34869943.840000004</v>
          </cell>
          <cell r="T255">
            <v>34869943.840000004</v>
          </cell>
          <cell r="U255">
            <v>34869943.840000004</v>
          </cell>
        </row>
        <row r="256">
          <cell r="N256" t="str">
            <v>31120-8301</v>
          </cell>
          <cell r="O256">
            <v>17030962.100000001</v>
          </cell>
          <cell r="P256">
            <v>17692000</v>
          </cell>
          <cell r="Q256">
            <v>17254900</v>
          </cell>
          <cell r="R256">
            <v>18075900</v>
          </cell>
          <cell r="S256">
            <v>18311220</v>
          </cell>
          <cell r="T256">
            <v>18311220</v>
          </cell>
          <cell r="U256">
            <v>18670220</v>
          </cell>
        </row>
        <row r="257">
          <cell r="N257" t="str">
            <v>31120-8401</v>
          </cell>
          <cell r="O257">
            <v>29998322.600000001</v>
          </cell>
          <cell r="P257">
            <v>29858000</v>
          </cell>
          <cell r="Q257">
            <v>31142600</v>
          </cell>
          <cell r="R257">
            <v>31142600</v>
          </cell>
          <cell r="S257">
            <v>30903029.999999996</v>
          </cell>
          <cell r="T257">
            <v>30903029.999999996</v>
          </cell>
          <cell r="U257">
            <v>31118029.999999996</v>
          </cell>
        </row>
        <row r="258">
          <cell r="N258" t="str">
            <v>31120-8501</v>
          </cell>
          <cell r="O258">
            <v>11357356</v>
          </cell>
          <cell r="P258">
            <v>6760615</v>
          </cell>
          <cell r="Q258">
            <v>6497135</v>
          </cell>
          <cell r="R258">
            <v>5208089</v>
          </cell>
          <cell r="S258">
            <v>4280000</v>
          </cell>
          <cell r="T258">
            <v>4280000</v>
          </cell>
          <cell r="U258">
            <v>4280000</v>
          </cell>
        </row>
        <row r="259">
          <cell r="N259" t="str">
            <v>31120-8601</v>
          </cell>
          <cell r="O259">
            <v>3299168.58</v>
          </cell>
          <cell r="P259">
            <v>3464127</v>
          </cell>
          <cell r="Q259">
            <v>3290921</v>
          </cell>
          <cell r="R259">
            <v>3290921</v>
          </cell>
          <cell r="S259">
            <v>3290921</v>
          </cell>
          <cell r="T259">
            <v>3290921</v>
          </cell>
          <cell r="U259">
            <v>3290921</v>
          </cell>
        </row>
        <row r="260">
          <cell r="N260" t="str">
            <v>31120-8801</v>
          </cell>
          <cell r="O260">
            <v>14040144.670000002</v>
          </cell>
          <cell r="P260">
            <v>13954441.119999999</v>
          </cell>
          <cell r="Q260">
            <v>13546401.84</v>
          </cell>
          <cell r="R260">
            <v>13450704.119999999</v>
          </cell>
          <cell r="S260">
            <v>14224381.859999999</v>
          </cell>
          <cell r="T260">
            <v>14224381.859999999</v>
          </cell>
          <cell r="U260">
            <v>14224381.859999999</v>
          </cell>
        </row>
        <row r="261">
          <cell r="N261" t="str">
            <v>31120-8901</v>
          </cell>
          <cell r="O261">
            <v>3540828</v>
          </cell>
          <cell r="P261">
            <v>3787000</v>
          </cell>
          <cell r="Q261">
            <v>3662664</v>
          </cell>
          <cell r="R261">
            <v>3409271</v>
          </cell>
          <cell r="S261">
            <v>3903704</v>
          </cell>
          <cell r="T261">
            <v>3903704</v>
          </cell>
          <cell r="U261">
            <v>3903704</v>
          </cell>
        </row>
        <row r="262">
          <cell r="N262" t="str">
            <v>31120-9001</v>
          </cell>
          <cell r="O262">
            <v>1659340</v>
          </cell>
          <cell r="P262">
            <v>1437967</v>
          </cell>
          <cell r="Q262">
            <v>2055005</v>
          </cell>
          <cell r="R262">
            <v>2040000</v>
          </cell>
          <cell r="S262">
            <v>1500000</v>
          </cell>
          <cell r="T262">
            <v>1500000</v>
          </cell>
          <cell r="U262">
            <v>2653000</v>
          </cell>
        </row>
        <row r="263">
          <cell r="N263" t="str">
            <v>31120-9101</v>
          </cell>
          <cell r="O263">
            <v>5385066</v>
          </cell>
          <cell r="P263">
            <v>5330711</v>
          </cell>
          <cell r="Q263">
            <v>5197037</v>
          </cell>
          <cell r="R263">
            <v>4662737</v>
          </cell>
          <cell r="S263">
            <v>4456493.75</v>
          </cell>
          <cell r="T263">
            <v>4456493.75</v>
          </cell>
          <cell r="U263">
            <v>4456493.75</v>
          </cell>
        </row>
        <row r="264">
          <cell r="N264" t="str">
            <v>31120-9201</v>
          </cell>
          <cell r="O264">
            <v>2746557.2199999997</v>
          </cell>
          <cell r="P264">
            <v>2742720</v>
          </cell>
          <cell r="Q264">
            <v>2674049</v>
          </cell>
          <cell r="R264">
            <v>2744048.33</v>
          </cell>
          <cell r="S264">
            <v>2838715.1999999997</v>
          </cell>
          <cell r="T264">
            <v>2838715.1999999997</v>
          </cell>
          <cell r="U264">
            <v>2838715.1999999997</v>
          </cell>
        </row>
        <row r="265">
          <cell r="N265" t="str">
            <v>31120-9301</v>
          </cell>
          <cell r="O265">
            <v>0</v>
          </cell>
          <cell r="P265">
            <v>5000000</v>
          </cell>
          <cell r="Q265">
            <v>11000000</v>
          </cell>
          <cell r="R265">
            <v>11000000</v>
          </cell>
          <cell r="S265">
            <v>5000000</v>
          </cell>
          <cell r="T265">
            <v>10000000</v>
          </cell>
          <cell r="U265">
            <v>10000000</v>
          </cell>
        </row>
        <row r="266">
          <cell r="N266" t="str">
            <v>31120-9401</v>
          </cell>
          <cell r="O266">
            <v>1211398.8500000001</v>
          </cell>
          <cell r="P266">
            <v>3280000</v>
          </cell>
          <cell r="Q266">
            <v>3200000</v>
          </cell>
          <cell r="R266">
            <v>3414497.09</v>
          </cell>
          <cell r="S266">
            <v>3394799.9999999995</v>
          </cell>
          <cell r="T266">
            <v>3394799.9999999995</v>
          </cell>
          <cell r="U266">
            <v>3394799.9999999995</v>
          </cell>
        </row>
        <row r="267">
          <cell r="N267" t="str">
            <v>E0008</v>
          </cell>
          <cell r="O267">
            <v>3396410.8600000003</v>
          </cell>
          <cell r="P267">
            <v>4076349.7599999993</v>
          </cell>
          <cell r="Q267">
            <v>3849777.7899999996</v>
          </cell>
          <cell r="R267">
            <v>3696210.919999999</v>
          </cell>
          <cell r="S267">
            <v>3545375.2</v>
          </cell>
          <cell r="T267">
            <v>3554588.5</v>
          </cell>
          <cell r="U267">
            <v>3623237.15</v>
          </cell>
        </row>
        <row r="268">
          <cell r="N268" t="str">
            <v>E0016</v>
          </cell>
          <cell r="O268">
            <v>2207205.0699999998</v>
          </cell>
          <cell r="P268">
            <v>2559051.37</v>
          </cell>
          <cell r="Q268">
            <v>2433847.6999999997</v>
          </cell>
          <cell r="R268">
            <v>2391681.4900000002</v>
          </cell>
          <cell r="S268">
            <v>2660954.9000000004</v>
          </cell>
          <cell r="T268">
            <v>2660954.9000000004</v>
          </cell>
          <cell r="U268">
            <v>2694611.7600000002</v>
          </cell>
        </row>
        <row r="269">
          <cell r="N269" t="str">
            <v>E0017</v>
          </cell>
          <cell r="O269">
            <v>3904953.1900000004</v>
          </cell>
          <cell r="P269">
            <v>4550267</v>
          </cell>
          <cell r="Q269">
            <v>6393291.2300000004</v>
          </cell>
          <cell r="R269">
            <v>3747797.9100000006</v>
          </cell>
          <cell r="S269">
            <v>6590275.2000000002</v>
          </cell>
          <cell r="T269">
            <v>6900687.2000000002</v>
          </cell>
          <cell r="U269">
            <v>6712147.8200000003</v>
          </cell>
        </row>
        <row r="270">
          <cell r="N270" t="str">
            <v>E0018</v>
          </cell>
          <cell r="O270">
            <v>2761903.3699999996</v>
          </cell>
          <cell r="P270">
            <v>3140918.2199999997</v>
          </cell>
          <cell r="Q270">
            <v>2939932.7399999998</v>
          </cell>
          <cell r="R270">
            <v>2868985.439999999</v>
          </cell>
          <cell r="S270">
            <v>3161234.1</v>
          </cell>
          <cell r="T270">
            <v>3177974.94</v>
          </cell>
          <cell r="U270">
            <v>3436926.44</v>
          </cell>
        </row>
        <row r="271">
          <cell r="N271" t="str">
            <v>E0019</v>
          </cell>
          <cell r="O271">
            <v>3730424.84</v>
          </cell>
          <cell r="P271">
            <v>4050936.62</v>
          </cell>
          <cell r="Q271">
            <v>3903877.19</v>
          </cell>
          <cell r="R271">
            <v>4035631.1899999995</v>
          </cell>
          <cell r="S271">
            <v>3931579.2</v>
          </cell>
          <cell r="T271">
            <v>3931579.2</v>
          </cell>
          <cell r="U271">
            <v>4415709.9000000004</v>
          </cell>
        </row>
        <row r="272">
          <cell r="N272" t="str">
            <v>E0020</v>
          </cell>
          <cell r="O272"/>
          <cell r="P272"/>
          <cell r="Q272"/>
          <cell r="R272"/>
          <cell r="S272">
            <v>4374632.62</v>
          </cell>
          <cell r="T272">
            <v>4374632.62</v>
          </cell>
          <cell r="U272">
            <v>3811977.5999999996</v>
          </cell>
        </row>
        <row r="273">
          <cell r="N273" t="str">
            <v>E0044</v>
          </cell>
          <cell r="O273">
            <v>3776096.4600000004</v>
          </cell>
          <cell r="P273">
            <v>4990507.37</v>
          </cell>
          <cell r="Q273">
            <v>4597626.4399999995</v>
          </cell>
          <cell r="R273">
            <v>4449500.5699999994</v>
          </cell>
          <cell r="S273">
            <v>5142737.5</v>
          </cell>
          <cell r="T273">
            <v>5178256.7</v>
          </cell>
          <cell r="U273">
            <v>5899458.9399999995</v>
          </cell>
        </row>
        <row r="274">
          <cell r="N274" t="str">
            <v>E0045</v>
          </cell>
          <cell r="O274">
            <v>10401.42</v>
          </cell>
          <cell r="P274">
            <v>345788.44</v>
          </cell>
          <cell r="Q274">
            <v>72920.5</v>
          </cell>
          <cell r="R274">
            <v>2999.66</v>
          </cell>
          <cell r="S274">
            <v>6300</v>
          </cell>
          <cell r="T274">
            <v>6300</v>
          </cell>
          <cell r="U274">
            <v>6300</v>
          </cell>
        </row>
        <row r="275">
          <cell r="N275" t="str">
            <v>E0046</v>
          </cell>
          <cell r="O275">
            <v>23602510.659999996</v>
          </cell>
          <cell r="P275">
            <v>16248903.699999999</v>
          </cell>
          <cell r="Q275">
            <v>14230074.289999999</v>
          </cell>
          <cell r="R275">
            <v>10855136.330000002</v>
          </cell>
          <cell r="S275">
            <v>11066648.699999999</v>
          </cell>
          <cell r="T275">
            <v>16024976.699999999</v>
          </cell>
          <cell r="U275">
            <v>15856420.579999998</v>
          </cell>
        </row>
        <row r="276">
          <cell r="N276" t="str">
            <v>E0048</v>
          </cell>
          <cell r="O276">
            <v>5458986.6100000013</v>
          </cell>
          <cell r="P276">
            <v>6400257.3299999991</v>
          </cell>
          <cell r="Q276">
            <v>5840893.0599999996</v>
          </cell>
          <cell r="R276">
            <v>5213361.2699999996</v>
          </cell>
          <cell r="S276">
            <v>6387279.8000000007</v>
          </cell>
          <cell r="T276">
            <v>6637279.8000000007</v>
          </cell>
          <cell r="U276">
            <v>6766589.1399999997</v>
          </cell>
        </row>
        <row r="277">
          <cell r="N277" t="str">
            <v>E0050</v>
          </cell>
          <cell r="O277">
            <v>19740819.900000002</v>
          </cell>
          <cell r="P277">
            <v>25264566.579999998</v>
          </cell>
          <cell r="Q277">
            <v>31787036.170000002</v>
          </cell>
          <cell r="R277">
            <v>27506777.859999999</v>
          </cell>
          <cell r="S277">
            <v>29469115.490000002</v>
          </cell>
          <cell r="T277">
            <v>31075274.350000001</v>
          </cell>
          <cell r="U277">
            <v>31256378.970000006</v>
          </cell>
        </row>
        <row r="278">
          <cell r="N278" t="str">
            <v>E0052</v>
          </cell>
          <cell r="O278">
            <v>1978635.98</v>
          </cell>
          <cell r="P278">
            <v>2181894.75</v>
          </cell>
          <cell r="Q278">
            <v>2154771.75</v>
          </cell>
          <cell r="R278">
            <v>2191768.9299999997</v>
          </cell>
          <cell r="S278">
            <v>2443347.2599999998</v>
          </cell>
          <cell r="T278">
            <v>2443347.2599999998</v>
          </cell>
          <cell r="U278">
            <v>2475309.5</v>
          </cell>
        </row>
        <row r="279">
          <cell r="N279" t="str">
            <v>E0054</v>
          </cell>
          <cell r="O279">
            <v>8967764.2300000004</v>
          </cell>
          <cell r="P279">
            <v>9415020.3000000007</v>
          </cell>
          <cell r="Q279">
            <v>9193896.370000001</v>
          </cell>
          <cell r="R279">
            <v>7938577.4400000004</v>
          </cell>
          <cell r="S279">
            <v>9541976.8999999985</v>
          </cell>
          <cell r="T279">
            <v>9541976.8999999985</v>
          </cell>
          <cell r="U279">
            <v>9616462.8063198663</v>
          </cell>
        </row>
        <row r="280">
          <cell r="N280" t="str">
            <v>E0055</v>
          </cell>
          <cell r="O280">
            <v>63649931.68</v>
          </cell>
          <cell r="P280">
            <v>74598823.640000001</v>
          </cell>
          <cell r="Q280">
            <v>77512158.969999999</v>
          </cell>
          <cell r="R280">
            <v>72187788.579999998</v>
          </cell>
          <cell r="S280">
            <v>71199176.419999987</v>
          </cell>
          <cell r="T280">
            <v>78890956.400000021</v>
          </cell>
          <cell r="U280">
            <v>77297941.170000017</v>
          </cell>
        </row>
        <row r="281">
          <cell r="N281" t="str">
            <v>E0056</v>
          </cell>
          <cell r="O281">
            <v>5740827.75</v>
          </cell>
          <cell r="P281">
            <v>5912129.6600000011</v>
          </cell>
          <cell r="Q281">
            <v>6884445.8000000017</v>
          </cell>
          <cell r="R281">
            <v>6977331.6899999985</v>
          </cell>
          <cell r="S281">
            <v>8567037.1999999993</v>
          </cell>
          <cell r="T281">
            <v>8567037.1999999993</v>
          </cell>
          <cell r="U281">
            <v>8733588.6799999997</v>
          </cell>
        </row>
        <row r="282">
          <cell r="N282" t="str">
            <v>E0075</v>
          </cell>
          <cell r="O282">
            <v>11627167.509999998</v>
          </cell>
          <cell r="P282">
            <v>14655397.209999999</v>
          </cell>
          <cell r="Q282">
            <v>14297591.16</v>
          </cell>
          <cell r="R282">
            <v>11490397.750000004</v>
          </cell>
          <cell r="S282">
            <v>18012349.399999999</v>
          </cell>
          <cell r="T282">
            <v>18395381.030000001</v>
          </cell>
          <cell r="U282">
            <v>21858972.200000003</v>
          </cell>
        </row>
        <row r="283">
          <cell r="N283" t="str">
            <v>E0080</v>
          </cell>
          <cell r="O283">
            <v>1469767.06</v>
          </cell>
          <cell r="P283">
            <v>2076885.7000000002</v>
          </cell>
          <cell r="Q283">
            <v>2174469.1799999997</v>
          </cell>
          <cell r="R283">
            <v>2222764.3800000004</v>
          </cell>
          <cell r="S283">
            <v>2531733.4</v>
          </cell>
          <cell r="T283">
            <v>2531733.4</v>
          </cell>
          <cell r="U283">
            <v>2605575.0499999998</v>
          </cell>
        </row>
        <row r="284">
          <cell r="N284" t="str">
            <v>E0081</v>
          </cell>
          <cell r="O284">
            <v>706198.84</v>
          </cell>
          <cell r="P284">
            <v>702503.94000000006</v>
          </cell>
          <cell r="Q284">
            <v>852383.01</v>
          </cell>
          <cell r="R284">
            <v>754760.45999999985</v>
          </cell>
          <cell r="S284">
            <v>1341274.5999999999</v>
          </cell>
          <cell r="T284">
            <v>1341274.5999999999</v>
          </cell>
          <cell r="U284">
            <v>1393425.9899999998</v>
          </cell>
        </row>
        <row r="285">
          <cell r="N285" t="str">
            <v>E0082</v>
          </cell>
          <cell r="O285">
            <v>2159066.8100000005</v>
          </cell>
          <cell r="P285">
            <v>2266039.6800000002</v>
          </cell>
          <cell r="Q285">
            <v>2652052.06</v>
          </cell>
          <cell r="R285">
            <v>2586630.75</v>
          </cell>
          <cell r="S285">
            <v>2737932</v>
          </cell>
          <cell r="T285">
            <v>2737932</v>
          </cell>
          <cell r="U285">
            <v>2893568.0100000002</v>
          </cell>
        </row>
        <row r="286">
          <cell r="N286" t="str">
            <v>E0083</v>
          </cell>
          <cell r="O286">
            <v>4832746.34</v>
          </cell>
          <cell r="P286">
            <v>4797980.74</v>
          </cell>
          <cell r="Q286">
            <v>5250811.2100000009</v>
          </cell>
          <cell r="R286">
            <v>5188486.1000000006</v>
          </cell>
          <cell r="S286">
            <v>6752426.9400000004</v>
          </cell>
          <cell r="T286">
            <v>6822384.2600000007</v>
          </cell>
          <cell r="U286">
            <v>7114806.6999999993</v>
          </cell>
        </row>
        <row r="287">
          <cell r="N287" t="str">
            <v>E0095</v>
          </cell>
          <cell r="O287">
            <v>40652556.840000004</v>
          </cell>
          <cell r="P287">
            <v>32682962.120000001</v>
          </cell>
          <cell r="Q287">
            <v>31137374.470000006</v>
          </cell>
          <cell r="R287">
            <v>22794614.630000003</v>
          </cell>
          <cell r="S287">
            <v>39466916.700000003</v>
          </cell>
          <cell r="T287">
            <v>51382415.869999997</v>
          </cell>
          <cell r="U287">
            <v>51352447.750000007</v>
          </cell>
        </row>
        <row r="288">
          <cell r="N288" t="str">
            <v>E0097</v>
          </cell>
          <cell r="O288">
            <v>4803032.3299999973</v>
          </cell>
          <cell r="P288">
            <v>5122888.5399999991</v>
          </cell>
          <cell r="Q288">
            <v>5182438.78</v>
          </cell>
          <cell r="R288">
            <v>5070264.1300000008</v>
          </cell>
          <cell r="S288">
            <v>5817348</v>
          </cell>
          <cell r="T288">
            <v>5817348</v>
          </cell>
          <cell r="U288">
            <v>5894293.8599999994</v>
          </cell>
        </row>
        <row r="289">
          <cell r="N289" t="str">
            <v>E0098</v>
          </cell>
          <cell r="O289">
            <v>3385077.4000000004</v>
          </cell>
          <cell r="P289">
            <v>3775208.3699999996</v>
          </cell>
          <cell r="Q289">
            <v>4055967.85</v>
          </cell>
          <cell r="R289">
            <v>4078670.79</v>
          </cell>
          <cell r="S289">
            <v>4286808.9000000004</v>
          </cell>
          <cell r="T289">
            <v>4286808.9000000004</v>
          </cell>
          <cell r="U289">
            <v>4093989.7700000005</v>
          </cell>
        </row>
        <row r="290">
          <cell r="N290" t="str">
            <v>E0101</v>
          </cell>
          <cell r="O290">
            <v>7419288.0000000009</v>
          </cell>
          <cell r="P290">
            <v>9192698.5300000012</v>
          </cell>
          <cell r="Q290">
            <v>8250103.1400000006</v>
          </cell>
          <cell r="R290">
            <v>8288399.669999999</v>
          </cell>
          <cell r="S290">
            <v>9971282.7999999989</v>
          </cell>
          <cell r="T290">
            <v>9974745.7999999989</v>
          </cell>
          <cell r="U290">
            <v>10243193.84</v>
          </cell>
        </row>
        <row r="291">
          <cell r="N291" t="str">
            <v>E0104</v>
          </cell>
          <cell r="O291">
            <v>8033808.4499999983</v>
          </cell>
          <cell r="P291">
            <v>11267797.149999999</v>
          </cell>
          <cell r="Q291">
            <v>9337879.0599999987</v>
          </cell>
          <cell r="R291">
            <v>8493043.2300000004</v>
          </cell>
          <cell r="S291">
            <v>10019132.620000001</v>
          </cell>
          <cell r="T291">
            <v>10019132.620000001</v>
          </cell>
          <cell r="U291">
            <v>10159331.98</v>
          </cell>
        </row>
        <row r="292">
          <cell r="N292" t="str">
            <v>E0106</v>
          </cell>
          <cell r="O292">
            <v>43956768.020000011</v>
          </cell>
          <cell r="P292">
            <v>49104236.089999996</v>
          </cell>
          <cell r="Q292">
            <v>56456352.900000006</v>
          </cell>
          <cell r="R292">
            <v>55652476.640000001</v>
          </cell>
          <cell r="S292">
            <v>50796095.700000003</v>
          </cell>
          <cell r="T292">
            <v>55364225.130000003</v>
          </cell>
          <cell r="U292">
            <v>55062172.510000005</v>
          </cell>
        </row>
        <row r="293">
          <cell r="N293" t="str">
            <v>E0107</v>
          </cell>
          <cell r="O293">
            <v>9472608.5599999968</v>
          </cell>
          <cell r="P293">
            <v>10493071.699999999</v>
          </cell>
          <cell r="Q293">
            <v>11547632</v>
          </cell>
          <cell r="R293">
            <v>11240666.700000001</v>
          </cell>
          <cell r="S293">
            <v>10426709.100000001</v>
          </cell>
          <cell r="T293">
            <v>10426709.100000001</v>
          </cell>
          <cell r="U293">
            <v>11424959.35</v>
          </cell>
        </row>
        <row r="294">
          <cell r="N294" t="str">
            <v>E0108</v>
          </cell>
          <cell r="O294">
            <v>110217156.35000002</v>
          </cell>
          <cell r="P294">
            <v>112875129.98</v>
          </cell>
          <cell r="Q294">
            <v>105043488.67</v>
          </cell>
          <cell r="R294">
            <v>101797223.31999999</v>
          </cell>
          <cell r="S294">
            <v>92381487.600000009</v>
          </cell>
          <cell r="T294">
            <v>92443237.600000009</v>
          </cell>
          <cell r="U294">
            <v>90634485.010000005</v>
          </cell>
        </row>
        <row r="295">
          <cell r="N295" t="str">
            <v>E0109</v>
          </cell>
          <cell r="O295">
            <v>5549879.9899999993</v>
          </cell>
          <cell r="P295">
            <v>6147302.0199999996</v>
          </cell>
          <cell r="Q295">
            <v>7016742.9699999988</v>
          </cell>
          <cell r="R295">
            <v>7130499.0200000005</v>
          </cell>
          <cell r="S295">
            <v>6816906.3000000007</v>
          </cell>
          <cell r="T295">
            <v>6816906.3000000007</v>
          </cell>
          <cell r="U295">
            <v>7006150.0800000001</v>
          </cell>
        </row>
        <row r="296">
          <cell r="N296" t="str">
            <v>E0110</v>
          </cell>
          <cell r="O296">
            <v>8404768.129999999</v>
          </cell>
          <cell r="P296">
            <v>9353894.5699999984</v>
          </cell>
          <cell r="Q296">
            <v>9240745.9999999981</v>
          </cell>
          <cell r="R296">
            <v>9395929.0300000012</v>
          </cell>
          <cell r="S296">
            <v>10864016.92</v>
          </cell>
          <cell r="T296">
            <v>10864016.92</v>
          </cell>
          <cell r="U296">
            <v>9884428.4000000004</v>
          </cell>
        </row>
        <row r="297">
          <cell r="N297" t="str">
            <v>E0111</v>
          </cell>
          <cell r="O297">
            <v>70712356.910000011</v>
          </cell>
          <cell r="P297">
            <v>70394565.689999998</v>
          </cell>
          <cell r="Q297">
            <v>73585466.430000007</v>
          </cell>
          <cell r="R297">
            <v>73883499.150000006</v>
          </cell>
          <cell r="S297">
            <v>68152799.799999997</v>
          </cell>
          <cell r="T297">
            <v>72749799.799999997</v>
          </cell>
          <cell r="U297">
            <v>73514231.700000003</v>
          </cell>
        </row>
        <row r="298">
          <cell r="N298" t="str">
            <v>E0113</v>
          </cell>
          <cell r="O298">
            <v>7964125.8300000001</v>
          </cell>
          <cell r="P298">
            <v>6391257.1600000001</v>
          </cell>
          <cell r="Q298">
            <v>6310348.7000000002</v>
          </cell>
          <cell r="R298">
            <v>5618762.5300000003</v>
          </cell>
          <cell r="S298">
            <v>6409839.1999999993</v>
          </cell>
          <cell r="T298">
            <v>6463901.7400000002</v>
          </cell>
          <cell r="U298">
            <v>6492886.6299999999</v>
          </cell>
        </row>
        <row r="299">
          <cell r="N299" t="str">
            <v>E0116</v>
          </cell>
          <cell r="O299">
            <v>183797473.59</v>
          </cell>
          <cell r="P299">
            <v>292251612.83000004</v>
          </cell>
          <cell r="Q299">
            <v>344010433.47000003</v>
          </cell>
          <cell r="R299">
            <v>362440684.57999992</v>
          </cell>
          <cell r="S299">
            <v>251692758.29999995</v>
          </cell>
          <cell r="T299">
            <v>251724258.29999995</v>
          </cell>
          <cell r="U299">
            <v>266219526.19999996</v>
          </cell>
        </row>
        <row r="300">
          <cell r="N300" t="str">
            <v>E0118</v>
          </cell>
          <cell r="O300">
            <v>41455575.439999998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N301" t="str">
            <v>E0159</v>
          </cell>
          <cell r="O301">
            <v>4997473.3100000005</v>
          </cell>
          <cell r="P301">
            <v>5127748.2</v>
          </cell>
          <cell r="Q301">
            <v>5160698.24</v>
          </cell>
          <cell r="R301">
            <v>5113936.83</v>
          </cell>
          <cell r="S301">
            <v>5620634.7000000002</v>
          </cell>
          <cell r="T301">
            <v>5620634.7000000002</v>
          </cell>
          <cell r="U301">
            <v>5625134.4500000002</v>
          </cell>
        </row>
        <row r="302">
          <cell r="N302" t="str">
            <v>E0274</v>
          </cell>
          <cell r="O302">
            <v>283920.58999999997</v>
          </cell>
          <cell r="P302">
            <v>2259196</v>
          </cell>
          <cell r="Q302">
            <v>2183500</v>
          </cell>
          <cell r="R302">
            <v>1043791.8899999999</v>
          </cell>
          <cell r="S302">
            <v>1221360</v>
          </cell>
          <cell r="T302">
            <v>1221360</v>
          </cell>
          <cell r="U302">
            <v>1221360</v>
          </cell>
        </row>
        <row r="303">
          <cell r="N303" t="str">
            <v>E0289</v>
          </cell>
          <cell r="O303">
            <v>250812.02999999997</v>
          </cell>
          <cell r="P303">
            <v>267771.75</v>
          </cell>
          <cell r="Q303">
            <v>284753.56999999995</v>
          </cell>
          <cell r="R303">
            <v>240126.35000000003</v>
          </cell>
          <cell r="S303">
            <v>286503.5</v>
          </cell>
          <cell r="T303">
            <v>286503.5</v>
          </cell>
          <cell r="U303">
            <v>298008.16000000003</v>
          </cell>
        </row>
        <row r="304">
          <cell r="N304" t="str">
            <v>E0292</v>
          </cell>
          <cell r="O304">
            <v>199999.98</v>
          </cell>
          <cell r="P304">
            <v>400000</v>
          </cell>
          <cell r="Q304">
            <v>250000</v>
          </cell>
          <cell r="R304">
            <v>172161.78</v>
          </cell>
          <cell r="S304">
            <v>300000</v>
          </cell>
          <cell r="T304">
            <v>377838.11000000004</v>
          </cell>
          <cell r="U304">
            <v>377838.11000000004</v>
          </cell>
        </row>
        <row r="305">
          <cell r="N305" t="str">
            <v>E0305</v>
          </cell>
          <cell r="O305">
            <v>3320243.0899999994</v>
          </cell>
          <cell r="P305">
            <v>3126426.92</v>
          </cell>
          <cell r="Q305">
            <v>3440618.9799999995</v>
          </cell>
          <cell r="R305">
            <v>3094285.1099999989</v>
          </cell>
          <cell r="S305">
            <v>2806083.4000000004</v>
          </cell>
          <cell r="T305">
            <v>3002239.8000000003</v>
          </cell>
          <cell r="U305">
            <v>3178749.3099999996</v>
          </cell>
        </row>
        <row r="306">
          <cell r="N306" t="str">
            <v>E0307</v>
          </cell>
          <cell r="O306">
            <v>4678338.8900000006</v>
          </cell>
          <cell r="P306">
            <v>5487652.419999999</v>
          </cell>
          <cell r="Q306">
            <v>5605820.6799999997</v>
          </cell>
          <cell r="R306">
            <v>5604256.4900000002</v>
          </cell>
          <cell r="S306">
            <v>6058045.3999999994</v>
          </cell>
          <cell r="T306">
            <v>6058045.3999999994</v>
          </cell>
          <cell r="U306">
            <v>5794289.5199999996</v>
          </cell>
        </row>
        <row r="307">
          <cell r="N307" t="str">
            <v>E0308</v>
          </cell>
          <cell r="O307">
            <v>23480.65</v>
          </cell>
          <cell r="P307">
            <v>21000</v>
          </cell>
          <cell r="Q307">
            <v>21250</v>
          </cell>
          <cell r="R307">
            <v>16124.84</v>
          </cell>
          <cell r="S307">
            <v>25250</v>
          </cell>
          <cell r="T307">
            <v>25250</v>
          </cell>
          <cell r="U307">
            <v>25250</v>
          </cell>
        </row>
        <row r="308">
          <cell r="N308" t="str">
            <v>E0309</v>
          </cell>
          <cell r="O308">
            <v>985810.4</v>
          </cell>
          <cell r="P308">
            <v>1318624.58</v>
          </cell>
          <cell r="Q308">
            <v>1445502.2799999998</v>
          </cell>
          <cell r="R308">
            <v>1378771.7999999998</v>
          </cell>
          <cell r="S308">
            <v>1390943.6999999997</v>
          </cell>
          <cell r="T308">
            <v>1390943.6999999997</v>
          </cell>
          <cell r="U308">
            <v>1401284.94</v>
          </cell>
        </row>
        <row r="309">
          <cell r="N309" t="str">
            <v>E0310</v>
          </cell>
          <cell r="O309">
            <v>460500</v>
          </cell>
          <cell r="P309">
            <v>8000000</v>
          </cell>
          <cell r="Q309">
            <v>7750257.5000000009</v>
          </cell>
          <cell r="R309">
            <v>0</v>
          </cell>
          <cell r="S309">
            <v>15080255.229999999</v>
          </cell>
          <cell r="T309">
            <v>15080255.219999999</v>
          </cell>
          <cell r="U309">
            <v>15080255.219999999</v>
          </cell>
        </row>
        <row r="310">
          <cell r="N310" t="str">
            <v>E0311</v>
          </cell>
          <cell r="O310">
            <v>131728.15</v>
          </cell>
          <cell r="P310">
            <v>140000</v>
          </cell>
          <cell r="Q310">
            <v>144510.41</v>
          </cell>
          <cell r="R310">
            <v>137083.87</v>
          </cell>
          <cell r="S310">
            <v>147000</v>
          </cell>
          <cell r="T310">
            <v>147000</v>
          </cell>
          <cell r="U310">
            <v>147000</v>
          </cell>
        </row>
        <row r="311">
          <cell r="N311" t="str">
            <v>F0040</v>
          </cell>
          <cell r="O311">
            <v>12774691.529999999</v>
          </cell>
          <cell r="P311">
            <v>16046993.960000001</v>
          </cell>
          <cell r="Q311">
            <v>15250517.16</v>
          </cell>
          <cell r="R311">
            <v>14580172.480000002</v>
          </cell>
          <cell r="S311">
            <v>12209071.1</v>
          </cell>
          <cell r="T311">
            <v>12509071.1</v>
          </cell>
          <cell r="U311">
            <v>12535088.390000001</v>
          </cell>
        </row>
        <row r="312">
          <cell r="N312" t="str">
            <v>F0041</v>
          </cell>
          <cell r="O312">
            <v>4414216.74</v>
          </cell>
          <cell r="P312">
            <v>7243699.8399999999</v>
          </cell>
          <cell r="Q312">
            <v>5460999.5300000003</v>
          </cell>
          <cell r="R312">
            <v>2951397.2699999996</v>
          </cell>
          <cell r="S312">
            <v>5504386.6999999993</v>
          </cell>
          <cell r="T312">
            <v>5504386.6999999993</v>
          </cell>
          <cell r="U312">
            <v>5130792.83</v>
          </cell>
        </row>
        <row r="313">
          <cell r="N313" t="str">
            <v>J0068</v>
          </cell>
          <cell r="O313">
            <v>52513722.5</v>
          </cell>
          <cell r="P313">
            <v>62146965.560000002</v>
          </cell>
          <cell r="Q313">
            <v>62684500.560000002</v>
          </cell>
          <cell r="R313">
            <v>63851035.399999999</v>
          </cell>
          <cell r="S313">
            <v>70825136.839999989</v>
          </cell>
          <cell r="T313">
            <v>70825136.839999989</v>
          </cell>
          <cell r="U313">
            <v>70825136.839999989</v>
          </cell>
        </row>
        <row r="314">
          <cell r="N314" t="str">
            <v>K0002</v>
          </cell>
          <cell r="O314">
            <v>4858811.05</v>
          </cell>
          <cell r="P314">
            <v>6726141.9399999995</v>
          </cell>
          <cell r="Q314">
            <v>5961582.7199999988</v>
          </cell>
          <cell r="R314">
            <v>4954409.0699999994</v>
          </cell>
          <cell r="S314">
            <v>7310286.9000000004</v>
          </cell>
          <cell r="T314">
            <v>7328868.9000000004</v>
          </cell>
          <cell r="U314">
            <v>7492700.3499999996</v>
          </cell>
        </row>
        <row r="315">
          <cell r="N315" t="str">
            <v>K0003</v>
          </cell>
          <cell r="O315">
            <v>3372089.45</v>
          </cell>
          <cell r="P315">
            <v>5391165.4900000002</v>
          </cell>
          <cell r="Q315">
            <v>5239592.8899999997</v>
          </cell>
          <cell r="R315">
            <v>4836203.34</v>
          </cell>
          <cell r="S315">
            <v>4761424.0999999996</v>
          </cell>
          <cell r="T315">
            <v>6761424.0999999996</v>
          </cell>
          <cell r="U315">
            <v>6879678.04</v>
          </cell>
        </row>
        <row r="316">
          <cell r="N316" t="str">
            <v>M0073</v>
          </cell>
          <cell r="O316">
            <v>7635026.9800000004</v>
          </cell>
          <cell r="P316">
            <v>10697499.25</v>
          </cell>
          <cell r="Q316">
            <v>8180541.9700000007</v>
          </cell>
          <cell r="R316">
            <v>8112327.2800000003</v>
          </cell>
          <cell r="S316">
            <v>9337342.0199999977</v>
          </cell>
          <cell r="T316">
            <v>9376342.0199999977</v>
          </cell>
          <cell r="U316">
            <v>9561992.1499999985</v>
          </cell>
        </row>
        <row r="317">
          <cell r="N317" t="str">
            <v>O0001</v>
          </cell>
          <cell r="O317">
            <v>23470537.839999992</v>
          </cell>
          <cell r="P317">
            <v>25185398.020000003</v>
          </cell>
          <cell r="Q317">
            <v>24989436.13000001</v>
          </cell>
          <cell r="R317">
            <v>25171376.560000002</v>
          </cell>
          <cell r="S317">
            <v>26437727.099999994</v>
          </cell>
          <cell r="T317">
            <v>26437727.099999994</v>
          </cell>
          <cell r="U317">
            <v>26601716.700000007</v>
          </cell>
        </row>
        <row r="318">
          <cell r="N318" t="str">
            <v>O0005</v>
          </cell>
          <cell r="O318">
            <v>13633676.169999996</v>
          </cell>
          <cell r="P318">
            <v>15225301.26</v>
          </cell>
          <cell r="Q318">
            <v>17405204.530000001</v>
          </cell>
          <cell r="R318">
            <v>17038070.119999994</v>
          </cell>
          <cell r="S318">
            <v>17715635.5</v>
          </cell>
          <cell r="T318">
            <v>18577793.329999998</v>
          </cell>
          <cell r="U318">
            <v>18455960.350000001</v>
          </cell>
        </row>
        <row r="319">
          <cell r="N319" t="str">
            <v>O0015</v>
          </cell>
          <cell r="O319">
            <v>7355503.5</v>
          </cell>
          <cell r="P319">
            <v>7914071.4000000004</v>
          </cell>
          <cell r="Q319">
            <v>8268283.4900000002</v>
          </cell>
          <cell r="R319">
            <v>8324838.5900000008</v>
          </cell>
          <cell r="S319">
            <v>8075186.0999999996</v>
          </cell>
          <cell r="T319">
            <v>8075186.0999999996</v>
          </cell>
          <cell r="U319">
            <v>9615863.0800000001</v>
          </cell>
        </row>
        <row r="320">
          <cell r="N320" t="str">
            <v>O0020</v>
          </cell>
          <cell r="O320">
            <v>2825159.43</v>
          </cell>
          <cell r="P320">
            <v>3039998.6799999997</v>
          </cell>
          <cell r="Q320">
            <v>2971298.07</v>
          </cell>
          <cell r="R320">
            <v>2881627.84</v>
          </cell>
          <cell r="S320">
            <v>3078086.6999999997</v>
          </cell>
          <cell r="T320">
            <v>3078086.6999999997</v>
          </cell>
          <cell r="U320">
            <v>3143926.3599999994</v>
          </cell>
        </row>
        <row r="321">
          <cell r="N321" t="str">
            <v>O0035</v>
          </cell>
          <cell r="O321">
            <v>1480216.6899999997</v>
          </cell>
          <cell r="P321">
            <v>1784896.7399999998</v>
          </cell>
          <cell r="Q321">
            <v>1573006.1099999999</v>
          </cell>
          <cell r="R321">
            <v>1604741.21</v>
          </cell>
          <cell r="S321">
            <v>1652160.2999999996</v>
          </cell>
          <cell r="T321">
            <v>1654532.6199999996</v>
          </cell>
          <cell r="U321">
            <v>1692717.66</v>
          </cell>
        </row>
        <row r="322">
          <cell r="N322" t="str">
            <v>O0036</v>
          </cell>
          <cell r="O322">
            <v>5647244.0200000005</v>
          </cell>
          <cell r="P322">
            <v>5817318.2300000004</v>
          </cell>
          <cell r="Q322">
            <v>5840712.5600000005</v>
          </cell>
          <cell r="R322">
            <v>5777979.96</v>
          </cell>
          <cell r="S322">
            <v>6455465.3100000005</v>
          </cell>
          <cell r="T322">
            <v>6455465.3100000005</v>
          </cell>
          <cell r="U322">
            <v>6520949.5</v>
          </cell>
        </row>
        <row r="323">
          <cell r="N323" t="str">
            <v>O0037</v>
          </cell>
          <cell r="O323">
            <v>2607877</v>
          </cell>
          <cell r="P323">
            <v>3671334.96</v>
          </cell>
          <cell r="Q323">
            <v>2149675.4300000002</v>
          </cell>
          <cell r="R323">
            <v>1923769.23</v>
          </cell>
          <cell r="S323">
            <v>2058184.1</v>
          </cell>
          <cell r="T323">
            <v>2058184.1</v>
          </cell>
          <cell r="U323">
            <v>2260796.91</v>
          </cell>
        </row>
        <row r="324">
          <cell r="N324" t="str">
            <v>O0038</v>
          </cell>
          <cell r="O324">
            <v>501123.71</v>
          </cell>
          <cell r="P324">
            <v>712538.16000000015</v>
          </cell>
          <cell r="Q324">
            <v>696378.36000000022</v>
          </cell>
          <cell r="R324">
            <v>709096.27</v>
          </cell>
          <cell r="S324">
            <v>1061142.4000000001</v>
          </cell>
          <cell r="T324">
            <v>1061142.4000000001</v>
          </cell>
          <cell r="U324">
            <v>1427468.08</v>
          </cell>
        </row>
        <row r="325">
          <cell r="N325" t="str">
            <v>O0039</v>
          </cell>
          <cell r="O325">
            <v>334352.13999999996</v>
          </cell>
          <cell r="P325">
            <v>530862.54</v>
          </cell>
          <cell r="Q325">
            <v>25000</v>
          </cell>
          <cell r="R325">
            <v>7375.9</v>
          </cell>
          <cell r="S325">
            <v>0</v>
          </cell>
          <cell r="T325">
            <v>0</v>
          </cell>
          <cell r="U325">
            <v>0</v>
          </cell>
        </row>
        <row r="326">
          <cell r="N326" t="str">
            <v>O0040</v>
          </cell>
          <cell r="O326">
            <v>529349.43000000005</v>
          </cell>
          <cell r="P326">
            <v>664158.53</v>
          </cell>
          <cell r="Q326">
            <v>572266.83000000007</v>
          </cell>
          <cell r="R326">
            <v>552677.17999999993</v>
          </cell>
          <cell r="S326">
            <v>824560.59999999986</v>
          </cell>
          <cell r="T326">
            <v>824560.59999999986</v>
          </cell>
          <cell r="U326">
            <v>843039.19000000006</v>
          </cell>
        </row>
        <row r="327">
          <cell r="N327" t="str">
            <v>O0058</v>
          </cell>
          <cell r="O327">
            <v>1634935.58</v>
          </cell>
          <cell r="P327">
            <v>2062552.1699999997</v>
          </cell>
          <cell r="Q327">
            <v>1719145.53</v>
          </cell>
          <cell r="R327">
            <v>1546278.7899999996</v>
          </cell>
          <cell r="S327">
            <v>1678750.1000000003</v>
          </cell>
          <cell r="T327">
            <v>1678750.1000000003</v>
          </cell>
          <cell r="U327">
            <v>1701057.6799999997</v>
          </cell>
        </row>
        <row r="328">
          <cell r="N328" t="str">
            <v>O0059</v>
          </cell>
          <cell r="O328">
            <v>625276.93999999994</v>
          </cell>
          <cell r="P328">
            <v>737262.42</v>
          </cell>
          <cell r="Q328">
            <v>737964.73</v>
          </cell>
          <cell r="R328">
            <v>735669.42999999982</v>
          </cell>
          <cell r="S328">
            <v>759601.89999999991</v>
          </cell>
          <cell r="T328">
            <v>759601.89999999991</v>
          </cell>
          <cell r="U328">
            <v>785815.2300000001</v>
          </cell>
        </row>
        <row r="329">
          <cell r="N329" t="str">
            <v>O0060</v>
          </cell>
          <cell r="O329">
            <v>35785354.800000004</v>
          </cell>
          <cell r="P329">
            <v>45680502.519999996</v>
          </cell>
          <cell r="Q329">
            <v>48731249.900000006</v>
          </cell>
          <cell r="R329">
            <v>43504837.560000017</v>
          </cell>
          <cell r="S329">
            <v>49015513.899999999</v>
          </cell>
          <cell r="T329">
            <v>49059792.979999997</v>
          </cell>
          <cell r="U329">
            <v>43893764.649999991</v>
          </cell>
        </row>
        <row r="330">
          <cell r="N330" t="str">
            <v>O0062</v>
          </cell>
          <cell r="O330">
            <v>6742413.2000000002</v>
          </cell>
          <cell r="P330">
            <v>6519506.75</v>
          </cell>
          <cell r="Q330">
            <v>6617001.7100000009</v>
          </cell>
          <cell r="R330">
            <v>6882696.6399999997</v>
          </cell>
          <cell r="S330">
            <v>7547018.2000000011</v>
          </cell>
          <cell r="T330">
            <v>7708250.2500000009</v>
          </cell>
          <cell r="U330">
            <v>7861146.2999999998</v>
          </cell>
        </row>
        <row r="331">
          <cell r="N331" t="str">
            <v>O0063</v>
          </cell>
          <cell r="O331">
            <v>37716976.740000002</v>
          </cell>
          <cell r="P331">
            <v>40454235.829999998</v>
          </cell>
          <cell r="Q331">
            <v>39011468.460000001</v>
          </cell>
          <cell r="R331">
            <v>37925437.199999996</v>
          </cell>
          <cell r="S331">
            <v>47088912.369999997</v>
          </cell>
          <cell r="T331">
            <v>47101821.369999997</v>
          </cell>
          <cell r="U331">
            <v>41969896.440000005</v>
          </cell>
        </row>
        <row r="332">
          <cell r="N332" t="str">
            <v>O0069</v>
          </cell>
          <cell r="O332">
            <v>923145.72</v>
          </cell>
          <cell r="P332">
            <v>1204657.3999999999</v>
          </cell>
          <cell r="Q332">
            <v>1182777.3999999999</v>
          </cell>
          <cell r="R332">
            <v>1047540.79</v>
          </cell>
          <cell r="S332">
            <v>1494058.7</v>
          </cell>
          <cell r="T332">
            <v>1494058.7</v>
          </cell>
          <cell r="U332">
            <v>1524580.5899999999</v>
          </cell>
        </row>
        <row r="333">
          <cell r="N333" t="str">
            <v>O0070</v>
          </cell>
          <cell r="O333">
            <v>681542.9</v>
          </cell>
          <cell r="P333">
            <v>672049.82000000007</v>
          </cell>
          <cell r="Q333">
            <v>754880.99</v>
          </cell>
          <cell r="R333">
            <v>826561.74</v>
          </cell>
          <cell r="S333">
            <v>991375.20000000007</v>
          </cell>
          <cell r="T333">
            <v>991375.20000000007</v>
          </cell>
          <cell r="U333">
            <v>1020059.6</v>
          </cell>
        </row>
        <row r="334">
          <cell r="N334" t="str">
            <v>O0072</v>
          </cell>
          <cell r="O334">
            <v>5222470.0999999996</v>
          </cell>
          <cell r="P334">
            <v>7338097.6199999992</v>
          </cell>
          <cell r="Q334">
            <v>7133600.6400000006</v>
          </cell>
          <cell r="R334">
            <v>4905496.26</v>
          </cell>
          <cell r="S334">
            <v>6864648.7999999998</v>
          </cell>
          <cell r="T334">
            <v>6864648.7999999998</v>
          </cell>
          <cell r="U334">
            <v>6987872.0800000001</v>
          </cell>
        </row>
        <row r="335">
          <cell r="N335" t="str">
            <v>O0074</v>
          </cell>
          <cell r="O335">
            <v>13836322.189999996</v>
          </cell>
          <cell r="P335">
            <v>15094983.92</v>
          </cell>
          <cell r="Q335">
            <v>15196854.77</v>
          </cell>
          <cell r="R335">
            <v>14915972.390000001</v>
          </cell>
          <cell r="S335">
            <v>15583107.299999999</v>
          </cell>
          <cell r="T335">
            <v>15625307.299999999</v>
          </cell>
          <cell r="U335">
            <v>18758784.360000003</v>
          </cell>
        </row>
        <row r="336">
          <cell r="N336" t="str">
            <v>O0076</v>
          </cell>
          <cell r="O336">
            <v>11440456.469999999</v>
          </cell>
          <cell r="P336">
            <v>13678490.490000002</v>
          </cell>
          <cell r="Q336">
            <v>10916659.439999999</v>
          </cell>
          <cell r="R336">
            <v>9735040.9800000023</v>
          </cell>
          <cell r="S336">
            <v>13437034.300000001</v>
          </cell>
          <cell r="T336">
            <v>13986333.799999999</v>
          </cell>
          <cell r="U336">
            <v>15029696.43</v>
          </cell>
        </row>
        <row r="337">
          <cell r="N337" t="str">
            <v>O0078</v>
          </cell>
          <cell r="O337">
            <v>2691956.3800000013</v>
          </cell>
          <cell r="P337">
            <v>3310564.17</v>
          </cell>
          <cell r="Q337">
            <v>3269355.9000000004</v>
          </cell>
          <cell r="R337">
            <v>3296058.98</v>
          </cell>
          <cell r="S337">
            <v>4510801.45</v>
          </cell>
          <cell r="T337">
            <v>4510801.45</v>
          </cell>
          <cell r="U337">
            <v>3808814.93</v>
          </cell>
        </row>
        <row r="338">
          <cell r="N338" t="str">
            <v>O0084</v>
          </cell>
          <cell r="O338">
            <v>4750023.91</v>
          </cell>
          <cell r="P338">
            <v>4946041.4399999995</v>
          </cell>
          <cell r="Q338">
            <v>6479426.870000001</v>
          </cell>
          <cell r="R338">
            <v>6216743.6399999987</v>
          </cell>
          <cell r="S338">
            <v>8121748.7000000002</v>
          </cell>
          <cell r="T338">
            <v>5821753.7000000002</v>
          </cell>
          <cell r="U338">
            <v>5885666.3100000005</v>
          </cell>
        </row>
        <row r="339">
          <cell r="N339" t="str">
            <v>O0085</v>
          </cell>
          <cell r="O339">
            <v>3189302.3200000003</v>
          </cell>
          <cell r="P339">
            <v>12254863.58</v>
          </cell>
          <cell r="Q339">
            <v>12814146.99</v>
          </cell>
          <cell r="R339">
            <v>8909861.5200000014</v>
          </cell>
          <cell r="S339">
            <v>7276417.5999999996</v>
          </cell>
          <cell r="T339">
            <v>9599757.3399999999</v>
          </cell>
          <cell r="U339">
            <v>10175633.109999999</v>
          </cell>
        </row>
        <row r="340">
          <cell r="N340" t="str">
            <v>O0086</v>
          </cell>
          <cell r="O340">
            <v>2294540.44</v>
          </cell>
          <cell r="P340">
            <v>2609244.7400000002</v>
          </cell>
          <cell r="Q340">
            <v>2279127.6599999997</v>
          </cell>
          <cell r="R340">
            <v>2026900.7600000005</v>
          </cell>
          <cell r="S340">
            <v>1823012.5</v>
          </cell>
          <cell r="T340">
            <v>1823012.5</v>
          </cell>
          <cell r="U340">
            <v>1856322.5999999996</v>
          </cell>
        </row>
        <row r="341">
          <cell r="N341" t="str">
            <v>O0087</v>
          </cell>
          <cell r="O341">
            <v>4260092.6499999985</v>
          </cell>
          <cell r="P341">
            <v>4931583.5999999996</v>
          </cell>
          <cell r="Q341">
            <v>4643727.1899999995</v>
          </cell>
          <cell r="R341">
            <v>4827818.28</v>
          </cell>
          <cell r="S341">
            <v>5865708.8999999994</v>
          </cell>
          <cell r="T341">
            <v>5865708.8999999994</v>
          </cell>
          <cell r="U341">
            <v>5830286.7299999995</v>
          </cell>
        </row>
        <row r="342">
          <cell r="N342" t="str">
            <v>O0090</v>
          </cell>
          <cell r="O342">
            <v>4107237.9999999991</v>
          </cell>
          <cell r="P342">
            <v>5416868.6999999993</v>
          </cell>
          <cell r="Q342">
            <v>4826437.6399999987</v>
          </cell>
          <cell r="R342">
            <v>4685354.95</v>
          </cell>
          <cell r="S342">
            <v>5449431.9500000002</v>
          </cell>
          <cell r="T342">
            <v>5464431.9500000002</v>
          </cell>
          <cell r="U342">
            <v>5524458.7800000003</v>
          </cell>
        </row>
        <row r="343">
          <cell r="N343" t="str">
            <v>O0091</v>
          </cell>
          <cell r="O343">
            <v>6506035.3600000003</v>
          </cell>
          <cell r="P343">
            <v>6972450.3599999994</v>
          </cell>
          <cell r="Q343">
            <v>6934977.5499999998</v>
          </cell>
          <cell r="R343">
            <v>7136081.7400000012</v>
          </cell>
          <cell r="S343">
            <v>7728353.6000000006</v>
          </cell>
          <cell r="T343">
            <v>7728353.6000000006</v>
          </cell>
          <cell r="U343">
            <v>7936767.6000000006</v>
          </cell>
        </row>
        <row r="344">
          <cell r="N344" t="str">
            <v>O0092</v>
          </cell>
          <cell r="O344">
            <v>2132113.9300000002</v>
          </cell>
          <cell r="P344">
            <v>2333187.2199999997</v>
          </cell>
          <cell r="Q344">
            <v>2301490.7199999997</v>
          </cell>
          <cell r="R344">
            <v>2369416.1500000004</v>
          </cell>
          <cell r="S344">
            <v>2508329.1999999997</v>
          </cell>
          <cell r="T344">
            <v>2508329.1999999997</v>
          </cell>
          <cell r="U344">
            <v>2573703.7600000002</v>
          </cell>
        </row>
        <row r="345">
          <cell r="N345" t="str">
            <v>O0093</v>
          </cell>
          <cell r="O345">
            <v>14853909.430000002</v>
          </cell>
          <cell r="P345">
            <v>16628970.889999999</v>
          </cell>
          <cell r="Q345">
            <v>17009282.550000001</v>
          </cell>
          <cell r="R345">
            <v>16925213.039999999</v>
          </cell>
          <cell r="S345">
            <v>18201455.5</v>
          </cell>
          <cell r="T345">
            <v>18205503.899999999</v>
          </cell>
          <cell r="U345">
            <v>18783640.140000001</v>
          </cell>
        </row>
        <row r="346">
          <cell r="N346" t="str">
            <v>O0094</v>
          </cell>
          <cell r="O346">
            <v>4184291.8299999996</v>
          </cell>
          <cell r="P346">
            <v>4379991.9000000004</v>
          </cell>
          <cell r="Q346">
            <v>4314041.6500000004</v>
          </cell>
          <cell r="R346">
            <v>4366867.0600000005</v>
          </cell>
          <cell r="S346">
            <v>4633225.1999999993</v>
          </cell>
          <cell r="T346">
            <v>4642273.1999999993</v>
          </cell>
          <cell r="U346">
            <v>5042936.9899999993</v>
          </cell>
        </row>
        <row r="347">
          <cell r="N347" t="str">
            <v>O0117</v>
          </cell>
          <cell r="O347">
            <v>52227113.589999989</v>
          </cell>
          <cell r="P347">
            <v>67704522.020000011</v>
          </cell>
          <cell r="Q347">
            <v>103875353.84</v>
          </cell>
          <cell r="R347">
            <v>99731420.430000007</v>
          </cell>
          <cell r="S347">
            <v>124853701.40000004</v>
          </cell>
          <cell r="T347">
            <v>124853701.40000004</v>
          </cell>
          <cell r="U347">
            <v>123857236.06000005</v>
          </cell>
        </row>
        <row r="348">
          <cell r="N348" t="str">
            <v>O0119</v>
          </cell>
          <cell r="O348">
            <v>21778781.259999998</v>
          </cell>
          <cell r="P348">
            <v>18472175</v>
          </cell>
          <cell r="Q348">
            <v>20656263.920000002</v>
          </cell>
          <cell r="R348">
            <v>20578767.969999995</v>
          </cell>
          <cell r="S348">
            <v>0</v>
          </cell>
          <cell r="T348">
            <v>0</v>
          </cell>
          <cell r="U348">
            <v>0</v>
          </cell>
        </row>
        <row r="349">
          <cell r="N349" t="str">
            <v>O0220</v>
          </cell>
          <cell r="O349">
            <v>2695630.55</v>
          </cell>
          <cell r="P349">
            <v>3625456.8</v>
          </cell>
          <cell r="Q349">
            <v>3105338.8299999996</v>
          </cell>
          <cell r="R349">
            <v>2882036.48</v>
          </cell>
          <cell r="S349">
            <v>2722681</v>
          </cell>
          <cell r="T349">
            <v>2722681</v>
          </cell>
          <cell r="U349">
            <v>3003274.3</v>
          </cell>
        </row>
        <row r="350">
          <cell r="N350" t="str">
            <v>O0221</v>
          </cell>
          <cell r="O350">
            <v>6472835.2000000002</v>
          </cell>
          <cell r="P350">
            <v>4772485</v>
          </cell>
          <cell r="Q350">
            <v>5007925.17</v>
          </cell>
          <cell r="R350">
            <v>4802614.7600000007</v>
          </cell>
          <cell r="S350">
            <v>6540225.7000000002</v>
          </cell>
          <cell r="T350">
            <v>6540225.7000000002</v>
          </cell>
          <cell r="U350">
            <v>5661315.8100000005</v>
          </cell>
        </row>
        <row r="351">
          <cell r="N351" t="str">
            <v>O0262</v>
          </cell>
          <cell r="O351">
            <v>0</v>
          </cell>
          <cell r="P351">
            <v>750000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N352" t="str">
            <v>O0267</v>
          </cell>
          <cell r="O352">
            <v>6984120.3499999996</v>
          </cell>
          <cell r="P352">
            <v>6382507.7999999998</v>
          </cell>
          <cell r="Q352">
            <v>6242074.2199999997</v>
          </cell>
          <cell r="R352">
            <v>7863299.7800000003</v>
          </cell>
          <cell r="S352">
            <v>6675432.4000000004</v>
          </cell>
          <cell r="T352">
            <v>6677848.4000000004</v>
          </cell>
          <cell r="U352">
            <v>7139466.6799999997</v>
          </cell>
        </row>
        <row r="353">
          <cell r="N353" t="str">
            <v>P0042</v>
          </cell>
          <cell r="O353">
            <v>8223426.1000000006</v>
          </cell>
          <cell r="P353">
            <v>9053370.5700000003</v>
          </cell>
          <cell r="Q353">
            <v>9109003.6099999994</v>
          </cell>
          <cell r="R353">
            <v>8781000.9900000002</v>
          </cell>
          <cell r="S353">
            <v>9446103.5200000014</v>
          </cell>
          <cell r="T353">
            <v>9563103.5200000014</v>
          </cell>
          <cell r="U353">
            <v>9968847.0800000001</v>
          </cell>
        </row>
        <row r="354">
          <cell r="N354" t="str">
            <v>P0287</v>
          </cell>
          <cell r="O354">
            <v>11038730.119999997</v>
          </cell>
          <cell r="P354">
            <v>10141509.519999998</v>
          </cell>
          <cell r="Q354">
            <v>9706944.5199999996</v>
          </cell>
          <cell r="R354">
            <v>9055727.7300000004</v>
          </cell>
          <cell r="S354">
            <v>10289152.800000001</v>
          </cell>
          <cell r="T354">
            <v>10418152.800000001</v>
          </cell>
          <cell r="U354">
            <v>10234793.300000001</v>
          </cell>
        </row>
        <row r="355">
          <cell r="N355" t="str">
            <v>R0043</v>
          </cell>
          <cell r="O355">
            <v>17401779.43</v>
          </cell>
          <cell r="P355">
            <v>18993397.440000001</v>
          </cell>
          <cell r="Q355">
            <v>18873225.259999998</v>
          </cell>
          <cell r="R355">
            <v>19003406.889999997</v>
          </cell>
          <cell r="S355">
            <v>20356456.699999999</v>
          </cell>
          <cell r="T355">
            <v>20762390.699999999</v>
          </cell>
          <cell r="U355">
            <v>21137926.93</v>
          </cell>
        </row>
        <row r="356">
          <cell r="N356" t="str">
            <v>R0057</v>
          </cell>
          <cell r="O356">
            <v>10752732.219999999</v>
          </cell>
          <cell r="P356">
            <v>11328621.259999998</v>
          </cell>
          <cell r="Q356">
            <v>15228339.18</v>
          </cell>
          <cell r="R356">
            <v>15219140.540000007</v>
          </cell>
          <cell r="S356">
            <v>20442421.599999998</v>
          </cell>
          <cell r="T356">
            <v>20448622.959999997</v>
          </cell>
          <cell r="U356">
            <v>22128567.310000002</v>
          </cell>
        </row>
        <row r="357">
          <cell r="N357" t="str">
            <v>R0137</v>
          </cell>
          <cell r="O357">
            <v>52847299.950000003</v>
          </cell>
          <cell r="P357">
            <v>44577432.700000003</v>
          </cell>
          <cell r="Q357">
            <v>42562248.460000001</v>
          </cell>
          <cell r="R357">
            <v>40496546.119999997</v>
          </cell>
          <cell r="S357">
            <v>35718351.920000002</v>
          </cell>
          <cell r="T357">
            <v>35718351.920000002</v>
          </cell>
          <cell r="U357">
            <v>35718351.920000002</v>
          </cell>
        </row>
        <row r="358">
          <cell r="N358" t="str">
            <v>R0138</v>
          </cell>
          <cell r="O358">
            <v>46585259.390000001</v>
          </cell>
          <cell r="P358">
            <v>166714747.5</v>
          </cell>
          <cell r="Q358">
            <v>268359513.45000002</v>
          </cell>
          <cell r="R358">
            <v>105434943.72</v>
          </cell>
          <cell r="S358">
            <v>164151741.68999997</v>
          </cell>
          <cell r="T358">
            <v>183290877.69</v>
          </cell>
          <cell r="U358">
            <v>156290877.69</v>
          </cell>
        </row>
        <row r="359">
          <cell r="N359" t="str">
            <v>R0139</v>
          </cell>
          <cell r="O359">
            <v>95191220.700000003</v>
          </cell>
          <cell r="P359">
            <v>93343367.939999998</v>
          </cell>
          <cell r="Q359">
            <v>99359118</v>
          </cell>
          <cell r="R359">
            <v>98783184.75</v>
          </cell>
          <cell r="S359">
            <v>104226114.53</v>
          </cell>
          <cell r="T359">
            <v>94295224.760000005</v>
          </cell>
          <cell r="U359">
            <v>97249134</v>
          </cell>
        </row>
        <row r="360">
          <cell r="N360" t="str">
            <v>R0140</v>
          </cell>
          <cell r="O360">
            <v>63990763.929999992</v>
          </cell>
          <cell r="P360">
            <v>58460422</v>
          </cell>
          <cell r="Q360">
            <v>63890900.039999999</v>
          </cell>
          <cell r="R360">
            <v>63890900.039999999</v>
          </cell>
          <cell r="S360">
            <v>47850465.850000001</v>
          </cell>
          <cell r="T360">
            <v>41356991.43</v>
          </cell>
          <cell r="U360">
            <v>69117160.150000006</v>
          </cell>
        </row>
        <row r="361">
          <cell r="N361" t="str">
            <v>R0141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50126384.68</v>
          </cell>
          <cell r="U361">
            <v>50126384.68</v>
          </cell>
        </row>
        <row r="362">
          <cell r="N362" t="str">
            <v>R0180</v>
          </cell>
          <cell r="O362">
            <v>33456315.579999998</v>
          </cell>
          <cell r="P362">
            <v>0</v>
          </cell>
          <cell r="Q362">
            <v>19743436.18</v>
          </cell>
          <cell r="R362">
            <v>6550356.5199999996</v>
          </cell>
          <cell r="S362">
            <v>11214117.689999999</v>
          </cell>
          <cell r="T362">
            <v>13193079.689999999</v>
          </cell>
          <cell r="U362">
            <v>13193079.689999999</v>
          </cell>
        </row>
        <row r="363">
          <cell r="N363" t="str">
            <v>S0012</v>
          </cell>
          <cell r="O363">
            <v>1000000</v>
          </cell>
          <cell r="P363">
            <v>1000000</v>
          </cell>
          <cell r="Q363">
            <v>1000000</v>
          </cell>
          <cell r="R363">
            <v>1000000</v>
          </cell>
          <cell r="S363">
            <v>1000000</v>
          </cell>
          <cell r="T363">
            <v>1000000</v>
          </cell>
          <cell r="U363">
            <v>1000000</v>
          </cell>
        </row>
        <row r="364">
          <cell r="N364" t="str">
            <v>S0025</v>
          </cell>
          <cell r="O364">
            <v>991710.67</v>
          </cell>
          <cell r="P364">
            <v>1500000</v>
          </cell>
          <cell r="Q364">
            <v>1251000</v>
          </cell>
          <cell r="R364">
            <v>1018194.11</v>
          </cell>
          <cell r="S364">
            <v>1500000</v>
          </cell>
          <cell r="T364">
            <v>1500000</v>
          </cell>
          <cell r="U364">
            <v>1500000</v>
          </cell>
        </row>
        <row r="365">
          <cell r="N365" t="str">
            <v>S0030</v>
          </cell>
          <cell r="O365">
            <v>2284701.56</v>
          </cell>
          <cell r="P365">
            <v>1229353.22</v>
          </cell>
          <cell r="Q365">
            <v>11087580.75</v>
          </cell>
          <cell r="R365">
            <v>7759735.7999999998</v>
          </cell>
          <cell r="S365">
            <v>6869521.7699999996</v>
          </cell>
          <cell r="T365">
            <v>1010000</v>
          </cell>
          <cell r="U365">
            <v>9000000</v>
          </cell>
        </row>
        <row r="366">
          <cell r="N366" t="str">
            <v>S0031</v>
          </cell>
          <cell r="O366">
            <v>1993356.1</v>
          </cell>
          <cell r="P366">
            <v>569342.97</v>
          </cell>
          <cell r="Q366">
            <v>2735260.16</v>
          </cell>
          <cell r="R366">
            <v>4749997.58</v>
          </cell>
          <cell r="S366">
            <v>4269933.71</v>
          </cell>
          <cell r="T366">
            <v>362000</v>
          </cell>
          <cell r="U366">
            <v>5000000</v>
          </cell>
        </row>
        <row r="367">
          <cell r="N367" t="str">
            <v>S0037</v>
          </cell>
          <cell r="O367">
            <v>35640276.399999999</v>
          </cell>
          <cell r="P367"/>
          <cell r="Q367"/>
          <cell r="R367"/>
          <cell r="S367"/>
          <cell r="T367"/>
          <cell r="U367"/>
        </row>
        <row r="368">
          <cell r="N368" t="str">
            <v>S0041</v>
          </cell>
          <cell r="O368">
            <v>2145768.6800000002</v>
          </cell>
          <cell r="P368"/>
          <cell r="Q368"/>
          <cell r="R368"/>
          <cell r="S368"/>
          <cell r="T368"/>
          <cell r="U368"/>
        </row>
        <row r="369">
          <cell r="N369" t="str">
            <v>S0043</v>
          </cell>
          <cell r="O369">
            <v>2315222.23</v>
          </cell>
          <cell r="P369">
            <v>0</v>
          </cell>
          <cell r="Q369">
            <v>18365564.239999998</v>
          </cell>
          <cell r="R369">
            <v>16444786.83</v>
          </cell>
          <cell r="S369">
            <v>3044459.67</v>
          </cell>
          <cell r="T369">
            <v>0</v>
          </cell>
          <cell r="U369">
            <v>617797.85</v>
          </cell>
        </row>
        <row r="370">
          <cell r="N370" t="str">
            <v>S0044</v>
          </cell>
          <cell r="O370">
            <v>1500000</v>
          </cell>
          <cell r="P370">
            <v>0</v>
          </cell>
          <cell r="Q370">
            <v>300000</v>
          </cell>
          <cell r="R370">
            <v>709271.09000000008</v>
          </cell>
          <cell r="S370">
            <v>0</v>
          </cell>
          <cell r="T370">
            <v>0</v>
          </cell>
          <cell r="U370">
            <v>0</v>
          </cell>
        </row>
        <row r="371">
          <cell r="N371" t="str">
            <v>S0046</v>
          </cell>
          <cell r="O371">
            <v>2360141.0099999998</v>
          </cell>
          <cell r="P371">
            <v>0</v>
          </cell>
          <cell r="Q371">
            <v>2400000</v>
          </cell>
          <cell r="R371">
            <v>2398073.8199999998</v>
          </cell>
          <cell r="S371">
            <v>625222.85</v>
          </cell>
          <cell r="T371">
            <v>0</v>
          </cell>
          <cell r="U371">
            <v>12819101.530000001</v>
          </cell>
        </row>
        <row r="372">
          <cell r="N372" t="str">
            <v>S0055</v>
          </cell>
          <cell r="O372">
            <v>999803.33000000007</v>
          </cell>
          <cell r="P372">
            <v>1999999.9999999998</v>
          </cell>
          <cell r="Q372">
            <v>2028913.5999999999</v>
          </cell>
          <cell r="R372">
            <v>1737205.7999999998</v>
          </cell>
          <cell r="S372">
            <v>500000</v>
          </cell>
          <cell r="T372">
            <v>500597.12</v>
          </cell>
          <cell r="U372">
            <v>500597.12</v>
          </cell>
        </row>
        <row r="373">
          <cell r="N373" t="str">
            <v>S0058</v>
          </cell>
          <cell r="O373">
            <v>979550</v>
          </cell>
          <cell r="P373">
            <v>1000000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N374" t="str">
            <v>S0059</v>
          </cell>
          <cell r="O374">
            <v>9341812.2899999991</v>
          </cell>
          <cell r="P374"/>
          <cell r="Q374"/>
          <cell r="R374"/>
          <cell r="S374"/>
          <cell r="T374"/>
          <cell r="U374"/>
        </row>
        <row r="375">
          <cell r="N375" t="str">
            <v>S0063</v>
          </cell>
          <cell r="O375">
            <v>279120.02</v>
          </cell>
          <cell r="P375"/>
          <cell r="Q375"/>
          <cell r="R375"/>
          <cell r="S375"/>
          <cell r="T375"/>
          <cell r="U375"/>
        </row>
        <row r="376">
          <cell r="N376" t="str">
            <v>S0064</v>
          </cell>
          <cell r="O376">
            <v>0</v>
          </cell>
          <cell r="P376">
            <v>0</v>
          </cell>
          <cell r="Q376">
            <v>10000000</v>
          </cell>
          <cell r="R376">
            <v>10000000</v>
          </cell>
          <cell r="S376">
            <v>0</v>
          </cell>
          <cell r="T376">
            <v>0</v>
          </cell>
          <cell r="U376">
            <v>0</v>
          </cell>
        </row>
        <row r="377">
          <cell r="N377" t="str">
            <v>S0065</v>
          </cell>
          <cell r="O377">
            <v>8002542.04</v>
          </cell>
          <cell r="P377">
            <v>24374983.799999997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N378" t="str">
            <v>S0066</v>
          </cell>
          <cell r="O378">
            <v>28233730.760000002</v>
          </cell>
          <cell r="P378">
            <v>0</v>
          </cell>
          <cell r="Q378">
            <v>81619675.300000012</v>
          </cell>
          <cell r="R378">
            <v>76811800.340000004</v>
          </cell>
          <cell r="S378">
            <v>84268728.709999993</v>
          </cell>
          <cell r="T378">
            <v>65380670.839999996</v>
          </cell>
          <cell r="U378">
            <v>99688773.530000001</v>
          </cell>
        </row>
        <row r="379">
          <cell r="N379" t="str">
            <v>S0067</v>
          </cell>
          <cell r="O379">
            <v>3354833.16</v>
          </cell>
          <cell r="P379">
            <v>0</v>
          </cell>
          <cell r="Q379">
            <v>2585018.34</v>
          </cell>
          <cell r="R379">
            <v>15124307.25</v>
          </cell>
          <cell r="S379">
            <v>11053171.58</v>
          </cell>
          <cell r="T379">
            <v>1301000</v>
          </cell>
          <cell r="U379">
            <v>23191717.539999999</v>
          </cell>
        </row>
        <row r="380">
          <cell r="N380" t="str">
            <v>S0069</v>
          </cell>
          <cell r="O380">
            <v>0</v>
          </cell>
          <cell r="P380">
            <v>0</v>
          </cell>
          <cell r="Q380">
            <v>846622.92</v>
          </cell>
          <cell r="R380">
            <v>846622.92</v>
          </cell>
          <cell r="S380">
            <v>0</v>
          </cell>
          <cell r="T380">
            <v>0</v>
          </cell>
          <cell r="U380">
            <v>0</v>
          </cell>
        </row>
        <row r="381">
          <cell r="N381" t="str">
            <v>S0070</v>
          </cell>
          <cell r="O381">
            <v>0</v>
          </cell>
          <cell r="P381">
            <v>0</v>
          </cell>
          <cell r="Q381">
            <v>1679257.5</v>
          </cell>
          <cell r="R381">
            <v>1548468</v>
          </cell>
          <cell r="S381">
            <v>1900000</v>
          </cell>
          <cell r="T381">
            <v>1900000</v>
          </cell>
          <cell r="U381">
            <v>1900000</v>
          </cell>
        </row>
        <row r="382">
          <cell r="N382" t="str">
            <v>S0071</v>
          </cell>
          <cell r="O382">
            <v>0</v>
          </cell>
          <cell r="P382">
            <v>0</v>
          </cell>
          <cell r="Q382">
            <v>1250000</v>
          </cell>
          <cell r="R382">
            <v>1296000</v>
          </cell>
          <cell r="S382">
            <v>1008800</v>
          </cell>
          <cell r="T382">
            <v>1008800</v>
          </cell>
          <cell r="U382">
            <v>1008800</v>
          </cell>
        </row>
        <row r="383">
          <cell r="N383" t="str">
            <v>S0072</v>
          </cell>
          <cell r="O383">
            <v>0</v>
          </cell>
          <cell r="P383">
            <v>0</v>
          </cell>
          <cell r="Q383">
            <v>741200</v>
          </cell>
          <cell r="R383">
            <v>857983.47</v>
          </cell>
          <cell r="S383">
            <v>750000</v>
          </cell>
          <cell r="T383">
            <v>750000</v>
          </cell>
          <cell r="U383">
            <v>750000</v>
          </cell>
        </row>
        <row r="384">
          <cell r="N384" t="str">
            <v>S0073</v>
          </cell>
          <cell r="O384">
            <v>0</v>
          </cell>
          <cell r="P384">
            <v>1000000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N385" t="str">
            <v>S0074</v>
          </cell>
          <cell r="O385">
            <v>0</v>
          </cell>
          <cell r="P385">
            <v>400000</v>
          </cell>
          <cell r="Q385">
            <v>260000</v>
          </cell>
          <cell r="R385">
            <v>244666.62</v>
          </cell>
          <cell r="S385">
            <v>600000</v>
          </cell>
          <cell r="T385">
            <v>600000</v>
          </cell>
          <cell r="U385">
            <v>600000</v>
          </cell>
        </row>
        <row r="386">
          <cell r="N386" t="str">
            <v>S0075</v>
          </cell>
          <cell r="O386">
            <v>0</v>
          </cell>
          <cell r="P386">
            <v>0</v>
          </cell>
          <cell r="Q386">
            <v>1545000</v>
          </cell>
          <cell r="R386">
            <v>843022.59</v>
          </cell>
          <cell r="S386">
            <v>649781.65</v>
          </cell>
          <cell r="T386">
            <v>764448.65</v>
          </cell>
          <cell r="U386">
            <v>764448.65</v>
          </cell>
        </row>
        <row r="387">
          <cell r="N387" t="str">
            <v>S0076</v>
          </cell>
          <cell r="O387">
            <v>0</v>
          </cell>
          <cell r="P387">
            <v>0</v>
          </cell>
          <cell r="Q387">
            <v>11500000</v>
          </cell>
          <cell r="R387">
            <v>12149319.57</v>
          </cell>
          <cell r="S387">
            <v>5754926.1100000003</v>
          </cell>
          <cell r="T387">
            <v>681.25</v>
          </cell>
          <cell r="U387">
            <v>98331.11</v>
          </cell>
        </row>
        <row r="388">
          <cell r="N388" t="str">
            <v>S0077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6377472.9000000004</v>
          </cell>
          <cell r="T388">
            <v>6377472.9000000004</v>
          </cell>
          <cell r="U388">
            <v>45007316.259999998</v>
          </cell>
        </row>
        <row r="389">
          <cell r="N389" t="str">
            <v>S0079</v>
          </cell>
          <cell r="O389">
            <v>0</v>
          </cell>
          <cell r="P389">
            <v>0</v>
          </cell>
          <cell r="Q389">
            <v>0</v>
          </cell>
          <cell r="R389">
            <v>1650000</v>
          </cell>
          <cell r="S389">
            <v>0</v>
          </cell>
          <cell r="T389">
            <v>0</v>
          </cell>
          <cell r="U389">
            <v>0</v>
          </cell>
        </row>
        <row r="390">
          <cell r="N390" t="str">
            <v>S0209</v>
          </cell>
          <cell r="O390">
            <v>932479.29</v>
          </cell>
          <cell r="P390">
            <v>1000000</v>
          </cell>
          <cell r="Q390">
            <v>1000000</v>
          </cell>
          <cell r="R390">
            <v>979451</v>
          </cell>
          <cell r="S390">
            <v>0</v>
          </cell>
          <cell r="T390">
            <v>0</v>
          </cell>
          <cell r="U390">
            <v>0</v>
          </cell>
        </row>
        <row r="391">
          <cell r="N391" t="str">
            <v>S0210</v>
          </cell>
          <cell r="O391">
            <v>1944000</v>
          </cell>
          <cell r="P391">
            <v>2000000</v>
          </cell>
          <cell r="Q391">
            <v>1952400</v>
          </cell>
          <cell r="R391">
            <v>1945200</v>
          </cell>
          <cell r="S391">
            <v>2000000</v>
          </cell>
          <cell r="T391">
            <v>2000000</v>
          </cell>
          <cell r="U391">
            <v>2000000</v>
          </cell>
        </row>
        <row r="392">
          <cell r="N392" t="str">
            <v>S0211</v>
          </cell>
          <cell r="O392">
            <v>761440.59</v>
          </cell>
          <cell r="P392">
            <v>1000000</v>
          </cell>
          <cell r="Q392">
            <v>1027700</v>
          </cell>
          <cell r="R392">
            <v>890499.12</v>
          </cell>
          <cell r="S392">
            <v>1000000</v>
          </cell>
          <cell r="T392">
            <v>1000000</v>
          </cell>
          <cell r="U392">
            <v>1000000</v>
          </cell>
        </row>
        <row r="393">
          <cell r="N393" t="str">
            <v>S0212</v>
          </cell>
          <cell r="O393">
            <v>1988245.75</v>
          </cell>
          <cell r="P393">
            <v>2000000</v>
          </cell>
          <cell r="Q393">
            <v>2000000</v>
          </cell>
          <cell r="R393">
            <v>2002548.15</v>
          </cell>
          <cell r="S393">
            <v>3000000</v>
          </cell>
          <cell r="T393">
            <v>3000000</v>
          </cell>
          <cell r="U393">
            <v>3000000</v>
          </cell>
        </row>
        <row r="394">
          <cell r="N394" t="str">
            <v>S0269</v>
          </cell>
          <cell r="O394">
            <v>300000</v>
          </cell>
          <cell r="P394">
            <v>700000</v>
          </cell>
          <cell r="Q394">
            <v>100000</v>
          </cell>
          <cell r="R394">
            <v>100000</v>
          </cell>
          <cell r="S394">
            <v>100000</v>
          </cell>
          <cell r="T394">
            <v>100000</v>
          </cell>
          <cell r="U394">
            <v>100000</v>
          </cell>
        </row>
        <row r="395">
          <cell r="N395" t="str">
            <v>S0299</v>
          </cell>
          <cell r="O395">
            <v>285624.7</v>
          </cell>
          <cell r="P395">
            <v>1880646</v>
          </cell>
          <cell r="Q395">
            <v>905201.36</v>
          </cell>
          <cell r="R395">
            <v>905201.36</v>
          </cell>
          <cell r="S395">
            <v>100000</v>
          </cell>
          <cell r="T395">
            <v>100000</v>
          </cell>
          <cell r="U395">
            <v>100000</v>
          </cell>
        </row>
        <row r="396">
          <cell r="N396" t="str">
            <v>U0127</v>
          </cell>
          <cell r="O396">
            <v>29998322.600000001</v>
          </cell>
          <cell r="P396">
            <v>29858000</v>
          </cell>
          <cell r="Q396">
            <v>31142600</v>
          </cell>
          <cell r="R396">
            <v>31142600</v>
          </cell>
          <cell r="S396">
            <v>30903029.999999996</v>
          </cell>
          <cell r="T396">
            <v>30903029.999999996</v>
          </cell>
          <cell r="U396">
            <v>31118029.999999996</v>
          </cell>
        </row>
        <row r="397">
          <cell r="N397" t="str">
            <v>U0129</v>
          </cell>
          <cell r="O397">
            <v>5385066</v>
          </cell>
          <cell r="P397">
            <v>5330711</v>
          </cell>
          <cell r="Q397">
            <v>4197037</v>
          </cell>
          <cell r="R397">
            <v>3662737</v>
          </cell>
          <cell r="S397">
            <v>4456493.75</v>
          </cell>
          <cell r="T397">
            <v>4456493.75</v>
          </cell>
          <cell r="U397">
            <v>4456493.75</v>
          </cell>
        </row>
        <row r="398">
          <cell r="N398" t="str">
            <v>U0130</v>
          </cell>
          <cell r="O398">
            <v>0</v>
          </cell>
          <cell r="P398">
            <v>0</v>
          </cell>
          <cell r="Q398">
            <v>1000000</v>
          </cell>
          <cell r="R398">
            <v>1000000</v>
          </cell>
          <cell r="S398">
            <v>0</v>
          </cell>
          <cell r="T398">
            <v>0</v>
          </cell>
          <cell r="U398">
            <v>0</v>
          </cell>
        </row>
        <row r="399">
          <cell r="N399" t="str">
            <v>U0132</v>
          </cell>
          <cell r="O399">
            <v>2746557.2199999997</v>
          </cell>
          <cell r="P399">
            <v>2742720</v>
          </cell>
          <cell r="Q399">
            <v>2674049</v>
          </cell>
          <cell r="R399">
            <v>2744048.33</v>
          </cell>
          <cell r="S399">
            <v>2838715.1999999997</v>
          </cell>
          <cell r="T399">
            <v>2838715.1999999997</v>
          </cell>
          <cell r="U399">
            <v>2838715.1999999997</v>
          </cell>
        </row>
        <row r="400">
          <cell r="N400" t="str">
            <v>U0134</v>
          </cell>
          <cell r="O400">
            <v>1659340</v>
          </cell>
          <cell r="P400">
            <v>1437967</v>
          </cell>
          <cell r="Q400">
            <v>2055005</v>
          </cell>
          <cell r="R400">
            <v>2040000</v>
          </cell>
          <cell r="S400">
            <v>1500000</v>
          </cell>
          <cell r="T400">
            <v>1500000</v>
          </cell>
          <cell r="U400">
            <v>2653000</v>
          </cell>
        </row>
        <row r="401">
          <cell r="N401" t="str">
            <v>U0135</v>
          </cell>
          <cell r="O401">
            <v>8744223.8399999999</v>
          </cell>
          <cell r="P401">
            <v>10147224</v>
          </cell>
          <cell r="Q401">
            <v>9336354.9600000009</v>
          </cell>
          <cell r="R401">
            <v>9127698.7300000004</v>
          </cell>
          <cell r="S401">
            <v>9382794.8399999999</v>
          </cell>
          <cell r="T401">
            <v>9382794.8399999999</v>
          </cell>
          <cell r="U401">
            <v>9382794.8399999999</v>
          </cell>
        </row>
        <row r="402">
          <cell r="N402" t="str">
            <v>U0140</v>
          </cell>
          <cell r="O402">
            <v>1211398.8500000001</v>
          </cell>
          <cell r="P402">
            <v>3280000</v>
          </cell>
          <cell r="Q402">
            <v>3200000</v>
          </cell>
          <cell r="R402">
            <v>3414497.09</v>
          </cell>
          <cell r="S402">
            <v>3394799.9999999995</v>
          </cell>
          <cell r="T402">
            <v>3394799.9999999995</v>
          </cell>
          <cell r="U402">
            <v>3394799.9999999995</v>
          </cell>
        </row>
        <row r="403">
          <cell r="N403" t="str">
            <v>U0156</v>
          </cell>
          <cell r="O403">
            <v>948480</v>
          </cell>
          <cell r="P403">
            <v>7080000</v>
          </cell>
          <cell r="Q403">
            <v>1000000</v>
          </cell>
          <cell r="R403">
            <v>999600</v>
          </cell>
          <cell r="S403">
            <v>1100000</v>
          </cell>
          <cell r="T403">
            <v>1100000</v>
          </cell>
          <cell r="U403">
            <v>1100000</v>
          </cell>
        </row>
        <row r="404">
          <cell r="N404" t="str">
            <v>U0189</v>
          </cell>
          <cell r="O404">
            <v>775000</v>
          </cell>
          <cell r="P404">
            <v>232500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900000</v>
          </cell>
        </row>
        <row r="405">
          <cell r="N405" t="str">
            <v>U0232</v>
          </cell>
          <cell r="O405">
            <v>37369943.840000004</v>
          </cell>
          <cell r="P405">
            <v>37202336</v>
          </cell>
          <cell r="Q405">
            <v>37202336</v>
          </cell>
          <cell r="R405">
            <v>33313752.799999997</v>
          </cell>
          <cell r="S405">
            <v>34869943.840000004</v>
          </cell>
          <cell r="T405">
            <v>34869943.840000004</v>
          </cell>
          <cell r="U405">
            <v>34869943.840000004</v>
          </cell>
        </row>
        <row r="406">
          <cell r="N406" t="str">
            <v>U0236</v>
          </cell>
          <cell r="O406">
            <v>17030962.100000001</v>
          </cell>
          <cell r="P406">
            <v>17692000</v>
          </cell>
          <cell r="Q406">
            <v>17254900</v>
          </cell>
          <cell r="R406">
            <v>18075900</v>
          </cell>
          <cell r="S406">
            <v>18311220</v>
          </cell>
          <cell r="T406">
            <v>18311220</v>
          </cell>
          <cell r="U406">
            <v>18670220</v>
          </cell>
        </row>
        <row r="407">
          <cell r="N407" t="str">
            <v>U0241</v>
          </cell>
          <cell r="O407">
            <v>3299168.58</v>
          </cell>
          <cell r="P407">
            <v>3464127</v>
          </cell>
          <cell r="Q407">
            <v>3290921</v>
          </cell>
          <cell r="R407">
            <v>3290921</v>
          </cell>
          <cell r="S407">
            <v>3290921</v>
          </cell>
          <cell r="T407">
            <v>3290921</v>
          </cell>
          <cell r="U407">
            <v>3290921</v>
          </cell>
        </row>
        <row r="408">
          <cell r="N408" t="str">
            <v>U0249</v>
          </cell>
          <cell r="O408">
            <v>14040144.670000002</v>
          </cell>
          <cell r="P408">
            <v>13954441.119999999</v>
          </cell>
          <cell r="Q408">
            <v>13546401.84</v>
          </cell>
          <cell r="R408">
            <v>13450704.119999999</v>
          </cell>
          <cell r="S408">
            <v>14224381.859999999</v>
          </cell>
          <cell r="T408">
            <v>14224381.859999999</v>
          </cell>
          <cell r="U408">
            <v>14224381.859999999</v>
          </cell>
        </row>
        <row r="409">
          <cell r="N409" t="str">
            <v>U0253</v>
          </cell>
          <cell r="O409">
            <v>3540828</v>
          </cell>
          <cell r="P409">
            <v>3787000</v>
          </cell>
          <cell r="Q409">
            <v>3662664</v>
          </cell>
          <cell r="R409">
            <v>3409271</v>
          </cell>
          <cell r="S409">
            <v>3903704</v>
          </cell>
          <cell r="T409">
            <v>3903704</v>
          </cell>
          <cell r="U409">
            <v>3903704</v>
          </cell>
        </row>
        <row r="410">
          <cell r="N410" t="str">
            <v>U0267</v>
          </cell>
          <cell r="O410">
            <v>600000</v>
          </cell>
          <cell r="P410">
            <v>1000000</v>
          </cell>
          <cell r="Q410">
            <v>3499485</v>
          </cell>
          <cell r="R410">
            <v>3250130</v>
          </cell>
          <cell r="S410">
            <v>3600000</v>
          </cell>
          <cell r="T410">
            <v>3600000</v>
          </cell>
          <cell r="U410">
            <v>3600000</v>
          </cell>
        </row>
        <row r="411">
          <cell r="N411" t="str">
            <v>U0269</v>
          </cell>
          <cell r="O411">
            <v>0</v>
          </cell>
          <cell r="P411">
            <v>0</v>
          </cell>
          <cell r="Q411">
            <v>7953116</v>
          </cell>
          <cell r="R411">
            <v>7718296.5</v>
          </cell>
          <cell r="S411">
            <v>4998764</v>
          </cell>
          <cell r="T411">
            <v>1590624</v>
          </cell>
          <cell r="U411">
            <v>2092280.39</v>
          </cell>
        </row>
        <row r="412">
          <cell r="N412" t="str">
            <v>U0270</v>
          </cell>
          <cell r="O412">
            <v>0</v>
          </cell>
          <cell r="P412">
            <v>0</v>
          </cell>
          <cell r="Q412">
            <v>1475000</v>
          </cell>
          <cell r="R412">
            <v>0</v>
          </cell>
          <cell r="S412">
            <v>1402500</v>
          </cell>
          <cell r="T412">
            <v>165000</v>
          </cell>
          <cell r="U412">
            <v>0</v>
          </cell>
        </row>
        <row r="413">
          <cell r="N413" t="str">
            <v>U0271</v>
          </cell>
          <cell r="O413">
            <v>0</v>
          </cell>
          <cell r="P413">
            <v>0</v>
          </cell>
          <cell r="Q413">
            <v>3825000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N414" t="str">
            <v>U0275</v>
          </cell>
          <cell r="O414">
            <v>11357356</v>
          </cell>
          <cell r="P414">
            <v>6760615</v>
          </cell>
          <cell r="Q414">
            <v>6497135</v>
          </cell>
          <cell r="R414">
            <v>5208089</v>
          </cell>
          <cell r="S414">
            <v>4280000</v>
          </cell>
          <cell r="T414">
            <v>4280000</v>
          </cell>
          <cell r="U414">
            <v>4280000</v>
          </cell>
        </row>
        <row r="415">
          <cell r="N415" t="str">
            <v>U0301</v>
          </cell>
          <cell r="O415">
            <v>0</v>
          </cell>
          <cell r="P415">
            <v>5000000</v>
          </cell>
          <cell r="Q415">
            <v>11000000</v>
          </cell>
          <cell r="R415">
            <v>11000000</v>
          </cell>
          <cell r="S415">
            <v>5000000</v>
          </cell>
          <cell r="T415">
            <v>10000000</v>
          </cell>
          <cell r="U415">
            <v>10000000</v>
          </cell>
        </row>
        <row r="416">
          <cell r="N416" t="str">
            <v>(en blanco)</v>
          </cell>
          <cell r="O416">
            <v>1714397757.2299998</v>
          </cell>
          <cell r="P416">
            <v>1908403699.3899996</v>
          </cell>
          <cell r="Q416">
            <v>2266338441.000001</v>
          </cell>
          <cell r="R416">
            <v>2034988754.4099994</v>
          </cell>
          <cell r="S416">
            <v>2035702120.0799997</v>
          </cell>
          <cell r="T416">
            <v>2084740814.4299996</v>
          </cell>
          <cell r="U416">
            <v>2228787990.0063195</v>
          </cell>
        </row>
      </sheetData>
      <sheetData sheetId="1"/>
      <sheetData sheetId="2"/>
      <sheetData sheetId="3"/>
      <sheetData sheetId="4"/>
      <sheetData sheetId="5"/>
      <sheetData sheetId="6">
        <row r="4">
          <cell r="A4" t="str">
            <v>Etiquetas de fila</v>
          </cell>
          <cell r="B4" t="str">
            <v>Suma de APROBADO</v>
          </cell>
        </row>
        <row r="5">
          <cell r="A5">
            <v>1100116</v>
          </cell>
          <cell r="B5">
            <v>5093469.83</v>
          </cell>
        </row>
        <row r="6">
          <cell r="A6">
            <v>1100117</v>
          </cell>
          <cell r="B6">
            <v>8099609.8599999994</v>
          </cell>
        </row>
        <row r="7">
          <cell r="A7">
            <v>1100118</v>
          </cell>
          <cell r="B7">
            <v>17567322.59</v>
          </cell>
        </row>
        <row r="8">
          <cell r="A8">
            <v>1100119</v>
          </cell>
          <cell r="B8">
            <v>71507753.920000002</v>
          </cell>
        </row>
        <row r="9">
          <cell r="A9">
            <v>1100120</v>
          </cell>
          <cell r="B9">
            <v>192526282.68000004</v>
          </cell>
        </row>
        <row r="10">
          <cell r="A10">
            <v>1100121</v>
          </cell>
          <cell r="B10">
            <v>608528240.91631997</v>
          </cell>
        </row>
        <row r="11">
          <cell r="A11">
            <v>1500521</v>
          </cell>
          <cell r="B11">
            <v>675911578.3099997</v>
          </cell>
        </row>
        <row r="12">
          <cell r="A12">
            <v>1500721</v>
          </cell>
          <cell r="B12">
            <v>20000</v>
          </cell>
        </row>
        <row r="13">
          <cell r="A13">
            <v>1701119</v>
          </cell>
          <cell r="B13">
            <v>0</v>
          </cell>
        </row>
        <row r="14">
          <cell r="A14">
            <v>2510119</v>
          </cell>
          <cell r="B14">
            <v>0</v>
          </cell>
        </row>
        <row r="15">
          <cell r="A15">
            <v>2510120</v>
          </cell>
          <cell r="B15">
            <v>0</v>
          </cell>
        </row>
        <row r="16">
          <cell r="A16">
            <v>2510121</v>
          </cell>
          <cell r="B16">
            <v>97249134</v>
          </cell>
        </row>
        <row r="17">
          <cell r="A17">
            <v>2510220</v>
          </cell>
          <cell r="B17">
            <v>0</v>
          </cell>
        </row>
        <row r="18">
          <cell r="A18">
            <v>2510221</v>
          </cell>
          <cell r="B18">
            <v>340309283.99999994</v>
          </cell>
        </row>
        <row r="19">
          <cell r="A19">
            <v>2520319</v>
          </cell>
          <cell r="B19">
            <v>0</v>
          </cell>
        </row>
        <row r="20">
          <cell r="A20">
            <v>2520321</v>
          </cell>
          <cell r="B20">
            <v>0</v>
          </cell>
        </row>
        <row r="21">
          <cell r="A21">
            <v>2610117</v>
          </cell>
          <cell r="B21">
            <v>0</v>
          </cell>
        </row>
        <row r="22">
          <cell r="A22">
            <v>2610118</v>
          </cell>
          <cell r="B22">
            <v>0</v>
          </cell>
        </row>
        <row r="23">
          <cell r="A23">
            <v>2610119</v>
          </cell>
          <cell r="B23">
            <v>0</v>
          </cell>
        </row>
        <row r="24">
          <cell r="A24">
            <v>2610120</v>
          </cell>
          <cell r="B24">
            <v>765129.9</v>
          </cell>
        </row>
        <row r="25">
          <cell r="A25">
            <v>2610121</v>
          </cell>
          <cell r="B25">
            <v>160352859.03999993</v>
          </cell>
        </row>
        <row r="26">
          <cell r="A26">
            <v>2610220</v>
          </cell>
          <cell r="B26">
            <v>4316676.96</v>
          </cell>
        </row>
        <row r="27">
          <cell r="A27">
            <v>2610221</v>
          </cell>
          <cell r="B27">
            <v>46540648</v>
          </cell>
        </row>
        <row r="28">
          <cell r="A28" t="str">
            <v>1.1.2</v>
          </cell>
          <cell r="B28">
            <v>16034930.140000001</v>
          </cell>
        </row>
        <row r="29">
          <cell r="A29" t="str">
            <v>1.2.1</v>
          </cell>
          <cell r="B29">
            <v>2475309.5</v>
          </cell>
        </row>
        <row r="30">
          <cell r="A30" t="str">
            <v>1.2.2</v>
          </cell>
          <cell r="B30">
            <v>5899458.9399999995</v>
          </cell>
        </row>
        <row r="31">
          <cell r="A31" t="str">
            <v>1.3.1</v>
          </cell>
          <cell r="B31">
            <v>37653970.37999998</v>
          </cell>
        </row>
        <row r="32">
          <cell r="A32" t="str">
            <v>1.3.2</v>
          </cell>
          <cell r="B32">
            <v>31106774.009999998</v>
          </cell>
        </row>
        <row r="33">
          <cell r="A33" t="str">
            <v>1.3.3</v>
          </cell>
          <cell r="B33">
            <v>16694707.329999998</v>
          </cell>
        </row>
        <row r="34">
          <cell r="A34" t="str">
            <v>1.3.5</v>
          </cell>
          <cell r="B34">
            <v>15856420.579999998</v>
          </cell>
        </row>
        <row r="35">
          <cell r="A35" t="str">
            <v>1.4.1</v>
          </cell>
          <cell r="B35">
            <v>6766589.1399999997</v>
          </cell>
        </row>
        <row r="36">
          <cell r="A36" t="str">
            <v>1.5.1</v>
          </cell>
          <cell r="B36">
            <v>100000</v>
          </cell>
        </row>
        <row r="37">
          <cell r="A37" t="str">
            <v>1.5.2</v>
          </cell>
          <cell r="B37">
            <v>85001921.430000007</v>
          </cell>
        </row>
        <row r="38">
          <cell r="A38" t="str">
            <v>1.7.1</v>
          </cell>
          <cell r="B38">
            <v>419088005.38</v>
          </cell>
        </row>
        <row r="39">
          <cell r="A39" t="str">
            <v>1.7.2</v>
          </cell>
          <cell r="B39">
            <v>31256378.970000006</v>
          </cell>
        </row>
        <row r="40">
          <cell r="A40" t="str">
            <v>1.7.3</v>
          </cell>
          <cell r="B40">
            <v>6300</v>
          </cell>
        </row>
        <row r="41">
          <cell r="A41" t="str">
            <v>1.8.2</v>
          </cell>
          <cell r="B41">
            <v>14224381.859999999</v>
          </cell>
        </row>
        <row r="42">
          <cell r="A42" t="str">
            <v>1.8.3</v>
          </cell>
          <cell r="B42">
            <v>17665881.219999999</v>
          </cell>
        </row>
        <row r="43">
          <cell r="A43" t="str">
            <v>1.8.4</v>
          </cell>
          <cell r="B43">
            <v>2486872.9099999997</v>
          </cell>
        </row>
        <row r="44">
          <cell r="A44" t="str">
            <v>1.8.5</v>
          </cell>
          <cell r="B44">
            <v>159611276.23000002</v>
          </cell>
        </row>
        <row r="45">
          <cell r="A45" t="str">
            <v>2.1.1</v>
          </cell>
          <cell r="B45">
            <v>89891546.730000004</v>
          </cell>
        </row>
        <row r="46">
          <cell r="A46" t="str">
            <v>2.1.3</v>
          </cell>
          <cell r="B46">
            <v>10000000</v>
          </cell>
        </row>
        <row r="47">
          <cell r="A47" t="str">
            <v>2.1.4</v>
          </cell>
          <cell r="B47">
            <v>100000</v>
          </cell>
        </row>
        <row r="48">
          <cell r="A48" t="str">
            <v>2.1.6</v>
          </cell>
          <cell r="B48">
            <v>25626828.989999995</v>
          </cell>
        </row>
        <row r="49">
          <cell r="A49" t="str">
            <v>2.2.1</v>
          </cell>
          <cell r="B49">
            <v>471143944.72000003</v>
          </cell>
        </row>
        <row r="50">
          <cell r="A50" t="str">
            <v>2.2.2</v>
          </cell>
          <cell r="B50">
            <v>219283090.34</v>
          </cell>
        </row>
        <row r="51">
          <cell r="A51" t="str">
            <v>2.2.3</v>
          </cell>
          <cell r="B51">
            <v>5625134.4500000002</v>
          </cell>
        </row>
        <row r="52">
          <cell r="A52" t="str">
            <v>2.2.4</v>
          </cell>
          <cell r="B52">
            <v>90634485.010000005</v>
          </cell>
        </row>
        <row r="53">
          <cell r="A53" t="str">
            <v>2.2.5</v>
          </cell>
          <cell r="B53">
            <v>13534114.84</v>
          </cell>
        </row>
        <row r="54">
          <cell r="A54" t="str">
            <v>2.2.6</v>
          </cell>
          <cell r="B54">
            <v>83652613.920000002</v>
          </cell>
        </row>
        <row r="55">
          <cell r="A55" t="str">
            <v>2.3.1</v>
          </cell>
          <cell r="B55">
            <v>10149074.26</v>
          </cell>
        </row>
        <row r="56">
          <cell r="A56" t="str">
            <v>2.4.1</v>
          </cell>
          <cell r="B56">
            <v>28441935.199999999</v>
          </cell>
        </row>
        <row r="57">
          <cell r="A57" t="str">
            <v>2.4.2</v>
          </cell>
          <cell r="B57">
            <v>31118029.999999996</v>
          </cell>
        </row>
        <row r="58">
          <cell r="A58" t="str">
            <v>2.5.6</v>
          </cell>
          <cell r="B58">
            <v>20538162.34</v>
          </cell>
        </row>
        <row r="59">
          <cell r="A59" t="str">
            <v>2.6.1</v>
          </cell>
          <cell r="B59">
            <v>3394799.9999999995</v>
          </cell>
        </row>
        <row r="60">
          <cell r="A60" t="str">
            <v>2.6.3</v>
          </cell>
          <cell r="B60">
            <v>3903704</v>
          </cell>
        </row>
        <row r="61">
          <cell r="A61" t="str">
            <v>2.6.9</v>
          </cell>
          <cell r="B61">
            <v>34869943.840000004</v>
          </cell>
        </row>
        <row r="62">
          <cell r="A62" t="str">
            <v>2.7.1</v>
          </cell>
          <cell r="B62">
            <v>34154710</v>
          </cell>
        </row>
        <row r="63">
          <cell r="A63" t="str">
            <v>3.1.1</v>
          </cell>
          <cell r="B63">
            <v>28677762.300000001</v>
          </cell>
        </row>
        <row r="64">
          <cell r="A64" t="str">
            <v>3.5.6</v>
          </cell>
          <cell r="B64">
            <v>105882785.9563199</v>
          </cell>
        </row>
        <row r="65">
          <cell r="A65" t="str">
            <v>3.6.1</v>
          </cell>
          <cell r="B65">
            <v>16061299.42</v>
          </cell>
        </row>
        <row r="66">
          <cell r="A66" t="str">
            <v>3.7.1</v>
          </cell>
          <cell r="B66">
            <v>4456493.75</v>
          </cell>
        </row>
        <row r="67">
          <cell r="A67" t="str">
            <v>4.1.1</v>
          </cell>
          <cell r="B67">
            <v>35718351.920000002</v>
          </cell>
        </row>
        <row r="68">
          <cell r="A68" t="str">
            <v>(en blanco)</v>
          </cell>
          <cell r="B68">
            <v>4457575980.0126371</v>
          </cell>
        </row>
        <row r="69">
          <cell r="A69" t="str">
            <v>Total general</v>
          </cell>
          <cell r="B69">
            <v>8915151960.0252762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E1" t="str">
            <v>CLASIFICACION FUNCIONAL</v>
          </cell>
          <cell r="F1"/>
        </row>
        <row r="2">
          <cell r="E2" t="str">
            <v>E0008</v>
          </cell>
          <cell r="F2" t="str">
            <v>2.7.1</v>
          </cell>
        </row>
        <row r="3">
          <cell r="E3" t="str">
            <v>E0016</v>
          </cell>
          <cell r="F3" t="str">
            <v>2.5.6</v>
          </cell>
        </row>
        <row r="4">
          <cell r="E4" t="str">
            <v>E0017</v>
          </cell>
          <cell r="F4" t="str">
            <v>2.3.1</v>
          </cell>
        </row>
        <row r="5">
          <cell r="E5" t="str">
            <v>E0018</v>
          </cell>
          <cell r="F5" t="str">
            <v>2.3.1</v>
          </cell>
        </row>
        <row r="6">
          <cell r="E6" t="str">
            <v>E0019</v>
          </cell>
          <cell r="F6" t="str">
            <v>2.5.6</v>
          </cell>
        </row>
        <row r="7">
          <cell r="E7" t="str">
            <v>E0020</v>
          </cell>
          <cell r="F7" t="str">
            <v>2.5.6</v>
          </cell>
        </row>
        <row r="8">
          <cell r="E8" t="str">
            <v>E0044</v>
          </cell>
          <cell r="F8" t="str">
            <v>1.2.2</v>
          </cell>
        </row>
        <row r="9">
          <cell r="E9" t="str">
            <v>E0045</v>
          </cell>
          <cell r="F9" t="str">
            <v>1.7.3</v>
          </cell>
        </row>
        <row r="10">
          <cell r="E10" t="str">
            <v>E0046</v>
          </cell>
          <cell r="F10" t="str">
            <v>1.3.5</v>
          </cell>
        </row>
        <row r="11">
          <cell r="E11" t="str">
            <v>E0048</v>
          </cell>
          <cell r="F11" t="str">
            <v>1.4.1</v>
          </cell>
        </row>
        <row r="12">
          <cell r="E12" t="str">
            <v>E0050</v>
          </cell>
          <cell r="F12" t="str">
            <v>1.7.2</v>
          </cell>
        </row>
        <row r="13">
          <cell r="E13" t="str">
            <v>E0052</v>
          </cell>
          <cell r="F13" t="str">
            <v>1.2.1</v>
          </cell>
        </row>
        <row r="14">
          <cell r="E14" t="str">
            <v>E0054</v>
          </cell>
          <cell r="F14" t="str">
            <v>3.5.6</v>
          </cell>
        </row>
        <row r="15">
          <cell r="E15" t="str">
            <v>E0055</v>
          </cell>
          <cell r="F15" t="str">
            <v>3.5.6</v>
          </cell>
        </row>
        <row r="16">
          <cell r="E16" t="str">
            <v>E0056</v>
          </cell>
          <cell r="F16" t="str">
            <v>3.5.6</v>
          </cell>
        </row>
        <row r="17">
          <cell r="E17" t="str">
            <v>E0075</v>
          </cell>
          <cell r="F17" t="str">
            <v>1.5.2</v>
          </cell>
        </row>
        <row r="18">
          <cell r="E18" t="str">
            <v>E0080</v>
          </cell>
          <cell r="F18" t="str">
            <v>3.1.1</v>
          </cell>
        </row>
        <row r="19">
          <cell r="E19" t="str">
            <v>E0081</v>
          </cell>
          <cell r="F19" t="str">
            <v>3.1.1</v>
          </cell>
        </row>
        <row r="20">
          <cell r="E20" t="str">
            <v>E0082</v>
          </cell>
          <cell r="F20" t="str">
            <v>3.1.1</v>
          </cell>
        </row>
        <row r="21">
          <cell r="E21" t="str">
            <v>E0083</v>
          </cell>
          <cell r="F21" t="str">
            <v>3.1.1</v>
          </cell>
        </row>
        <row r="22">
          <cell r="E22" t="str">
            <v>E0095</v>
          </cell>
          <cell r="F22" t="str">
            <v>2.2.1</v>
          </cell>
        </row>
        <row r="23">
          <cell r="E23" t="str">
            <v>E0097</v>
          </cell>
          <cell r="F23" t="str">
            <v>2.2.1</v>
          </cell>
        </row>
        <row r="24">
          <cell r="E24" t="str">
            <v>E0098</v>
          </cell>
          <cell r="F24" t="str">
            <v>2.2.1</v>
          </cell>
        </row>
        <row r="25">
          <cell r="E25" t="str">
            <v>E0101</v>
          </cell>
          <cell r="F25" t="str">
            <v>2.2.5</v>
          </cell>
        </row>
        <row r="26">
          <cell r="E26" t="str">
            <v>E0104</v>
          </cell>
          <cell r="F26" t="str">
            <v>2.2.6</v>
          </cell>
        </row>
        <row r="27">
          <cell r="E27" t="str">
            <v>E0105</v>
          </cell>
          <cell r="F27" t="str">
            <v>2.2.6</v>
          </cell>
        </row>
        <row r="28">
          <cell r="E28" t="str">
            <v>E0106</v>
          </cell>
          <cell r="F28" t="str">
            <v>2.2.6</v>
          </cell>
        </row>
        <row r="29">
          <cell r="E29" t="str">
            <v>E0107</v>
          </cell>
          <cell r="F29" t="str">
            <v>2.2.6</v>
          </cell>
        </row>
        <row r="30">
          <cell r="E30" t="str">
            <v>E0108</v>
          </cell>
          <cell r="F30" t="str">
            <v>2.2.4</v>
          </cell>
        </row>
        <row r="31">
          <cell r="E31" t="str">
            <v>E0109</v>
          </cell>
          <cell r="F31" t="str">
            <v>2.2.6</v>
          </cell>
        </row>
        <row r="32">
          <cell r="E32" t="str">
            <v>E0110</v>
          </cell>
          <cell r="F32" t="str">
            <v>2.1.1</v>
          </cell>
        </row>
        <row r="33">
          <cell r="E33" t="str">
            <v>E0111</v>
          </cell>
          <cell r="F33" t="str">
            <v>2.1.1</v>
          </cell>
        </row>
        <row r="34">
          <cell r="E34" t="str">
            <v>E0113</v>
          </cell>
          <cell r="F34" t="str">
            <v>2.1.1</v>
          </cell>
        </row>
        <row r="35">
          <cell r="E35" t="str">
            <v>E0116</v>
          </cell>
          <cell r="F35" t="str">
            <v>1.7.1</v>
          </cell>
        </row>
        <row r="36">
          <cell r="E36" t="str">
            <v>E0117</v>
          </cell>
          <cell r="F36" t="str">
            <v>1.7.1</v>
          </cell>
        </row>
        <row r="37">
          <cell r="E37" t="str">
            <v>E0118</v>
          </cell>
          <cell r="F37" t="str">
            <v>1.7.1</v>
          </cell>
        </row>
        <row r="38">
          <cell r="E38" t="str">
            <v>E0159</v>
          </cell>
          <cell r="F38" t="str">
            <v>2.2.3</v>
          </cell>
        </row>
        <row r="39">
          <cell r="E39" t="str">
            <v>E0162</v>
          </cell>
          <cell r="F39" t="str">
            <v>1.5.1</v>
          </cell>
        </row>
        <row r="40">
          <cell r="E40" t="str">
            <v>E0218</v>
          </cell>
          <cell r="F40" t="str">
            <v>3.5.6</v>
          </cell>
        </row>
        <row r="41">
          <cell r="E41" t="str">
            <v>E0274</v>
          </cell>
          <cell r="F41" t="str">
            <v>1.7.1</v>
          </cell>
        </row>
        <row r="42">
          <cell r="E42" t="str">
            <v>E0288</v>
          </cell>
          <cell r="F42" t="str">
            <v>2.4.2</v>
          </cell>
        </row>
        <row r="43">
          <cell r="E43" t="str">
            <v>E0289</v>
          </cell>
          <cell r="F43" t="str">
            <v>3.1.1</v>
          </cell>
        </row>
        <row r="44">
          <cell r="E44" t="str">
            <v>E0292</v>
          </cell>
          <cell r="F44" t="str">
            <v>1.8.5</v>
          </cell>
        </row>
        <row r="45">
          <cell r="E45" t="str">
            <v>E0295</v>
          </cell>
          <cell r="F45" t="str">
            <v>3.5.6</v>
          </cell>
        </row>
        <row r="46">
          <cell r="E46" t="str">
            <v>E0297</v>
          </cell>
          <cell r="F46" t="str">
            <v>1.3.2</v>
          </cell>
        </row>
        <row r="47">
          <cell r="E47" t="str">
            <v>E0305</v>
          </cell>
          <cell r="F47" t="str">
            <v>2.1.6</v>
          </cell>
        </row>
        <row r="48">
          <cell r="E48" t="str">
            <v>E0306</v>
          </cell>
          <cell r="F48" t="str">
            <v>2.1.6</v>
          </cell>
        </row>
        <row r="49">
          <cell r="E49" t="str">
            <v>E0307</v>
          </cell>
          <cell r="F49" t="str">
            <v>2.1.6</v>
          </cell>
        </row>
        <row r="50">
          <cell r="E50" t="str">
            <v>E0308</v>
          </cell>
          <cell r="F50" t="str">
            <v>2.1.6</v>
          </cell>
        </row>
        <row r="51">
          <cell r="E51" t="str">
            <v>E0309</v>
          </cell>
          <cell r="F51" t="str">
            <v>2.1.6</v>
          </cell>
        </row>
        <row r="52">
          <cell r="E52" t="str">
            <v>E0310</v>
          </cell>
          <cell r="F52" t="str">
            <v>2.1.6</v>
          </cell>
        </row>
        <row r="53">
          <cell r="E53" t="str">
            <v>E0311</v>
          </cell>
          <cell r="F53" t="str">
            <v>2.1.6</v>
          </cell>
        </row>
        <row r="54">
          <cell r="E54" t="str">
            <v>F0040</v>
          </cell>
          <cell r="F54" t="str">
            <v>1.8.3</v>
          </cell>
        </row>
        <row r="55">
          <cell r="E55" t="str">
            <v>F0041</v>
          </cell>
          <cell r="F55" t="str">
            <v>1.8.3</v>
          </cell>
        </row>
        <row r="56">
          <cell r="E56" t="str">
            <v>J0068</v>
          </cell>
          <cell r="F56" t="str">
            <v>1.8.5</v>
          </cell>
        </row>
        <row r="57">
          <cell r="E57" t="str">
            <v>K0002</v>
          </cell>
          <cell r="F57" t="str">
            <v>3.1.1</v>
          </cell>
        </row>
        <row r="58">
          <cell r="E58" t="str">
            <v>K0003</v>
          </cell>
          <cell r="F58" t="str">
            <v>3.1.1</v>
          </cell>
        </row>
        <row r="59">
          <cell r="E59" t="str">
            <v>K0280</v>
          </cell>
          <cell r="F59" t="str">
            <v>3.5.6</v>
          </cell>
        </row>
        <row r="60">
          <cell r="E60" t="str">
            <v>K0281</v>
          </cell>
          <cell r="F60" t="str">
            <v>1.8.2</v>
          </cell>
        </row>
        <row r="61">
          <cell r="E61" t="str">
            <v>K0282</v>
          </cell>
          <cell r="F61" t="str">
            <v>2.2.1</v>
          </cell>
        </row>
        <row r="62">
          <cell r="E62" t="str">
            <v>K0283</v>
          </cell>
          <cell r="F62" t="str">
            <v>2.2.1</v>
          </cell>
        </row>
        <row r="63">
          <cell r="E63" t="str">
            <v>K0284</v>
          </cell>
          <cell r="F63" t="str">
            <v>2.2.1</v>
          </cell>
        </row>
        <row r="64">
          <cell r="E64" t="str">
            <v>K0285</v>
          </cell>
          <cell r="F64" t="str">
            <v>2.2.6</v>
          </cell>
        </row>
        <row r="65">
          <cell r="E65" t="str">
            <v>K0298</v>
          </cell>
          <cell r="F65" t="str">
            <v>2.2.1</v>
          </cell>
        </row>
        <row r="66">
          <cell r="E66" t="str">
            <v>M0073</v>
          </cell>
          <cell r="F66" t="str">
            <v>1.5.2</v>
          </cell>
        </row>
        <row r="67">
          <cell r="E67" t="str">
            <v>O0001</v>
          </cell>
          <cell r="F67" t="str">
            <v>1.3.1</v>
          </cell>
        </row>
        <row r="68">
          <cell r="E68" t="str">
            <v>O0005</v>
          </cell>
          <cell r="F68" t="str">
            <v>2.7.1</v>
          </cell>
        </row>
        <row r="69">
          <cell r="E69" t="str">
            <v>O0015</v>
          </cell>
          <cell r="F69" t="str">
            <v>2.5.6</v>
          </cell>
        </row>
        <row r="70">
          <cell r="E70" t="str">
            <v>O0020</v>
          </cell>
          <cell r="F70" t="str">
            <v>2.2.2</v>
          </cell>
        </row>
        <row r="71">
          <cell r="E71" t="str">
            <v>O0033</v>
          </cell>
          <cell r="F71" t="str">
            <v>2.4.1</v>
          </cell>
        </row>
        <row r="72">
          <cell r="E72" t="str">
            <v>O0035</v>
          </cell>
          <cell r="F72" t="str">
            <v>2.7.1</v>
          </cell>
        </row>
        <row r="73">
          <cell r="E73" t="str">
            <v>O0036</v>
          </cell>
          <cell r="F73" t="str">
            <v>1.3.1</v>
          </cell>
        </row>
        <row r="74">
          <cell r="E74" t="str">
            <v>O0037</v>
          </cell>
          <cell r="F74" t="str">
            <v>1.3.1</v>
          </cell>
        </row>
        <row r="75">
          <cell r="E75" t="str">
            <v>O0038</v>
          </cell>
          <cell r="F75" t="str">
            <v>1.3.1</v>
          </cell>
        </row>
        <row r="76">
          <cell r="E76" t="str">
            <v>O0039</v>
          </cell>
          <cell r="F76" t="str">
            <v>1.3.1</v>
          </cell>
        </row>
        <row r="77">
          <cell r="E77" t="str">
            <v>O0040</v>
          </cell>
          <cell r="F77" t="str">
            <v>1.3.1</v>
          </cell>
        </row>
        <row r="78">
          <cell r="E78" t="str">
            <v>O0058</v>
          </cell>
          <cell r="F78" t="str">
            <v>1.8.4</v>
          </cell>
        </row>
        <row r="79">
          <cell r="E79" t="str">
            <v>O0059</v>
          </cell>
          <cell r="F79" t="str">
            <v>1.8.4</v>
          </cell>
        </row>
        <row r="80">
          <cell r="E80" t="str">
            <v>O0060</v>
          </cell>
          <cell r="F80" t="str">
            <v>1.8.5</v>
          </cell>
        </row>
        <row r="81">
          <cell r="E81" t="str">
            <v>O0062</v>
          </cell>
          <cell r="F81" t="str">
            <v>1.3.3</v>
          </cell>
        </row>
        <row r="82">
          <cell r="E82" t="str">
            <v>O0063</v>
          </cell>
          <cell r="F82" t="str">
            <v>1.8.5</v>
          </cell>
        </row>
        <row r="83">
          <cell r="E83" t="str">
            <v>O0069</v>
          </cell>
          <cell r="F83" t="str">
            <v>1.8.5</v>
          </cell>
        </row>
        <row r="84">
          <cell r="E84" t="str">
            <v>O0070</v>
          </cell>
          <cell r="F84" t="str">
            <v>1.8.5</v>
          </cell>
        </row>
        <row r="85">
          <cell r="E85" t="str">
            <v>O0071</v>
          </cell>
          <cell r="F85" t="str">
            <v>1.5.1</v>
          </cell>
        </row>
        <row r="86">
          <cell r="E86" t="str">
            <v>O0072</v>
          </cell>
          <cell r="F86" t="str">
            <v>1.5.2</v>
          </cell>
        </row>
        <row r="87">
          <cell r="E87" t="str">
            <v>O0074</v>
          </cell>
          <cell r="F87" t="str">
            <v>1.5.2</v>
          </cell>
        </row>
        <row r="88">
          <cell r="E88" t="str">
            <v>O0076</v>
          </cell>
          <cell r="F88" t="str">
            <v>1.5.2</v>
          </cell>
        </row>
        <row r="89">
          <cell r="E89" t="str">
            <v>O0078</v>
          </cell>
          <cell r="F89" t="str">
            <v>1.5.2</v>
          </cell>
        </row>
        <row r="90">
          <cell r="E90" t="str">
            <v>O0084</v>
          </cell>
          <cell r="F90" t="str">
            <v>3.6.1</v>
          </cell>
        </row>
        <row r="91">
          <cell r="E91" t="str">
            <v>O0085</v>
          </cell>
          <cell r="F91" t="str">
            <v>3.6.1</v>
          </cell>
        </row>
        <row r="92">
          <cell r="E92" t="str">
            <v>O0086</v>
          </cell>
          <cell r="F92" t="str">
            <v>1.5.2</v>
          </cell>
        </row>
        <row r="93">
          <cell r="E93" t="str">
            <v>O0087</v>
          </cell>
          <cell r="F93" t="str">
            <v>1.3.3</v>
          </cell>
        </row>
        <row r="94">
          <cell r="E94" t="str">
            <v>O0090</v>
          </cell>
          <cell r="F94" t="str">
            <v>1.1.2</v>
          </cell>
        </row>
        <row r="95">
          <cell r="E95" t="str">
            <v>O0091</v>
          </cell>
          <cell r="F95" t="str">
            <v>1.1.2</v>
          </cell>
        </row>
        <row r="96">
          <cell r="E96" t="str">
            <v>O0092</v>
          </cell>
          <cell r="F96" t="str">
            <v>1.1.2</v>
          </cell>
        </row>
        <row r="97">
          <cell r="E97" t="str">
            <v>O0093</v>
          </cell>
          <cell r="F97" t="str">
            <v>2.2.1</v>
          </cell>
        </row>
        <row r="98">
          <cell r="E98" t="str">
            <v>O0094</v>
          </cell>
          <cell r="F98" t="str">
            <v>2.2.1</v>
          </cell>
        </row>
        <row r="99">
          <cell r="E99" t="str">
            <v>O0117</v>
          </cell>
          <cell r="F99" t="str">
            <v>1.7.1</v>
          </cell>
        </row>
        <row r="100">
          <cell r="E100" t="str">
            <v>O0119</v>
          </cell>
          <cell r="F100" t="str">
            <v>1.7.1</v>
          </cell>
        </row>
        <row r="101">
          <cell r="E101" t="str">
            <v>O0158</v>
          </cell>
          <cell r="F101" t="str">
            <v>1.7.1</v>
          </cell>
        </row>
        <row r="102">
          <cell r="E102" t="str">
            <v>O0220</v>
          </cell>
          <cell r="F102" t="str">
            <v>1.3.3</v>
          </cell>
        </row>
        <row r="103">
          <cell r="E103" t="str">
            <v>O0221</v>
          </cell>
          <cell r="F103" t="str">
            <v>1.7.1</v>
          </cell>
        </row>
        <row r="104">
          <cell r="E104" t="str">
            <v>O0222</v>
          </cell>
          <cell r="F104" t="str">
            <v>1.7.1</v>
          </cell>
        </row>
        <row r="105">
          <cell r="E105" t="str">
            <v>O0223</v>
          </cell>
          <cell r="F105" t="str">
            <v>2.2.5</v>
          </cell>
        </row>
        <row r="106">
          <cell r="E106" t="str">
            <v>O0262</v>
          </cell>
          <cell r="F106" t="str">
            <v>2.7.1</v>
          </cell>
        </row>
        <row r="107">
          <cell r="E107" t="str">
            <v>O0267</v>
          </cell>
          <cell r="F107" t="str">
            <v>1.5.2</v>
          </cell>
        </row>
        <row r="108">
          <cell r="E108" t="str">
            <v>P0042</v>
          </cell>
          <cell r="F108" t="str">
            <v>1.3.2</v>
          </cell>
        </row>
        <row r="109">
          <cell r="E109" t="str">
            <v>P0285</v>
          </cell>
          <cell r="F109" t="str">
            <v>3.5.6</v>
          </cell>
        </row>
        <row r="110">
          <cell r="E110" t="str">
            <v>P0286</v>
          </cell>
          <cell r="F110" t="str">
            <v>3.5.6</v>
          </cell>
        </row>
        <row r="111">
          <cell r="E111" t="str">
            <v>P0287</v>
          </cell>
          <cell r="F111" t="str">
            <v>3.5.6</v>
          </cell>
        </row>
        <row r="112">
          <cell r="E112" t="str">
            <v>Q0280</v>
          </cell>
          <cell r="F112" t="str">
            <v>3.5.6</v>
          </cell>
        </row>
        <row r="113">
          <cell r="E113" t="str">
            <v>Q0281</v>
          </cell>
          <cell r="F113" t="str">
            <v>1.8.2</v>
          </cell>
        </row>
        <row r="114">
          <cell r="E114" t="str">
            <v>Q0282</v>
          </cell>
          <cell r="F114" t="str">
            <v>2.2.1</v>
          </cell>
        </row>
        <row r="115">
          <cell r="E115" t="str">
            <v>Q0283</v>
          </cell>
          <cell r="F115" t="str">
            <v>2.2.1</v>
          </cell>
        </row>
        <row r="116">
          <cell r="E116" t="str">
            <v>Q0284</v>
          </cell>
          <cell r="F116" t="str">
            <v>2.2.1</v>
          </cell>
        </row>
        <row r="117">
          <cell r="E117" t="str">
            <v>Q0285</v>
          </cell>
          <cell r="F117" t="str">
            <v>2.2.6</v>
          </cell>
        </row>
        <row r="118">
          <cell r="E118" t="str">
            <v>R0034</v>
          </cell>
          <cell r="F118" t="str">
            <v>2.4.1</v>
          </cell>
        </row>
        <row r="119">
          <cell r="E119" t="str">
            <v>R0043</v>
          </cell>
          <cell r="F119" t="str">
            <v>1.3.2</v>
          </cell>
        </row>
        <row r="120">
          <cell r="E120" t="str">
            <v>R0057</v>
          </cell>
          <cell r="F120" t="str">
            <v>1.7.1</v>
          </cell>
        </row>
        <row r="121">
          <cell r="E121" t="str">
            <v>R0137</v>
          </cell>
          <cell r="F121" t="str">
            <v>4.1.1</v>
          </cell>
        </row>
        <row r="122">
          <cell r="E122" t="str">
            <v>R0138</v>
          </cell>
          <cell r="F122" t="str">
            <v>2.2.1</v>
          </cell>
        </row>
        <row r="123">
          <cell r="E123" t="str">
            <v>R0139</v>
          </cell>
          <cell r="F123" t="str">
            <v>2.2.1</v>
          </cell>
        </row>
        <row r="124">
          <cell r="E124" t="str">
            <v>R0140</v>
          </cell>
          <cell r="F124" t="str">
            <v>2.2.1</v>
          </cell>
        </row>
        <row r="125">
          <cell r="E125" t="str">
            <v>R0157</v>
          </cell>
          <cell r="F125" t="str">
            <v>2.2.1</v>
          </cell>
        </row>
        <row r="126">
          <cell r="E126" t="str">
            <v>R0158</v>
          </cell>
          <cell r="F126" t="str">
            <v>2.2.2</v>
          </cell>
        </row>
        <row r="127">
          <cell r="E127" t="str">
            <v>R0169</v>
          </cell>
          <cell r="F127" t="str">
            <v>2.2.1</v>
          </cell>
        </row>
        <row r="128">
          <cell r="E128" t="str">
            <v>R0170</v>
          </cell>
          <cell r="F128" t="str">
            <v>2.2.1</v>
          </cell>
        </row>
        <row r="129">
          <cell r="E129" t="str">
            <v>R0171</v>
          </cell>
          <cell r="F129" t="str">
            <v>2.2.1</v>
          </cell>
        </row>
        <row r="130">
          <cell r="E130" t="str">
            <v>R0172</v>
          </cell>
          <cell r="F130" t="str">
            <v>2.2.1</v>
          </cell>
        </row>
        <row r="131">
          <cell r="E131" t="str">
            <v>R0173</v>
          </cell>
          <cell r="F131" t="str">
            <v>2.2.1</v>
          </cell>
        </row>
        <row r="132">
          <cell r="E132" t="str">
            <v>R0174</v>
          </cell>
          <cell r="F132" t="str">
            <v>2.2.1</v>
          </cell>
        </row>
        <row r="133">
          <cell r="E133" t="str">
            <v>R0175</v>
          </cell>
          <cell r="F133" t="str">
            <v>2.2.1</v>
          </cell>
        </row>
        <row r="134">
          <cell r="E134" t="str">
            <v>R0176</v>
          </cell>
          <cell r="F134" t="str">
            <v>2.2.1</v>
          </cell>
        </row>
        <row r="135">
          <cell r="E135" t="str">
            <v>R0177</v>
          </cell>
          <cell r="F135" t="str">
            <v>2.2.1</v>
          </cell>
        </row>
        <row r="136">
          <cell r="E136" t="str">
            <v xml:space="preserve">R0178  </v>
          </cell>
          <cell r="F136" t="str">
            <v>2.2.1</v>
          </cell>
        </row>
        <row r="137">
          <cell r="E137" t="str">
            <v>R0179</v>
          </cell>
          <cell r="F137" t="str">
            <v>2.2.1</v>
          </cell>
        </row>
        <row r="138">
          <cell r="E138" t="str">
            <v xml:space="preserve">R0180  </v>
          </cell>
          <cell r="F138" t="str">
            <v>2.2.1</v>
          </cell>
        </row>
        <row r="139">
          <cell r="E139" t="str">
            <v>R0186</v>
          </cell>
          <cell r="F139" t="str">
            <v>2.2.1</v>
          </cell>
        </row>
        <row r="140">
          <cell r="E140" t="str">
            <v>R0190</v>
          </cell>
          <cell r="F140" t="str">
            <v>2.1.1</v>
          </cell>
        </row>
        <row r="141">
          <cell r="E141" t="str">
            <v>R0205</v>
          </cell>
          <cell r="F141" t="str">
            <v>2.2.1</v>
          </cell>
        </row>
        <row r="142">
          <cell r="E142" t="str">
            <v>R0272</v>
          </cell>
          <cell r="F142" t="str">
            <v>2.2.1</v>
          </cell>
        </row>
        <row r="143">
          <cell r="E143" t="str">
            <v>R0273</v>
          </cell>
          <cell r="F143" t="str">
            <v>2.2.1</v>
          </cell>
        </row>
        <row r="144">
          <cell r="E144" t="str">
            <v>R0290</v>
          </cell>
          <cell r="F144" t="str">
            <v>2.2.1</v>
          </cell>
        </row>
        <row r="145">
          <cell r="E145" t="str">
            <v>R0291</v>
          </cell>
          <cell r="F145" t="str">
            <v>2.2.1</v>
          </cell>
        </row>
        <row r="146">
          <cell r="E146" t="str">
            <v>R0292</v>
          </cell>
          <cell r="F146" t="str">
            <v>2.2.1</v>
          </cell>
        </row>
        <row r="147">
          <cell r="E147" t="str">
            <v>R0293</v>
          </cell>
          <cell r="F147" t="str">
            <v>2.2.1</v>
          </cell>
        </row>
        <row r="148">
          <cell r="E148" t="str">
            <v>R0302</v>
          </cell>
          <cell r="F148" t="str">
            <v>2.2.1</v>
          </cell>
        </row>
        <row r="149">
          <cell r="E149" t="str">
            <v>R0303</v>
          </cell>
          <cell r="F149" t="str">
            <v>2.2.1</v>
          </cell>
        </row>
        <row r="150">
          <cell r="E150" t="str">
            <v>R0304</v>
          </cell>
          <cell r="F150" t="str">
            <v>2.2.1</v>
          </cell>
        </row>
        <row r="151">
          <cell r="E151" t="str">
            <v>S0012</v>
          </cell>
          <cell r="F151" t="str">
            <v>2.7.1</v>
          </cell>
        </row>
        <row r="152">
          <cell r="E152" t="str">
            <v>S0013</v>
          </cell>
          <cell r="F152" t="str">
            <v>2.4.1</v>
          </cell>
        </row>
        <row r="153">
          <cell r="E153" t="str">
            <v>S0014</v>
          </cell>
          <cell r="F153" t="str">
            <v>2.4.1</v>
          </cell>
        </row>
        <row r="154">
          <cell r="E154" t="str">
            <v>S0022</v>
          </cell>
          <cell r="F154" t="str">
            <v>2.2.2</v>
          </cell>
        </row>
        <row r="155">
          <cell r="E155" t="str">
            <v>S0023</v>
          </cell>
          <cell r="F155" t="str">
            <v>2.2.2</v>
          </cell>
        </row>
        <row r="156">
          <cell r="E156" t="str">
            <v>S0024</v>
          </cell>
          <cell r="F156" t="str">
            <v>2.2.2</v>
          </cell>
        </row>
        <row r="157">
          <cell r="E157" t="str">
            <v>S0025</v>
          </cell>
          <cell r="F157" t="str">
            <v>2.2.2</v>
          </cell>
        </row>
        <row r="158">
          <cell r="E158" t="str">
            <v>S0027</v>
          </cell>
          <cell r="F158" t="str">
            <v>2.2.2</v>
          </cell>
        </row>
        <row r="159">
          <cell r="E159" t="str">
            <v>S0028</v>
          </cell>
          <cell r="F159" t="str">
            <v>2.2.2</v>
          </cell>
        </row>
        <row r="160">
          <cell r="E160" t="str">
            <v>S0029</v>
          </cell>
          <cell r="F160" t="str">
            <v>2.2.2</v>
          </cell>
        </row>
        <row r="161">
          <cell r="E161" t="str">
            <v>S0030</v>
          </cell>
          <cell r="F161" t="str">
            <v>2.2.2</v>
          </cell>
        </row>
        <row r="162">
          <cell r="E162" t="str">
            <v>S0031</v>
          </cell>
          <cell r="F162" t="str">
            <v>2.2.2</v>
          </cell>
        </row>
        <row r="163">
          <cell r="E163" t="str">
            <v>S0032</v>
          </cell>
          <cell r="F163" t="str">
            <v>2.2.2</v>
          </cell>
        </row>
        <row r="164">
          <cell r="E164" t="str">
            <v>S0033</v>
          </cell>
          <cell r="F164" t="str">
            <v>2.2.2</v>
          </cell>
        </row>
        <row r="165">
          <cell r="E165" t="str">
            <v>S0034</v>
          </cell>
          <cell r="F165" t="str">
            <v>2.2.2</v>
          </cell>
        </row>
        <row r="166">
          <cell r="E166" t="str">
            <v>S0035</v>
          </cell>
          <cell r="F166" t="str">
            <v>2.2.2</v>
          </cell>
        </row>
        <row r="167">
          <cell r="E167" t="str">
            <v>S0036</v>
          </cell>
          <cell r="F167" t="str">
            <v>2.7.1</v>
          </cell>
        </row>
        <row r="168">
          <cell r="E168" t="str">
            <v>S0037</v>
          </cell>
          <cell r="F168" t="str">
            <v>2.2.2</v>
          </cell>
        </row>
        <row r="169">
          <cell r="E169" t="str">
            <v xml:space="preserve">0038 </v>
          </cell>
          <cell r="F169" t="str">
            <v>2.2.2</v>
          </cell>
        </row>
        <row r="170">
          <cell r="E170" t="str">
            <v>S0039</v>
          </cell>
          <cell r="F170" t="str">
            <v>2.2.2</v>
          </cell>
        </row>
        <row r="171">
          <cell r="E171" t="str">
            <v>S0040</v>
          </cell>
          <cell r="F171" t="str">
            <v>2.2.2</v>
          </cell>
        </row>
        <row r="172">
          <cell r="E172" t="str">
            <v xml:space="preserve">0041 </v>
          </cell>
          <cell r="F172" t="str">
            <v>2.2.2</v>
          </cell>
        </row>
        <row r="173">
          <cell r="E173" t="str">
            <v xml:space="preserve">0042 </v>
          </cell>
          <cell r="F173" t="str">
            <v>2.2.2</v>
          </cell>
        </row>
        <row r="174">
          <cell r="E174" t="str">
            <v>S0043</v>
          </cell>
          <cell r="F174" t="str">
            <v>2.2.2</v>
          </cell>
        </row>
        <row r="175">
          <cell r="E175" t="str">
            <v>S0044</v>
          </cell>
          <cell r="F175" t="str">
            <v>2.1.1</v>
          </cell>
        </row>
        <row r="176">
          <cell r="E176" t="str">
            <v>S0045</v>
          </cell>
          <cell r="F176" t="str">
            <v>2.2.2</v>
          </cell>
        </row>
        <row r="177">
          <cell r="E177" t="str">
            <v>S0046</v>
          </cell>
          <cell r="F177" t="str">
            <v>2.2.2</v>
          </cell>
        </row>
        <row r="178">
          <cell r="E178" t="str">
            <v>S0047</v>
          </cell>
          <cell r="F178" t="str">
            <v>2.2.2</v>
          </cell>
        </row>
        <row r="179">
          <cell r="E179" t="str">
            <v>S0048</v>
          </cell>
          <cell r="F179" t="str">
            <v>2.2.2</v>
          </cell>
        </row>
        <row r="180">
          <cell r="E180" t="str">
            <v>S0049</v>
          </cell>
          <cell r="F180" t="str">
            <v>2.2.2</v>
          </cell>
        </row>
        <row r="181">
          <cell r="E181" t="str">
            <v>S0050</v>
          </cell>
          <cell r="F181" t="str">
            <v>2.2.2</v>
          </cell>
        </row>
        <row r="182">
          <cell r="E182" t="str">
            <v>S0051</v>
          </cell>
          <cell r="F182" t="str">
            <v>2.2.2</v>
          </cell>
        </row>
        <row r="183">
          <cell r="E183" t="str">
            <v>S0052</v>
          </cell>
          <cell r="F183" t="str">
            <v>2.2.2</v>
          </cell>
        </row>
        <row r="184">
          <cell r="E184" t="str">
            <v>S0053</v>
          </cell>
          <cell r="F184" t="str">
            <v>2.2.2</v>
          </cell>
        </row>
        <row r="185">
          <cell r="E185" t="str">
            <v>S0054</v>
          </cell>
          <cell r="F185" t="str">
            <v>2.2.2</v>
          </cell>
        </row>
        <row r="186">
          <cell r="E186" t="str">
            <v>S0055</v>
          </cell>
          <cell r="F186" t="str">
            <v>2.2.2</v>
          </cell>
        </row>
        <row r="187">
          <cell r="E187" t="str">
            <v>S0056</v>
          </cell>
          <cell r="F187" t="str">
            <v>2.2.2</v>
          </cell>
        </row>
        <row r="188">
          <cell r="E188" t="str">
            <v>S0057</v>
          </cell>
          <cell r="F188" t="str">
            <v>2.2.2</v>
          </cell>
        </row>
        <row r="189">
          <cell r="E189" t="str">
            <v>S0058</v>
          </cell>
          <cell r="F189" t="str">
            <v>2.2.2</v>
          </cell>
        </row>
        <row r="190">
          <cell r="E190" t="str">
            <v>S0059</v>
          </cell>
          <cell r="F190" t="str">
            <v>2.2.2</v>
          </cell>
        </row>
        <row r="191">
          <cell r="E191" t="str">
            <v>S0060</v>
          </cell>
          <cell r="F191" t="str">
            <v>2.2.2</v>
          </cell>
        </row>
        <row r="192">
          <cell r="E192" t="str">
            <v>S0061</v>
          </cell>
          <cell r="F192" t="str">
            <v>2.2.2</v>
          </cell>
        </row>
        <row r="193">
          <cell r="E193" t="str">
            <v>S0062</v>
          </cell>
          <cell r="F193" t="str">
            <v>2.2.2</v>
          </cell>
        </row>
        <row r="194">
          <cell r="E194" t="str">
            <v>S0063</v>
          </cell>
          <cell r="F194" t="str">
            <v>2.2.2</v>
          </cell>
        </row>
        <row r="195">
          <cell r="E195" t="str">
            <v>S0064</v>
          </cell>
          <cell r="F195" t="str">
            <v>2.2.2</v>
          </cell>
        </row>
        <row r="196">
          <cell r="E196" t="str">
            <v>S0065</v>
          </cell>
          <cell r="F196" t="str">
            <v>2.2.2</v>
          </cell>
        </row>
        <row r="197">
          <cell r="E197" t="str">
            <v>S0066</v>
          </cell>
          <cell r="F197" t="str">
            <v>2.2.2</v>
          </cell>
        </row>
        <row r="198">
          <cell r="E198" t="str">
            <v>S0067</v>
          </cell>
          <cell r="F198" t="str">
            <v>2.2.2</v>
          </cell>
        </row>
        <row r="199">
          <cell r="E199" t="str">
            <v>S0068</v>
          </cell>
          <cell r="F199" t="str">
            <v>2.2.2</v>
          </cell>
        </row>
        <row r="200">
          <cell r="E200" t="str">
            <v>S0069</v>
          </cell>
          <cell r="F200" t="str">
            <v>2.2.2</v>
          </cell>
        </row>
        <row r="201">
          <cell r="E201" t="str">
            <v>S0070</v>
          </cell>
          <cell r="F201" t="str">
            <v>2.2.2</v>
          </cell>
        </row>
        <row r="202">
          <cell r="E202" t="str">
            <v>S0071</v>
          </cell>
          <cell r="F202" t="str">
            <v>2.2.2</v>
          </cell>
        </row>
        <row r="203">
          <cell r="E203" t="str">
            <v>S0072</v>
          </cell>
          <cell r="F203" t="str">
            <v>2.2.2</v>
          </cell>
        </row>
        <row r="204">
          <cell r="E204" t="str">
            <v>S0073</v>
          </cell>
          <cell r="F204" t="str">
            <v>2.2.2</v>
          </cell>
        </row>
        <row r="205">
          <cell r="E205" t="str">
            <v>S0074</v>
          </cell>
          <cell r="F205" t="str">
            <v>2.2.2</v>
          </cell>
        </row>
        <row r="206">
          <cell r="E206" t="str">
            <v>S0075</v>
          </cell>
          <cell r="F206" t="str">
            <v>2.2.2</v>
          </cell>
        </row>
        <row r="207">
          <cell r="E207" t="str">
            <v>S0076</v>
          </cell>
          <cell r="F207" t="str">
            <v>2.2.2</v>
          </cell>
        </row>
        <row r="208">
          <cell r="E208" t="str">
            <v>S0180</v>
          </cell>
          <cell r="F208" t="str">
            <v>2.2.2</v>
          </cell>
        </row>
        <row r="209">
          <cell r="E209" t="str">
            <v>S0208</v>
          </cell>
          <cell r="F209" t="str">
            <v>2.2.2</v>
          </cell>
        </row>
        <row r="210">
          <cell r="E210" t="str">
            <v>S0209</v>
          </cell>
          <cell r="F210" t="str">
            <v>2.2.2</v>
          </cell>
        </row>
        <row r="211">
          <cell r="E211" t="str">
            <v>S0210</v>
          </cell>
          <cell r="F211" t="str">
            <v>2.2.2</v>
          </cell>
        </row>
        <row r="212">
          <cell r="E212" t="str">
            <v>S0211</v>
          </cell>
          <cell r="F212" t="str">
            <v>2.2.2</v>
          </cell>
        </row>
        <row r="213">
          <cell r="E213" t="str">
            <v>S0212</v>
          </cell>
          <cell r="F213" t="str">
            <v>2.2.2</v>
          </cell>
        </row>
        <row r="214">
          <cell r="E214" t="str">
            <v>S0213</v>
          </cell>
          <cell r="F214" t="str">
            <v>2.2.2</v>
          </cell>
        </row>
        <row r="215">
          <cell r="E215" t="str">
            <v>S0216</v>
          </cell>
          <cell r="F215" t="str">
            <v>2.2.2</v>
          </cell>
        </row>
        <row r="216">
          <cell r="E216" t="str">
            <v>S0217</v>
          </cell>
          <cell r="F216" t="str">
            <v>2.2.2</v>
          </cell>
        </row>
        <row r="217">
          <cell r="E217" t="str">
            <v>S0218</v>
          </cell>
          <cell r="F217" t="str">
            <v>2.2.2</v>
          </cell>
        </row>
        <row r="218">
          <cell r="E218" t="str">
            <v>S0259</v>
          </cell>
          <cell r="F218" t="str">
            <v>2.2.2</v>
          </cell>
        </row>
        <row r="219">
          <cell r="E219" t="str">
            <v>S0260</v>
          </cell>
          <cell r="F219" t="str">
            <v>2.2.2</v>
          </cell>
        </row>
        <row r="220">
          <cell r="E220" t="str">
            <v>S0261</v>
          </cell>
          <cell r="F220" t="str">
            <v>2.2.2</v>
          </cell>
        </row>
        <row r="221">
          <cell r="E221" t="str">
            <v>S0269</v>
          </cell>
          <cell r="F221" t="str">
            <v>2.1.4</v>
          </cell>
        </row>
        <row r="222">
          <cell r="E222" t="str">
            <v>S0271</v>
          </cell>
          <cell r="F222" t="str">
            <v>2.2.2</v>
          </cell>
        </row>
        <row r="223">
          <cell r="E223" t="str">
            <v>S0276</v>
          </cell>
          <cell r="F223" t="str">
            <v>2.2.2</v>
          </cell>
        </row>
        <row r="224">
          <cell r="E224" t="str">
            <v>S0277</v>
          </cell>
          <cell r="F224" t="str">
            <v>2.2.2</v>
          </cell>
        </row>
        <row r="225">
          <cell r="E225" t="str">
            <v>S0278</v>
          </cell>
          <cell r="F225" t="str">
            <v>2.2.2</v>
          </cell>
        </row>
        <row r="226">
          <cell r="E226" t="str">
            <v>S0294</v>
          </cell>
          <cell r="F226" t="str">
            <v>2.2.2</v>
          </cell>
        </row>
        <row r="227">
          <cell r="E227" t="str">
            <v>S0295</v>
          </cell>
          <cell r="F227" t="str">
            <v>2.1.6</v>
          </cell>
        </row>
        <row r="228">
          <cell r="E228" t="str">
            <v>S0296</v>
          </cell>
          <cell r="F228" t="str">
            <v>2.5.6</v>
          </cell>
        </row>
        <row r="229">
          <cell r="E229" t="str">
            <v>S0299</v>
          </cell>
          <cell r="F229" t="str">
            <v>1.5.1</v>
          </cell>
        </row>
        <row r="230">
          <cell r="E230" t="str">
            <v>S0300</v>
          </cell>
          <cell r="F230" t="str">
            <v>2.1.4</v>
          </cell>
        </row>
        <row r="231">
          <cell r="E231" t="str">
            <v>S0305</v>
          </cell>
          <cell r="F231" t="str">
            <v>2.4.2</v>
          </cell>
        </row>
        <row r="232">
          <cell r="E232" t="str">
            <v>U0031</v>
          </cell>
          <cell r="F232" t="str">
            <v>2.6.8</v>
          </cell>
        </row>
        <row r="233">
          <cell r="E233" t="str">
            <v>U0122</v>
          </cell>
          <cell r="F233" t="str">
            <v>2.6.9</v>
          </cell>
        </row>
        <row r="234">
          <cell r="E234" t="str">
            <v>U0123</v>
          </cell>
          <cell r="F234" t="str">
            <v>2.4.2</v>
          </cell>
        </row>
        <row r="235">
          <cell r="E235" t="str">
            <v>U0127</v>
          </cell>
          <cell r="F235" t="str">
            <v>2.4.2</v>
          </cell>
        </row>
        <row r="236">
          <cell r="E236" t="str">
            <v>U0128</v>
          </cell>
          <cell r="F236" t="str">
            <v>2.4.2</v>
          </cell>
        </row>
        <row r="237">
          <cell r="E237" t="str">
            <v>U0129</v>
          </cell>
          <cell r="F237" t="str">
            <v>3.7.1</v>
          </cell>
        </row>
        <row r="238">
          <cell r="E238" t="str">
            <v>U0130</v>
          </cell>
          <cell r="F238" t="str">
            <v>3.7.1</v>
          </cell>
        </row>
        <row r="239">
          <cell r="E239" t="str">
            <v>U0131</v>
          </cell>
          <cell r="F239" t="str">
            <v>2.4.2</v>
          </cell>
        </row>
        <row r="240">
          <cell r="E240" t="str">
            <v>U0132</v>
          </cell>
          <cell r="F240" t="str">
            <v>2.4.1</v>
          </cell>
        </row>
        <row r="241">
          <cell r="E241" t="str">
            <v>U0134</v>
          </cell>
          <cell r="F241" t="str">
            <v>2.4.1</v>
          </cell>
        </row>
        <row r="242">
          <cell r="E242" t="str">
            <v>U0135</v>
          </cell>
          <cell r="F242" t="str">
            <v>2.7.1</v>
          </cell>
        </row>
        <row r="243">
          <cell r="E243" t="str">
            <v>U0136</v>
          </cell>
          <cell r="F243" t="str">
            <v>2.7.1</v>
          </cell>
        </row>
        <row r="244">
          <cell r="E244" t="str">
            <v>U0140</v>
          </cell>
          <cell r="F244" t="str">
            <v>2.6.1</v>
          </cell>
        </row>
        <row r="245">
          <cell r="E245" t="str">
            <v>U0156</v>
          </cell>
          <cell r="F245" t="str">
            <v>2.2.2</v>
          </cell>
        </row>
        <row r="246">
          <cell r="E246" t="str">
            <v>U0161</v>
          </cell>
          <cell r="F246" t="str">
            <v>2.7.1</v>
          </cell>
        </row>
        <row r="247">
          <cell r="E247" t="str">
            <v>U0187</v>
          </cell>
          <cell r="F247" t="str">
            <v>2.6.8</v>
          </cell>
        </row>
        <row r="248">
          <cell r="E248" t="str">
            <v>U0213</v>
          </cell>
          <cell r="F248" t="str">
            <v>2.6.8</v>
          </cell>
        </row>
        <row r="249">
          <cell r="E249" t="str">
            <v>U0222</v>
          </cell>
          <cell r="F249" t="str">
            <v>2.6.8</v>
          </cell>
        </row>
        <row r="250">
          <cell r="E250" t="str">
            <v>U0223</v>
          </cell>
          <cell r="F250" t="str">
            <v>2.6.8</v>
          </cell>
        </row>
        <row r="251">
          <cell r="E251" t="str">
            <v>U0224</v>
          </cell>
          <cell r="F251" t="str">
            <v>2.6.8</v>
          </cell>
        </row>
        <row r="252">
          <cell r="E252" t="str">
            <v>U0225</v>
          </cell>
          <cell r="F252" t="str">
            <v>2.6.8</v>
          </cell>
        </row>
        <row r="253">
          <cell r="E253" t="str">
            <v>U0226</v>
          </cell>
          <cell r="F253" t="str">
            <v>2.6.8</v>
          </cell>
        </row>
        <row r="254">
          <cell r="E254" t="str">
            <v>U0227</v>
          </cell>
          <cell r="F254" t="str">
            <v>2.6.8</v>
          </cell>
        </row>
        <row r="255">
          <cell r="E255" t="str">
            <v>U0228</v>
          </cell>
          <cell r="F255" t="str">
            <v>2.6.8</v>
          </cell>
        </row>
        <row r="256">
          <cell r="E256" t="str">
            <v>U0229</v>
          </cell>
          <cell r="F256" t="str">
            <v>2.6.8</v>
          </cell>
        </row>
        <row r="257">
          <cell r="E257" t="str">
            <v>U0230</v>
          </cell>
          <cell r="F257" t="str">
            <v>2.6.8</v>
          </cell>
        </row>
        <row r="258">
          <cell r="E258" t="str">
            <v>U0231</v>
          </cell>
          <cell r="F258" t="str">
            <v>2.6.8</v>
          </cell>
        </row>
        <row r="259">
          <cell r="E259" t="str">
            <v>U0232</v>
          </cell>
          <cell r="F259" t="str">
            <v>2.6.9</v>
          </cell>
        </row>
        <row r="260">
          <cell r="E260" t="str">
            <v>U0233</v>
          </cell>
          <cell r="F260" t="str">
            <v>2.6.8</v>
          </cell>
        </row>
        <row r="261">
          <cell r="E261" t="str">
            <v>U0234</v>
          </cell>
          <cell r="F261" t="str">
            <v>2.6.8</v>
          </cell>
        </row>
        <row r="262">
          <cell r="E262" t="str">
            <v>U0235</v>
          </cell>
          <cell r="F262" t="str">
            <v>2.6.8</v>
          </cell>
        </row>
        <row r="263">
          <cell r="E263" t="str">
            <v>U0236</v>
          </cell>
          <cell r="F263" t="str">
            <v>2.4.1</v>
          </cell>
        </row>
        <row r="264">
          <cell r="E264" t="str">
            <v>U0237</v>
          </cell>
          <cell r="F264" t="str">
            <v>2.4.1</v>
          </cell>
        </row>
        <row r="265">
          <cell r="E265" t="str">
            <v>U0238</v>
          </cell>
          <cell r="F265" t="str">
            <v>2.4.1</v>
          </cell>
        </row>
        <row r="266">
          <cell r="E266" t="str">
            <v>U0239</v>
          </cell>
          <cell r="F266" t="str">
            <v>2.4.1</v>
          </cell>
        </row>
        <row r="267">
          <cell r="E267" t="str">
            <v>U0240</v>
          </cell>
          <cell r="F267" t="str">
            <v>2.4.1</v>
          </cell>
        </row>
        <row r="268">
          <cell r="E268" t="str">
            <v>U0241</v>
          </cell>
          <cell r="F268" t="str">
            <v>2.2.5</v>
          </cell>
        </row>
        <row r="269">
          <cell r="E269" t="str">
            <v>U0242</v>
          </cell>
          <cell r="F269" t="str">
            <v>2.2.5</v>
          </cell>
        </row>
        <row r="270">
          <cell r="E270" t="str">
            <v>U0243</v>
          </cell>
          <cell r="F270" t="str">
            <v>2.1.6</v>
          </cell>
        </row>
        <row r="271">
          <cell r="E271" t="str">
            <v>U0244</v>
          </cell>
          <cell r="F271" t="str">
            <v>2.1.6</v>
          </cell>
        </row>
        <row r="272">
          <cell r="E272" t="str">
            <v>U0245</v>
          </cell>
          <cell r="F272" t="str">
            <v>2.1.6</v>
          </cell>
        </row>
        <row r="273">
          <cell r="E273" t="str">
            <v>U0246</v>
          </cell>
          <cell r="F273" t="str">
            <v>2.1.6</v>
          </cell>
        </row>
        <row r="274">
          <cell r="E274" t="str">
            <v>U0247</v>
          </cell>
          <cell r="F274" t="str">
            <v>2.1.6</v>
          </cell>
        </row>
        <row r="275">
          <cell r="E275" t="str">
            <v>U0248</v>
          </cell>
          <cell r="F275" t="str">
            <v>2.1.6</v>
          </cell>
        </row>
        <row r="276">
          <cell r="E276" t="str">
            <v>U0249</v>
          </cell>
          <cell r="F276" t="str">
            <v>1.8.2</v>
          </cell>
        </row>
        <row r="277">
          <cell r="E277" t="str">
            <v>U0250</v>
          </cell>
          <cell r="F277" t="str">
            <v>1.8.2</v>
          </cell>
        </row>
        <row r="278">
          <cell r="E278" t="str">
            <v>U0251</v>
          </cell>
          <cell r="F278" t="str">
            <v>1.8.2</v>
          </cell>
        </row>
        <row r="279">
          <cell r="E279" t="str">
            <v>U0252</v>
          </cell>
          <cell r="F279" t="str">
            <v>1.8.2</v>
          </cell>
        </row>
        <row r="280">
          <cell r="E280" t="str">
            <v>U0253</v>
          </cell>
          <cell r="F280" t="str">
            <v>2.6.3</v>
          </cell>
        </row>
        <row r="281">
          <cell r="E281" t="str">
            <v>U0254</v>
          </cell>
          <cell r="F281" t="str">
            <v>2.6.3</v>
          </cell>
        </row>
        <row r="282">
          <cell r="E282" t="str">
            <v>U0255</v>
          </cell>
          <cell r="F282" t="str">
            <v>2.6.3</v>
          </cell>
        </row>
        <row r="283">
          <cell r="E283" t="str">
            <v>U0256</v>
          </cell>
          <cell r="F283" t="str">
            <v>2.6.3</v>
          </cell>
        </row>
        <row r="284">
          <cell r="E284" t="str">
            <v>U0257</v>
          </cell>
          <cell r="F284" t="str">
            <v>2.6.3</v>
          </cell>
        </row>
        <row r="285">
          <cell r="E285" t="str">
            <v>U0258</v>
          </cell>
          <cell r="F285" t="str">
            <v>2.6.3</v>
          </cell>
        </row>
        <row r="286">
          <cell r="E286" t="str">
            <v>U0263</v>
          </cell>
          <cell r="F286" t="str">
            <v>2.2.2</v>
          </cell>
        </row>
        <row r="287">
          <cell r="E287" t="str">
            <v>U0264</v>
          </cell>
          <cell r="F287" t="str">
            <v>2.2.2</v>
          </cell>
        </row>
        <row r="288">
          <cell r="E288" t="str">
            <v>U0265</v>
          </cell>
          <cell r="F288" t="str">
            <v>2.6.8</v>
          </cell>
        </row>
        <row r="289">
          <cell r="E289" t="str">
            <v>U0266</v>
          </cell>
          <cell r="F289" t="str">
            <v>2.2.2</v>
          </cell>
        </row>
        <row r="290">
          <cell r="E290" t="str">
            <v>U0267</v>
          </cell>
          <cell r="F290" t="str">
            <v>2.2.2</v>
          </cell>
        </row>
        <row r="291">
          <cell r="E291" t="str">
            <v>U0268</v>
          </cell>
          <cell r="F291" t="str">
            <v>1.8.2</v>
          </cell>
        </row>
        <row r="292">
          <cell r="E292" t="str">
            <v>U0269</v>
          </cell>
          <cell r="F292" t="str">
            <v>2.2.2</v>
          </cell>
        </row>
        <row r="293">
          <cell r="E293" t="str">
            <v>U0270</v>
          </cell>
          <cell r="F293" t="str">
            <v>2.1.6</v>
          </cell>
        </row>
        <row r="294">
          <cell r="E294" t="str">
            <v>U0271</v>
          </cell>
          <cell r="F294" t="str">
            <v>2.4.1</v>
          </cell>
        </row>
        <row r="295">
          <cell r="E295" t="str">
            <v>U0275</v>
          </cell>
          <cell r="F295" t="str">
            <v>2.4.1</v>
          </cell>
        </row>
        <row r="296">
          <cell r="E296" t="str">
            <v>U0279</v>
          </cell>
          <cell r="F296" t="str">
            <v>2.2.5</v>
          </cell>
        </row>
        <row r="297">
          <cell r="E297" t="str">
            <v>U0301</v>
          </cell>
          <cell r="F297" t="str">
            <v>2.1.3</v>
          </cell>
        </row>
        <row r="298">
          <cell r="E298" t="str">
            <v>R0191</v>
          </cell>
          <cell r="F298" t="str">
            <v>2.2.1</v>
          </cell>
        </row>
        <row r="299">
          <cell r="E299" t="str">
            <v>U0188</v>
          </cell>
          <cell r="F299" t="str">
            <v>2.2.2</v>
          </cell>
        </row>
        <row r="300">
          <cell r="E300" t="str">
            <v>U0189</v>
          </cell>
          <cell r="F300" t="str">
            <v>2.2.2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ING-EGR"/>
      <sheetName val="ANALÍTICO INGRESOS"/>
      <sheetName val="egresos"/>
      <sheetName val="PROGRAMATICO"/>
      <sheetName val="CTG"/>
      <sheetName val="C.F.F"/>
      <sheetName val="COG"/>
      <sheetName val="C.A"/>
      <sheetName val="C.F.G"/>
      <sheetName val="Comparativo (2)"/>
      <sheetName val="Fortamun"/>
      <sheetName val="FAISM"/>
      <sheetName val="Hoja10"/>
      <sheetName val="E0111"/>
      <sheetName val="E0110"/>
      <sheetName val="Hoja1 (2)"/>
      <sheetName val="Resumen Gral."/>
      <sheetName val="Resumen Gral. 03.07"/>
      <sheetName val="Hoja1"/>
      <sheetName val="Uniformes"/>
      <sheetName val="proyeccion dap"/>
      <sheetName val="Movimientos Luna"/>
      <sheetName val="ARRENDAMIENTO"/>
      <sheetName val="equipos"/>
      <sheetName val="3111"/>
      <sheetName val="3131"/>
      <sheetName val="3141"/>
      <sheetName val="3151"/>
      <sheetName val="UNIFORMES1"/>
      <sheetName val="COMPARATIVO MANTENIMIENTO"/>
      <sheetName val="COMPARATIVO COMBUSTIBLE"/>
      <sheetName val="ANALISIS FIFOSEC"/>
      <sheetName val="P 2DAMPTAL"/>
      <sheetName val="#¡REF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Etiquetas de fila</v>
          </cell>
          <cell r="B3" t="str">
            <v>Suma de APROBADO</v>
          </cell>
          <cell r="D3" t="str">
            <v>Etiquetas de fila</v>
          </cell>
          <cell r="E3" t="str">
            <v>Suma de PROPUESTA</v>
          </cell>
        </row>
        <row r="4">
          <cell r="A4">
            <v>1100116</v>
          </cell>
          <cell r="B4">
            <v>9031075.2699999996</v>
          </cell>
          <cell r="D4">
            <v>1100116</v>
          </cell>
          <cell r="E4">
            <v>9031075.2699999996</v>
          </cell>
        </row>
        <row r="5">
          <cell r="A5">
            <v>1100117</v>
          </cell>
          <cell r="B5">
            <v>10712360.91</v>
          </cell>
          <cell r="D5">
            <v>1100117</v>
          </cell>
          <cell r="E5">
            <v>10712360.91</v>
          </cell>
        </row>
        <row r="6">
          <cell r="A6">
            <v>1100118</v>
          </cell>
          <cell r="B6">
            <v>62963181.399999999</v>
          </cell>
          <cell r="D6">
            <v>1100118</v>
          </cell>
          <cell r="E6">
            <v>62963181.400000006</v>
          </cell>
        </row>
        <row r="7">
          <cell r="A7">
            <v>1100119</v>
          </cell>
          <cell r="B7">
            <v>182778728.71000001</v>
          </cell>
          <cell r="D7">
            <v>1100119</v>
          </cell>
          <cell r="E7">
            <v>182778728.71000004</v>
          </cell>
        </row>
        <row r="8">
          <cell r="A8">
            <v>1100120</v>
          </cell>
          <cell r="B8">
            <v>555967333.74000001</v>
          </cell>
          <cell r="D8">
            <v>1100120</v>
          </cell>
          <cell r="E8">
            <v>555967333.74000001</v>
          </cell>
        </row>
        <row r="9">
          <cell r="A9">
            <v>1201019</v>
          </cell>
          <cell r="B9"/>
          <cell r="D9">
            <v>1201019</v>
          </cell>
          <cell r="E9">
            <v>0</v>
          </cell>
        </row>
        <row r="10">
          <cell r="A10">
            <v>1500520</v>
          </cell>
          <cell r="B10">
            <v>672144158.71000004</v>
          </cell>
          <cell r="D10">
            <v>1500520</v>
          </cell>
          <cell r="E10">
            <v>672144158.7100004</v>
          </cell>
        </row>
        <row r="11">
          <cell r="A11">
            <v>2510119</v>
          </cell>
          <cell r="B11">
            <v>194696.35</v>
          </cell>
          <cell r="D11">
            <v>1701119</v>
          </cell>
          <cell r="E11">
            <v>0</v>
          </cell>
        </row>
        <row r="12">
          <cell r="A12">
            <v>2510120</v>
          </cell>
          <cell r="B12">
            <v>99359118</v>
          </cell>
          <cell r="D12">
            <v>2510119</v>
          </cell>
          <cell r="E12">
            <v>194696.35</v>
          </cell>
        </row>
        <row r="13">
          <cell r="A13">
            <v>2510220</v>
          </cell>
          <cell r="B13">
            <v>346004145.19999999</v>
          </cell>
          <cell r="D13">
            <v>2510120</v>
          </cell>
          <cell r="E13">
            <v>99359118</v>
          </cell>
        </row>
        <row r="14">
          <cell r="A14">
            <v>2520319</v>
          </cell>
          <cell r="B14">
            <v>1141842.92</v>
          </cell>
          <cell r="D14">
            <v>2510220</v>
          </cell>
          <cell r="E14">
            <v>346004145.19999999</v>
          </cell>
        </row>
        <row r="15">
          <cell r="A15">
            <v>2520320</v>
          </cell>
          <cell r="B15">
            <v>17213553</v>
          </cell>
          <cell r="D15">
            <v>2520319</v>
          </cell>
          <cell r="E15">
            <v>1141842.92</v>
          </cell>
        </row>
        <row r="16">
          <cell r="A16">
            <v>2610118</v>
          </cell>
          <cell r="B16">
            <v>7000000</v>
          </cell>
          <cell r="D16">
            <v>2520320</v>
          </cell>
          <cell r="E16">
            <v>17213553</v>
          </cell>
        </row>
        <row r="17">
          <cell r="A17">
            <v>2610119</v>
          </cell>
          <cell r="B17">
            <v>12114805.550000001</v>
          </cell>
          <cell r="D17">
            <v>2610117</v>
          </cell>
          <cell r="E17">
            <v>0</v>
          </cell>
        </row>
        <row r="18">
          <cell r="A18">
            <v>2610120</v>
          </cell>
          <cell r="B18">
            <v>149255259.20999998</v>
          </cell>
          <cell r="D18">
            <v>2610118</v>
          </cell>
          <cell r="E18">
            <v>7000000</v>
          </cell>
        </row>
        <row r="19">
          <cell r="A19">
            <v>2610220</v>
          </cell>
          <cell r="B19">
            <v>90458182.030000001</v>
          </cell>
          <cell r="D19">
            <v>2610119</v>
          </cell>
          <cell r="E19">
            <v>12114805.550000001</v>
          </cell>
        </row>
        <row r="20">
          <cell r="A20">
            <v>2610717</v>
          </cell>
          <cell r="B20"/>
          <cell r="D20">
            <v>2610120</v>
          </cell>
          <cell r="E20">
            <v>149255259.20999998</v>
          </cell>
        </row>
        <row r="21">
          <cell r="A21">
            <v>2610718</v>
          </cell>
          <cell r="B21"/>
          <cell r="D21">
            <v>2610220</v>
          </cell>
          <cell r="E21">
            <v>90458182.030000001</v>
          </cell>
        </row>
        <row r="22">
          <cell r="A22">
            <v>2610719</v>
          </cell>
          <cell r="B22"/>
          <cell r="D22" t="str">
            <v>1.1.2</v>
          </cell>
          <cell r="E22">
            <v>14161948.909999996</v>
          </cell>
        </row>
        <row r="23">
          <cell r="A23">
            <v>2610720</v>
          </cell>
          <cell r="B23">
            <v>0</v>
          </cell>
          <cell r="D23" t="str">
            <v>1.2.1</v>
          </cell>
          <cell r="E23">
            <v>2187713.75</v>
          </cell>
        </row>
        <row r="24">
          <cell r="A24" t="str">
            <v>(en blanco)</v>
          </cell>
          <cell r="B24">
            <v>7053309918.4100008</v>
          </cell>
          <cell r="D24" t="str">
            <v>1.2.2</v>
          </cell>
          <cell r="E24">
            <v>4745123.4399999985</v>
          </cell>
        </row>
        <row r="25">
          <cell r="A25" t="str">
            <v>Total general</v>
          </cell>
          <cell r="B25">
            <v>9269648359.4099998</v>
          </cell>
          <cell r="D25" t="str">
            <v>1.3.1</v>
          </cell>
          <cell r="E25">
            <v>35641020.780000009</v>
          </cell>
        </row>
        <row r="26">
          <cell r="D26" t="str">
            <v>1.3.2</v>
          </cell>
          <cell r="E26">
            <v>28215317.869999997</v>
          </cell>
        </row>
        <row r="27">
          <cell r="D27" t="str">
            <v>1.3.3</v>
          </cell>
          <cell r="E27">
            <v>14763859.73</v>
          </cell>
        </row>
        <row r="28">
          <cell r="D28" t="str">
            <v>1.3.5</v>
          </cell>
          <cell r="E28">
            <v>14635504.289999999</v>
          </cell>
        </row>
        <row r="29">
          <cell r="D29" t="str">
            <v>1.4.1</v>
          </cell>
          <cell r="E29">
            <v>6161964.0599999996</v>
          </cell>
        </row>
        <row r="30">
          <cell r="D30" t="str">
            <v>1.5.1</v>
          </cell>
          <cell r="E30">
            <v>905201.36</v>
          </cell>
        </row>
        <row r="31">
          <cell r="D31" t="str">
            <v>1.5.2</v>
          </cell>
          <cell r="E31">
            <v>70387940.060000002</v>
          </cell>
        </row>
        <row r="32">
          <cell r="D32" t="str">
            <v>1.7.1</v>
          </cell>
          <cell r="E32">
            <v>487551576.5800001</v>
          </cell>
        </row>
        <row r="33">
          <cell r="D33" t="str">
            <v>1.7.2</v>
          </cell>
          <cell r="E33">
            <v>32296502.520000003</v>
          </cell>
        </row>
        <row r="34">
          <cell r="D34" t="str">
            <v>1.7.3</v>
          </cell>
          <cell r="E34">
            <v>180828.42</v>
          </cell>
        </row>
        <row r="35">
          <cell r="D35" t="str">
            <v>1.8.2</v>
          </cell>
          <cell r="E35">
            <v>13546401.84</v>
          </cell>
        </row>
        <row r="36">
          <cell r="D36" t="str">
            <v>1.8.3</v>
          </cell>
          <cell r="E36">
            <v>21635733.690000001</v>
          </cell>
        </row>
        <row r="37">
          <cell r="D37" t="str">
            <v>1.8.4</v>
          </cell>
          <cell r="E37">
            <v>2622953.2599999998</v>
          </cell>
        </row>
        <row r="38">
          <cell r="D38" t="str">
            <v>1.8.5</v>
          </cell>
          <cell r="E38">
            <v>151157837.31000003</v>
          </cell>
        </row>
        <row r="39">
          <cell r="D39" t="str">
            <v>2.1.1</v>
          </cell>
          <cell r="E39">
            <v>89468713.13000001</v>
          </cell>
        </row>
        <row r="40">
          <cell r="D40" t="str">
            <v>2.1.3</v>
          </cell>
          <cell r="E40">
            <v>11000000</v>
          </cell>
        </row>
        <row r="41">
          <cell r="D41" t="str">
            <v>2.1.4</v>
          </cell>
          <cell r="E41">
            <v>100000</v>
          </cell>
        </row>
        <row r="42">
          <cell r="D42" t="str">
            <v>2.1.6</v>
          </cell>
          <cell r="E42">
            <v>18661309.350000001</v>
          </cell>
        </row>
        <row r="43">
          <cell r="D43" t="str">
            <v>2.2.1</v>
          </cell>
          <cell r="E43">
            <v>465290261.33000004</v>
          </cell>
        </row>
        <row r="44">
          <cell r="D44" t="str">
            <v>2.2.2</v>
          </cell>
          <cell r="E44">
            <v>175705922.38000003</v>
          </cell>
        </row>
        <row r="45">
          <cell r="D45" t="str">
            <v>2.2.3</v>
          </cell>
          <cell r="E45">
            <v>5149981</v>
          </cell>
        </row>
        <row r="46">
          <cell r="D46" t="str">
            <v>2.2.4</v>
          </cell>
          <cell r="E46">
            <v>104904884.7</v>
          </cell>
        </row>
        <row r="47">
          <cell r="D47" t="str">
            <v>2.2.5</v>
          </cell>
          <cell r="E47">
            <v>11837114.140000001</v>
          </cell>
        </row>
        <row r="48">
          <cell r="D48" t="str">
            <v>2.2.6</v>
          </cell>
          <cell r="E48">
            <v>83150707.549999997</v>
          </cell>
        </row>
        <row r="49">
          <cell r="D49" t="str">
            <v>2.3.1</v>
          </cell>
          <cell r="E49">
            <v>9583351.9700000007</v>
          </cell>
        </row>
        <row r="50">
          <cell r="D50" t="str">
            <v>2.4.1</v>
          </cell>
          <cell r="E50">
            <v>27864051</v>
          </cell>
        </row>
        <row r="51">
          <cell r="D51" t="str">
            <v>2.4.2</v>
          </cell>
          <cell r="E51">
            <v>29142600</v>
          </cell>
        </row>
        <row r="52">
          <cell r="D52" t="str">
            <v>2.5.6</v>
          </cell>
          <cell r="E52">
            <v>14936779.379999999</v>
          </cell>
        </row>
        <row r="53">
          <cell r="D53" t="str">
            <v>2.6.1</v>
          </cell>
          <cell r="E53">
            <v>3200000</v>
          </cell>
        </row>
        <row r="54">
          <cell r="D54" t="str">
            <v>2.6.3</v>
          </cell>
          <cell r="E54">
            <v>3662664</v>
          </cell>
        </row>
        <row r="55">
          <cell r="D55" t="str">
            <v>2.6.9</v>
          </cell>
          <cell r="E55">
            <v>37202336</v>
          </cell>
        </row>
        <row r="56">
          <cell r="D56" t="str">
            <v>2.7.1</v>
          </cell>
          <cell r="E56">
            <v>34083036.969999999</v>
          </cell>
        </row>
        <row r="57">
          <cell r="D57" t="str">
            <v>3.1.1</v>
          </cell>
          <cell r="E57">
            <v>21222348.640000001</v>
          </cell>
        </row>
        <row r="58">
          <cell r="D58" t="str">
            <v>3.5.6</v>
          </cell>
          <cell r="E58">
            <v>102181878.02999999</v>
          </cell>
        </row>
        <row r="59">
          <cell r="D59" t="str">
            <v>3.6.1</v>
          </cell>
          <cell r="E59">
            <v>19418603.859999999</v>
          </cell>
        </row>
        <row r="60">
          <cell r="D60" t="str">
            <v>3.7.1</v>
          </cell>
          <cell r="E60">
            <v>5197037</v>
          </cell>
        </row>
        <row r="61">
          <cell r="D61" t="str">
            <v>4.1.1</v>
          </cell>
          <cell r="E61">
            <v>42577432.700000003</v>
          </cell>
        </row>
        <row r="62">
          <cell r="D62" t="str">
            <v>(en blanco)</v>
          </cell>
          <cell r="E62">
            <v>4432676882.0000019</v>
          </cell>
        </row>
        <row r="63">
          <cell r="D63" t="str">
            <v>Total general</v>
          </cell>
          <cell r="E63">
            <v>8865353764.0000019</v>
          </cell>
        </row>
      </sheetData>
      <sheetData sheetId="6"/>
      <sheetData sheetId="7"/>
      <sheetData sheetId="8">
        <row r="5">
          <cell r="A5" t="str">
            <v>Etiquetas de fila</v>
          </cell>
          <cell r="B5" t="str">
            <v>Suma de PROPUESTA</v>
          </cell>
        </row>
        <row r="6">
          <cell r="A6">
            <v>1100116</v>
          </cell>
          <cell r="B6">
            <v>9031075.2699999996</v>
          </cell>
        </row>
        <row r="7">
          <cell r="A7">
            <v>1100117</v>
          </cell>
          <cell r="B7">
            <v>10712360.91</v>
          </cell>
        </row>
        <row r="8">
          <cell r="A8">
            <v>1100118</v>
          </cell>
          <cell r="B8">
            <v>62963181.400000006</v>
          </cell>
        </row>
        <row r="9">
          <cell r="A9">
            <v>1100119</v>
          </cell>
          <cell r="B9">
            <v>182778728.71000004</v>
          </cell>
        </row>
        <row r="10">
          <cell r="A10">
            <v>1100120</v>
          </cell>
          <cell r="B10">
            <v>555967333.74000001</v>
          </cell>
        </row>
        <row r="11">
          <cell r="A11">
            <v>1201019</v>
          </cell>
          <cell r="B11">
            <v>0</v>
          </cell>
        </row>
        <row r="12">
          <cell r="A12">
            <v>1500520</v>
          </cell>
          <cell r="B12">
            <v>672144158.7100004</v>
          </cell>
        </row>
        <row r="13">
          <cell r="A13">
            <v>1701119</v>
          </cell>
          <cell r="B13">
            <v>0</v>
          </cell>
        </row>
        <row r="14">
          <cell r="A14">
            <v>2510119</v>
          </cell>
          <cell r="B14">
            <v>194696.35</v>
          </cell>
        </row>
        <row r="15">
          <cell r="A15">
            <v>2510120</v>
          </cell>
          <cell r="B15">
            <v>99359118</v>
          </cell>
        </row>
        <row r="16">
          <cell r="A16">
            <v>2510220</v>
          </cell>
          <cell r="B16">
            <v>346004145.19999999</v>
          </cell>
        </row>
        <row r="17">
          <cell r="A17">
            <v>2520319</v>
          </cell>
          <cell r="B17">
            <v>1141842.92</v>
          </cell>
        </row>
        <row r="18">
          <cell r="A18">
            <v>2520320</v>
          </cell>
          <cell r="B18">
            <v>17213553</v>
          </cell>
        </row>
        <row r="19">
          <cell r="A19">
            <v>2610117</v>
          </cell>
          <cell r="B19">
            <v>0</v>
          </cell>
        </row>
        <row r="20">
          <cell r="A20">
            <v>2610118</v>
          </cell>
          <cell r="B20">
            <v>7000000</v>
          </cell>
        </row>
        <row r="21">
          <cell r="A21">
            <v>2610119</v>
          </cell>
          <cell r="B21">
            <v>12114805.550000001</v>
          </cell>
        </row>
        <row r="22">
          <cell r="A22">
            <v>2610120</v>
          </cell>
          <cell r="B22">
            <v>149255259.20999998</v>
          </cell>
        </row>
        <row r="23">
          <cell r="A23">
            <v>2610220</v>
          </cell>
          <cell r="B23">
            <v>90458182.030000001</v>
          </cell>
        </row>
        <row r="24">
          <cell r="A24" t="str">
            <v>1.1.2</v>
          </cell>
          <cell r="B24">
            <v>14161948.909999996</v>
          </cell>
        </row>
        <row r="25">
          <cell r="A25" t="str">
            <v>1.2.1</v>
          </cell>
          <cell r="B25">
            <v>2187713.75</v>
          </cell>
        </row>
        <row r="26">
          <cell r="A26" t="str">
            <v>1.2.2</v>
          </cell>
          <cell r="B26">
            <v>4745123.4399999985</v>
          </cell>
        </row>
        <row r="27">
          <cell r="A27" t="str">
            <v>1.3.1</v>
          </cell>
          <cell r="B27">
            <v>35641020.780000009</v>
          </cell>
        </row>
        <row r="28">
          <cell r="A28" t="str">
            <v>1.3.2</v>
          </cell>
          <cell r="B28">
            <v>28215317.869999997</v>
          </cell>
        </row>
        <row r="29">
          <cell r="A29" t="str">
            <v>1.3.3</v>
          </cell>
          <cell r="B29">
            <v>14763859.73</v>
          </cell>
        </row>
        <row r="30">
          <cell r="A30" t="str">
            <v>1.3.5</v>
          </cell>
          <cell r="B30">
            <v>14635504.289999999</v>
          </cell>
        </row>
        <row r="31">
          <cell r="A31" t="str">
            <v>1.4.1</v>
          </cell>
          <cell r="B31">
            <v>6161964.0599999996</v>
          </cell>
        </row>
        <row r="32">
          <cell r="A32" t="str">
            <v>1.5.1</v>
          </cell>
          <cell r="B32">
            <v>905201.36</v>
          </cell>
        </row>
        <row r="33">
          <cell r="A33" t="str">
            <v>1.5.2</v>
          </cell>
          <cell r="B33">
            <v>70387940.060000002</v>
          </cell>
        </row>
        <row r="34">
          <cell r="A34" t="str">
            <v>1.7.1</v>
          </cell>
          <cell r="B34">
            <v>487551576.5800001</v>
          </cell>
        </row>
        <row r="35">
          <cell r="A35" t="str">
            <v>1.7.2</v>
          </cell>
          <cell r="B35">
            <v>32296502.520000003</v>
          </cell>
        </row>
        <row r="36">
          <cell r="A36" t="str">
            <v>1.7.3</v>
          </cell>
          <cell r="B36">
            <v>180828.42</v>
          </cell>
        </row>
        <row r="37">
          <cell r="A37" t="str">
            <v>1.8.2</v>
          </cell>
          <cell r="B37">
            <v>13546401.84</v>
          </cell>
        </row>
        <row r="38">
          <cell r="A38" t="str">
            <v>1.8.3</v>
          </cell>
          <cell r="B38">
            <v>21635733.690000001</v>
          </cell>
        </row>
        <row r="39">
          <cell r="A39" t="str">
            <v>1.8.4</v>
          </cell>
          <cell r="B39">
            <v>2622953.2599999998</v>
          </cell>
        </row>
        <row r="40">
          <cell r="A40" t="str">
            <v>1.8.5</v>
          </cell>
          <cell r="B40">
            <v>151157837.31000003</v>
          </cell>
        </row>
        <row r="41">
          <cell r="A41" t="str">
            <v>2.1.1</v>
          </cell>
          <cell r="B41">
            <v>89468713.13000001</v>
          </cell>
        </row>
        <row r="42">
          <cell r="A42" t="str">
            <v>2.1.3</v>
          </cell>
          <cell r="B42">
            <v>11000000</v>
          </cell>
        </row>
        <row r="43">
          <cell r="A43" t="str">
            <v>2.1.4</v>
          </cell>
          <cell r="B43">
            <v>100000</v>
          </cell>
        </row>
        <row r="44">
          <cell r="A44" t="str">
            <v>2.1.6</v>
          </cell>
          <cell r="B44">
            <v>18661309.350000001</v>
          </cell>
        </row>
        <row r="45">
          <cell r="A45" t="str">
            <v>2.2.1</v>
          </cell>
          <cell r="B45">
            <v>465290261.33000004</v>
          </cell>
        </row>
        <row r="46">
          <cell r="A46" t="str">
            <v>2.2.2</v>
          </cell>
          <cell r="B46">
            <v>175705922.38000003</v>
          </cell>
        </row>
        <row r="47">
          <cell r="A47" t="str">
            <v>2.2.3</v>
          </cell>
          <cell r="B47">
            <v>5149981</v>
          </cell>
        </row>
        <row r="48">
          <cell r="A48" t="str">
            <v>2.2.4</v>
          </cell>
          <cell r="B48">
            <v>104904884.7</v>
          </cell>
        </row>
        <row r="49">
          <cell r="A49" t="str">
            <v>2.2.5</v>
          </cell>
          <cell r="B49">
            <v>11837114.140000001</v>
          </cell>
        </row>
        <row r="50">
          <cell r="A50" t="str">
            <v>2.2.6</v>
          </cell>
          <cell r="B50">
            <v>83150707.549999997</v>
          </cell>
        </row>
        <row r="51">
          <cell r="A51" t="str">
            <v>2.3.1</v>
          </cell>
          <cell r="B51">
            <v>9583351.9700000007</v>
          </cell>
        </row>
        <row r="52">
          <cell r="A52" t="str">
            <v>2.4.1</v>
          </cell>
          <cell r="B52">
            <v>27864051</v>
          </cell>
        </row>
        <row r="53">
          <cell r="A53" t="str">
            <v>2.4.2</v>
          </cell>
          <cell r="B53">
            <v>29142600</v>
          </cell>
        </row>
        <row r="54">
          <cell r="A54" t="str">
            <v>2.5.6</v>
          </cell>
          <cell r="B54">
            <v>14936779.379999999</v>
          </cell>
        </row>
        <row r="55">
          <cell r="A55" t="str">
            <v>2.6.1</v>
          </cell>
          <cell r="B55">
            <v>3200000</v>
          </cell>
        </row>
        <row r="56">
          <cell r="A56" t="str">
            <v>2.6.3</v>
          </cell>
          <cell r="B56">
            <v>3662664</v>
          </cell>
        </row>
        <row r="57">
          <cell r="A57" t="str">
            <v>2.6.9</v>
          </cell>
          <cell r="B57">
            <v>37202336</v>
          </cell>
        </row>
        <row r="58">
          <cell r="A58" t="str">
            <v>2.7.1</v>
          </cell>
          <cell r="B58">
            <v>34083036.969999999</v>
          </cell>
        </row>
        <row r="59">
          <cell r="A59" t="str">
            <v>3.1.1</v>
          </cell>
          <cell r="B59">
            <v>21222348.640000001</v>
          </cell>
        </row>
        <row r="60">
          <cell r="A60" t="str">
            <v>3.5.6</v>
          </cell>
          <cell r="B60">
            <v>102181878.02999999</v>
          </cell>
        </row>
        <row r="61">
          <cell r="A61" t="str">
            <v>3.6.1</v>
          </cell>
          <cell r="B61">
            <v>19418603.859999999</v>
          </cell>
        </row>
        <row r="62">
          <cell r="A62" t="str">
            <v>3.7.1</v>
          </cell>
          <cell r="B62">
            <v>5197037</v>
          </cell>
        </row>
        <row r="63">
          <cell r="A63" t="str">
            <v>4.1.1</v>
          </cell>
          <cell r="B63">
            <v>42577432.700000003</v>
          </cell>
        </row>
        <row r="64">
          <cell r="A64" t="str">
            <v>(en blanco)</v>
          </cell>
          <cell r="B64">
            <v>4432676882.0000019</v>
          </cell>
        </row>
        <row r="65">
          <cell r="A65" t="str">
            <v>Total general</v>
          </cell>
          <cell r="B65">
            <v>8865353764.0000019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ALÍTICO INGRESOS"/>
      <sheetName val="F.F."/>
      <sheetName val="C.A-COG"/>
      <sheetName val="Egresos"/>
      <sheetName val="C.T.G"/>
      <sheetName val="C.F.G"/>
      <sheetName val="Hoja1"/>
      <sheetName val="estadística 2015-2021"/>
      <sheetName val="Pasivo Laboral"/>
      <sheetName val="Dism Ramos"/>
      <sheetName val="S.S.C"/>
      <sheetName val="Resumen Cap 1000 (3)"/>
      <sheetName val="programas"/>
      <sheetName val="concurrencia"/>
      <sheetName val="FORTAMUN"/>
      <sheetName val="faism-forta"/>
      <sheetName val="FAISM"/>
      <sheetName val="cog detalle"/>
      <sheetName val="capitulo 1000"/>
      <sheetName val="PRESUPUESTO SEPTIEMBRE (2)"/>
    </sheetNames>
    <sheetDataSet>
      <sheetData sheetId="0"/>
      <sheetData sheetId="1"/>
      <sheetData sheetId="2">
        <row r="3">
          <cell r="B3" t="str">
            <v>Etiquetas de fila</v>
          </cell>
          <cell r="C3" t="str">
            <v>Suma de 2021</v>
          </cell>
          <cell r="H3" t="str">
            <v>Etiquetas de fila</v>
          </cell>
          <cell r="I3" t="str">
            <v>Suma de PROPUESTA TESORERÍA</v>
          </cell>
        </row>
        <row r="4">
          <cell r="B4">
            <v>1100116</v>
          </cell>
          <cell r="C4">
            <v>4329449.83</v>
          </cell>
          <cell r="H4">
            <v>1100116</v>
          </cell>
          <cell r="I4">
            <v>4329449.83</v>
          </cell>
        </row>
        <row r="5">
          <cell r="B5">
            <v>1100117</v>
          </cell>
          <cell r="C5">
            <v>6884667.8600000003</v>
          </cell>
          <cell r="H5">
            <v>1100117</v>
          </cell>
          <cell r="I5">
            <v>6884667.8599999994</v>
          </cell>
        </row>
        <row r="6">
          <cell r="B6">
            <v>1100118</v>
          </cell>
          <cell r="C6">
            <v>13625834.59</v>
          </cell>
          <cell r="H6">
            <v>1100118</v>
          </cell>
          <cell r="I6">
            <v>13625834.59</v>
          </cell>
        </row>
        <row r="7">
          <cell r="B7">
            <v>1100119</v>
          </cell>
          <cell r="C7">
            <v>71469409.829999998</v>
          </cell>
          <cell r="H7">
            <v>1100119</v>
          </cell>
          <cell r="I7">
            <v>71469409.829999998</v>
          </cell>
        </row>
        <row r="8">
          <cell r="B8">
            <v>1100120</v>
          </cell>
          <cell r="C8">
            <v>80659431</v>
          </cell>
          <cell r="H8">
            <v>1100120</v>
          </cell>
          <cell r="I8">
            <v>80659431.000000015</v>
          </cell>
        </row>
        <row r="9">
          <cell r="B9">
            <v>1100121</v>
          </cell>
          <cell r="C9">
            <v>602346614.52999985</v>
          </cell>
          <cell r="H9">
            <v>1100121</v>
          </cell>
          <cell r="I9">
            <v>602346614.52999997</v>
          </cell>
        </row>
        <row r="10">
          <cell r="B10">
            <v>1201019</v>
          </cell>
          <cell r="C10"/>
          <cell r="H10">
            <v>1201019</v>
          </cell>
          <cell r="I10"/>
        </row>
        <row r="11">
          <cell r="B11">
            <v>1500521</v>
          </cell>
          <cell r="C11">
            <v>674207118.28999984</v>
          </cell>
          <cell r="H11">
            <v>1500521</v>
          </cell>
          <cell r="I11">
            <v>674207118.29000068</v>
          </cell>
        </row>
        <row r="12">
          <cell r="B12">
            <v>2510119</v>
          </cell>
          <cell r="C12"/>
          <cell r="H12">
            <v>1701119</v>
          </cell>
          <cell r="I12"/>
        </row>
        <row r="13">
          <cell r="B13">
            <v>2510120</v>
          </cell>
          <cell r="C13">
            <v>9930890.2699999996</v>
          </cell>
          <cell r="H13">
            <v>2510119</v>
          </cell>
          <cell r="I13">
            <v>0</v>
          </cell>
        </row>
        <row r="14">
          <cell r="B14">
            <v>2510121</v>
          </cell>
          <cell r="C14">
            <v>94295224.760000005</v>
          </cell>
          <cell r="H14">
            <v>2510120</v>
          </cell>
          <cell r="I14">
            <v>9930890.2699999996</v>
          </cell>
        </row>
        <row r="15">
          <cell r="B15">
            <v>2510220</v>
          </cell>
          <cell r="C15">
            <v>6493474.4199999999</v>
          </cell>
          <cell r="H15">
            <v>2510121</v>
          </cell>
          <cell r="I15">
            <v>94295224.760000005</v>
          </cell>
        </row>
        <row r="16">
          <cell r="B16">
            <v>2510221</v>
          </cell>
          <cell r="C16">
            <v>329349974.63</v>
          </cell>
          <cell r="H16">
            <v>2510220</v>
          </cell>
          <cell r="I16">
            <v>6493474.4199999999</v>
          </cell>
        </row>
        <row r="17">
          <cell r="B17">
            <v>2520319</v>
          </cell>
          <cell r="C17"/>
          <cell r="H17">
            <v>2510221</v>
          </cell>
          <cell r="I17">
            <v>329349974.63000005</v>
          </cell>
        </row>
        <row r="18">
          <cell r="B18">
            <v>2520321</v>
          </cell>
          <cell r="C18"/>
          <cell r="H18">
            <v>2520319</v>
          </cell>
          <cell r="I18"/>
        </row>
        <row r="19">
          <cell r="B19">
            <v>2610118</v>
          </cell>
          <cell r="C19"/>
          <cell r="H19">
            <v>2520320</v>
          </cell>
          <cell r="I19"/>
        </row>
        <row r="20">
          <cell r="B20">
            <v>2610119</v>
          </cell>
          <cell r="C20"/>
          <cell r="H20">
            <v>2610117</v>
          </cell>
          <cell r="I20"/>
        </row>
        <row r="21">
          <cell r="B21">
            <v>2610120</v>
          </cell>
          <cell r="C21">
            <v>20184525.739999998</v>
          </cell>
          <cell r="H21">
            <v>2610118</v>
          </cell>
          <cell r="I21"/>
        </row>
        <row r="22">
          <cell r="B22">
            <v>2610121</v>
          </cell>
          <cell r="C22">
            <v>77554637.819999993</v>
          </cell>
          <cell r="H22">
            <v>2610119</v>
          </cell>
          <cell r="I22"/>
        </row>
        <row r="23">
          <cell r="B23">
            <v>2610220</v>
          </cell>
          <cell r="C23">
            <v>37259866.43</v>
          </cell>
          <cell r="H23">
            <v>2610120</v>
          </cell>
          <cell r="I23">
            <v>20184525.740000002</v>
          </cell>
        </row>
        <row r="24">
          <cell r="B24">
            <v>2610221</v>
          </cell>
          <cell r="C24">
            <v>7111000</v>
          </cell>
          <cell r="H24">
            <v>2610121</v>
          </cell>
          <cell r="I24">
            <v>77554637.820000023</v>
          </cell>
        </row>
        <row r="25">
          <cell r="B25">
            <v>2610717</v>
          </cell>
          <cell r="C25"/>
          <cell r="H25">
            <v>2610220</v>
          </cell>
          <cell r="I25">
            <v>37259866.43</v>
          </cell>
        </row>
        <row r="26">
          <cell r="B26">
            <v>2610718</v>
          </cell>
          <cell r="C26"/>
          <cell r="H26">
            <v>2610221</v>
          </cell>
          <cell r="I26">
            <v>7111000</v>
          </cell>
        </row>
        <row r="27">
          <cell r="B27">
            <v>2610719</v>
          </cell>
          <cell r="C27"/>
          <cell r="H27" t="str">
            <v>1.1.2</v>
          </cell>
          <cell r="I27">
            <v>15686114.550000001</v>
          </cell>
        </row>
        <row r="28">
          <cell r="B28">
            <v>2610720</v>
          </cell>
          <cell r="C28"/>
          <cell r="H28" t="str">
            <v>1.2.1</v>
          </cell>
          <cell r="I28">
            <v>2443347.2599999998</v>
          </cell>
        </row>
        <row r="29">
          <cell r="B29" t="str">
            <v>(en blanco)</v>
          </cell>
          <cell r="C29">
            <v>6485632596.499999</v>
          </cell>
          <cell r="H29" t="str">
            <v>1.2.2</v>
          </cell>
          <cell r="I29">
            <v>5142737.5</v>
          </cell>
        </row>
        <row r="30">
          <cell r="H30" t="str">
            <v>1.3.1</v>
          </cell>
          <cell r="I30">
            <v>36837079.510000013</v>
          </cell>
        </row>
        <row r="31">
          <cell r="H31" t="str">
            <v>1.3.2</v>
          </cell>
          <cell r="I31">
            <v>29802560.219999999</v>
          </cell>
        </row>
        <row r="32">
          <cell r="H32" t="str">
            <v>1.3.3</v>
          </cell>
          <cell r="I32">
            <v>16135408.100000001</v>
          </cell>
        </row>
        <row r="33">
          <cell r="H33" t="str">
            <v>1.3.5</v>
          </cell>
          <cell r="I33">
            <v>11066648.699999999</v>
          </cell>
        </row>
        <row r="34">
          <cell r="H34" t="str">
            <v>1.4.1</v>
          </cell>
          <cell r="I34">
            <v>6387279.8000000007</v>
          </cell>
        </row>
        <row r="35">
          <cell r="H35" t="str">
            <v>1.5.1</v>
          </cell>
          <cell r="I35">
            <v>100000</v>
          </cell>
        </row>
        <row r="36">
          <cell r="H36" t="str">
            <v>1.5.2</v>
          </cell>
          <cell r="I36">
            <v>76243728.170000002</v>
          </cell>
        </row>
        <row r="37">
          <cell r="H37" t="str">
            <v>1.7.1</v>
          </cell>
          <cell r="I37">
            <v>404750467</v>
          </cell>
        </row>
        <row r="38">
          <cell r="H38" t="str">
            <v>1.7.2</v>
          </cell>
          <cell r="I38">
            <v>27969115.390000004</v>
          </cell>
        </row>
        <row r="39">
          <cell r="H39" t="str">
            <v>1.7.3</v>
          </cell>
          <cell r="I39">
            <v>6300</v>
          </cell>
        </row>
        <row r="40">
          <cell r="H40" t="str">
            <v>1.8.2</v>
          </cell>
          <cell r="I40">
            <v>14224381.859999999</v>
          </cell>
        </row>
        <row r="41">
          <cell r="H41" t="str">
            <v>1.8.3</v>
          </cell>
          <cell r="I41">
            <v>21213457.799999997</v>
          </cell>
        </row>
        <row r="42">
          <cell r="H42" t="str">
            <v>1.8.4</v>
          </cell>
          <cell r="I42">
            <v>2438352</v>
          </cell>
        </row>
        <row r="43">
          <cell r="H43" t="str">
            <v>1.8.5</v>
          </cell>
          <cell r="I43">
            <v>169714997.00999996</v>
          </cell>
        </row>
        <row r="44">
          <cell r="H44" t="str">
            <v>2.1.1</v>
          </cell>
          <cell r="I44">
            <v>85426655.920000002</v>
          </cell>
        </row>
        <row r="45">
          <cell r="H45" t="str">
            <v>2.1.3</v>
          </cell>
          <cell r="I45">
            <v>5000000</v>
          </cell>
        </row>
        <row r="46">
          <cell r="H46" t="str">
            <v>2.1.4</v>
          </cell>
          <cell r="I46">
            <v>100000</v>
          </cell>
        </row>
        <row r="47">
          <cell r="H47" t="str">
            <v>2.1.6</v>
          </cell>
          <cell r="I47">
            <v>26910077.73</v>
          </cell>
        </row>
        <row r="48">
          <cell r="H48" t="str">
            <v>2.2.1</v>
          </cell>
          <cell r="I48">
            <v>397848194.07999998</v>
          </cell>
        </row>
        <row r="49">
          <cell r="H49" t="str">
            <v>2.2.2</v>
          </cell>
          <cell r="I49">
            <v>147948869.64999998</v>
          </cell>
        </row>
        <row r="50">
          <cell r="H50" t="str">
            <v>2.2.3</v>
          </cell>
          <cell r="I50">
            <v>5620634.7000000002</v>
          </cell>
        </row>
        <row r="51">
          <cell r="H51" t="str">
            <v>2.2.4</v>
          </cell>
          <cell r="I51">
            <v>92381487.600000009</v>
          </cell>
        </row>
        <row r="52">
          <cell r="H52" t="str">
            <v>2.2.5</v>
          </cell>
          <cell r="I52">
            <v>13262203.799999999</v>
          </cell>
        </row>
        <row r="53">
          <cell r="H53" t="str">
            <v>2.2.6</v>
          </cell>
          <cell r="I53">
            <v>78058843.720000014</v>
          </cell>
        </row>
        <row r="54">
          <cell r="H54" t="str">
            <v>2.3.1</v>
          </cell>
          <cell r="I54">
            <v>9751509.3000000007</v>
          </cell>
        </row>
        <row r="55">
          <cell r="H55" t="str">
            <v>2.4.1</v>
          </cell>
          <cell r="I55">
            <v>26929935.199999999</v>
          </cell>
        </row>
        <row r="56">
          <cell r="H56" t="str">
            <v>2.4.2</v>
          </cell>
          <cell r="I56">
            <v>30903029.999999996</v>
          </cell>
        </row>
        <row r="57">
          <cell r="H57" t="str">
            <v>2.5.6</v>
          </cell>
          <cell r="I57">
            <v>19042352.82</v>
          </cell>
        </row>
        <row r="58">
          <cell r="H58" t="str">
            <v>2.6.1</v>
          </cell>
          <cell r="I58">
            <v>3394799.9999999995</v>
          </cell>
        </row>
        <row r="59">
          <cell r="H59" t="str">
            <v>2.6.3</v>
          </cell>
          <cell r="I59">
            <v>3903704</v>
          </cell>
        </row>
        <row r="60">
          <cell r="H60" t="str">
            <v>2.6.9</v>
          </cell>
          <cell r="I60">
            <v>34869943.840000004</v>
          </cell>
        </row>
        <row r="61">
          <cell r="H61" t="str">
            <v>2.7.1</v>
          </cell>
          <cell r="I61">
            <v>33295965.84</v>
          </cell>
        </row>
        <row r="62">
          <cell r="H62" t="str">
            <v>3.1.1</v>
          </cell>
          <cell r="I62">
            <v>25721581.440000001</v>
          </cell>
        </row>
        <row r="63">
          <cell r="H63" t="str">
            <v>3.5.6</v>
          </cell>
          <cell r="I63">
            <v>99597343.319999993</v>
          </cell>
        </row>
        <row r="64">
          <cell r="H64" t="str">
            <v>3.6.1</v>
          </cell>
          <cell r="I64">
            <v>15398166.5</v>
          </cell>
        </row>
        <row r="65">
          <cell r="H65" t="str">
            <v>3.7.1</v>
          </cell>
          <cell r="I65">
            <v>4456493.75</v>
          </cell>
        </row>
        <row r="66">
          <cell r="H66" t="str">
            <v>4.1.1</v>
          </cell>
          <cell r="I66">
            <v>35718351.920000002</v>
          </cell>
        </row>
      </sheetData>
      <sheetData sheetId="3"/>
      <sheetData sheetId="4"/>
      <sheetData sheetId="5"/>
      <sheetData sheetId="6">
        <row r="1">
          <cell r="A1" t="str">
            <v>Etiquetas de fila</v>
          </cell>
          <cell r="B1" t="str">
            <v>Suma de PROPUESTA TESORERÍA</v>
          </cell>
        </row>
        <row r="2">
          <cell r="A2">
            <v>1100116</v>
          </cell>
          <cell r="B2">
            <v>4329449.83</v>
          </cell>
        </row>
        <row r="3">
          <cell r="A3">
            <v>1100117</v>
          </cell>
          <cell r="B3">
            <v>6884667.8599999994</v>
          </cell>
        </row>
        <row r="4">
          <cell r="A4">
            <v>1100118</v>
          </cell>
          <cell r="B4">
            <v>13625834.59</v>
          </cell>
        </row>
        <row r="5">
          <cell r="A5">
            <v>1100119</v>
          </cell>
          <cell r="B5">
            <v>71469409.829999998</v>
          </cell>
        </row>
        <row r="6">
          <cell r="A6">
            <v>1100120</v>
          </cell>
          <cell r="B6">
            <v>80659431.000000015</v>
          </cell>
        </row>
        <row r="7">
          <cell r="A7">
            <v>1100121</v>
          </cell>
          <cell r="B7">
            <v>602346614.52999997</v>
          </cell>
        </row>
        <row r="8">
          <cell r="A8">
            <v>1201019</v>
          </cell>
          <cell r="B8"/>
        </row>
        <row r="9">
          <cell r="A9">
            <v>1500521</v>
          </cell>
          <cell r="B9">
            <v>674207118.29000068</v>
          </cell>
        </row>
        <row r="10">
          <cell r="A10">
            <v>1701119</v>
          </cell>
          <cell r="B10"/>
        </row>
        <row r="11">
          <cell r="A11">
            <v>2510119</v>
          </cell>
          <cell r="B11">
            <v>0</v>
          </cell>
        </row>
        <row r="12">
          <cell r="A12">
            <v>2510120</v>
          </cell>
          <cell r="B12">
            <v>9930890.2699999996</v>
          </cell>
        </row>
        <row r="13">
          <cell r="A13">
            <v>2510121</v>
          </cell>
          <cell r="B13">
            <v>94295224.760000005</v>
          </cell>
        </row>
        <row r="14">
          <cell r="A14">
            <v>2510220</v>
          </cell>
          <cell r="B14">
            <v>6493474.4199999999</v>
          </cell>
        </row>
        <row r="15">
          <cell r="A15">
            <v>2510221</v>
          </cell>
          <cell r="B15">
            <v>329349974.63000005</v>
          </cell>
        </row>
        <row r="16">
          <cell r="A16">
            <v>2520319</v>
          </cell>
          <cell r="B16"/>
        </row>
        <row r="17">
          <cell r="A17">
            <v>2520320</v>
          </cell>
          <cell r="B17"/>
        </row>
        <row r="18">
          <cell r="A18">
            <v>2610117</v>
          </cell>
          <cell r="B18"/>
        </row>
        <row r="19">
          <cell r="A19">
            <v>2610118</v>
          </cell>
          <cell r="B19"/>
        </row>
        <row r="20">
          <cell r="A20">
            <v>2610119</v>
          </cell>
          <cell r="B20"/>
        </row>
        <row r="21">
          <cell r="A21">
            <v>2610120</v>
          </cell>
          <cell r="B21">
            <v>20184525.740000002</v>
          </cell>
        </row>
        <row r="22">
          <cell r="A22">
            <v>2610121</v>
          </cell>
          <cell r="B22">
            <v>77554637.820000023</v>
          </cell>
        </row>
        <row r="23">
          <cell r="A23">
            <v>2610220</v>
          </cell>
          <cell r="B23">
            <v>37259866.43</v>
          </cell>
        </row>
        <row r="24">
          <cell r="A24">
            <v>2610221</v>
          </cell>
          <cell r="B24">
            <v>7111000</v>
          </cell>
        </row>
        <row r="25">
          <cell r="A25" t="str">
            <v>1.1.2</v>
          </cell>
          <cell r="B25">
            <v>15686114.550000001</v>
          </cell>
        </row>
        <row r="26">
          <cell r="A26" t="str">
            <v>1.2.1</v>
          </cell>
          <cell r="B26">
            <v>2443347.2599999998</v>
          </cell>
        </row>
        <row r="27">
          <cell r="A27" t="str">
            <v>1.2.2</v>
          </cell>
          <cell r="B27">
            <v>5142737.5</v>
          </cell>
        </row>
        <row r="28">
          <cell r="A28" t="str">
            <v>1.3.1</v>
          </cell>
          <cell r="B28">
            <v>36837079.510000013</v>
          </cell>
        </row>
        <row r="29">
          <cell r="A29" t="str">
            <v>1.3.2</v>
          </cell>
          <cell r="B29">
            <v>29802560.219999999</v>
          </cell>
        </row>
        <row r="30">
          <cell r="A30" t="str">
            <v>1.3.3</v>
          </cell>
          <cell r="B30">
            <v>16135408.100000001</v>
          </cell>
        </row>
        <row r="31">
          <cell r="A31" t="str">
            <v>1.3.5</v>
          </cell>
          <cell r="B31">
            <v>11066648.699999999</v>
          </cell>
        </row>
        <row r="32">
          <cell r="A32" t="str">
            <v>1.4.1</v>
          </cell>
          <cell r="B32">
            <v>6387279.8000000007</v>
          </cell>
        </row>
        <row r="33">
          <cell r="A33" t="str">
            <v>1.5.1</v>
          </cell>
          <cell r="B33">
            <v>100000</v>
          </cell>
        </row>
        <row r="34">
          <cell r="A34" t="str">
            <v>1.5.2</v>
          </cell>
          <cell r="B34">
            <v>76243728.170000002</v>
          </cell>
        </row>
        <row r="35">
          <cell r="A35" t="str">
            <v>1.7.1</v>
          </cell>
          <cell r="B35">
            <v>404750467</v>
          </cell>
        </row>
        <row r="36">
          <cell r="A36" t="str">
            <v>1.7.2</v>
          </cell>
          <cell r="B36">
            <v>27969115.390000004</v>
          </cell>
        </row>
        <row r="37">
          <cell r="A37" t="str">
            <v>1.7.3</v>
          </cell>
          <cell r="B37">
            <v>6300</v>
          </cell>
        </row>
        <row r="38">
          <cell r="A38" t="str">
            <v>1.8.2</v>
          </cell>
          <cell r="B38">
            <v>14224381.859999999</v>
          </cell>
        </row>
        <row r="39">
          <cell r="A39" t="str">
            <v>1.8.3</v>
          </cell>
          <cell r="B39">
            <v>21213457.799999997</v>
          </cell>
        </row>
        <row r="40">
          <cell r="A40" t="str">
            <v>1.8.4</v>
          </cell>
          <cell r="B40">
            <v>2438352</v>
          </cell>
        </row>
        <row r="41">
          <cell r="A41" t="str">
            <v>1.8.5</v>
          </cell>
          <cell r="B41">
            <v>169714997.00999996</v>
          </cell>
        </row>
        <row r="42">
          <cell r="A42" t="str">
            <v>2.1.1</v>
          </cell>
          <cell r="B42">
            <v>85426655.920000002</v>
          </cell>
        </row>
        <row r="43">
          <cell r="A43" t="str">
            <v>2.1.3</v>
          </cell>
          <cell r="B43">
            <v>5000000</v>
          </cell>
        </row>
        <row r="44">
          <cell r="A44" t="str">
            <v>2.1.4</v>
          </cell>
          <cell r="B44">
            <v>100000</v>
          </cell>
        </row>
        <row r="45">
          <cell r="A45" t="str">
            <v>2.1.6</v>
          </cell>
          <cell r="B45">
            <v>26910077.73</v>
          </cell>
        </row>
        <row r="46">
          <cell r="A46" t="str">
            <v>2.2.1</v>
          </cell>
          <cell r="B46">
            <v>397848194.07999998</v>
          </cell>
        </row>
        <row r="47">
          <cell r="A47" t="str">
            <v>2.2.2</v>
          </cell>
          <cell r="B47">
            <v>147948869.64999998</v>
          </cell>
        </row>
        <row r="48">
          <cell r="A48" t="str">
            <v>2.2.3</v>
          </cell>
          <cell r="B48">
            <v>5620634.7000000002</v>
          </cell>
        </row>
        <row r="49">
          <cell r="A49" t="str">
            <v>2.2.4</v>
          </cell>
          <cell r="B49">
            <v>92381487.600000009</v>
          </cell>
        </row>
        <row r="50">
          <cell r="A50" t="str">
            <v>2.2.5</v>
          </cell>
          <cell r="B50">
            <v>13262203.799999999</v>
          </cell>
        </row>
        <row r="51">
          <cell r="A51" t="str">
            <v>2.2.6</v>
          </cell>
          <cell r="B51">
            <v>78058843.720000014</v>
          </cell>
        </row>
        <row r="52">
          <cell r="A52" t="str">
            <v>2.3.1</v>
          </cell>
          <cell r="B52">
            <v>9751509.3000000007</v>
          </cell>
        </row>
        <row r="53">
          <cell r="A53" t="str">
            <v>2.4.1</v>
          </cell>
          <cell r="B53">
            <v>26929935.199999999</v>
          </cell>
        </row>
        <row r="54">
          <cell r="A54" t="str">
            <v>2.4.2</v>
          </cell>
          <cell r="B54">
            <v>30903029.999999996</v>
          </cell>
        </row>
        <row r="55">
          <cell r="A55" t="str">
            <v>2.5.6</v>
          </cell>
          <cell r="B55">
            <v>19042352.82</v>
          </cell>
        </row>
        <row r="56">
          <cell r="A56" t="str">
            <v>2.6.1</v>
          </cell>
          <cell r="B56">
            <v>3394799.9999999995</v>
          </cell>
        </row>
        <row r="57">
          <cell r="A57" t="str">
            <v>2.6.3</v>
          </cell>
          <cell r="B57">
            <v>3903704</v>
          </cell>
        </row>
        <row r="58">
          <cell r="A58" t="str">
            <v>2.6.9</v>
          </cell>
          <cell r="B58">
            <v>34869943.840000004</v>
          </cell>
        </row>
        <row r="59">
          <cell r="A59" t="str">
            <v>2.7.1</v>
          </cell>
          <cell r="B59">
            <v>33295965.84</v>
          </cell>
        </row>
        <row r="60">
          <cell r="A60" t="str">
            <v>3.1.1</v>
          </cell>
          <cell r="B60">
            <v>25721581.440000001</v>
          </cell>
        </row>
        <row r="61">
          <cell r="A61" t="str">
            <v>3.5.6</v>
          </cell>
          <cell r="B61">
            <v>99597343.319999993</v>
          </cell>
        </row>
        <row r="62">
          <cell r="A62" t="str">
            <v>3.6.1</v>
          </cell>
          <cell r="B62">
            <v>15398166.5</v>
          </cell>
        </row>
        <row r="63">
          <cell r="A63" t="str">
            <v>3.7.1</v>
          </cell>
          <cell r="B63">
            <v>4456493.75</v>
          </cell>
        </row>
        <row r="64">
          <cell r="A64" t="str">
            <v>4.1.1</v>
          </cell>
          <cell r="B64">
            <v>35718351.920000002</v>
          </cell>
        </row>
        <row r="65">
          <cell r="A65" t="str">
            <v>(en blanco)</v>
          </cell>
          <cell r="B65">
            <v>4071404239.9999995</v>
          </cell>
        </row>
        <row r="66">
          <cell r="A66" t="str">
            <v>Total general</v>
          </cell>
          <cell r="B66">
            <v>8142808480.000001</v>
          </cell>
        </row>
      </sheetData>
      <sheetData sheetId="7">
        <row r="1">
          <cell r="A1" t="str">
            <v>31111-0101</v>
          </cell>
          <cell r="B1" t="str">
            <v>PRESIDENCIA</v>
          </cell>
        </row>
        <row r="2">
          <cell r="A2">
            <v>1000</v>
          </cell>
          <cell r="B2" t="str">
            <v>Servicios Personales</v>
          </cell>
          <cell r="K2" t="str">
            <v>E0008</v>
          </cell>
          <cell r="L2" t="str">
            <v>2.7.1</v>
          </cell>
        </row>
        <row r="3">
          <cell r="A3">
            <v>1111</v>
          </cell>
          <cell r="B3" t="str">
            <v>Dietas</v>
          </cell>
          <cell r="K3" t="str">
            <v>E0016</v>
          </cell>
          <cell r="L3" t="str">
            <v>2.5.6</v>
          </cell>
        </row>
        <row r="4">
          <cell r="A4">
            <v>1121</v>
          </cell>
          <cell r="B4" t="str">
            <v>Haberes</v>
          </cell>
          <cell r="K4" t="str">
            <v>E0017</v>
          </cell>
          <cell r="L4" t="str">
            <v>2.3.1</v>
          </cell>
        </row>
        <row r="5">
          <cell r="A5">
            <v>1131</v>
          </cell>
          <cell r="B5" t="str">
            <v>Sueldos Base</v>
          </cell>
          <cell r="K5" t="str">
            <v>E0018</v>
          </cell>
          <cell r="L5" t="str">
            <v>2.3.1</v>
          </cell>
        </row>
        <row r="6">
          <cell r="A6">
            <v>1132</v>
          </cell>
          <cell r="B6" t="str">
            <v>Sueldos de confianza</v>
          </cell>
          <cell r="K6" t="str">
            <v>E0019</v>
          </cell>
          <cell r="L6" t="str">
            <v>2.5.6</v>
          </cell>
        </row>
        <row r="7">
          <cell r="A7">
            <v>1141</v>
          </cell>
          <cell r="B7" t="str">
            <v>Remuneraciones en el extranjero</v>
          </cell>
          <cell r="K7" t="str">
            <v>E0020</v>
          </cell>
          <cell r="L7" t="str">
            <v>2.5.6</v>
          </cell>
        </row>
        <row r="8">
          <cell r="A8">
            <v>1211</v>
          </cell>
          <cell r="B8" t="str">
            <v>Honorarios</v>
          </cell>
          <cell r="K8" t="str">
            <v>E0044</v>
          </cell>
          <cell r="L8" t="str">
            <v>1.2.2</v>
          </cell>
        </row>
        <row r="9">
          <cell r="A9">
            <v>1212</v>
          </cell>
          <cell r="B9" t="str">
            <v>Honorarios asimilados</v>
          </cell>
          <cell r="K9" t="str">
            <v>E0045</v>
          </cell>
          <cell r="L9" t="str">
            <v>1.7.3</v>
          </cell>
        </row>
        <row r="10">
          <cell r="A10">
            <v>1221</v>
          </cell>
          <cell r="B10" t="str">
            <v>Remuneraciones para eventuales</v>
          </cell>
          <cell r="K10" t="str">
            <v>E0046</v>
          </cell>
          <cell r="L10" t="str">
            <v>1.3.5</v>
          </cell>
        </row>
        <row r="11">
          <cell r="A11">
            <v>1231</v>
          </cell>
          <cell r="B11" t="str">
            <v>Servicio social</v>
          </cell>
          <cell r="K11" t="str">
            <v>E0048</v>
          </cell>
          <cell r="L11" t="str">
            <v>1.4.1</v>
          </cell>
        </row>
        <row r="12">
          <cell r="A12">
            <v>1241</v>
          </cell>
          <cell r="B12" t="str">
            <v>Junta de Conciliación y Arbitraje</v>
          </cell>
          <cell r="K12" t="str">
            <v>E0050</v>
          </cell>
          <cell r="L12" t="str">
            <v>1.7.2</v>
          </cell>
        </row>
        <row r="13">
          <cell r="A13">
            <v>1311</v>
          </cell>
          <cell r="B13" t="str">
            <v xml:space="preserve">Prima quinquenal </v>
          </cell>
          <cell r="K13" t="str">
            <v>E0052</v>
          </cell>
          <cell r="L13" t="str">
            <v>1.2.1</v>
          </cell>
        </row>
        <row r="14">
          <cell r="A14">
            <v>1312</v>
          </cell>
          <cell r="B14" t="str">
            <v>Antigüedad</v>
          </cell>
          <cell r="K14" t="str">
            <v>E0054</v>
          </cell>
          <cell r="L14" t="str">
            <v>3.5.6</v>
          </cell>
        </row>
        <row r="15">
          <cell r="A15">
            <v>1321</v>
          </cell>
          <cell r="B15" t="str">
            <v>Prima Vacacional</v>
          </cell>
          <cell r="K15" t="str">
            <v>E0055</v>
          </cell>
          <cell r="L15" t="str">
            <v>3.5.6</v>
          </cell>
        </row>
        <row r="16">
          <cell r="A16">
            <v>1322</v>
          </cell>
          <cell r="B16" t="str">
            <v>Prima Dominical</v>
          </cell>
          <cell r="K16" t="str">
            <v>E0056</v>
          </cell>
          <cell r="L16" t="str">
            <v>3.5.6</v>
          </cell>
        </row>
        <row r="17">
          <cell r="A17">
            <v>1323</v>
          </cell>
          <cell r="B17" t="str">
            <v>Gratificación de fin de año</v>
          </cell>
          <cell r="K17" t="str">
            <v>E0075</v>
          </cell>
          <cell r="L17" t="str">
            <v>1.5.2</v>
          </cell>
        </row>
        <row r="18">
          <cell r="A18">
            <v>1331</v>
          </cell>
          <cell r="B18" t="str">
            <v>Remuneraciones por horas extraordinarias</v>
          </cell>
          <cell r="K18" t="str">
            <v>E0080</v>
          </cell>
          <cell r="L18" t="str">
            <v>3.1.1</v>
          </cell>
        </row>
        <row r="19">
          <cell r="A19">
            <v>1341</v>
          </cell>
          <cell r="B19" t="str">
            <v>Compensaciones por servicios eventuales</v>
          </cell>
          <cell r="K19" t="str">
            <v>E0081</v>
          </cell>
          <cell r="L19" t="str">
            <v>3.1.1</v>
          </cell>
        </row>
        <row r="20">
          <cell r="A20">
            <v>1342</v>
          </cell>
          <cell r="B20" t="str">
            <v>Compensaciones por servicios</v>
          </cell>
          <cell r="K20" t="str">
            <v>E0082</v>
          </cell>
          <cell r="L20" t="str">
            <v>3.1.1</v>
          </cell>
        </row>
        <row r="21">
          <cell r="A21">
            <v>1351</v>
          </cell>
          <cell r="B21" t="str">
            <v>Sobrehaberes</v>
          </cell>
          <cell r="K21" t="str">
            <v>E0083</v>
          </cell>
          <cell r="L21" t="str">
            <v>3.1.1</v>
          </cell>
        </row>
        <row r="22">
          <cell r="A22">
            <v>1361</v>
          </cell>
          <cell r="B22" t="str">
            <v>Técnico especial</v>
          </cell>
          <cell r="K22" t="str">
            <v>E0095</v>
          </cell>
          <cell r="L22" t="str">
            <v>2.2.1</v>
          </cell>
        </row>
        <row r="23">
          <cell r="A23">
            <v>1371</v>
          </cell>
          <cell r="B23" t="str">
            <v>Honorarios especiales</v>
          </cell>
          <cell r="K23" t="str">
            <v>E0097</v>
          </cell>
          <cell r="L23" t="str">
            <v>2.2.1</v>
          </cell>
        </row>
        <row r="24">
          <cell r="A24">
            <v>1381</v>
          </cell>
          <cell r="B24" t="str">
            <v>Participaciones por vigilancia</v>
          </cell>
          <cell r="K24" t="str">
            <v>E0098</v>
          </cell>
          <cell r="L24" t="str">
            <v>2.2.1</v>
          </cell>
        </row>
        <row r="25">
          <cell r="A25">
            <v>1411</v>
          </cell>
          <cell r="B25" t="str">
            <v>Aportaciones al ISSEG</v>
          </cell>
          <cell r="K25" t="str">
            <v>E0101</v>
          </cell>
          <cell r="L25" t="str">
            <v>2.2.5</v>
          </cell>
        </row>
        <row r="26">
          <cell r="A26">
            <v>1412</v>
          </cell>
          <cell r="B26" t="str">
            <v>Cuotas al ISSSTE</v>
          </cell>
          <cell r="K26" t="str">
            <v>E0104</v>
          </cell>
          <cell r="L26" t="str">
            <v>2.2.6</v>
          </cell>
        </row>
        <row r="27">
          <cell r="A27">
            <v>1413</v>
          </cell>
          <cell r="B27" t="str">
            <v>Aportaciones IMSS</v>
          </cell>
          <cell r="K27" t="str">
            <v>E0105</v>
          </cell>
          <cell r="L27" t="str">
            <v>2.2.6</v>
          </cell>
        </row>
        <row r="28">
          <cell r="A28">
            <v>1421</v>
          </cell>
          <cell r="B28" t="str">
            <v>Aportaciones INFONAVIT</v>
          </cell>
          <cell r="K28" t="str">
            <v>E0106</v>
          </cell>
          <cell r="L28" t="str">
            <v>2.2.6</v>
          </cell>
        </row>
        <row r="29">
          <cell r="A29">
            <v>1431</v>
          </cell>
          <cell r="B29" t="str">
            <v>Ahorro para el retiro</v>
          </cell>
          <cell r="K29" t="str">
            <v>E0107</v>
          </cell>
          <cell r="L29" t="str">
            <v>2.2.6</v>
          </cell>
        </row>
        <row r="30">
          <cell r="A30">
            <v>1441</v>
          </cell>
          <cell r="B30" t="str">
            <v>Seguros</v>
          </cell>
          <cell r="K30" t="str">
            <v>E0108</v>
          </cell>
          <cell r="L30" t="str">
            <v>2.2.4</v>
          </cell>
        </row>
        <row r="31">
          <cell r="A31">
            <v>1511</v>
          </cell>
          <cell r="B31" t="str">
            <v>Cuotas para el fondo de ahorro</v>
          </cell>
          <cell r="K31" t="str">
            <v>E0109</v>
          </cell>
          <cell r="L31" t="str">
            <v>2.2.6</v>
          </cell>
        </row>
        <row r="32">
          <cell r="A32">
            <v>1512</v>
          </cell>
          <cell r="B32" t="str">
            <v>Cuotas para fondo de trabajo</v>
          </cell>
          <cell r="K32" t="str">
            <v>E0110</v>
          </cell>
          <cell r="L32" t="str">
            <v>2.1.1</v>
          </cell>
        </row>
        <row r="33">
          <cell r="A33">
            <v>1521</v>
          </cell>
          <cell r="B33" t="str">
            <v>Indemnizaciones por accidentes en el trabajo</v>
          </cell>
          <cell r="K33" t="str">
            <v>E0111</v>
          </cell>
          <cell r="L33" t="str">
            <v>2.1.1</v>
          </cell>
        </row>
        <row r="34">
          <cell r="A34">
            <v>1522</v>
          </cell>
          <cell r="B34" t="str">
            <v>Liquidaciones por indemnizaciones y por sueldos y salarios caídos</v>
          </cell>
          <cell r="K34" t="str">
            <v>E0113</v>
          </cell>
          <cell r="L34" t="str">
            <v>2.1.1</v>
          </cell>
        </row>
        <row r="35">
          <cell r="A35">
            <v>1523</v>
          </cell>
          <cell r="B35" t="str">
            <v>Pago por riesgo</v>
          </cell>
          <cell r="K35" t="str">
            <v>E0116</v>
          </cell>
          <cell r="L35" t="str">
            <v>1.7.1</v>
          </cell>
        </row>
        <row r="36">
          <cell r="A36">
            <v>1531</v>
          </cell>
          <cell r="B36" t="str">
            <v>Prestaciones de retiro</v>
          </cell>
          <cell r="K36" t="str">
            <v>E0117</v>
          </cell>
          <cell r="L36" t="str">
            <v>1.7.1</v>
          </cell>
        </row>
        <row r="37">
          <cell r="A37">
            <v>1532</v>
          </cell>
          <cell r="B37" t="str">
            <v>Haberes de retiro</v>
          </cell>
          <cell r="K37" t="str">
            <v>E0118</v>
          </cell>
          <cell r="L37" t="str">
            <v>1.7.1</v>
          </cell>
        </row>
        <row r="38">
          <cell r="A38">
            <v>1541</v>
          </cell>
          <cell r="B38" t="str">
            <v xml:space="preserve">Prestaciones establecidas por condiciones generales de trabajo </v>
          </cell>
          <cell r="K38" t="str">
            <v>E0159</v>
          </cell>
          <cell r="L38" t="str">
            <v>2.2.3</v>
          </cell>
        </row>
        <row r="39">
          <cell r="A39">
            <v>1551</v>
          </cell>
          <cell r="B39" t="str">
            <v>Capacitación de los servidores públicos</v>
          </cell>
          <cell r="K39" t="str">
            <v>E0162</v>
          </cell>
          <cell r="L39" t="str">
            <v>1.5.1</v>
          </cell>
        </row>
        <row r="40">
          <cell r="A40">
            <v>1561</v>
          </cell>
          <cell r="B40" t="str">
            <v>Asignaciones adicionales al sueldo</v>
          </cell>
          <cell r="K40" t="str">
            <v>E0218</v>
          </cell>
          <cell r="L40" t="str">
            <v>3.5.6</v>
          </cell>
        </row>
        <row r="41">
          <cell r="A41">
            <v>1562</v>
          </cell>
          <cell r="B41" t="str">
            <v>Otras prestaciones</v>
          </cell>
          <cell r="K41" t="str">
            <v>E0274</v>
          </cell>
          <cell r="L41" t="str">
            <v>1.7.1</v>
          </cell>
        </row>
        <row r="42">
          <cell r="A42">
            <v>1591</v>
          </cell>
          <cell r="B42" t="str">
            <v>Asignaciones adicionales al sueldo</v>
          </cell>
          <cell r="K42" t="str">
            <v>E0288</v>
          </cell>
          <cell r="L42" t="str">
            <v>2.4.2</v>
          </cell>
        </row>
        <row r="43">
          <cell r="A43">
            <v>1592</v>
          </cell>
          <cell r="B43" t="str">
            <v>Otras prestaciones</v>
          </cell>
          <cell r="K43" t="str">
            <v>E0289</v>
          </cell>
          <cell r="L43" t="str">
            <v>3.1.1</v>
          </cell>
        </row>
        <row r="44">
          <cell r="A44">
            <v>1593</v>
          </cell>
          <cell r="B44" t="str">
            <v>Despensas</v>
          </cell>
          <cell r="K44" t="str">
            <v>E0292</v>
          </cell>
          <cell r="L44" t="str">
            <v>1.8.5</v>
          </cell>
        </row>
        <row r="45">
          <cell r="A45">
            <v>1611</v>
          </cell>
          <cell r="B45" t="str">
            <v>Previsiones de carácter laboral</v>
          </cell>
          <cell r="K45" t="str">
            <v>E0295</v>
          </cell>
          <cell r="L45" t="str">
            <v>3.5.6</v>
          </cell>
        </row>
        <row r="46">
          <cell r="A46">
            <v>1612</v>
          </cell>
          <cell r="B46" t="str">
            <v>Previsiones de carácter económico</v>
          </cell>
          <cell r="K46" t="str">
            <v>E0297</v>
          </cell>
          <cell r="L46" t="str">
            <v>1.3.2</v>
          </cell>
        </row>
        <row r="47">
          <cell r="A47">
            <v>1613</v>
          </cell>
          <cell r="B47" t="str">
            <v>Previsiones de carácter de seguridad social</v>
          </cell>
          <cell r="K47" t="str">
            <v>E0305</v>
          </cell>
          <cell r="L47" t="str">
            <v>2.1.6</v>
          </cell>
        </row>
        <row r="48">
          <cell r="A48">
            <v>1711</v>
          </cell>
          <cell r="B48" t="str">
            <v xml:space="preserve">Estímulos por productividad y eficiencia </v>
          </cell>
          <cell r="K48" t="str">
            <v>E0306</v>
          </cell>
          <cell r="L48" t="str">
            <v>2.1.6</v>
          </cell>
        </row>
        <row r="49">
          <cell r="A49">
            <v>1712</v>
          </cell>
          <cell r="B49" t="str">
            <v xml:space="preserve">Estímulos al personal operativo </v>
          </cell>
          <cell r="K49" t="str">
            <v>E0307</v>
          </cell>
          <cell r="L49" t="str">
            <v>2.1.6</v>
          </cell>
        </row>
        <row r="50">
          <cell r="A50">
            <v>1721</v>
          </cell>
          <cell r="B50" t="str">
            <v>Recompensas</v>
          </cell>
          <cell r="K50" t="str">
            <v>E0308</v>
          </cell>
          <cell r="L50" t="str">
            <v>2.1.6</v>
          </cell>
        </row>
        <row r="51">
          <cell r="A51">
            <v>1811</v>
          </cell>
          <cell r="B51" t="str">
            <v>Impuesto sobre nóminas</v>
          </cell>
          <cell r="K51" t="str">
            <v>E0309</v>
          </cell>
          <cell r="L51" t="str">
            <v>2.1.6</v>
          </cell>
        </row>
        <row r="52">
          <cell r="A52">
            <v>1821</v>
          </cell>
          <cell r="B52" t="str">
            <v>Otros impuestos</v>
          </cell>
          <cell r="K52" t="str">
            <v>E0310</v>
          </cell>
          <cell r="L52" t="str">
            <v>2.1.6</v>
          </cell>
        </row>
        <row r="53">
          <cell r="A53">
            <v>2000</v>
          </cell>
          <cell r="B53" t="str">
            <v>Materiales y Suministros</v>
          </cell>
          <cell r="K53" t="str">
            <v>E0311</v>
          </cell>
          <cell r="L53" t="str">
            <v>2.1.6</v>
          </cell>
        </row>
        <row r="54">
          <cell r="A54">
            <v>2111</v>
          </cell>
          <cell r="B54" t="str">
            <v>Materiales y útiles de oficina</v>
          </cell>
          <cell r="K54" t="str">
            <v>F0040</v>
          </cell>
          <cell r="L54" t="str">
            <v>1.8.3</v>
          </cell>
        </row>
        <row r="55">
          <cell r="A55">
            <v>2112</v>
          </cell>
          <cell r="B55" t="str">
            <v>Equipos menores de oficina</v>
          </cell>
          <cell r="K55" t="str">
            <v>F0041</v>
          </cell>
          <cell r="L55" t="str">
            <v>1.8.3</v>
          </cell>
        </row>
        <row r="56">
          <cell r="A56">
            <v>2121</v>
          </cell>
          <cell r="B56" t="str">
            <v>Materiales y útiles de impresión y reproducción</v>
          </cell>
          <cell r="K56" t="str">
            <v>J0068</v>
          </cell>
          <cell r="L56" t="str">
            <v>1.8.5</v>
          </cell>
        </row>
        <row r="57">
          <cell r="A57">
            <v>2131</v>
          </cell>
          <cell r="B57" t="str">
            <v>Material estadístico y geográfico</v>
          </cell>
          <cell r="K57" t="str">
            <v>K0002</v>
          </cell>
          <cell r="L57" t="str">
            <v>3.1.1</v>
          </cell>
        </row>
        <row r="58">
          <cell r="A58">
            <v>2141</v>
          </cell>
          <cell r="B58" t="str">
            <v>Materiales y útiles de tecnologías de la información y comunicaciones</v>
          </cell>
          <cell r="K58" t="str">
            <v>K0003</v>
          </cell>
          <cell r="L58" t="str">
            <v>3.1.1</v>
          </cell>
        </row>
        <row r="59">
          <cell r="A59">
            <v>2142</v>
          </cell>
          <cell r="B59" t="str">
            <v>Equipos menores de tecnologías de la información y comunicaciones</v>
          </cell>
          <cell r="K59" t="str">
            <v>K0280</v>
          </cell>
          <cell r="L59" t="str">
            <v>3.5.6</v>
          </cell>
        </row>
        <row r="60">
          <cell r="A60">
            <v>2151</v>
          </cell>
          <cell r="B60" t="str">
            <v>Material impreso e información digital</v>
          </cell>
          <cell r="K60" t="str">
            <v>K0281</v>
          </cell>
          <cell r="L60" t="str">
            <v>1.8.2</v>
          </cell>
        </row>
        <row r="61">
          <cell r="A61">
            <v>2161</v>
          </cell>
          <cell r="B61" t="str">
            <v>Material de limpieza</v>
          </cell>
          <cell r="K61" t="str">
            <v>K0282</v>
          </cell>
          <cell r="L61" t="str">
            <v>2.2.1</v>
          </cell>
        </row>
        <row r="62">
          <cell r="A62">
            <v>2171</v>
          </cell>
          <cell r="B62" t="str">
            <v>Materiales y útiles de enseñanza</v>
          </cell>
          <cell r="K62" t="str">
            <v>K0283</v>
          </cell>
          <cell r="L62" t="str">
            <v>2.2.1</v>
          </cell>
        </row>
        <row r="63">
          <cell r="A63">
            <v>2181</v>
          </cell>
          <cell r="B63" t="str">
            <v>Materiales para el registro e identificación de bienes</v>
          </cell>
          <cell r="K63" t="str">
            <v>K0284</v>
          </cell>
          <cell r="L63" t="str">
            <v>2.2.1</v>
          </cell>
        </row>
        <row r="64">
          <cell r="A64">
            <v>2182</v>
          </cell>
          <cell r="B64" t="str">
            <v>Materiales para el registro e identificación de personas</v>
          </cell>
          <cell r="K64" t="str">
            <v>K0285</v>
          </cell>
          <cell r="L64" t="str">
            <v>2.2.6</v>
          </cell>
        </row>
        <row r="65">
          <cell r="A65">
            <v>2211</v>
          </cell>
          <cell r="B65" t="str">
            <v>Productos alimenticios para  los efectivos que participen en programas de seguridad pública</v>
          </cell>
          <cell r="K65" t="str">
            <v>K0298</v>
          </cell>
          <cell r="L65" t="str">
            <v>2.2.1</v>
          </cell>
        </row>
        <row r="66">
          <cell r="A66">
            <v>2212</v>
          </cell>
          <cell r="B66" t="str">
            <v>Productos alimenticios para el personal en las instalaciones de las dependencias y entidades</v>
          </cell>
          <cell r="K66" t="str">
            <v>M0073</v>
          </cell>
          <cell r="L66" t="str">
            <v>1.5.2</v>
          </cell>
        </row>
        <row r="67">
          <cell r="A67">
            <v>2213</v>
          </cell>
          <cell r="B67" t="str">
            <v>Productos alimenticios para la población en caso de desastres naturales</v>
          </cell>
          <cell r="K67" t="str">
            <v>O0001</v>
          </cell>
          <cell r="L67" t="str">
            <v>1.3.1</v>
          </cell>
        </row>
        <row r="68">
          <cell r="A68">
            <v>2214</v>
          </cell>
          <cell r="B68" t="str">
            <v>Alimentos Centro de detención municipal</v>
          </cell>
          <cell r="K68" t="str">
            <v>O0005</v>
          </cell>
          <cell r="L68" t="str">
            <v>2.7.1</v>
          </cell>
        </row>
        <row r="69">
          <cell r="A69">
            <v>2221</v>
          </cell>
          <cell r="B69" t="str">
            <v>Productos alimenticios para animales</v>
          </cell>
          <cell r="K69" t="str">
            <v>O0015</v>
          </cell>
          <cell r="L69" t="str">
            <v>2.5.6</v>
          </cell>
        </row>
        <row r="70">
          <cell r="A70">
            <v>2231</v>
          </cell>
          <cell r="B70" t="str">
            <v>Utensilios para el servicio de alimentación</v>
          </cell>
          <cell r="K70" t="str">
            <v>O0020</v>
          </cell>
          <cell r="L70" t="str">
            <v>2.2.2</v>
          </cell>
        </row>
        <row r="71">
          <cell r="A71">
            <v>2311</v>
          </cell>
          <cell r="B71" t="str">
            <v>Productos alimenticios, agropecuarios y forestales</v>
          </cell>
          <cell r="K71" t="str">
            <v>O0033</v>
          </cell>
          <cell r="L71" t="str">
            <v>2.4.1</v>
          </cell>
        </row>
        <row r="72">
          <cell r="A72">
            <v>2312</v>
          </cell>
          <cell r="B72" t="str">
            <v xml:space="preserve">Material agropecuario </v>
          </cell>
          <cell r="K72" t="str">
            <v>O0035</v>
          </cell>
          <cell r="L72" t="str">
            <v>2.7.1</v>
          </cell>
        </row>
        <row r="73">
          <cell r="A73">
            <v>2321</v>
          </cell>
          <cell r="B73" t="str">
            <v>Insumos textiles</v>
          </cell>
          <cell r="K73" t="str">
            <v>O0036</v>
          </cell>
          <cell r="L73" t="str">
            <v>1.3.1</v>
          </cell>
        </row>
        <row r="74">
          <cell r="A74">
            <v>2331</v>
          </cell>
          <cell r="B74" t="str">
            <v>Productos de papel, cartón e impresos</v>
          </cell>
          <cell r="K74" t="str">
            <v>O0037</v>
          </cell>
          <cell r="L74" t="str">
            <v>1.3.1</v>
          </cell>
        </row>
        <row r="75">
          <cell r="A75">
            <v>2341</v>
          </cell>
          <cell r="B75" t="str">
            <v>Combustibles, lubricantes, aditivos, carbon y sus derivados</v>
          </cell>
          <cell r="K75" t="str">
            <v>O0038</v>
          </cell>
          <cell r="L75" t="str">
            <v>1.3.1</v>
          </cell>
        </row>
        <row r="76">
          <cell r="A76">
            <v>2351</v>
          </cell>
          <cell r="B76" t="str">
            <v>Productos químicos, farmacéuticos y de laboratorio</v>
          </cell>
          <cell r="K76" t="str">
            <v>O0039</v>
          </cell>
          <cell r="L76" t="str">
            <v>1.3.1</v>
          </cell>
        </row>
        <row r="77">
          <cell r="A77">
            <v>2361</v>
          </cell>
          <cell r="B77" t="str">
            <v>Productos metálicos y a base de minerales no metálicos</v>
          </cell>
          <cell r="K77" t="str">
            <v>O0040</v>
          </cell>
          <cell r="L77" t="str">
            <v>1.3.1</v>
          </cell>
        </row>
        <row r="78">
          <cell r="A78">
            <v>2371</v>
          </cell>
          <cell r="B78" t="str">
            <v>Productos de cuero, piel, plástico y hule</v>
          </cell>
          <cell r="K78" t="str">
            <v>O0058</v>
          </cell>
          <cell r="L78" t="str">
            <v>1.8.4</v>
          </cell>
        </row>
        <row r="79">
          <cell r="A79">
            <v>2381</v>
          </cell>
          <cell r="B79" t="str">
            <v>Mercancías para su comercialización en tiendas del sector público</v>
          </cell>
          <cell r="K79" t="str">
            <v>O0059</v>
          </cell>
          <cell r="L79" t="str">
            <v>1.8.4</v>
          </cell>
        </row>
        <row r="80">
          <cell r="A80">
            <v>2382</v>
          </cell>
          <cell r="B80" t="str">
            <v>Mercancías para su distribución a la población</v>
          </cell>
          <cell r="K80" t="str">
            <v>O0060</v>
          </cell>
          <cell r="L80" t="str">
            <v>1.8.5</v>
          </cell>
        </row>
        <row r="81">
          <cell r="A81">
            <v>2391</v>
          </cell>
          <cell r="B81" t="str">
            <v xml:space="preserve">Otros productos </v>
          </cell>
          <cell r="K81" t="str">
            <v>O0062</v>
          </cell>
          <cell r="L81" t="str">
            <v>1.3.3</v>
          </cell>
        </row>
        <row r="82">
          <cell r="A82">
            <v>2411</v>
          </cell>
          <cell r="B82" t="str">
            <v>Materiales de construcción minerales no metálicos</v>
          </cell>
          <cell r="K82" t="str">
            <v>O0063</v>
          </cell>
          <cell r="L82" t="str">
            <v>1.8.5</v>
          </cell>
        </row>
        <row r="83">
          <cell r="A83">
            <v>2421</v>
          </cell>
          <cell r="B83" t="str">
            <v>Materiales de construcción de concreto</v>
          </cell>
          <cell r="K83" t="str">
            <v>O0069</v>
          </cell>
          <cell r="L83" t="str">
            <v>1.8.5</v>
          </cell>
        </row>
        <row r="84">
          <cell r="A84">
            <v>2431</v>
          </cell>
          <cell r="B84" t="str">
            <v>Materiales de construcción de cal y yeso</v>
          </cell>
          <cell r="K84" t="str">
            <v>O0070</v>
          </cell>
          <cell r="L84" t="str">
            <v>1.8.5</v>
          </cell>
        </row>
        <row r="85">
          <cell r="A85">
            <v>2441</v>
          </cell>
          <cell r="B85" t="str">
            <v>Materiales de construcción de madera</v>
          </cell>
          <cell r="K85" t="str">
            <v>O0071</v>
          </cell>
          <cell r="L85" t="str">
            <v>1.5.1</v>
          </cell>
        </row>
        <row r="86">
          <cell r="A86">
            <v>2451</v>
          </cell>
          <cell r="B86" t="str">
            <v>Materiales de construcción de vidrio</v>
          </cell>
          <cell r="K86" t="str">
            <v>O0072</v>
          </cell>
          <cell r="L86" t="str">
            <v>1.5.2</v>
          </cell>
        </row>
        <row r="87">
          <cell r="A87">
            <v>2461</v>
          </cell>
          <cell r="B87" t="str">
            <v>Material eléctrico y electrónico</v>
          </cell>
          <cell r="K87" t="str">
            <v>O0074</v>
          </cell>
          <cell r="L87" t="str">
            <v>1.5.2</v>
          </cell>
        </row>
        <row r="88">
          <cell r="A88">
            <v>2471</v>
          </cell>
          <cell r="B88" t="str">
            <v>Estructuras y manufacturas</v>
          </cell>
          <cell r="K88" t="str">
            <v>O0076</v>
          </cell>
          <cell r="L88" t="str">
            <v>1.5.2</v>
          </cell>
        </row>
        <row r="89">
          <cell r="A89">
            <v>2481</v>
          </cell>
          <cell r="B89" t="str">
            <v xml:space="preserve">Materiales complementarios </v>
          </cell>
          <cell r="K89" t="str">
            <v>O0078</v>
          </cell>
          <cell r="L89" t="str">
            <v>1.5.2</v>
          </cell>
        </row>
        <row r="90">
          <cell r="A90">
            <v>2491</v>
          </cell>
          <cell r="B90" t="str">
            <v xml:space="preserve">Materiales diversos </v>
          </cell>
          <cell r="K90" t="str">
            <v>O0084</v>
          </cell>
          <cell r="L90" t="str">
            <v>3.6.1</v>
          </cell>
        </row>
        <row r="91">
          <cell r="A91">
            <v>2492</v>
          </cell>
          <cell r="B91" t="str">
            <v>Material para señalética</v>
          </cell>
          <cell r="K91" t="str">
            <v>O0085</v>
          </cell>
          <cell r="L91" t="str">
            <v>3.6.1</v>
          </cell>
        </row>
        <row r="92">
          <cell r="A92">
            <v>2493</v>
          </cell>
          <cell r="B92" t="str">
            <v>Material para semaforización</v>
          </cell>
          <cell r="K92" t="str">
            <v>O0086</v>
          </cell>
          <cell r="L92" t="str">
            <v>1.5.2</v>
          </cell>
        </row>
        <row r="93">
          <cell r="A93">
            <v>2511</v>
          </cell>
          <cell r="B93" t="str">
            <v>Sustancias químicas</v>
          </cell>
          <cell r="K93" t="str">
            <v>O0087</v>
          </cell>
          <cell r="L93" t="str">
            <v>1.3.3</v>
          </cell>
        </row>
        <row r="94">
          <cell r="A94">
            <v>2521</v>
          </cell>
          <cell r="B94" t="str">
            <v>Fertilizantes y abonos</v>
          </cell>
          <cell r="K94" t="str">
            <v>O0090</v>
          </cell>
          <cell r="L94" t="str">
            <v>1.1.2</v>
          </cell>
        </row>
        <row r="95">
          <cell r="A95">
            <v>2522</v>
          </cell>
          <cell r="B95" t="str">
            <v>Plaguicidas y pesticidas</v>
          </cell>
          <cell r="K95" t="str">
            <v>O0091</v>
          </cell>
          <cell r="L95" t="str">
            <v>1.1.2</v>
          </cell>
        </row>
        <row r="96">
          <cell r="A96">
            <v>2531</v>
          </cell>
          <cell r="B96" t="str">
            <v>Medicinas y productos farmacéuticos</v>
          </cell>
          <cell r="K96" t="str">
            <v>O0092</v>
          </cell>
          <cell r="L96" t="str">
            <v>1.1.2</v>
          </cell>
        </row>
        <row r="97">
          <cell r="A97">
            <v>2541</v>
          </cell>
          <cell r="B97" t="str">
            <v>Materiales, accesorios y suministros médicos</v>
          </cell>
          <cell r="K97" t="str">
            <v>O0093</v>
          </cell>
          <cell r="L97" t="str">
            <v>2.2.1</v>
          </cell>
        </row>
        <row r="98">
          <cell r="A98">
            <v>2551</v>
          </cell>
          <cell r="B98" t="str">
            <v>Materiales, accesorios y suministros de laboratorio</v>
          </cell>
          <cell r="K98" t="str">
            <v>O0094</v>
          </cell>
          <cell r="L98" t="str">
            <v>2.2.1</v>
          </cell>
        </row>
        <row r="99">
          <cell r="A99">
            <v>2561</v>
          </cell>
          <cell r="B99" t="str">
            <v>Fibras sintéticas, hules, plásticos y derivados</v>
          </cell>
          <cell r="K99" t="str">
            <v>O0117</v>
          </cell>
          <cell r="L99" t="str">
            <v>1.7.1</v>
          </cell>
        </row>
        <row r="100">
          <cell r="A100">
            <v>2611</v>
          </cell>
          <cell r="B100" t="str">
            <v xml:space="preserve">Combustibles, lubricantes y aditivos para vehículos destinados a la ejecución de programas de seguridad pública </v>
          </cell>
          <cell r="K100" t="str">
            <v>O0119</v>
          </cell>
          <cell r="L100" t="str">
            <v>1.7.1</v>
          </cell>
        </row>
        <row r="101">
          <cell r="A101">
            <v>2612</v>
          </cell>
          <cell r="B101" t="str">
            <v>Combustibles, lubricantes y aditivos para vehículos terrestres, aéreos, marítimos, lacustres y fluviales asignados a servidores públicos</v>
          </cell>
          <cell r="K101" t="str">
            <v>O0158</v>
          </cell>
          <cell r="L101" t="str">
            <v>1.7.1</v>
          </cell>
        </row>
        <row r="102">
          <cell r="A102">
            <v>2613</v>
          </cell>
          <cell r="B102" t="str">
            <v>Combustibles, lubricantes y aditivos para maquinaria, equipo de producción y servicios administrativos</v>
          </cell>
          <cell r="K102" t="str">
            <v>O0220</v>
          </cell>
          <cell r="L102" t="str">
            <v>1.3.3</v>
          </cell>
        </row>
        <row r="103">
          <cell r="A103">
            <v>2614</v>
          </cell>
          <cell r="B103" t="str">
            <v>Gas natural L.P</v>
          </cell>
          <cell r="K103" t="str">
            <v>O0221</v>
          </cell>
          <cell r="L103" t="str">
            <v>1.7.1</v>
          </cell>
        </row>
        <row r="104">
          <cell r="A104">
            <v>2621</v>
          </cell>
          <cell r="B104" t="str">
            <v>Carbón y sus derivados</v>
          </cell>
          <cell r="K104" t="str">
            <v>O0222</v>
          </cell>
          <cell r="L104" t="str">
            <v>1.7.1</v>
          </cell>
        </row>
        <row r="105">
          <cell r="A105">
            <v>2711</v>
          </cell>
          <cell r="B105" t="str">
            <v>Vestuario y uniformes</v>
          </cell>
          <cell r="K105" t="str">
            <v>O0223</v>
          </cell>
          <cell r="L105" t="str">
            <v>2.2.5</v>
          </cell>
        </row>
        <row r="106">
          <cell r="A106">
            <v>2721</v>
          </cell>
          <cell r="B106" t="str">
            <v>Prendas de seguridad</v>
          </cell>
          <cell r="K106" t="str">
            <v>O0262</v>
          </cell>
          <cell r="L106" t="str">
            <v>2.7.1</v>
          </cell>
        </row>
        <row r="107">
          <cell r="A107">
            <v>2722</v>
          </cell>
          <cell r="B107" t="str">
            <v>Prendas de protección personal</v>
          </cell>
          <cell r="K107" t="str">
            <v>O0267</v>
          </cell>
          <cell r="L107" t="str">
            <v>1.5.2</v>
          </cell>
        </row>
        <row r="108">
          <cell r="A108">
            <v>2731</v>
          </cell>
          <cell r="B108" t="str">
            <v>Artículos deportivos</v>
          </cell>
          <cell r="K108" t="str">
            <v>P0042</v>
          </cell>
          <cell r="L108" t="str">
            <v>1.3.2</v>
          </cell>
        </row>
        <row r="109">
          <cell r="A109">
            <v>2741</v>
          </cell>
          <cell r="B109" t="str">
            <v>Productos textiles</v>
          </cell>
          <cell r="K109" t="str">
            <v>P0285</v>
          </cell>
          <cell r="L109" t="str">
            <v>3.5.6</v>
          </cell>
        </row>
        <row r="110">
          <cell r="A110">
            <v>2751</v>
          </cell>
          <cell r="B110" t="str">
            <v>Blancos y otros productos textiles, excepto prendas de vestir</v>
          </cell>
          <cell r="K110" t="str">
            <v>P0286</v>
          </cell>
          <cell r="L110" t="str">
            <v>3.5.6</v>
          </cell>
        </row>
        <row r="111">
          <cell r="A111">
            <v>2811</v>
          </cell>
          <cell r="B111" t="str">
            <v>Sustancias y materiales explosivos</v>
          </cell>
          <cell r="K111" t="str">
            <v>P0287</v>
          </cell>
          <cell r="L111" t="str">
            <v>3.5.6</v>
          </cell>
        </row>
        <row r="112">
          <cell r="A112">
            <v>2821</v>
          </cell>
          <cell r="B112" t="str">
            <v>Materiales de seguridad pública</v>
          </cell>
          <cell r="K112" t="str">
            <v>Q0280</v>
          </cell>
          <cell r="L112" t="str">
            <v>3.5.6</v>
          </cell>
        </row>
        <row r="113">
          <cell r="A113">
            <v>2831</v>
          </cell>
          <cell r="B113" t="str">
            <v xml:space="preserve">Prendas de protección para seguridad pública </v>
          </cell>
          <cell r="K113" t="str">
            <v>Q0281</v>
          </cell>
          <cell r="L113" t="str">
            <v>1.8.2</v>
          </cell>
        </row>
        <row r="114">
          <cell r="A114">
            <v>2911</v>
          </cell>
          <cell r="B114" t="str">
            <v>Herramientas menores</v>
          </cell>
          <cell r="K114" t="str">
            <v>Q0282</v>
          </cell>
          <cell r="L114" t="str">
            <v>2.2.1</v>
          </cell>
        </row>
        <row r="115">
          <cell r="A115">
            <v>2921</v>
          </cell>
          <cell r="B115" t="str">
            <v>Refacciones y accesorios menores de edificios</v>
          </cell>
          <cell r="K115" t="str">
            <v>Q0283</v>
          </cell>
          <cell r="L115" t="str">
            <v>2.2.1</v>
          </cell>
        </row>
        <row r="116">
          <cell r="A116">
            <v>2931</v>
          </cell>
          <cell r="B116" t="str">
            <v xml:space="preserve">Refacciones y accesorios menores de mobiliario </v>
          </cell>
          <cell r="K116" t="str">
            <v>Q0284</v>
          </cell>
          <cell r="L116" t="str">
            <v>2.2.1</v>
          </cell>
        </row>
        <row r="117">
          <cell r="A117">
            <v>2932</v>
          </cell>
          <cell r="B117" t="str">
            <v>Refacciones y accesorios de equipo educacional y recreativo</v>
          </cell>
          <cell r="K117" t="str">
            <v>Q0285</v>
          </cell>
          <cell r="L117" t="str">
            <v>2.2.6</v>
          </cell>
        </row>
        <row r="118">
          <cell r="A118">
            <v>2941</v>
          </cell>
          <cell r="B118" t="str">
            <v>Refacciones y accesorios menores de equipo de cómputo y tecnologías de la información</v>
          </cell>
          <cell r="K118" t="str">
            <v>R0034</v>
          </cell>
          <cell r="L118" t="str">
            <v>2.4.1</v>
          </cell>
        </row>
        <row r="119">
          <cell r="A119">
            <v>2951</v>
          </cell>
          <cell r="B119" t="str">
            <v>Refacciones y accesorios menores de quipo e instrumental médico y de laboratorio</v>
          </cell>
          <cell r="K119" t="str">
            <v>R0043</v>
          </cell>
          <cell r="L119" t="str">
            <v>1.3.2</v>
          </cell>
        </row>
        <row r="120">
          <cell r="A120">
            <v>2961</v>
          </cell>
          <cell r="B120" t="str">
            <v>Refacciones y accesorios menores de equipo de transporte</v>
          </cell>
          <cell r="K120" t="str">
            <v>R0057</v>
          </cell>
          <cell r="L120" t="str">
            <v>1.7.1</v>
          </cell>
        </row>
        <row r="121">
          <cell r="A121">
            <v>2971</v>
          </cell>
          <cell r="B121" t="str">
            <v>Refacciones y accesorios menores de equipo de defensa y seguridad</v>
          </cell>
          <cell r="K121" t="str">
            <v>R0137</v>
          </cell>
          <cell r="L121" t="str">
            <v>4.1.1</v>
          </cell>
        </row>
        <row r="122">
          <cell r="A122">
            <v>2981</v>
          </cell>
          <cell r="B122" t="str">
            <v>Refacciones y accesorios menores de maquinaria y otros equipos</v>
          </cell>
          <cell r="K122" t="str">
            <v>R0138</v>
          </cell>
          <cell r="L122" t="str">
            <v>2.2.1</v>
          </cell>
        </row>
        <row r="123">
          <cell r="A123">
            <v>2991</v>
          </cell>
          <cell r="B123" t="str">
            <v>Refacciones y accesorios menores otros bienes muebles</v>
          </cell>
          <cell r="K123" t="str">
            <v>R0139</v>
          </cell>
          <cell r="L123" t="str">
            <v>2.2.1</v>
          </cell>
        </row>
        <row r="124">
          <cell r="A124">
            <v>3000</v>
          </cell>
          <cell r="B124" t="str">
            <v>Servicios Generales</v>
          </cell>
          <cell r="K124" t="str">
            <v>R0140</v>
          </cell>
          <cell r="L124" t="str">
            <v>2.2.1</v>
          </cell>
        </row>
        <row r="125">
          <cell r="A125">
            <v>3111</v>
          </cell>
          <cell r="B125" t="str">
            <v>Servicio de energía eléctrica</v>
          </cell>
          <cell r="K125" t="str">
            <v>R0157</v>
          </cell>
          <cell r="L125" t="str">
            <v>2.2.1</v>
          </cell>
        </row>
        <row r="126">
          <cell r="A126">
            <v>3112</v>
          </cell>
          <cell r="B126" t="str">
            <v>Alumbrado público</v>
          </cell>
          <cell r="K126" t="str">
            <v>R0158</v>
          </cell>
          <cell r="L126" t="str">
            <v>2.2.2</v>
          </cell>
        </row>
        <row r="127">
          <cell r="A127">
            <v>3121</v>
          </cell>
          <cell r="B127" t="str">
            <v>Servicio de gas</v>
          </cell>
          <cell r="K127" t="str">
            <v>R0169</v>
          </cell>
          <cell r="L127" t="str">
            <v>2.2.1</v>
          </cell>
        </row>
        <row r="128">
          <cell r="A128">
            <v>3131</v>
          </cell>
          <cell r="B128" t="str">
            <v>Servicio de agua</v>
          </cell>
          <cell r="K128" t="str">
            <v>R0170</v>
          </cell>
          <cell r="L128" t="str">
            <v>2.2.1</v>
          </cell>
        </row>
        <row r="129">
          <cell r="A129">
            <v>3141</v>
          </cell>
          <cell r="B129" t="str">
            <v>Servicio telefonía tradicional</v>
          </cell>
          <cell r="K129" t="str">
            <v>R0171</v>
          </cell>
          <cell r="L129" t="str">
            <v>2.2.1</v>
          </cell>
        </row>
        <row r="130">
          <cell r="A130">
            <v>3151</v>
          </cell>
          <cell r="B130" t="str">
            <v>Servicio telefonía celular</v>
          </cell>
          <cell r="K130" t="str">
            <v>R0172</v>
          </cell>
          <cell r="L130" t="str">
            <v>2.2.1</v>
          </cell>
        </row>
        <row r="131">
          <cell r="A131">
            <v>3152</v>
          </cell>
          <cell r="B131" t="str">
            <v>Radiolocalización</v>
          </cell>
          <cell r="K131" t="str">
            <v>R0173</v>
          </cell>
          <cell r="L131" t="str">
            <v>2.2.1</v>
          </cell>
        </row>
        <row r="132">
          <cell r="A132">
            <v>3161</v>
          </cell>
          <cell r="B132" t="str">
            <v>Servicios de telecomunicaciones y satélites</v>
          </cell>
          <cell r="K132" t="str">
            <v>R0174</v>
          </cell>
          <cell r="L132" t="str">
            <v>2.2.1</v>
          </cell>
        </row>
        <row r="133">
          <cell r="A133">
            <v>3171</v>
          </cell>
          <cell r="B133" t="str">
            <v>Servicios de acceso de internet</v>
          </cell>
          <cell r="K133" t="str">
            <v>R0175</v>
          </cell>
          <cell r="L133" t="str">
            <v>2.2.1</v>
          </cell>
        </row>
        <row r="134">
          <cell r="A134">
            <v>3172</v>
          </cell>
          <cell r="B134" t="str">
            <v>Servicios de redes</v>
          </cell>
          <cell r="K134" t="str">
            <v>R0176</v>
          </cell>
          <cell r="L134" t="str">
            <v>2.2.1</v>
          </cell>
        </row>
        <row r="135">
          <cell r="A135">
            <v>3173</v>
          </cell>
          <cell r="B135" t="str">
            <v>Servicios de procesamiento de información</v>
          </cell>
          <cell r="K135" t="str">
            <v>R0177</v>
          </cell>
          <cell r="L135" t="str">
            <v>2.2.1</v>
          </cell>
        </row>
        <row r="136">
          <cell r="A136">
            <v>3181</v>
          </cell>
          <cell r="B136" t="str">
            <v xml:space="preserve">Servicio postal </v>
          </cell>
          <cell r="K136" t="str">
            <v xml:space="preserve">R0178  </v>
          </cell>
          <cell r="L136" t="str">
            <v>2.2.1</v>
          </cell>
        </row>
        <row r="137">
          <cell r="A137">
            <v>3182</v>
          </cell>
          <cell r="B137" t="str">
            <v xml:space="preserve">Servicio telegráfico </v>
          </cell>
          <cell r="K137" t="str">
            <v>R0179</v>
          </cell>
          <cell r="L137" t="str">
            <v>2.2.1</v>
          </cell>
        </row>
        <row r="138">
          <cell r="A138">
            <v>3191</v>
          </cell>
          <cell r="B138" t="str">
            <v>Servicios integrales</v>
          </cell>
          <cell r="K138" t="str">
            <v xml:space="preserve">R0180  </v>
          </cell>
          <cell r="L138" t="str">
            <v>2.2.1</v>
          </cell>
        </row>
        <row r="139">
          <cell r="A139">
            <v>3192</v>
          </cell>
          <cell r="B139" t="str">
            <v xml:space="preserve">Contratación de otros servicios </v>
          </cell>
          <cell r="K139" t="str">
            <v>R0186</v>
          </cell>
          <cell r="L139" t="str">
            <v>2.2.1</v>
          </cell>
        </row>
        <row r="140">
          <cell r="A140">
            <v>3211</v>
          </cell>
          <cell r="B140" t="str">
            <v>Arrendamiento de terrenos</v>
          </cell>
          <cell r="K140" t="str">
            <v>R0190</v>
          </cell>
          <cell r="L140" t="str">
            <v>2.1.1</v>
          </cell>
        </row>
        <row r="141">
          <cell r="A141">
            <v>3221</v>
          </cell>
          <cell r="B141" t="str">
            <v>Arrendamiento de edificios y locales</v>
          </cell>
          <cell r="K141" t="str">
            <v>R0205</v>
          </cell>
          <cell r="L141" t="str">
            <v>2.2.1</v>
          </cell>
        </row>
        <row r="142">
          <cell r="A142">
            <v>3231</v>
          </cell>
          <cell r="B142" t="str">
            <v>Arrendamiento de mobiliario y equipo de administración</v>
          </cell>
          <cell r="K142" t="str">
            <v>R0272</v>
          </cell>
          <cell r="L142" t="str">
            <v>2.2.1</v>
          </cell>
        </row>
        <row r="143">
          <cell r="A143">
            <v>3232</v>
          </cell>
          <cell r="B143" t="str">
            <v>Arrendamiento de mobiliario y equipo educativo y recreativo</v>
          </cell>
          <cell r="K143" t="str">
            <v>R0273</v>
          </cell>
          <cell r="L143" t="str">
            <v>2.2.1</v>
          </cell>
        </row>
        <row r="144">
          <cell r="A144">
            <v>3233</v>
          </cell>
          <cell r="B144" t="str">
            <v xml:space="preserve">Arrendamiento de equipo y bienes informáticos </v>
          </cell>
          <cell r="K144" t="str">
            <v>R0290</v>
          </cell>
          <cell r="L144" t="str">
            <v>2.2.1</v>
          </cell>
        </row>
        <row r="145">
          <cell r="A145">
            <v>3241</v>
          </cell>
          <cell r="B145" t="str">
            <v>Arrendamiento de equipo e instrumental médico y de laboratorio</v>
          </cell>
          <cell r="K145" t="str">
            <v>R0291</v>
          </cell>
          <cell r="L145" t="str">
            <v>2.2.1</v>
          </cell>
        </row>
        <row r="146">
          <cell r="A146">
            <v>3251</v>
          </cell>
          <cell r="B146" t="str">
            <v>Arrendamiento de vehículos terrestres, aéreos, marítimos, lacustres y fluviales para la ejecución de programas de seguridad pública y nacional</v>
          </cell>
          <cell r="K146" t="str">
            <v>R0292</v>
          </cell>
          <cell r="L146" t="str">
            <v>2.2.1</v>
          </cell>
        </row>
        <row r="147">
          <cell r="A147">
            <v>3252</v>
          </cell>
          <cell r="B147" t="str">
            <v>Arrendamiento de vehículos terrestres, aéreos, marítimos, lacustres y fluviales para servicios administrativos</v>
          </cell>
          <cell r="K147" t="str">
            <v>R0293</v>
          </cell>
          <cell r="L147" t="str">
            <v>2.2.1</v>
          </cell>
        </row>
        <row r="148">
          <cell r="A148">
            <v>3261</v>
          </cell>
          <cell r="B148" t="str">
            <v xml:space="preserve">Arrendamiento de maquinaria y equipo </v>
          </cell>
          <cell r="K148" t="str">
            <v>R0302</v>
          </cell>
          <cell r="L148" t="str">
            <v>2.2.1</v>
          </cell>
        </row>
        <row r="149">
          <cell r="A149">
            <v>3262</v>
          </cell>
          <cell r="B149" t="str">
            <v>Arrendamiento de herramientas</v>
          </cell>
          <cell r="K149" t="str">
            <v>R0303</v>
          </cell>
          <cell r="L149" t="str">
            <v>2.2.1</v>
          </cell>
        </row>
        <row r="150">
          <cell r="A150">
            <v>3271</v>
          </cell>
          <cell r="B150" t="str">
            <v>Arrendamiento de activos intangibles</v>
          </cell>
          <cell r="K150" t="str">
            <v>R0304</v>
          </cell>
          <cell r="L150" t="str">
            <v>2.2.1</v>
          </cell>
        </row>
        <row r="151">
          <cell r="A151">
            <v>3281</v>
          </cell>
          <cell r="B151" t="str">
            <v>Arrendamiento financiero</v>
          </cell>
          <cell r="K151" t="str">
            <v>S0012</v>
          </cell>
          <cell r="L151" t="str">
            <v>2.7.1</v>
          </cell>
        </row>
        <row r="152">
          <cell r="A152">
            <v>3291</v>
          </cell>
          <cell r="B152" t="str">
            <v>Otros Arrendamientos</v>
          </cell>
          <cell r="K152" t="str">
            <v>S0013</v>
          </cell>
          <cell r="L152" t="str">
            <v>2.4.1</v>
          </cell>
        </row>
        <row r="153">
          <cell r="A153">
            <v>3311</v>
          </cell>
          <cell r="B153" t="str">
            <v>Servicios legales</v>
          </cell>
          <cell r="K153" t="str">
            <v>S0014</v>
          </cell>
          <cell r="L153" t="str">
            <v>2.4.1</v>
          </cell>
        </row>
        <row r="154">
          <cell r="A154">
            <v>3312</v>
          </cell>
          <cell r="B154" t="str">
            <v>Servicios de contabilidad</v>
          </cell>
          <cell r="K154" t="str">
            <v>S0022</v>
          </cell>
          <cell r="L154" t="str">
            <v>2.2.2</v>
          </cell>
        </row>
        <row r="155">
          <cell r="A155">
            <v>3313</v>
          </cell>
          <cell r="B155" t="str">
            <v>Servicios de auditoría</v>
          </cell>
          <cell r="K155" t="str">
            <v>S0023</v>
          </cell>
          <cell r="L155" t="str">
            <v>2.2.2</v>
          </cell>
        </row>
        <row r="156">
          <cell r="A156">
            <v>3314</v>
          </cell>
          <cell r="B156" t="str">
            <v>Otros servicios relacionados</v>
          </cell>
          <cell r="K156" t="str">
            <v>S0024</v>
          </cell>
          <cell r="L156" t="str">
            <v>2.2.2</v>
          </cell>
        </row>
        <row r="157">
          <cell r="A157">
            <v>3321</v>
          </cell>
          <cell r="B157" t="str">
            <v>Servicios de diseño, arquitectura, ingeniería y actividades relacionadas</v>
          </cell>
          <cell r="K157" t="str">
            <v>S0025</v>
          </cell>
          <cell r="L157" t="str">
            <v>2.2.2</v>
          </cell>
        </row>
        <row r="158">
          <cell r="A158">
            <v>3331</v>
          </cell>
          <cell r="B158" t="str">
            <v>Servicios de consultoría administrativa</v>
          </cell>
          <cell r="K158" t="str">
            <v>S0027</v>
          </cell>
          <cell r="L158" t="str">
            <v>2.2.2</v>
          </cell>
        </row>
        <row r="159">
          <cell r="A159">
            <v>3332</v>
          </cell>
          <cell r="B159" t="str">
            <v>Servicios de procesos, técnica y en tecnologías de la información</v>
          </cell>
          <cell r="K159" t="str">
            <v>S0028</v>
          </cell>
          <cell r="L159" t="str">
            <v>2.2.2</v>
          </cell>
        </row>
        <row r="160">
          <cell r="A160">
            <v>3341</v>
          </cell>
          <cell r="B160" t="str">
            <v xml:space="preserve">Servicios de capacitación </v>
          </cell>
          <cell r="K160" t="str">
            <v>S0029</v>
          </cell>
          <cell r="L160" t="str">
            <v>2.2.2</v>
          </cell>
        </row>
        <row r="161">
          <cell r="A161">
            <v>3351</v>
          </cell>
          <cell r="B161" t="str">
            <v>Servicios de investigación científica</v>
          </cell>
          <cell r="K161" t="str">
            <v>S0030</v>
          </cell>
          <cell r="L161" t="str">
            <v>2.2.2</v>
          </cell>
        </row>
        <row r="162">
          <cell r="A162">
            <v>3352</v>
          </cell>
          <cell r="B162" t="str">
            <v>Servicios de investigación de desarrollo</v>
          </cell>
          <cell r="K162" t="str">
            <v>S0031</v>
          </cell>
          <cell r="L162" t="str">
            <v>2.2.2</v>
          </cell>
        </row>
        <row r="163">
          <cell r="A163">
            <v>3353</v>
          </cell>
          <cell r="B163" t="str">
            <v>Servicios estadísticos y geográficos</v>
          </cell>
          <cell r="K163" t="str">
            <v>S0032</v>
          </cell>
          <cell r="L163" t="str">
            <v>2.2.2</v>
          </cell>
        </row>
        <row r="164">
          <cell r="A164">
            <v>3361</v>
          </cell>
          <cell r="B164" t="str">
            <v>Impresiones de documentos oficiales para la prestación de servicios públicos, identificación, formatos administrativos y fiscales, formas valoradas, certificados y títulos</v>
          </cell>
          <cell r="K164" t="str">
            <v>S0033</v>
          </cell>
          <cell r="L164" t="str">
            <v>2.2.2</v>
          </cell>
        </row>
        <row r="165">
          <cell r="A165">
            <v>3371</v>
          </cell>
          <cell r="B165" t="str">
            <v>Servicios de protección y seguridad</v>
          </cell>
          <cell r="K165" t="str">
            <v>S0034</v>
          </cell>
          <cell r="L165" t="str">
            <v>2.2.2</v>
          </cell>
        </row>
        <row r="166">
          <cell r="A166">
            <v>3381</v>
          </cell>
          <cell r="B166" t="str">
            <v xml:space="preserve">Servicios de vigilancia </v>
          </cell>
          <cell r="K166" t="str">
            <v>S0035</v>
          </cell>
          <cell r="L166" t="str">
            <v>2.2.2</v>
          </cell>
        </row>
        <row r="167">
          <cell r="A167">
            <v>3391</v>
          </cell>
          <cell r="B167" t="str">
            <v>Servicios profesionales, científicos y técnicos integrales</v>
          </cell>
          <cell r="K167" t="str">
            <v>S0036</v>
          </cell>
          <cell r="L167" t="str">
            <v>2.7.1</v>
          </cell>
        </row>
        <row r="168">
          <cell r="A168">
            <v>3411</v>
          </cell>
          <cell r="B168" t="str">
            <v>Servicios financieros y bancarios</v>
          </cell>
          <cell r="K168" t="str">
            <v>S0037</v>
          </cell>
          <cell r="L168" t="str">
            <v>2.2.2</v>
          </cell>
        </row>
        <row r="169">
          <cell r="A169">
            <v>3412</v>
          </cell>
          <cell r="B169" t="str">
            <v>Diferencias por variaciones en el tipo de cambio</v>
          </cell>
          <cell r="K169" t="str">
            <v xml:space="preserve">S0038 </v>
          </cell>
          <cell r="L169" t="str">
            <v>2.2.2</v>
          </cell>
        </row>
        <row r="170">
          <cell r="A170">
            <v>3421</v>
          </cell>
          <cell r="B170" t="str">
            <v>Servicios de cobranza, investigación crediticia y similar</v>
          </cell>
          <cell r="K170" t="str">
            <v>S0039</v>
          </cell>
          <cell r="L170" t="str">
            <v>2.2.2</v>
          </cell>
        </row>
        <row r="171">
          <cell r="A171">
            <v>3431</v>
          </cell>
          <cell r="B171" t="str">
            <v>Servicios de recaudación, traslado y custodia de valores</v>
          </cell>
          <cell r="K171" t="str">
            <v>S0040</v>
          </cell>
          <cell r="L171" t="str">
            <v>2.2.2</v>
          </cell>
        </row>
        <row r="172">
          <cell r="A172">
            <v>3441</v>
          </cell>
          <cell r="B172" t="str">
            <v>Seguros de responsabilidad patrimonial y fianzas</v>
          </cell>
          <cell r="K172" t="str">
            <v xml:space="preserve">S0041 </v>
          </cell>
          <cell r="L172" t="str">
            <v>2.2.2</v>
          </cell>
        </row>
        <row r="173">
          <cell r="A173">
            <v>3451</v>
          </cell>
          <cell r="B173" t="str">
            <v>Seguro de bienes patrimoniales</v>
          </cell>
          <cell r="K173" t="str">
            <v xml:space="preserve">S0042 </v>
          </cell>
          <cell r="L173" t="str">
            <v>2.2.2</v>
          </cell>
        </row>
        <row r="174">
          <cell r="A174">
            <v>3461</v>
          </cell>
          <cell r="B174" t="str">
            <v>Almacenaje, envase y embalaje</v>
          </cell>
          <cell r="K174" t="str">
            <v>S0043</v>
          </cell>
          <cell r="L174" t="str">
            <v>2.2.2</v>
          </cell>
        </row>
        <row r="175">
          <cell r="A175">
            <v>3471</v>
          </cell>
          <cell r="B175" t="str">
            <v>Fletes y maniobras</v>
          </cell>
          <cell r="K175" t="str">
            <v>S0044</v>
          </cell>
          <cell r="L175" t="str">
            <v>2.1.1</v>
          </cell>
        </row>
        <row r="176">
          <cell r="A176">
            <v>3481</v>
          </cell>
          <cell r="B176" t="str">
            <v>Comisiones por ventas</v>
          </cell>
          <cell r="K176" t="str">
            <v>S0045</v>
          </cell>
          <cell r="L176" t="str">
            <v>2.2.2</v>
          </cell>
        </row>
        <row r="177">
          <cell r="A177">
            <v>3491</v>
          </cell>
          <cell r="B177" t="str">
            <v>Servicios financieros, bancarios y comerciales integrales</v>
          </cell>
          <cell r="K177" t="str">
            <v>S0046</v>
          </cell>
          <cell r="L177" t="str">
            <v>2.2.2</v>
          </cell>
        </row>
        <row r="178">
          <cell r="A178">
            <v>3511</v>
          </cell>
          <cell r="B178" t="str">
            <v>Conservación y mantenimiento de inmuebles</v>
          </cell>
          <cell r="K178" t="str">
            <v>S0047</v>
          </cell>
          <cell r="L178" t="str">
            <v>2.2.2</v>
          </cell>
        </row>
        <row r="179">
          <cell r="A179">
            <v>3512</v>
          </cell>
          <cell r="B179" t="str">
            <v xml:space="preserve">Adaptación de inmuebles </v>
          </cell>
          <cell r="K179" t="str">
            <v>S0048</v>
          </cell>
          <cell r="L179" t="str">
            <v>2.2.2</v>
          </cell>
        </row>
        <row r="180">
          <cell r="A180">
            <v>3513</v>
          </cell>
          <cell r="B180" t="str">
            <v>Mantenimiento de pozos y equipo de bombeo</v>
          </cell>
          <cell r="K180" t="str">
            <v>S0049</v>
          </cell>
          <cell r="L180" t="str">
            <v>2.2.2</v>
          </cell>
        </row>
        <row r="181">
          <cell r="A181">
            <v>3521</v>
          </cell>
          <cell r="B181" t="str">
            <v>Instalación, reparación y mantenimiento  de mobiliario y equipo de administración</v>
          </cell>
          <cell r="K181" t="str">
            <v>S0050</v>
          </cell>
          <cell r="L181" t="str">
            <v>2.2.2</v>
          </cell>
        </row>
        <row r="182">
          <cell r="A182">
            <v>3522</v>
          </cell>
          <cell r="B182" t="str">
            <v>Instalación, reparación y mantenimiento  de mobiliario y equipo educativo y recreativo</v>
          </cell>
          <cell r="K182" t="str">
            <v>S0051</v>
          </cell>
          <cell r="L182" t="str">
            <v>2.2.2</v>
          </cell>
        </row>
        <row r="183">
          <cell r="A183">
            <v>3531</v>
          </cell>
          <cell r="B183" t="str">
            <v>Instalación, reparación y mantenimiento de bienes informáticos</v>
          </cell>
          <cell r="K183" t="str">
            <v>S0052</v>
          </cell>
          <cell r="L183" t="str">
            <v>2.2.2</v>
          </cell>
        </row>
        <row r="184">
          <cell r="A184">
            <v>3541</v>
          </cell>
          <cell r="B184" t="str">
            <v>Instalación, reparación y mantenimiento de equipo e instrumental médico y de laboratorio</v>
          </cell>
          <cell r="K184" t="str">
            <v>S0053</v>
          </cell>
          <cell r="L184" t="str">
            <v>2.2.2</v>
          </cell>
        </row>
        <row r="185">
          <cell r="A185">
            <v>3551</v>
          </cell>
          <cell r="B185" t="str">
            <v>Mantenimiento y conservación de vehículos terrestres, aéreos, marítimos, lacustres y fluviales</v>
          </cell>
          <cell r="K185" t="str">
            <v>S0054</v>
          </cell>
          <cell r="L185" t="str">
            <v>2.2.2</v>
          </cell>
        </row>
        <row r="186">
          <cell r="A186">
            <v>3561</v>
          </cell>
          <cell r="B186" t="str">
            <v>Reparación y mantenimiento de equipo de defensa y seguridad</v>
          </cell>
          <cell r="K186" t="str">
            <v>S0055</v>
          </cell>
          <cell r="L186" t="str">
            <v>2.2.2</v>
          </cell>
        </row>
        <row r="187">
          <cell r="A187">
            <v>3571</v>
          </cell>
          <cell r="B187" t="str">
            <v>Instalación, reparación y mantenimiento de maquinaria, otros equipos y herramienta</v>
          </cell>
          <cell r="K187" t="str">
            <v>S0056</v>
          </cell>
          <cell r="L187" t="str">
            <v>2.2.2</v>
          </cell>
        </row>
        <row r="188">
          <cell r="A188">
            <v>3581</v>
          </cell>
          <cell r="B188" t="str">
            <v>Servicios de limpieza y manejo de desechos</v>
          </cell>
          <cell r="K188" t="str">
            <v>S0057</v>
          </cell>
          <cell r="L188" t="str">
            <v>2.2.2</v>
          </cell>
        </row>
        <row r="189">
          <cell r="A189">
            <v>3591</v>
          </cell>
          <cell r="B189" t="str">
            <v>Servicios de jardinería y fumigación</v>
          </cell>
          <cell r="K189" t="str">
            <v>S0058</v>
          </cell>
          <cell r="L189" t="str">
            <v>2.2.2</v>
          </cell>
        </row>
        <row r="190">
          <cell r="A190">
            <v>3611</v>
          </cell>
          <cell r="B190" t="str">
            <v xml:space="preserve">Difusión e información de mensajes y actividades gubernamentales </v>
          </cell>
          <cell r="K190" t="str">
            <v>S0059</v>
          </cell>
          <cell r="L190" t="str">
            <v>2.2.2</v>
          </cell>
        </row>
        <row r="191">
          <cell r="A191">
            <v>3612</v>
          </cell>
          <cell r="B191" t="str">
            <v>Impresión y elaboración de publicaciones oficiales y de información en general para difusión</v>
          </cell>
          <cell r="K191" t="str">
            <v>S0060</v>
          </cell>
          <cell r="L191" t="str">
            <v>2.2.2</v>
          </cell>
        </row>
        <row r="192">
          <cell r="A192">
            <v>3613</v>
          </cell>
          <cell r="B192" t="str">
            <v xml:space="preserve">Espectáculos culturales </v>
          </cell>
          <cell r="K192" t="str">
            <v>S0061</v>
          </cell>
          <cell r="L192" t="str">
            <v>2.2.2</v>
          </cell>
        </row>
        <row r="193">
          <cell r="A193">
            <v>3614</v>
          </cell>
          <cell r="B193" t="str">
            <v>Inserciones y publicaciones propias de la operación de las dependencias y entidades que no formen parte de las campañas</v>
          </cell>
          <cell r="K193" t="str">
            <v>S0062</v>
          </cell>
          <cell r="L193" t="str">
            <v>2.2.2</v>
          </cell>
        </row>
        <row r="194">
          <cell r="A194">
            <v>3621</v>
          </cell>
          <cell r="B194" t="str">
            <v>Promoción para la venta de bienes o servicios</v>
          </cell>
          <cell r="K194" t="str">
            <v>S0063</v>
          </cell>
          <cell r="L194" t="str">
            <v>2.2.2</v>
          </cell>
        </row>
        <row r="195">
          <cell r="A195">
            <v>3631</v>
          </cell>
          <cell r="B195" t="str">
            <v>Servicios de creatividad, preproducción y producción de publicidad, excepto Internet</v>
          </cell>
          <cell r="K195" t="str">
            <v>S0064</v>
          </cell>
          <cell r="L195" t="str">
            <v>2.2.2</v>
          </cell>
        </row>
        <row r="196">
          <cell r="A196">
            <v>3641</v>
          </cell>
          <cell r="B196" t="str">
            <v>Servicios de revelado de fotografías</v>
          </cell>
          <cell r="K196" t="str">
            <v>S0065</v>
          </cell>
          <cell r="L196" t="str">
            <v>2.2.2</v>
          </cell>
        </row>
        <row r="197">
          <cell r="A197">
            <v>3651</v>
          </cell>
          <cell r="B197" t="str">
            <v>Servicios de la industria fílmica, del sonido y del video</v>
          </cell>
          <cell r="K197" t="str">
            <v>S0066</v>
          </cell>
          <cell r="L197" t="str">
            <v>2.2.2</v>
          </cell>
        </row>
        <row r="198">
          <cell r="A198">
            <v>3661</v>
          </cell>
          <cell r="B198" t="str">
            <v>Servicio de creación y difusión de contenido exclusivamente a través de Internet</v>
          </cell>
          <cell r="K198" t="str">
            <v>S0067</v>
          </cell>
          <cell r="L198" t="str">
            <v>2.2.2</v>
          </cell>
        </row>
        <row r="199">
          <cell r="A199">
            <v>3691</v>
          </cell>
          <cell r="B199" t="str">
            <v>Otros servicios de información</v>
          </cell>
          <cell r="K199" t="str">
            <v>S0068</v>
          </cell>
          <cell r="L199" t="str">
            <v>2.2.2</v>
          </cell>
        </row>
        <row r="200">
          <cell r="A200">
            <v>3711</v>
          </cell>
          <cell r="B200" t="str">
            <v>Pasajes aéreos nacionales para servidores públicos en el desempeño de comisiones y funciones oficiales</v>
          </cell>
          <cell r="K200" t="str">
            <v>S0069</v>
          </cell>
          <cell r="L200" t="str">
            <v>2.2.2</v>
          </cell>
        </row>
        <row r="201">
          <cell r="A201">
            <v>3712</v>
          </cell>
          <cell r="B201" t="str">
            <v>Pasajes aéreos internacionales para servidores públicos en el desempeño de comisiones y funciones oficiales</v>
          </cell>
          <cell r="K201" t="str">
            <v>S0070</v>
          </cell>
          <cell r="L201" t="str">
            <v>2.2.2</v>
          </cell>
        </row>
        <row r="202">
          <cell r="A202">
            <v>3721</v>
          </cell>
          <cell r="B202" t="str">
            <v>Pasajes terrestres nacionales para servidores públicos en el desempeño de comisiones y funciones oficiales</v>
          </cell>
          <cell r="K202" t="str">
            <v>S0071</v>
          </cell>
          <cell r="L202" t="str">
            <v>2.2.2</v>
          </cell>
        </row>
        <row r="203">
          <cell r="A203">
            <v>3722</v>
          </cell>
          <cell r="B203" t="str">
            <v>Pasajes terrestres internacionales para servidores públicos en el desempeño de comisiones y funciones oficiales</v>
          </cell>
          <cell r="K203" t="str">
            <v>S0072</v>
          </cell>
          <cell r="L203" t="str">
            <v>2.2.2</v>
          </cell>
        </row>
        <row r="204">
          <cell r="A204">
            <v>3731</v>
          </cell>
          <cell r="B204" t="str">
            <v>Pasajes marítimos, lacustres y fluviales nacionales para servidores públicos en el desempeño de comisiones y funciones oficiales</v>
          </cell>
          <cell r="K204" t="str">
            <v>S0073</v>
          </cell>
          <cell r="L204" t="str">
            <v>2.2.2</v>
          </cell>
        </row>
        <row r="205">
          <cell r="A205">
            <v>3732</v>
          </cell>
          <cell r="B205" t="str">
            <v>Pasajes marítimos, lacustres y fluviales internacionales para servidores públicos en el desempeño de comisiones y funciones oficiales</v>
          </cell>
          <cell r="K205" t="str">
            <v>S0074</v>
          </cell>
          <cell r="L205" t="str">
            <v>2.2.2</v>
          </cell>
        </row>
        <row r="206">
          <cell r="A206">
            <v>3741</v>
          </cell>
          <cell r="B206" t="str">
            <v>Transporte en vehículos especializados</v>
          </cell>
          <cell r="K206" t="str">
            <v>S0075</v>
          </cell>
          <cell r="L206" t="str">
            <v>2.2.2</v>
          </cell>
        </row>
        <row r="207">
          <cell r="A207">
            <v>3751</v>
          </cell>
          <cell r="B207" t="str">
            <v>Viáticos nacionales para servidores públicos en el desempeño de funciones oficiales</v>
          </cell>
          <cell r="K207" t="str">
            <v>S0180</v>
          </cell>
          <cell r="L207" t="str">
            <v>2.2.2</v>
          </cell>
        </row>
        <row r="208">
          <cell r="A208">
            <v>3761</v>
          </cell>
          <cell r="B208" t="str">
            <v>Viáticos en el extranjero para servidores públicos en el desempeño de comisiones y funciones oficiales</v>
          </cell>
          <cell r="K208" t="str">
            <v>S0208</v>
          </cell>
          <cell r="L208" t="str">
            <v>2.2.2</v>
          </cell>
        </row>
        <row r="209">
          <cell r="A209">
            <v>3771</v>
          </cell>
          <cell r="B209" t="str">
            <v>Gastos de instalación y traslado de menaje</v>
          </cell>
          <cell r="K209" t="str">
            <v>S0209</v>
          </cell>
          <cell r="L209" t="str">
            <v>2.2.2</v>
          </cell>
        </row>
        <row r="210">
          <cell r="A210">
            <v>3781</v>
          </cell>
          <cell r="B210" t="str">
            <v>Servicios integrales de traslado y viáticos</v>
          </cell>
          <cell r="K210" t="str">
            <v>S0210</v>
          </cell>
          <cell r="L210" t="str">
            <v>2.2.2</v>
          </cell>
        </row>
        <row r="211">
          <cell r="A211">
            <v>3791</v>
          </cell>
          <cell r="B211" t="str">
            <v>Otros servicios de traslado y hospedaje</v>
          </cell>
          <cell r="K211" t="str">
            <v>S0211</v>
          </cell>
          <cell r="L211" t="str">
            <v>2.2.2</v>
          </cell>
        </row>
        <row r="212">
          <cell r="A212">
            <v>3811</v>
          </cell>
          <cell r="B212" t="str">
            <v xml:space="preserve">Gastos de ceremonial del H. Ayuntamiento </v>
          </cell>
          <cell r="K212" t="str">
            <v>S0212</v>
          </cell>
          <cell r="L212" t="str">
            <v>2.2.2</v>
          </cell>
        </row>
        <row r="213">
          <cell r="A213">
            <v>3812</v>
          </cell>
          <cell r="B213" t="str">
            <v>Gastos de ceremonial de los titulares de las dependencias y entidades</v>
          </cell>
          <cell r="K213" t="str">
            <v>S0213</v>
          </cell>
          <cell r="L213" t="str">
            <v>2.2.2</v>
          </cell>
        </row>
        <row r="214">
          <cell r="A214">
            <v>3821</v>
          </cell>
          <cell r="B214" t="str">
            <v>Gastos de orden social y cultural</v>
          </cell>
          <cell r="K214" t="str">
            <v>S0216</v>
          </cell>
          <cell r="L214" t="str">
            <v>2.2.2</v>
          </cell>
        </row>
        <row r="215">
          <cell r="A215">
            <v>3831</v>
          </cell>
          <cell r="B215" t="str">
            <v>Congresos y convenciones</v>
          </cell>
          <cell r="K215" t="str">
            <v>S0217</v>
          </cell>
          <cell r="L215" t="str">
            <v>2.2.2</v>
          </cell>
        </row>
        <row r="216">
          <cell r="A216">
            <v>3841</v>
          </cell>
          <cell r="B216" t="str">
            <v>Exposiciones</v>
          </cell>
          <cell r="K216" t="str">
            <v>S0218</v>
          </cell>
          <cell r="L216" t="str">
            <v>2.2.2</v>
          </cell>
        </row>
        <row r="217">
          <cell r="A217">
            <v>3851</v>
          </cell>
          <cell r="B217" t="str">
            <v xml:space="preserve">Gastos inherentes a la investidura del H Ayuntamiento </v>
          </cell>
          <cell r="K217" t="str">
            <v>S0259</v>
          </cell>
          <cell r="L217" t="str">
            <v>2.2.2</v>
          </cell>
        </row>
        <row r="218">
          <cell r="A218">
            <v>3852</v>
          </cell>
          <cell r="B218" t="str">
            <v xml:space="preserve">Gastos de las oficinas de servidores públicos superiores y mandos medios </v>
          </cell>
          <cell r="K218" t="str">
            <v>S0260</v>
          </cell>
          <cell r="L218" t="str">
            <v>2.2.2</v>
          </cell>
        </row>
        <row r="219">
          <cell r="A219">
            <v>3853</v>
          </cell>
          <cell r="B219" t="str">
            <v xml:space="preserve">Gastos de representación </v>
          </cell>
          <cell r="K219" t="str">
            <v>S0261</v>
          </cell>
          <cell r="L219" t="str">
            <v>2.2.2</v>
          </cell>
        </row>
        <row r="220">
          <cell r="A220">
            <v>3854</v>
          </cell>
          <cell r="B220" t="str">
            <v xml:space="preserve">Gastos de seguridad pública </v>
          </cell>
          <cell r="K220" t="str">
            <v>S0269</v>
          </cell>
          <cell r="L220" t="str">
            <v>2.1.4</v>
          </cell>
        </row>
        <row r="221">
          <cell r="A221">
            <v>3911</v>
          </cell>
          <cell r="B221" t="str">
            <v>Servicios funerarios y de cementerios</v>
          </cell>
          <cell r="K221" t="str">
            <v>S0271</v>
          </cell>
          <cell r="L221" t="str">
            <v>2.2.2</v>
          </cell>
        </row>
        <row r="222">
          <cell r="A222">
            <v>3921</v>
          </cell>
          <cell r="B222" t="str">
            <v>Otros impuestos y derechos</v>
          </cell>
          <cell r="K222" t="str">
            <v>S0276</v>
          </cell>
          <cell r="L222" t="str">
            <v>2.2.2</v>
          </cell>
        </row>
        <row r="223">
          <cell r="A223">
            <v>3922</v>
          </cell>
          <cell r="B223" t="str">
            <v>Impuestos y derechos de exportación</v>
          </cell>
          <cell r="K223" t="str">
            <v>S0277</v>
          </cell>
          <cell r="L223" t="str">
            <v>2.2.2</v>
          </cell>
        </row>
        <row r="224">
          <cell r="A224">
            <v>3931</v>
          </cell>
          <cell r="B224" t="str">
            <v xml:space="preserve">Impuestos y derechos de importación </v>
          </cell>
          <cell r="K224" t="str">
            <v>S0278</v>
          </cell>
          <cell r="L224" t="str">
            <v>2.2.2</v>
          </cell>
        </row>
        <row r="225">
          <cell r="A225">
            <v>3941</v>
          </cell>
          <cell r="B225" t="str">
            <v>Sentencias y resoluciones judiciales</v>
          </cell>
          <cell r="K225" t="str">
            <v>S0294</v>
          </cell>
          <cell r="L225" t="str">
            <v>2.2.2</v>
          </cell>
        </row>
        <row r="226">
          <cell r="A226">
            <v>3951</v>
          </cell>
          <cell r="B226" t="str">
            <v>Penas, multas, accesorios y actualizaciones</v>
          </cell>
          <cell r="K226" t="str">
            <v>S0295</v>
          </cell>
          <cell r="L226" t="str">
            <v>2.1.6</v>
          </cell>
        </row>
        <row r="227">
          <cell r="A227">
            <v>3961</v>
          </cell>
          <cell r="B227" t="str">
            <v xml:space="preserve">Otros gastos por responsabilidades </v>
          </cell>
          <cell r="K227" t="str">
            <v>S0296</v>
          </cell>
          <cell r="L227" t="str">
            <v>2.5.6</v>
          </cell>
        </row>
        <row r="228">
          <cell r="A228">
            <v>3981</v>
          </cell>
          <cell r="B228" t="str">
            <v>Impuestos sobre nóminas</v>
          </cell>
          <cell r="K228" t="str">
            <v>S0299</v>
          </cell>
          <cell r="L228" t="str">
            <v>1.5.1</v>
          </cell>
        </row>
        <row r="229">
          <cell r="A229">
            <v>3991</v>
          </cell>
          <cell r="B229" t="str">
            <v>Otros servicios generales(gastos de transición)</v>
          </cell>
          <cell r="K229" t="str">
            <v>S0300</v>
          </cell>
          <cell r="L229" t="str">
            <v>2.1.4</v>
          </cell>
        </row>
        <row r="230">
          <cell r="A230">
            <v>4000</v>
          </cell>
          <cell r="B230" t="str">
            <v>Transferencias, subsidios y otras ayudas</v>
          </cell>
          <cell r="K230" t="str">
            <v>S0305</v>
          </cell>
          <cell r="L230" t="str">
            <v>2.4.2</v>
          </cell>
        </row>
        <row r="231">
          <cell r="A231">
            <v>4151</v>
          </cell>
          <cell r="B231" t="str">
            <v>Transferencias para servicios personales</v>
          </cell>
          <cell r="K231" t="str">
            <v>U0031</v>
          </cell>
          <cell r="L231" t="str">
            <v>2.6.8</v>
          </cell>
        </row>
        <row r="232">
          <cell r="A232">
            <v>4152</v>
          </cell>
          <cell r="B232" t="str">
            <v>Transferencias para materiales y suministros</v>
          </cell>
          <cell r="K232" t="str">
            <v>U0122</v>
          </cell>
          <cell r="L232" t="str">
            <v>2.6.9</v>
          </cell>
        </row>
        <row r="233">
          <cell r="A233">
            <v>4153</v>
          </cell>
          <cell r="B233" t="str">
            <v>Transferencias para servicios básicos</v>
          </cell>
          <cell r="K233" t="str">
            <v>U0123</v>
          </cell>
          <cell r="L233" t="str">
            <v>2.4.2</v>
          </cell>
        </row>
        <row r="234">
          <cell r="A234">
            <v>4154</v>
          </cell>
          <cell r="B234" t="str">
            <v>Transferencias, asignaciones, subsidios y otras ayudas</v>
          </cell>
          <cell r="K234" t="str">
            <v>U0127</v>
          </cell>
          <cell r="L234" t="str">
            <v>2.4.2</v>
          </cell>
        </row>
        <row r="235">
          <cell r="A235">
            <v>4155</v>
          </cell>
          <cell r="B235" t="str">
            <v>Transferencias para bienes muebles, inmuebles e intangibles</v>
          </cell>
          <cell r="K235" t="str">
            <v>U0128</v>
          </cell>
          <cell r="L235" t="str">
            <v>2.4.2</v>
          </cell>
        </row>
        <row r="236">
          <cell r="A236">
            <v>4156</v>
          </cell>
          <cell r="B236" t="str">
            <v>Transfernecias para inversión pública</v>
          </cell>
          <cell r="K236" t="str">
            <v>U0129</v>
          </cell>
          <cell r="L236" t="str">
            <v>3.7.1</v>
          </cell>
        </row>
        <row r="237">
          <cell r="A237">
            <v>4157</v>
          </cell>
          <cell r="B237" t="str">
            <v>Transferencias para inversiones financieras y otras provisiones</v>
          </cell>
          <cell r="K237" t="str">
            <v>U0130</v>
          </cell>
          <cell r="L237" t="str">
            <v>3.7.1</v>
          </cell>
        </row>
        <row r="238">
          <cell r="A238">
            <v>4158</v>
          </cell>
          <cell r="B238" t="str">
            <v>Transferencias para participaciones y aportaciones</v>
          </cell>
          <cell r="K238" t="str">
            <v>U0131</v>
          </cell>
          <cell r="L238" t="str">
            <v>2.4.2</v>
          </cell>
        </row>
        <row r="239">
          <cell r="A239">
            <v>4159</v>
          </cell>
          <cell r="B239" t="str">
            <v>Transferencias para deuda pública</v>
          </cell>
          <cell r="K239" t="str">
            <v>U0132</v>
          </cell>
          <cell r="L239" t="str">
            <v>2.4.1</v>
          </cell>
        </row>
        <row r="240">
          <cell r="A240">
            <v>4231</v>
          </cell>
          <cell r="B240" t="str">
            <v>Transferencias para servicios personales</v>
          </cell>
          <cell r="K240" t="str">
            <v>U0134</v>
          </cell>
          <cell r="L240" t="str">
            <v>2.4.1</v>
          </cell>
        </row>
        <row r="241">
          <cell r="A241">
            <v>4232</v>
          </cell>
          <cell r="B241" t="str">
            <v>Transferencias para materiales y suministros</v>
          </cell>
          <cell r="K241" t="str">
            <v>U0135</v>
          </cell>
          <cell r="L241" t="str">
            <v>2.7.1</v>
          </cell>
        </row>
        <row r="242">
          <cell r="A242">
            <v>4233</v>
          </cell>
          <cell r="B242" t="str">
            <v>Transferencias para servicios básicos</v>
          </cell>
          <cell r="K242" t="str">
            <v>U0136</v>
          </cell>
          <cell r="L242" t="str">
            <v>2.7.1</v>
          </cell>
        </row>
        <row r="243">
          <cell r="A243">
            <v>4234</v>
          </cell>
          <cell r="B243" t="str">
            <v>Transferencias, asignaciones, subsidios y otras ayudas</v>
          </cell>
          <cell r="K243" t="str">
            <v>U0140</v>
          </cell>
          <cell r="L243" t="str">
            <v>2.6.1</v>
          </cell>
        </row>
        <row r="244">
          <cell r="A244">
            <v>4235</v>
          </cell>
          <cell r="B244" t="str">
            <v>Transferencias para bienes muebles, inmuebles e intangibles</v>
          </cell>
          <cell r="K244" t="str">
            <v>U0156</v>
          </cell>
          <cell r="L244" t="str">
            <v>2.2.2</v>
          </cell>
        </row>
        <row r="245">
          <cell r="A245">
            <v>4236</v>
          </cell>
          <cell r="B245" t="str">
            <v>Transferncias para inversión pública</v>
          </cell>
          <cell r="K245" t="str">
            <v>U0161</v>
          </cell>
          <cell r="L245" t="str">
            <v>2.7.1</v>
          </cell>
        </row>
        <row r="246">
          <cell r="A246">
            <v>4237</v>
          </cell>
          <cell r="B246" t="str">
            <v>Transferencias para inversiones financieras y otras provisiones</v>
          </cell>
          <cell r="K246" t="str">
            <v>U0187</v>
          </cell>
          <cell r="L246" t="str">
            <v>2.6.8</v>
          </cell>
        </row>
        <row r="247">
          <cell r="A247">
            <v>4238</v>
          </cell>
          <cell r="B247" t="str">
            <v>Transferencias para participaciones y aportaciones</v>
          </cell>
          <cell r="K247" t="str">
            <v>U0213</v>
          </cell>
          <cell r="L247" t="str">
            <v>2.6.8</v>
          </cell>
        </row>
        <row r="248">
          <cell r="A248">
            <v>4239</v>
          </cell>
          <cell r="B248" t="str">
            <v>Transferencias para deuda pública</v>
          </cell>
          <cell r="K248" t="str">
            <v>U0222</v>
          </cell>
          <cell r="L248" t="str">
            <v>2.6.8</v>
          </cell>
        </row>
        <row r="249">
          <cell r="A249">
            <v>4311</v>
          </cell>
          <cell r="B249" t="str">
            <v>Subsidios a la producción</v>
          </cell>
          <cell r="K249" t="str">
            <v>U0223</v>
          </cell>
          <cell r="L249" t="str">
            <v>2.6.8</v>
          </cell>
        </row>
        <row r="250">
          <cell r="A250">
            <v>4321</v>
          </cell>
          <cell r="B250" t="str">
            <v>Subsidios a la distribución</v>
          </cell>
          <cell r="K250" t="str">
            <v>U0224</v>
          </cell>
          <cell r="L250" t="str">
            <v>2.6.8</v>
          </cell>
        </row>
        <row r="251">
          <cell r="A251">
            <v>4331</v>
          </cell>
          <cell r="B251" t="str">
            <v>Subsidios para inversión</v>
          </cell>
          <cell r="K251" t="str">
            <v>U0225</v>
          </cell>
          <cell r="L251" t="str">
            <v>2.6.8</v>
          </cell>
        </row>
        <row r="252">
          <cell r="A252">
            <v>4341</v>
          </cell>
          <cell r="B252" t="str">
            <v>Subsidios a la prestación de servicios públicos</v>
          </cell>
          <cell r="K252" t="str">
            <v>U0226</v>
          </cell>
          <cell r="L252" t="str">
            <v>2.6.8</v>
          </cell>
        </row>
        <row r="253">
          <cell r="A253">
            <v>4342</v>
          </cell>
          <cell r="B253" t="str">
            <v xml:space="preserve">Subsidios a fideicomisos privados y estatales </v>
          </cell>
          <cell r="K253" t="str">
            <v>U0227</v>
          </cell>
          <cell r="L253" t="str">
            <v>2.6.8</v>
          </cell>
        </row>
        <row r="254">
          <cell r="A254">
            <v>4351</v>
          </cell>
          <cell r="B254" t="str">
            <v>Subsidios para cubrir diferenciales de tasas de interés</v>
          </cell>
          <cell r="K254" t="str">
            <v>U0228</v>
          </cell>
          <cell r="L254" t="str">
            <v>2.6.8</v>
          </cell>
        </row>
        <row r="255">
          <cell r="A255">
            <v>4361</v>
          </cell>
          <cell r="B255" t="str">
            <v xml:space="preserve">Subsidios para la adquisición de vivienda de interés social </v>
          </cell>
          <cell r="K255" t="str">
            <v>U0229</v>
          </cell>
          <cell r="L255" t="str">
            <v>2.6.8</v>
          </cell>
        </row>
        <row r="256">
          <cell r="A256">
            <v>4371</v>
          </cell>
          <cell r="B256" t="str">
            <v>Subsidios al consumo</v>
          </cell>
          <cell r="K256" t="str">
            <v>U0230</v>
          </cell>
          <cell r="L256" t="str">
            <v>2.6.8</v>
          </cell>
        </row>
        <row r="257">
          <cell r="A257">
            <v>4391</v>
          </cell>
          <cell r="B257" t="str">
            <v>Subsidios sindicato</v>
          </cell>
          <cell r="K257" t="str">
            <v>U0231</v>
          </cell>
          <cell r="L257" t="str">
            <v>2.6.8</v>
          </cell>
        </row>
        <row r="258">
          <cell r="A258">
            <v>4411</v>
          </cell>
          <cell r="B258" t="str">
            <v>Gastos relacionados con actividades culturales, deportivas y de ayuda extraordinaria</v>
          </cell>
          <cell r="K258" t="str">
            <v>U0232</v>
          </cell>
          <cell r="L258" t="str">
            <v>2.6.9</v>
          </cell>
        </row>
        <row r="259">
          <cell r="A259">
            <v>4412</v>
          </cell>
          <cell r="B259" t="str">
            <v xml:space="preserve">Funerales y pagas de defunción </v>
          </cell>
          <cell r="K259" t="str">
            <v>U0233</v>
          </cell>
          <cell r="L259" t="str">
            <v>2.6.8</v>
          </cell>
        </row>
        <row r="260">
          <cell r="A260">
            <v>4413</v>
          </cell>
          <cell r="B260" t="str">
            <v>Premios, recompensas, pensiones de gracia y pensión recreativa estudiantil</v>
          </cell>
          <cell r="K260" t="str">
            <v>U0234</v>
          </cell>
          <cell r="L260" t="str">
            <v>2.6.8</v>
          </cell>
        </row>
        <row r="261">
          <cell r="A261">
            <v>4414</v>
          </cell>
          <cell r="B261" t="str">
            <v xml:space="preserve">Premios, estímulos, recompensas y seguros a deportistas </v>
          </cell>
          <cell r="K261" t="str">
            <v>U0235</v>
          </cell>
          <cell r="L261" t="str">
            <v>2.6.8</v>
          </cell>
        </row>
        <row r="262">
          <cell r="A262">
            <v>4421</v>
          </cell>
          <cell r="B262" t="str">
            <v>Becas</v>
          </cell>
          <cell r="K262" t="str">
            <v>U0236</v>
          </cell>
          <cell r="L262" t="str">
            <v>2.4.1</v>
          </cell>
        </row>
        <row r="263">
          <cell r="A263">
            <v>4431</v>
          </cell>
          <cell r="B263" t="str">
            <v>Ayudas sociales a instituciones de enseñanza</v>
          </cell>
          <cell r="K263" t="str">
            <v>U0237</v>
          </cell>
          <cell r="L263" t="str">
            <v>2.4.1</v>
          </cell>
        </row>
        <row r="264">
          <cell r="A264">
            <v>4441</v>
          </cell>
          <cell r="B264" t="str">
            <v>Ayudas sociales a actividades científicas o académicas</v>
          </cell>
          <cell r="K264" t="str">
            <v>U0238</v>
          </cell>
          <cell r="L264" t="str">
            <v>2.4.1</v>
          </cell>
        </row>
        <row r="265">
          <cell r="A265">
            <v>4451</v>
          </cell>
          <cell r="B265" t="str">
            <v>Donativos a instituciones sin fines de lucro</v>
          </cell>
          <cell r="K265" t="str">
            <v>U0239</v>
          </cell>
          <cell r="L265" t="str">
            <v>2.4.1</v>
          </cell>
        </row>
        <row r="266">
          <cell r="A266">
            <v>4461</v>
          </cell>
          <cell r="B266" t="str">
            <v>Ayudas sociales a cooperativas</v>
          </cell>
          <cell r="K266" t="str">
            <v>U0240</v>
          </cell>
          <cell r="L266" t="str">
            <v>2.4.1</v>
          </cell>
        </row>
        <row r="267">
          <cell r="A267">
            <v>4471</v>
          </cell>
          <cell r="B267" t="str">
            <v>Ayudas sociales a entidades de interés público</v>
          </cell>
          <cell r="K267" t="str">
            <v>U0241</v>
          </cell>
          <cell r="L267" t="str">
            <v>2.2.5</v>
          </cell>
        </row>
        <row r="268">
          <cell r="A268">
            <v>4481</v>
          </cell>
          <cell r="B268" t="str">
            <v>Ayudas por desastres naturales y otros siniestros</v>
          </cell>
          <cell r="K268" t="str">
            <v>U0242</v>
          </cell>
          <cell r="L268" t="str">
            <v>2.2.5</v>
          </cell>
        </row>
        <row r="269">
          <cell r="A269">
            <v>4511</v>
          </cell>
          <cell r="B269" t="str">
            <v>Pensiones</v>
          </cell>
          <cell r="K269" t="str">
            <v>U0243</v>
          </cell>
          <cell r="L269" t="str">
            <v>2.1.6</v>
          </cell>
        </row>
        <row r="270">
          <cell r="A270">
            <v>4521</v>
          </cell>
          <cell r="B270" t="str">
            <v>Jubilaciones</v>
          </cell>
          <cell r="K270" t="str">
            <v>U0244</v>
          </cell>
          <cell r="L270" t="str">
            <v>2.1.6</v>
          </cell>
        </row>
        <row r="271">
          <cell r="A271">
            <v>4641</v>
          </cell>
          <cell r="B271" t="str">
            <v>Transferencias a fideicomisos públicos de entidades paraestatales no empresariales y no financieras</v>
          </cell>
          <cell r="K271" t="str">
            <v>U0245</v>
          </cell>
          <cell r="L271" t="str">
            <v>2.1.6</v>
          </cell>
        </row>
        <row r="272">
          <cell r="A272">
            <v>5000</v>
          </cell>
          <cell r="B272" t="str">
            <v>Bienes muebles, inmuebles e intangibles</v>
          </cell>
          <cell r="K272" t="str">
            <v>U0246</v>
          </cell>
          <cell r="L272" t="str">
            <v>2.1.6</v>
          </cell>
        </row>
        <row r="273">
          <cell r="A273">
            <v>5111</v>
          </cell>
          <cell r="B273" t="str">
            <v>Muebles de oficina y estantería</v>
          </cell>
          <cell r="K273" t="str">
            <v>U0247</v>
          </cell>
          <cell r="L273" t="str">
            <v>2.1.6</v>
          </cell>
        </row>
        <row r="274">
          <cell r="A274">
            <v>5121</v>
          </cell>
          <cell r="B274" t="str">
            <v>Muebles, excepto de oficina y estantería</v>
          </cell>
          <cell r="K274" t="str">
            <v>U0248</v>
          </cell>
          <cell r="L274" t="str">
            <v>2.1.6</v>
          </cell>
        </row>
        <row r="275">
          <cell r="A275">
            <v>5131</v>
          </cell>
          <cell r="B275" t="str">
            <v>Libros, revistas y otros elementos coleccionables</v>
          </cell>
          <cell r="K275" t="str">
            <v>U0249</v>
          </cell>
          <cell r="L275" t="str">
            <v>1.8.2</v>
          </cell>
        </row>
        <row r="276">
          <cell r="A276">
            <v>5132</v>
          </cell>
          <cell r="B276" t="str">
            <v>Bienes muebles inalienables e imprescriptibles</v>
          </cell>
          <cell r="K276" t="str">
            <v>U0250</v>
          </cell>
          <cell r="L276" t="str">
            <v>1.8.2</v>
          </cell>
        </row>
        <row r="277">
          <cell r="A277">
            <v>5133</v>
          </cell>
          <cell r="B277" t="str">
            <v>Otros bienes artísticos, culturales y científicos</v>
          </cell>
          <cell r="K277" t="str">
            <v>U0251</v>
          </cell>
          <cell r="L277" t="str">
            <v>1.8.2</v>
          </cell>
        </row>
        <row r="278">
          <cell r="A278">
            <v>5141</v>
          </cell>
          <cell r="B278" t="str">
            <v>Objetos valiosos</v>
          </cell>
          <cell r="K278" t="str">
            <v>U0252</v>
          </cell>
          <cell r="L278" t="str">
            <v>1.8.2</v>
          </cell>
        </row>
        <row r="279">
          <cell r="A279">
            <v>5151</v>
          </cell>
          <cell r="B279" t="str">
            <v>Computadoras y equipo periférico</v>
          </cell>
          <cell r="K279" t="str">
            <v>U0253</v>
          </cell>
          <cell r="L279" t="str">
            <v>2.6.3</v>
          </cell>
        </row>
        <row r="280">
          <cell r="A280">
            <v>5152</v>
          </cell>
          <cell r="B280" t="str">
            <v>Medios magnéticos y ópticos</v>
          </cell>
          <cell r="K280" t="str">
            <v>U0254</v>
          </cell>
          <cell r="L280" t="str">
            <v>2.6.3</v>
          </cell>
        </row>
        <row r="281">
          <cell r="A281">
            <v>5191</v>
          </cell>
          <cell r="B281" t="str">
            <v>Otros mobiliarios y equipos de administración</v>
          </cell>
          <cell r="K281" t="str">
            <v>U0255</v>
          </cell>
          <cell r="L281" t="str">
            <v>2.6.3</v>
          </cell>
        </row>
        <row r="282">
          <cell r="A282">
            <v>5192</v>
          </cell>
          <cell r="B282" t="str">
            <v>Mobiliario y equipo para comercio y servicios</v>
          </cell>
          <cell r="K282" t="str">
            <v>U0256</v>
          </cell>
          <cell r="L282" t="str">
            <v>2.6.3</v>
          </cell>
        </row>
        <row r="283">
          <cell r="A283">
            <v>5211</v>
          </cell>
          <cell r="B283" t="str">
            <v>Equipo de audio y de video</v>
          </cell>
          <cell r="K283" t="str">
            <v>U0257</v>
          </cell>
          <cell r="L283" t="str">
            <v>2.6.3</v>
          </cell>
        </row>
        <row r="284">
          <cell r="A284">
            <v>5221</v>
          </cell>
          <cell r="B284" t="str">
            <v>Aparatos deportivos</v>
          </cell>
          <cell r="K284" t="str">
            <v>U0258</v>
          </cell>
          <cell r="L284" t="str">
            <v>2.6.3</v>
          </cell>
        </row>
        <row r="285">
          <cell r="A285">
            <v>5231</v>
          </cell>
          <cell r="B285" t="str">
            <v>Camaras fotograficas y de video</v>
          </cell>
          <cell r="K285" t="str">
            <v>U0263</v>
          </cell>
          <cell r="L285" t="str">
            <v>2.2.2</v>
          </cell>
        </row>
        <row r="286">
          <cell r="A286">
            <v>5291</v>
          </cell>
          <cell r="B286" t="str">
            <v>Otro mobiliario y equipo educacional y recreativo</v>
          </cell>
          <cell r="K286" t="str">
            <v>U0264</v>
          </cell>
          <cell r="L286" t="str">
            <v>2.2.2</v>
          </cell>
        </row>
        <row r="287">
          <cell r="A287">
            <v>5311</v>
          </cell>
          <cell r="B287" t="str">
            <v>Equipo para uso médico, dental y para laboratorio</v>
          </cell>
          <cell r="K287" t="str">
            <v>U0265</v>
          </cell>
          <cell r="L287" t="str">
            <v>2.6.8</v>
          </cell>
        </row>
        <row r="288">
          <cell r="A288">
            <v>5321</v>
          </cell>
          <cell r="B288" t="str">
            <v>Instrumentos médicos</v>
          </cell>
          <cell r="K288" t="str">
            <v>U0266</v>
          </cell>
          <cell r="L288" t="str">
            <v>2.2.2</v>
          </cell>
        </row>
        <row r="289">
          <cell r="A289">
            <v>5322</v>
          </cell>
          <cell r="B289" t="str">
            <v>Instrumentos de laboratorio</v>
          </cell>
          <cell r="K289" t="str">
            <v>U0267</v>
          </cell>
          <cell r="L289" t="str">
            <v>2.2.2</v>
          </cell>
        </row>
        <row r="290">
          <cell r="A290">
            <v>5411</v>
          </cell>
          <cell r="B290" t="str">
            <v>Automóviles y camiones</v>
          </cell>
          <cell r="K290" t="str">
            <v>U0268</v>
          </cell>
          <cell r="L290" t="str">
            <v>1.8.2</v>
          </cell>
        </row>
        <row r="291">
          <cell r="A291">
            <v>5421</v>
          </cell>
          <cell r="B291" t="str">
            <v>Carrocerías y remolques</v>
          </cell>
          <cell r="K291" t="str">
            <v>U0269</v>
          </cell>
          <cell r="L291" t="str">
            <v>2.2.2</v>
          </cell>
        </row>
        <row r="292">
          <cell r="A292">
            <v>5431</v>
          </cell>
          <cell r="B292" t="str">
            <v>Equipo aeroespacial</v>
          </cell>
          <cell r="K292" t="str">
            <v>U0270</v>
          </cell>
          <cell r="L292" t="str">
            <v>2.1.6</v>
          </cell>
        </row>
        <row r="293">
          <cell r="A293">
            <v>5441</v>
          </cell>
          <cell r="B293" t="str">
            <v>Equipo ferroviario</v>
          </cell>
          <cell r="K293" t="str">
            <v>U0271</v>
          </cell>
          <cell r="L293" t="str">
            <v>2.4.1</v>
          </cell>
        </row>
        <row r="294">
          <cell r="A294">
            <v>5451</v>
          </cell>
          <cell r="B294" t="str">
            <v>Embarcaciones</v>
          </cell>
          <cell r="K294" t="str">
            <v>U0275</v>
          </cell>
          <cell r="L294" t="str">
            <v>2.4.1</v>
          </cell>
        </row>
        <row r="295">
          <cell r="A295">
            <v>5491</v>
          </cell>
          <cell r="B295" t="str">
            <v>Otro equipo de transporte</v>
          </cell>
          <cell r="K295" t="str">
            <v>U0279</v>
          </cell>
          <cell r="L295" t="str">
            <v>2.2.5</v>
          </cell>
        </row>
        <row r="296">
          <cell r="A296">
            <v>5511</v>
          </cell>
          <cell r="B296" t="str">
            <v>Equipo de defensa y de seguridad</v>
          </cell>
          <cell r="K296" t="str">
            <v>U0301</v>
          </cell>
          <cell r="L296" t="str">
            <v>2.1.3</v>
          </cell>
        </row>
        <row r="297">
          <cell r="A297">
            <v>5611</v>
          </cell>
          <cell r="B297" t="str">
            <v>Maquinaria y equipo agropecuario</v>
          </cell>
          <cell r="K297" t="str">
            <v>R0191</v>
          </cell>
          <cell r="L297" t="str">
            <v>2.2.1</v>
          </cell>
        </row>
        <row r="298">
          <cell r="A298">
            <v>5621</v>
          </cell>
          <cell r="B298" t="str">
            <v>Maquinaria y equipo industrial</v>
          </cell>
          <cell r="K298" t="str">
            <v>U0188</v>
          </cell>
          <cell r="L298" t="str">
            <v>2.2.2</v>
          </cell>
        </row>
        <row r="299">
          <cell r="A299">
            <v>5631</v>
          </cell>
          <cell r="B299" t="str">
            <v>Maquinaria y equipo de construcción</v>
          </cell>
          <cell r="K299" t="str">
            <v>U0189</v>
          </cell>
          <cell r="L299" t="str">
            <v>2.2.2</v>
          </cell>
        </row>
        <row r="300">
          <cell r="A300">
            <v>5641</v>
          </cell>
          <cell r="B300" t="str">
            <v>Sistemas de aire acondicionado, calefacción y de refrigeración industrial y comercial</v>
          </cell>
        </row>
        <row r="301">
          <cell r="A301">
            <v>5651</v>
          </cell>
          <cell r="B301" t="str">
            <v>Equipo de comunicación y telecomunicacion</v>
          </cell>
        </row>
        <row r="302">
          <cell r="A302">
            <v>5661</v>
          </cell>
          <cell r="B302" t="str">
            <v>Accesorios de iluminación</v>
          </cell>
        </row>
        <row r="303">
          <cell r="A303">
            <v>5662</v>
          </cell>
          <cell r="B303" t="str">
            <v>Aparatos eléctricos de uso doméstico</v>
          </cell>
        </row>
        <row r="304">
          <cell r="A304">
            <v>5663</v>
          </cell>
          <cell r="B304" t="str">
            <v>Equipo de generación y distribución de energía eléctrica</v>
          </cell>
        </row>
        <row r="305">
          <cell r="A305">
            <v>5671</v>
          </cell>
          <cell r="B305" t="str">
            <v>Herramientas y maquinas -herramienta</v>
          </cell>
        </row>
        <row r="306">
          <cell r="A306">
            <v>5691</v>
          </cell>
          <cell r="B306" t="str">
            <v xml:space="preserve">Otros equipos </v>
          </cell>
        </row>
        <row r="307">
          <cell r="A307">
            <v>5711</v>
          </cell>
          <cell r="B307" t="str">
            <v>Bovinos</v>
          </cell>
        </row>
        <row r="308">
          <cell r="A308">
            <v>5721</v>
          </cell>
          <cell r="B308" t="str">
            <v>Porcinos</v>
          </cell>
        </row>
        <row r="309">
          <cell r="A309">
            <v>5731</v>
          </cell>
          <cell r="B309" t="str">
            <v>Aves</v>
          </cell>
        </row>
        <row r="310">
          <cell r="A310">
            <v>5741</v>
          </cell>
          <cell r="B310" t="str">
            <v>Ovinos y caprinos</v>
          </cell>
        </row>
        <row r="311">
          <cell r="A311">
            <v>5751</v>
          </cell>
          <cell r="B311" t="str">
            <v>Peces y acuicultura</v>
          </cell>
        </row>
        <row r="312">
          <cell r="A312">
            <v>5761</v>
          </cell>
          <cell r="B312" t="str">
            <v>Equinos</v>
          </cell>
        </row>
        <row r="313">
          <cell r="A313">
            <v>5771</v>
          </cell>
          <cell r="B313" t="str">
            <v>Especies menores y de zoológico</v>
          </cell>
        </row>
        <row r="314">
          <cell r="A314">
            <v>5781</v>
          </cell>
          <cell r="B314" t="str">
            <v>Arboles y plantas</v>
          </cell>
        </row>
        <row r="315">
          <cell r="A315">
            <v>5791</v>
          </cell>
          <cell r="B315" t="str">
            <v>Otros activos biologicos</v>
          </cell>
        </row>
        <row r="316">
          <cell r="A316">
            <v>5811</v>
          </cell>
          <cell r="B316" t="str">
            <v>Terrenos</v>
          </cell>
        </row>
        <row r="317">
          <cell r="A317">
            <v>5821</v>
          </cell>
          <cell r="B317" t="str">
            <v>Viviendas</v>
          </cell>
        </row>
        <row r="318">
          <cell r="A318">
            <v>5831</v>
          </cell>
          <cell r="B318" t="str">
            <v>Edificios e instalaciones</v>
          </cell>
        </row>
        <row r="319">
          <cell r="A319">
            <v>5891</v>
          </cell>
          <cell r="B319" t="str">
            <v>Infraestructura</v>
          </cell>
        </row>
        <row r="320">
          <cell r="A320">
            <v>5911</v>
          </cell>
          <cell r="B320" t="str">
            <v>Software</v>
          </cell>
        </row>
        <row r="321">
          <cell r="A321">
            <v>5921</v>
          </cell>
          <cell r="B321" t="str">
            <v>Patentes</v>
          </cell>
        </row>
        <row r="322">
          <cell r="A322">
            <v>5931</v>
          </cell>
          <cell r="B322" t="str">
            <v>Marcas</v>
          </cell>
        </row>
        <row r="323">
          <cell r="A323">
            <v>5941</v>
          </cell>
          <cell r="B323" t="str">
            <v>Derechos</v>
          </cell>
        </row>
        <row r="324">
          <cell r="A324">
            <v>5951</v>
          </cell>
          <cell r="B324" t="str">
            <v>Concesiones</v>
          </cell>
        </row>
        <row r="325">
          <cell r="A325">
            <v>5961</v>
          </cell>
          <cell r="B325" t="str">
            <v>Franquicias</v>
          </cell>
        </row>
        <row r="326">
          <cell r="A326">
            <v>5971</v>
          </cell>
          <cell r="B326" t="str">
            <v>Licencias informaticas e intelectuales</v>
          </cell>
        </row>
        <row r="327">
          <cell r="A327">
            <v>5981</v>
          </cell>
          <cell r="B327" t="str">
            <v>Licencias industriales, comerciales y otras</v>
          </cell>
        </row>
        <row r="328">
          <cell r="A328">
            <v>5991</v>
          </cell>
          <cell r="B328" t="str">
            <v>Otros activos intangibles</v>
          </cell>
        </row>
        <row r="329">
          <cell r="A329">
            <v>6000</v>
          </cell>
          <cell r="B329" t="str">
            <v>Inversión Pública</v>
          </cell>
        </row>
        <row r="330">
          <cell r="A330">
            <v>6111</v>
          </cell>
          <cell r="B330" t="str">
            <v>Edificación habitacional</v>
          </cell>
        </row>
        <row r="331">
          <cell r="A331">
            <v>6121</v>
          </cell>
          <cell r="B331" t="str">
            <v>Edificación no habitacional</v>
          </cell>
        </row>
        <row r="332">
          <cell r="A332">
            <v>6131</v>
          </cell>
          <cell r="B332" t="str">
            <v>Construcción de obras para el abastecimiento de agua, petróleo, gas, electricidad y telecomunicaciones
telecomunicaciones</v>
          </cell>
        </row>
        <row r="333">
          <cell r="A333">
            <v>6141</v>
          </cell>
          <cell r="B333" t="str">
            <v>División de terrenos y construcción de obras de urbanización</v>
          </cell>
        </row>
        <row r="334">
          <cell r="A334">
            <v>6151</v>
          </cell>
          <cell r="B334" t="str">
            <v>Construcción de vías de comunicación</v>
          </cell>
        </row>
        <row r="335">
          <cell r="A335">
            <v>6161</v>
          </cell>
          <cell r="B335" t="str">
            <v>Otras construcciones de ingeniería civil u obra pesada</v>
          </cell>
        </row>
        <row r="336">
          <cell r="A336">
            <v>6171</v>
          </cell>
          <cell r="B336" t="str">
            <v>Instalaciones y equipamiento en construcciones</v>
          </cell>
        </row>
        <row r="337">
          <cell r="A337">
            <v>6191</v>
          </cell>
          <cell r="B337" t="str">
            <v>Trabajos de acabados en edificaciones y otros trabajos especializados</v>
          </cell>
        </row>
        <row r="338">
          <cell r="A338">
            <v>6211</v>
          </cell>
          <cell r="B338" t="str">
            <v>Edificación habitacional</v>
          </cell>
        </row>
        <row r="339">
          <cell r="A339">
            <v>6221</v>
          </cell>
          <cell r="B339" t="str">
            <v>Edificación no habitacional</v>
          </cell>
        </row>
        <row r="340">
          <cell r="A340">
            <v>6231</v>
          </cell>
          <cell r="B340" t="str">
            <v>Construcción de obras para el abastecimiento de agua, petróleo, gas, electricidad y telecomunicaciones
telecomunicaciones</v>
          </cell>
        </row>
        <row r="341">
          <cell r="A341">
            <v>6241</v>
          </cell>
          <cell r="B341" t="str">
            <v>División de terrenos y construcción de obras de urbanización</v>
          </cell>
        </row>
        <row r="342">
          <cell r="A342">
            <v>6251</v>
          </cell>
          <cell r="B342" t="str">
            <v>Construcción de vías de comunicación</v>
          </cell>
        </row>
        <row r="343">
          <cell r="A343">
            <v>6261</v>
          </cell>
          <cell r="B343" t="str">
            <v>Otras construcciones de ingeniería civil u obra pesada</v>
          </cell>
        </row>
        <row r="344">
          <cell r="A344">
            <v>6271</v>
          </cell>
          <cell r="B344" t="str">
            <v>Instalaciones y equipamiento en construcciones</v>
          </cell>
        </row>
        <row r="345">
          <cell r="A345">
            <v>6291</v>
          </cell>
          <cell r="B345" t="str">
            <v>Trabajos de acabados en edificaciones y otros trabajos especializados</v>
          </cell>
        </row>
        <row r="346">
          <cell r="A346">
            <v>6311</v>
          </cell>
          <cell r="B346" t="str">
            <v>Estudios e investigaciones</v>
          </cell>
        </row>
        <row r="347">
          <cell r="A347">
            <v>6312</v>
          </cell>
          <cell r="B347" t="str">
            <v>Proyectos productivos y acciones de fomento</v>
          </cell>
        </row>
        <row r="348">
          <cell r="A348">
            <v>7000</v>
          </cell>
          <cell r="B348" t="str">
            <v>INVERSIONES FINANCIERAS Y OTRAS PROVISIONES</v>
          </cell>
        </row>
        <row r="349">
          <cell r="A349">
            <v>7111</v>
          </cell>
          <cell r="B349" t="str">
            <v>Créditos otorgados por entidades federativas y municipios al sector social y privado para el fomento de actividades productivas</v>
          </cell>
        </row>
        <row r="350">
          <cell r="A350">
            <v>7121</v>
          </cell>
          <cell r="B350" t="str">
            <v>Créditos otorgados por las entidades federativas a municipios para el fomento de actividades productivas</v>
          </cell>
        </row>
        <row r="351">
          <cell r="A351">
            <v>7211</v>
          </cell>
          <cell r="B351" t="str">
            <v>Acciones y participaciones de capital en entidades paraestatales no empresariales y no financieras con fines de política económica</v>
          </cell>
        </row>
        <row r="352">
          <cell r="A352">
            <v>7221</v>
          </cell>
          <cell r="B352" t="str">
            <v>Acciones y participaciones de capital en entidades paraestatales empresariales y no financieras con fines de política económica</v>
          </cell>
        </row>
        <row r="353">
          <cell r="A353">
            <v>7231</v>
          </cell>
          <cell r="B353" t="str">
            <v>Acciones y participaciones de capital en instituciones paraestatales públicas financieras con fines de política económica</v>
          </cell>
        </row>
        <row r="354">
          <cell r="A354">
            <v>7241</v>
          </cell>
          <cell r="B354" t="str">
            <v>Acciones y participaciones de capital en el sector privado con fines de política económica</v>
          </cell>
        </row>
        <row r="355">
          <cell r="A355">
            <v>7251</v>
          </cell>
          <cell r="B355" t="str">
            <v>Acciones y participaciones de capital en organismos internacionales con fines de política económica</v>
          </cell>
        </row>
        <row r="356">
          <cell r="A356">
            <v>7261</v>
          </cell>
          <cell r="B356" t="str">
            <v>Acciones y participaciones de capital en el sector externo con fines de política económica</v>
          </cell>
        </row>
        <row r="357">
          <cell r="A357">
            <v>7271</v>
          </cell>
          <cell r="B357" t="str">
            <v>Acciones y participaciones de capital en el sector público con fines de gestión de liquidez</v>
          </cell>
        </row>
        <row r="358">
          <cell r="A358">
            <v>7281</v>
          </cell>
          <cell r="B358" t="str">
            <v>Acciones y participaciones de capital en el sector privado con fines de gestión de liquidez</v>
          </cell>
        </row>
        <row r="359">
          <cell r="A359">
            <v>7291</v>
          </cell>
          <cell r="B359" t="str">
            <v>Acciones y participaciones de capital en el sector externo con fines de gestión de liquidez</v>
          </cell>
        </row>
        <row r="360">
          <cell r="A360">
            <v>7311</v>
          </cell>
          <cell r="B360" t="str">
            <v>Adquisición de bonos</v>
          </cell>
        </row>
        <row r="361">
          <cell r="A361">
            <v>7312</v>
          </cell>
          <cell r="B361" t="str">
            <v>Adquisición de acciones</v>
          </cell>
        </row>
        <row r="362">
          <cell r="A362">
            <v>7313</v>
          </cell>
          <cell r="B362" t="str">
            <v>Fideicomisos para adquisición de títulos de crédito</v>
          </cell>
        </row>
        <row r="363">
          <cell r="A363">
            <v>7321</v>
          </cell>
          <cell r="B363" t="str">
            <v>Valores representativos de deuda adquiridos con fines de política económica</v>
          </cell>
        </row>
        <row r="364">
          <cell r="A364">
            <v>7331</v>
          </cell>
          <cell r="B364" t="str">
            <v>Valores representativos de deuda adquiridos con fines de gestión de liquidez</v>
          </cell>
        </row>
        <row r="365">
          <cell r="A365">
            <v>7341</v>
          </cell>
          <cell r="B365" t="str">
            <v>Obligaciones negociables adquiridas con fines de politica economica</v>
          </cell>
        </row>
        <row r="366">
          <cell r="A366">
            <v>7351</v>
          </cell>
          <cell r="B366" t="str">
            <v>Obligaciones negociables adquiridas con fines de gestion de liquidez</v>
          </cell>
        </row>
        <row r="367">
          <cell r="A367">
            <v>7391</v>
          </cell>
          <cell r="B367" t="str">
            <v>Otros valores</v>
          </cell>
        </row>
        <row r="368">
          <cell r="A368">
            <v>7411</v>
          </cell>
          <cell r="B368" t="str">
            <v>Concesión de préstamos a entidades paraestatales con fines de política económica</v>
          </cell>
        </row>
        <row r="369">
          <cell r="A369">
            <v>7421</v>
          </cell>
          <cell r="B369" t="str">
            <v>Concesión de préstamos a entidades paraestatales con fines de política económica</v>
          </cell>
        </row>
        <row r="370">
          <cell r="A370">
            <v>7431</v>
          </cell>
          <cell r="B370" t="str">
            <v>Concesión de préstamos a instituciones paraestatales públicas financieras con fines de política económica</v>
          </cell>
        </row>
        <row r="371">
          <cell r="A371">
            <v>7541</v>
          </cell>
          <cell r="B371" t="str">
            <v>Inversiones en fideicomisos públicos no empresariales y no financieros</v>
          </cell>
        </row>
        <row r="372">
          <cell r="A372">
            <v>7581</v>
          </cell>
          <cell r="B372" t="str">
            <v>Inversiones de fideicomisos de municipios</v>
          </cell>
        </row>
        <row r="373">
          <cell r="A373">
            <v>7611</v>
          </cell>
          <cell r="B373" t="str">
            <v>Depositos a largo plazo en moneda nacional</v>
          </cell>
        </row>
        <row r="374">
          <cell r="A374">
            <v>7621</v>
          </cell>
          <cell r="B374" t="str">
            <v>Depositos a largo plazo en moneda extranjera</v>
          </cell>
        </row>
        <row r="375">
          <cell r="A375">
            <v>7991</v>
          </cell>
          <cell r="B375" t="str">
            <v xml:space="preserve">Erogaciones complementarias </v>
          </cell>
        </row>
        <row r="376">
          <cell r="A376">
            <v>7992</v>
          </cell>
          <cell r="B376" t="str">
            <v xml:space="preserve">Seguro de responsabilidad patrimonial del Estado </v>
          </cell>
        </row>
        <row r="377">
          <cell r="A377">
            <v>7993</v>
          </cell>
          <cell r="B377" t="str">
            <v xml:space="preserve">Gastos derivados del proceso de transición  </v>
          </cell>
        </row>
        <row r="378">
          <cell r="A378">
            <v>8511</v>
          </cell>
          <cell r="B378" t="str">
            <v>Convenios de reasignación</v>
          </cell>
        </row>
        <row r="379">
          <cell r="A379">
            <v>8521</v>
          </cell>
          <cell r="B379" t="str">
            <v>Convenios de descentralización</v>
          </cell>
        </row>
        <row r="380">
          <cell r="A380">
            <v>8531</v>
          </cell>
          <cell r="B380" t="str">
            <v>Otros convenios</v>
          </cell>
        </row>
        <row r="381">
          <cell r="A381">
            <v>9000</v>
          </cell>
          <cell r="B381" t="str">
            <v>Deuda Pública</v>
          </cell>
        </row>
        <row r="382">
          <cell r="A382">
            <v>9111</v>
          </cell>
          <cell r="B382" t="str">
            <v>Amortización de la deuda interna con instituciones de crédito</v>
          </cell>
        </row>
        <row r="383">
          <cell r="A383">
            <v>9112</v>
          </cell>
          <cell r="B383" t="str">
            <v>Amortización de la deuda interna con instituciones de crédito con Gobierno del Estado</v>
          </cell>
        </row>
        <row r="384">
          <cell r="A384">
            <v>9121</v>
          </cell>
          <cell r="B384" t="str">
            <v>Amortización de la deuda interna por emisión de títulos y valores</v>
          </cell>
        </row>
        <row r="385">
          <cell r="A385">
            <v>9131</v>
          </cell>
          <cell r="B385" t="str">
            <v>Amortización de arrendamientos financieros nacionales</v>
          </cell>
        </row>
        <row r="386">
          <cell r="A386">
            <v>9211</v>
          </cell>
          <cell r="B386" t="str">
            <v>Intereses de la deuda interna con instituciones de crédito</v>
          </cell>
        </row>
        <row r="387">
          <cell r="A387">
            <v>9212</v>
          </cell>
          <cell r="B387" t="str">
            <v>Intereses de la deuda con Gobierno del Estado</v>
          </cell>
        </row>
        <row r="388">
          <cell r="A388">
            <v>9221</v>
          </cell>
          <cell r="B388" t="str">
            <v>Intereses derivados de la colocación de títulos y valores</v>
          </cell>
        </row>
        <row r="389">
          <cell r="A389">
            <v>9231</v>
          </cell>
          <cell r="B389" t="str">
            <v xml:space="preserve">Intereses por arrendamientos financieros </v>
          </cell>
        </row>
        <row r="390">
          <cell r="A390">
            <v>9311</v>
          </cell>
          <cell r="B390" t="str">
            <v>Comisiones de la deuda pùblica interna</v>
          </cell>
        </row>
        <row r="391">
          <cell r="A391">
            <v>9312</v>
          </cell>
          <cell r="B391" t="str">
            <v>Comisiones de la deuda pùblica interna con Gobierno del Estado</v>
          </cell>
        </row>
        <row r="392">
          <cell r="A392">
            <v>9411</v>
          </cell>
          <cell r="B392" t="str">
            <v>Gastos de la deuda publica interna</v>
          </cell>
        </row>
        <row r="393">
          <cell r="A393">
            <v>9412</v>
          </cell>
          <cell r="B393" t="str">
            <v>Gastos de la deuda publica interna con Gobierno del Estado</v>
          </cell>
        </row>
        <row r="394">
          <cell r="A394">
            <v>9511</v>
          </cell>
          <cell r="B394" t="str">
            <v>Costos por cobertura de la deuda pública interna</v>
          </cell>
        </row>
        <row r="395">
          <cell r="A395">
            <v>9512</v>
          </cell>
          <cell r="B395" t="str">
            <v>Costos por cobertura de la deuda pública interna con Gobierno del Estado</v>
          </cell>
        </row>
        <row r="396">
          <cell r="A396">
            <v>9911</v>
          </cell>
          <cell r="B396" t="str">
            <v>Adefas</v>
          </cell>
        </row>
        <row r="397">
          <cell r="A397">
            <v>310075</v>
          </cell>
          <cell r="B397" t="str">
            <v>APORT. EST.  BARDA EN FCO PAREDES</v>
          </cell>
        </row>
        <row r="398">
          <cell r="A398">
            <v>510184</v>
          </cell>
          <cell r="B398" t="str">
            <v>INT. INGRESOS DE LIBRE DISPOSICIÓN</v>
          </cell>
        </row>
        <row r="399">
          <cell r="A399">
            <v>610111</v>
          </cell>
          <cell r="B399" t="str">
            <v>PROGRAMA CAMINO SACACOSECHAS</v>
          </cell>
        </row>
        <row r="400">
          <cell r="A400">
            <v>610133</v>
          </cell>
          <cell r="B400" t="str">
            <v>PROGRAMA MAS</v>
          </cell>
        </row>
        <row r="401">
          <cell r="A401">
            <v>610261</v>
          </cell>
          <cell r="B401" t="str">
            <v>APORT. EST. CAMINOS RURALES 2018</v>
          </cell>
        </row>
        <row r="402">
          <cell r="A402">
            <v>610262</v>
          </cell>
          <cell r="B402" t="str">
            <v>PROGRAMA INSUMOS AGRICOLAS</v>
          </cell>
        </row>
        <row r="403">
          <cell r="A403">
            <v>610304</v>
          </cell>
          <cell r="B403" t="str">
            <v>PROGRAMA DESARROLLO REGIONAL</v>
          </cell>
        </row>
        <row r="404">
          <cell r="A404">
            <v>610312</v>
          </cell>
          <cell r="B404" t="str">
            <v>APORT. EST. PIDH</v>
          </cell>
        </row>
        <row r="405">
          <cell r="A405">
            <v>610328</v>
          </cell>
          <cell r="B405" t="str">
            <v>APORTACION ESTATAL PISBCC</v>
          </cell>
        </row>
        <row r="406">
          <cell r="A406">
            <v>610335</v>
          </cell>
          <cell r="B406" t="str">
            <v>APORTACION ESTATAL PIDMC</v>
          </cell>
        </row>
        <row r="407">
          <cell r="A407">
            <v>610344</v>
          </cell>
          <cell r="B407" t="str">
            <v>APORTACION ESTATAL PROY. FOAM</v>
          </cell>
        </row>
        <row r="408">
          <cell r="A408">
            <v>610349</v>
          </cell>
          <cell r="B408" t="str">
            <v>APORT. EST. CODE</v>
          </cell>
        </row>
        <row r="409">
          <cell r="A409">
            <v>610351</v>
          </cell>
          <cell r="B409" t="str">
            <v>PROGRAMA PISBCC 2016</v>
          </cell>
        </row>
        <row r="410">
          <cell r="A410">
            <v>610363</v>
          </cell>
          <cell r="B410" t="str">
            <v>APORT. EST. FIFOSEC</v>
          </cell>
        </row>
        <row r="411">
          <cell r="A411">
            <v>610367</v>
          </cell>
          <cell r="B411" t="str">
            <v>APORT. EST. PROG. FORTALECIMIENTO AL  GANADO</v>
          </cell>
        </row>
        <row r="412">
          <cell r="A412">
            <v>610368</v>
          </cell>
          <cell r="B412" t="str">
            <v>APORT. EST. VIAS 2 DE ABRIL</v>
          </cell>
        </row>
        <row r="413">
          <cell r="A413">
            <v>610369</v>
          </cell>
          <cell r="B413" t="str">
            <v>APORT. EST. TECHUMBRE EN PLAZA SAN M. OCTOPAN</v>
          </cell>
        </row>
        <row r="414">
          <cell r="A414">
            <v>610370</v>
          </cell>
          <cell r="B414" t="str">
            <v>APORT. EST. INFRAESTRUCTURA CENTRO HISTORICO</v>
          </cell>
        </row>
        <row r="415">
          <cell r="A415">
            <v>610372</v>
          </cell>
          <cell r="B415" t="str">
            <v>APORT. EST. INFRAESTRUCTURA DIF</v>
          </cell>
        </row>
        <row r="416">
          <cell r="A416">
            <v>610376</v>
          </cell>
          <cell r="B416" t="str">
            <v>PROG.CAMINOS RURALES 2017</v>
          </cell>
        </row>
        <row r="417">
          <cell r="A417">
            <v>610377</v>
          </cell>
          <cell r="B417" t="str">
            <v>APORT. ESTATAL MIGRANTES</v>
          </cell>
        </row>
        <row r="418">
          <cell r="A418">
            <v>610379</v>
          </cell>
          <cell r="B418" t="str">
            <v>APORT. EST. CECYTE TROJES</v>
          </cell>
        </row>
        <row r="419">
          <cell r="A419">
            <v>610733</v>
          </cell>
          <cell r="B419" t="str">
            <v>APORT. EST. PREMIO BARRIO LIMPIO INST. ECOLOGIA</v>
          </cell>
        </row>
        <row r="420">
          <cell r="A420">
            <v>610734</v>
          </cell>
          <cell r="B420" t="str">
            <v>APORT. EST. ALUMBRADO CD. INDUSTRIAL</v>
          </cell>
        </row>
        <row r="421">
          <cell r="A421">
            <v>610735</v>
          </cell>
          <cell r="B421" t="str">
            <v>MULTAS DE PROTECCION CIVIL</v>
          </cell>
        </row>
        <row r="422">
          <cell r="A422">
            <v>1100115</v>
          </cell>
          <cell r="B422" t="str">
            <v>RECURSO MUNICIPAL 2015</v>
          </cell>
        </row>
        <row r="423">
          <cell r="A423">
            <v>1100116</v>
          </cell>
          <cell r="B423" t="str">
            <v>RECURSO MUNICIPAL 2016</v>
          </cell>
        </row>
        <row r="424">
          <cell r="A424">
            <v>1100117</v>
          </cell>
          <cell r="B424" t="str">
            <v>RECURSO MUNICIPAL 2017</v>
          </cell>
        </row>
        <row r="425">
          <cell r="A425">
            <v>1100118</v>
          </cell>
          <cell r="B425" t="str">
            <v>RECURSO MUNICIPAL 2018</v>
          </cell>
        </row>
        <row r="426">
          <cell r="A426">
            <v>1201017</v>
          </cell>
          <cell r="B426" t="str">
            <v>DEUDA 2017</v>
          </cell>
        </row>
        <row r="427">
          <cell r="A427">
            <v>1500518</v>
          </cell>
          <cell r="B427" t="str">
            <v>PARTICIPACION FEDERAL 2018</v>
          </cell>
        </row>
        <row r="428">
          <cell r="A428">
            <v>2510116</v>
          </cell>
          <cell r="B428" t="str">
            <v>FAISM 2016</v>
          </cell>
        </row>
        <row r="429">
          <cell r="A429">
            <v>2510117</v>
          </cell>
          <cell r="B429" t="str">
            <v>FAISM 2017</v>
          </cell>
        </row>
        <row r="430">
          <cell r="A430">
            <v>2510118</v>
          </cell>
          <cell r="B430" t="str">
            <v>FAISM 2018</v>
          </cell>
        </row>
        <row r="431">
          <cell r="A431">
            <v>2510215</v>
          </cell>
          <cell r="B431" t="str">
            <v>FORTAMUN 2015</v>
          </cell>
        </row>
        <row r="432">
          <cell r="A432">
            <v>2510216</v>
          </cell>
          <cell r="B432" t="str">
            <v>FORTAMUN 2016</v>
          </cell>
        </row>
        <row r="433">
          <cell r="A433">
            <v>2510217</v>
          </cell>
          <cell r="B433" t="str">
            <v>FORTAMUN 2017</v>
          </cell>
        </row>
        <row r="434">
          <cell r="A434">
            <v>2510218</v>
          </cell>
          <cell r="B434" t="str">
            <v>FORTAMUN 2018</v>
          </cell>
        </row>
        <row r="435">
          <cell r="A435">
            <v>2520317</v>
          </cell>
          <cell r="B435" t="str">
            <v>CONVENIOS FEDERALES 2017</v>
          </cell>
        </row>
        <row r="436">
          <cell r="A436">
            <v>2520318</v>
          </cell>
          <cell r="B436" t="str">
            <v>CONVENIOS FEDERALES 2018</v>
          </cell>
        </row>
        <row r="437">
          <cell r="A437">
            <v>2610716</v>
          </cell>
          <cell r="B437" t="str">
            <v>CONVENIOS ESTATALES 2016</v>
          </cell>
        </row>
        <row r="438">
          <cell r="A438">
            <v>2610717</v>
          </cell>
          <cell r="B438" t="str">
            <v>CONVENIOS ESTATALES 2017</v>
          </cell>
        </row>
        <row r="439">
          <cell r="A439">
            <v>2610718</v>
          </cell>
          <cell r="B439" t="str">
            <v>CONVENIOS ESTATALES 2018</v>
          </cell>
        </row>
        <row r="440">
          <cell r="A440" t="str">
            <v>31111-0101</v>
          </cell>
          <cell r="B440" t="str">
            <v>PRESIDENCIA</v>
          </cell>
        </row>
        <row r="441">
          <cell r="A441" t="str">
            <v>31111-0102</v>
          </cell>
          <cell r="B441" t="str">
            <v>SINDICOS Y REGIDORES</v>
          </cell>
        </row>
        <row r="442">
          <cell r="A442" t="str">
            <v>31111-0103</v>
          </cell>
          <cell r="B442" t="str">
            <v>VICENTE CARACHEO GOMEZ</v>
          </cell>
        </row>
        <row r="443">
          <cell r="A443" t="str">
            <v>31111-0104</v>
          </cell>
          <cell r="B443" t="str">
            <v>LIC. EDUARDO GUILLEN HERNÁNDEZ</v>
          </cell>
        </row>
        <row r="444">
          <cell r="A444" t="str">
            <v>31111-0105</v>
          </cell>
          <cell r="B444" t="str">
            <v>C. DULCE MARÍA GALLEGO HINOJOSA</v>
          </cell>
        </row>
        <row r="445">
          <cell r="A445" t="str">
            <v>31111-0106</v>
          </cell>
          <cell r="B445" t="str">
            <v>C. ANTONIO RODRÍGUEZ ALVARADO</v>
          </cell>
        </row>
        <row r="446">
          <cell r="A446" t="str">
            <v>31111-0107</v>
          </cell>
          <cell r="B446" t="str">
            <v>C. REBELA LOMELIN VELASCO</v>
          </cell>
        </row>
        <row r="447">
          <cell r="A447" t="str">
            <v>31111-0108</v>
          </cell>
          <cell r="B447" t="str">
            <v>ING. ROSA ISELA HERNÁNDEZ HERRERA</v>
          </cell>
        </row>
        <row r="448">
          <cell r="A448" t="str">
            <v>31111-0109</v>
          </cell>
          <cell r="B448" t="str">
            <v>LIC. CARLOS REZA CORDERO</v>
          </cell>
        </row>
        <row r="449">
          <cell r="A449" t="str">
            <v>31111-0110</v>
          </cell>
          <cell r="B449" t="str">
            <v>ARQ. JOSÉ ALBERTO PÉREZ QUIROGA</v>
          </cell>
        </row>
        <row r="450">
          <cell r="A450" t="str">
            <v>31111-0111</v>
          </cell>
          <cell r="B450" t="str">
            <v>ARQ. RODOLFO SEGURA MONTES</v>
          </cell>
        </row>
        <row r="451">
          <cell r="A451" t="str">
            <v>31111-0112</v>
          </cell>
          <cell r="B451" t="str">
            <v>LIC. RUBÉN GUERRERO MERINO</v>
          </cell>
        </row>
        <row r="452">
          <cell r="A452" t="str">
            <v>31111-0113</v>
          </cell>
          <cell r="B452" t="str">
            <v>C. MARTHA GUADALUPE GÓMEZ CRUCES</v>
          </cell>
        </row>
        <row r="453">
          <cell r="A453" t="str">
            <v>31111-0114</v>
          </cell>
          <cell r="B453" t="str">
            <v>C. GEORGINA SUAREZ DÍAZ</v>
          </cell>
        </row>
        <row r="454">
          <cell r="A454" t="str">
            <v>31111-0115</v>
          </cell>
          <cell r="B454" t="str">
            <v>C. MARCO HEROLDO GAXIOLA ROMO</v>
          </cell>
        </row>
        <row r="455">
          <cell r="A455" t="str">
            <v>31111-0116</v>
          </cell>
          <cell r="B455" t="str">
            <v>C.P. FRACISCO EDUARDO BRISEÑO DOMÍNGUEZ</v>
          </cell>
        </row>
        <row r="456">
          <cell r="A456" t="str">
            <v>31111-0117</v>
          </cell>
          <cell r="B456" t="str">
            <v>LIC. FRANCISCO JAVIER AGUAYO MAGAÑA</v>
          </cell>
        </row>
        <row r="457">
          <cell r="A457" t="str">
            <v>31111-0118</v>
          </cell>
          <cell r="B457" t="str">
            <v>EDUARDO GUILLEN HERNANDEZ</v>
          </cell>
        </row>
        <row r="458">
          <cell r="A458" t="str">
            <v>31111-0119</v>
          </cell>
          <cell r="B458" t="str">
            <v>DULCE MARIA GALLEGO HINOJOSA</v>
          </cell>
        </row>
        <row r="459">
          <cell r="A459" t="str">
            <v>31111-0120</v>
          </cell>
          <cell r="B459" t="str">
            <v>ANTONIO RODRIGUEZ ALVARADO</v>
          </cell>
        </row>
        <row r="460">
          <cell r="A460" t="str">
            <v>31111-0121</v>
          </cell>
          <cell r="B460" t="str">
            <v>REBECA LOMELIN VELASCO</v>
          </cell>
        </row>
        <row r="461">
          <cell r="A461" t="str">
            <v>31111-0122</v>
          </cell>
          <cell r="B461" t="str">
            <v>ROSA ISELA HERNANDEZ HERRERA</v>
          </cell>
        </row>
        <row r="462">
          <cell r="A462" t="str">
            <v>31111-0123</v>
          </cell>
          <cell r="B462" t="str">
            <v>DAVID ALFONSO OROZCO PEREZ</v>
          </cell>
        </row>
        <row r="463">
          <cell r="A463" t="str">
            <v>31111-0124</v>
          </cell>
          <cell r="B463" t="str">
            <v>JOSE ALBERTO PEREZ QUIROGA</v>
          </cell>
        </row>
        <row r="464">
          <cell r="A464" t="str">
            <v>31111-0125</v>
          </cell>
          <cell r="B464" t="str">
            <v>RODOLFO SEGURA MONTES</v>
          </cell>
        </row>
        <row r="465">
          <cell r="A465" t="str">
            <v>31111-0126</v>
          </cell>
          <cell r="B465" t="str">
            <v>RUBEN GUERRERO MERINO</v>
          </cell>
        </row>
        <row r="466">
          <cell r="A466" t="str">
            <v>31111-0127</v>
          </cell>
          <cell r="B466" t="str">
            <v>MARTHA GUADALUPE GOMEZ CRUCES</v>
          </cell>
        </row>
        <row r="467">
          <cell r="A467" t="str">
            <v>31111-0128</v>
          </cell>
          <cell r="B467" t="str">
            <v>GEORGINA SUAREZ DIAZ</v>
          </cell>
        </row>
        <row r="468">
          <cell r="A468" t="str">
            <v>31111-0129</v>
          </cell>
          <cell r="B468" t="str">
            <v>MARCO HEROLDO GAXIOLA ROMO</v>
          </cell>
        </row>
        <row r="469">
          <cell r="A469" t="str">
            <v>31111-0130</v>
          </cell>
          <cell r="B469" t="str">
            <v>FRANCISCO EDUARDO BRISEÑO DOMINGUEZ</v>
          </cell>
        </row>
        <row r="470">
          <cell r="A470" t="str">
            <v>31111-0131</v>
          </cell>
          <cell r="B470" t="str">
            <v>ING. MARIA EUGENIA MOSQUEDA NIETO</v>
          </cell>
        </row>
        <row r="471">
          <cell r="A471" t="str">
            <v>31111-0132</v>
          </cell>
          <cell r="B471" t="str">
            <v>LIC. JOSÉ FERNANDO SANCHEZ MENDEZ</v>
          </cell>
        </row>
        <row r="472">
          <cell r="A472" t="str">
            <v>31111-0133</v>
          </cell>
          <cell r="B472" t="str">
            <v>LIC. ISRAEL ALEJANDRO HERRERA HERNÁNDEZ</v>
          </cell>
        </row>
        <row r="473">
          <cell r="A473" t="str">
            <v>31111-0134</v>
          </cell>
          <cell r="B473" t="str">
            <v>ARQ. MARTHA NORMA HERNÁNDEZ HERNÁNDEZ</v>
          </cell>
        </row>
        <row r="474">
          <cell r="A474" t="str">
            <v>31111-0135</v>
          </cell>
          <cell r="B474" t="str">
            <v>LIC. JOSÉ TRINIDAD MARTÍNEZ SOTO</v>
          </cell>
        </row>
        <row r="475">
          <cell r="A475" t="str">
            <v>31111-0136</v>
          </cell>
          <cell r="B475" t="str">
            <v>LIC. ADRIANA JOSEFINA AUDELO ARANA/LIC. MARIA PULCHERIA SOLIS OJEDA</v>
          </cell>
        </row>
        <row r="476">
          <cell r="A476" t="str">
            <v>31111-0137</v>
          </cell>
          <cell r="B476" t="str">
            <v>ING. MARIANO ZAVALA DÍAZ</v>
          </cell>
        </row>
        <row r="477">
          <cell r="A477" t="str">
            <v>31111-0138</v>
          </cell>
          <cell r="B477" t="str">
            <v>LIC. MONTSERRAT VÁZQUEZ ACEVEDO/P.J ESTEFANIA GARCIA NAVAR</v>
          </cell>
        </row>
        <row r="478">
          <cell r="A478" t="str">
            <v>31111-0139</v>
          </cell>
          <cell r="B478" t="str">
            <v>C. MARIA ELOISA CHOLICO TORRES</v>
          </cell>
        </row>
        <row r="479">
          <cell r="A479" t="str">
            <v>31111-0140</v>
          </cell>
          <cell r="B479" t="str">
            <v>LIC. JORGE MONTES GONZÁLEZ</v>
          </cell>
        </row>
        <row r="480">
          <cell r="A480" t="str">
            <v>31111-0141</v>
          </cell>
          <cell r="B480" t="str">
            <v>C. RICARDO TORRE IBARRA</v>
          </cell>
        </row>
        <row r="481">
          <cell r="A481" t="str">
            <v>31111-0142</v>
          </cell>
          <cell r="B481" t="str">
            <v>C. J. YNES PIÑA COFRADÍA</v>
          </cell>
        </row>
        <row r="482">
          <cell r="A482" t="str">
            <v>31111-0143</v>
          </cell>
          <cell r="B482" t="str">
            <v>C.P. BLANCA ELENA GONZÁLEZ ZAVALA</v>
          </cell>
        </row>
        <row r="483">
          <cell r="A483" t="str">
            <v>31111-0144</v>
          </cell>
          <cell r="B483" t="str">
            <v>LIC. HILDA ZAMANIEGO LEYVA</v>
          </cell>
        </row>
        <row r="484">
          <cell r="A484" t="str">
            <v>31111-0145</v>
          </cell>
          <cell r="B484" t="str">
            <v>UNIDAD MUNICIPAL DE ACCESO A LA INFORMACIÓN</v>
          </cell>
        </row>
        <row r="485">
          <cell r="A485" t="str">
            <v>31111-0146</v>
          </cell>
          <cell r="B485" t="str">
            <v>AVILES HERNANDEZ CARLOS</v>
          </cell>
        </row>
        <row r="486">
          <cell r="A486" t="str">
            <v>31111-0201</v>
          </cell>
          <cell r="B486" t="str">
            <v>DESARROLLO ECONOMICO</v>
          </cell>
        </row>
        <row r="487">
          <cell r="A487" t="str">
            <v>31111-0301</v>
          </cell>
          <cell r="B487" t="str">
            <v>DESARROLLO SOCIAL</v>
          </cell>
        </row>
        <row r="488">
          <cell r="A488" t="str">
            <v>31111-0302</v>
          </cell>
          <cell r="B488" t="str">
            <v>COORD. DE PARTICIPACIÓN CIUDADANA</v>
          </cell>
        </row>
        <row r="489">
          <cell r="A489" t="str">
            <v>31111-0303</v>
          </cell>
          <cell r="B489" t="str">
            <v>COORD. DE EDUCACIÓN</v>
          </cell>
        </row>
        <row r="490">
          <cell r="A490" t="str">
            <v>31111-0304</v>
          </cell>
          <cell r="B490" t="str">
            <v>COORD. DE SALUD</v>
          </cell>
        </row>
        <row r="491">
          <cell r="A491" t="str">
            <v>31111-0305</v>
          </cell>
          <cell r="B491" t="str">
            <v>COORD. DE DESARROLLO RURAL</v>
          </cell>
        </row>
        <row r="492">
          <cell r="A492" t="str">
            <v>31111-0306</v>
          </cell>
          <cell r="B492" t="str">
            <v>INFRAESTRUCTURA DEPORTIVA</v>
          </cell>
        </row>
        <row r="493">
          <cell r="A493" t="str">
            <v>31111-0307</v>
          </cell>
          <cell r="B493" t="str">
            <v>COORD. ADMINISTRATIVA</v>
          </cell>
        </row>
        <row r="494">
          <cell r="A494" t="str">
            <v>31111-0308</v>
          </cell>
          <cell r="B494" t="str">
            <v>COORD. DE EXTENSIONISMO</v>
          </cell>
        </row>
        <row r="495">
          <cell r="A495" t="str">
            <v>31111-0401</v>
          </cell>
          <cell r="B495" t="str">
            <v>COMUNICACIÓN E IMAGEN</v>
          </cell>
        </row>
        <row r="496">
          <cell r="A496" t="str">
            <v>31111-0402</v>
          </cell>
          <cell r="B496" t="str">
            <v>EVENTOS ESPECIALES</v>
          </cell>
        </row>
        <row r="497">
          <cell r="A497" t="str">
            <v>31111-0501</v>
          </cell>
          <cell r="B497" t="str">
            <v>SRIA. DEL H. AYUNTAMIENTO</v>
          </cell>
        </row>
        <row r="498">
          <cell r="A498" t="str">
            <v>31111-0502</v>
          </cell>
          <cell r="B498" t="str">
            <v>DIR. JURIDICA</v>
          </cell>
        </row>
        <row r="499">
          <cell r="A499" t="str">
            <v>31111-0503</v>
          </cell>
          <cell r="B499" t="str">
            <v>VENTANILLA DE RELACIONES EXTERIORES</v>
          </cell>
        </row>
        <row r="500">
          <cell r="A500" t="str">
            <v>31111-0504</v>
          </cell>
          <cell r="B500" t="str">
            <v>UNIDAD MUNICIPAL DE PROTECCIÓN CIVIL</v>
          </cell>
        </row>
        <row r="501">
          <cell r="A501" t="str">
            <v>31111-0505</v>
          </cell>
          <cell r="B501" t="str">
            <v>JUZGADOS ADMINISTRATIVOS</v>
          </cell>
        </row>
        <row r="502">
          <cell r="A502" t="str">
            <v>31111-0506</v>
          </cell>
          <cell r="B502" t="str">
            <v>DIR. TRANSITO Y VIALIDAD</v>
          </cell>
        </row>
        <row r="503">
          <cell r="A503" t="str">
            <v>31111-0507</v>
          </cell>
          <cell r="B503" t="str">
            <v>INFOPOL</v>
          </cell>
        </row>
        <row r="504">
          <cell r="A504" t="str">
            <v>31111-0508</v>
          </cell>
          <cell r="B504" t="str">
            <v>UNIDAD MUNICIPAL DE ACCESO A LA INFORMACIÓN</v>
          </cell>
        </row>
        <row r="505">
          <cell r="A505" t="str">
            <v>31111-0509</v>
          </cell>
          <cell r="B505" t="str">
            <v>SECRETARIA DE SEGURIDAD PUBLICA</v>
          </cell>
        </row>
        <row r="506">
          <cell r="A506" t="str">
            <v>31111-0510</v>
          </cell>
          <cell r="B506" t="str">
            <v>DIR. DE MOVILIDAD Y TRANSPORTE</v>
          </cell>
        </row>
        <row r="507">
          <cell r="A507" t="str">
            <v>31111-0601</v>
          </cell>
          <cell r="B507" t="str">
            <v>OFICIALIA MAYOR</v>
          </cell>
        </row>
        <row r="508">
          <cell r="A508" t="str">
            <v>31111-0602</v>
          </cell>
          <cell r="B508" t="str">
            <v>MANTENIMIENTO DE EDIFICIOS PÚBLICOS</v>
          </cell>
        </row>
        <row r="509">
          <cell r="A509" t="str">
            <v>31111-0603</v>
          </cell>
          <cell r="B509" t="str">
            <v>RECURSOS HUMANOS</v>
          </cell>
        </row>
        <row r="510">
          <cell r="A510" t="str">
            <v>31111-0604</v>
          </cell>
          <cell r="B510" t="str">
            <v>JUBILADOS</v>
          </cell>
        </row>
        <row r="511">
          <cell r="A511" t="str">
            <v>31111-0605</v>
          </cell>
          <cell r="B511" t="str">
            <v>COORD.DE SERVICIO SOCIAL</v>
          </cell>
        </row>
        <row r="512">
          <cell r="A512" t="str">
            <v>31111-0606</v>
          </cell>
          <cell r="B512" t="str">
            <v>INNOVACIÓN GUBERNAMENTAL</v>
          </cell>
        </row>
        <row r="513">
          <cell r="A513" t="str">
            <v>31111-0701</v>
          </cell>
          <cell r="B513" t="str">
            <v>TESORERÍA</v>
          </cell>
        </row>
        <row r="514">
          <cell r="A514" t="str">
            <v>31111-0702</v>
          </cell>
          <cell r="B514" t="str">
            <v>DIR. DE CONTABILIDAD Y PRESUPUESTO</v>
          </cell>
        </row>
        <row r="515">
          <cell r="A515" t="str">
            <v>31111-0703</v>
          </cell>
          <cell r="B515" t="str">
            <v>INGRESOS</v>
          </cell>
        </row>
        <row r="516">
          <cell r="A516" t="str">
            <v>31111-0704</v>
          </cell>
          <cell r="B516" t="str">
            <v>IMPUESTO INMOBILIARIO</v>
          </cell>
        </row>
        <row r="517">
          <cell r="A517" t="str">
            <v>31111-0705</v>
          </cell>
          <cell r="B517" t="str">
            <v>CATASTRO</v>
          </cell>
        </row>
        <row r="518">
          <cell r="A518" t="str">
            <v>31111-0706</v>
          </cell>
          <cell r="B518" t="str">
            <v>COMPRAS</v>
          </cell>
        </row>
        <row r="519">
          <cell r="A519" t="str">
            <v>31111-0707</v>
          </cell>
          <cell r="B519" t="str">
            <v>FISCALIZACIÓN</v>
          </cell>
        </row>
        <row r="520">
          <cell r="A520" t="str">
            <v>31111-0708</v>
          </cell>
          <cell r="B520" t="str">
            <v>DIR. DE SISTEMAS</v>
          </cell>
        </row>
        <row r="521">
          <cell r="A521" t="str">
            <v>31111-0709</v>
          </cell>
          <cell r="B521" t="str">
            <v>CONTROL PATRIMONIAL</v>
          </cell>
        </row>
        <row r="522">
          <cell r="A522" t="str">
            <v>31111-0710</v>
          </cell>
          <cell r="B522" t="str">
            <v>DIR. DE IMPUESTO INMOBILIARIOS Y CATASTRO</v>
          </cell>
        </row>
        <row r="523">
          <cell r="A523" t="str">
            <v>31111-0801</v>
          </cell>
          <cell r="B523" t="str">
            <v>CONTRALORIA</v>
          </cell>
        </row>
        <row r="524">
          <cell r="A524" t="str">
            <v>31111-0901</v>
          </cell>
          <cell r="B524" t="str">
            <v>DIR. DE OBRAS PÚBLICAS</v>
          </cell>
        </row>
        <row r="525">
          <cell r="A525" t="str">
            <v>31111-1001</v>
          </cell>
          <cell r="B525" t="str">
            <v>DESARROLLO URBANO</v>
          </cell>
        </row>
        <row r="526">
          <cell r="A526" t="str">
            <v>31111-1101</v>
          </cell>
          <cell r="B526" t="str">
            <v>SERVICIOS MUNICIPALES</v>
          </cell>
        </row>
        <row r="527">
          <cell r="A527" t="str">
            <v>31111-1200</v>
          </cell>
          <cell r="B527" t="str">
            <v>SECRETARIA DE SEGURIDAD CIUDADANA</v>
          </cell>
        </row>
        <row r="528">
          <cell r="A528" t="str">
            <v>31111-1201</v>
          </cell>
          <cell r="B528" t="str">
            <v>DIR. GENERAL DE POLICÍA MUNICIPAL</v>
          </cell>
        </row>
        <row r="529">
          <cell r="A529" t="str">
            <v>31111-1202</v>
          </cell>
          <cell r="B529" t="str">
            <v>DIR.GENERAL DE TRÁNSITO Y POLICÍA VIAL</v>
          </cell>
        </row>
        <row r="530">
          <cell r="A530" t="str">
            <v>31111-1203</v>
          </cell>
          <cell r="B530" t="str">
            <v>DIR. DEL INSTITUTO PARA LA FORMACIÓN POLICIAL</v>
          </cell>
        </row>
        <row r="531">
          <cell r="A531" t="str">
            <v>31111-1204</v>
          </cell>
          <cell r="B531" t="str">
            <v>DIR. DE PROTECCIÓN CIVIL Y BOMBEROS</v>
          </cell>
        </row>
        <row r="532">
          <cell r="A532" t="str">
            <v>31111-1205</v>
          </cell>
          <cell r="B532" t="str">
            <v>DIR. DE FISCALIZACIÓN</v>
          </cell>
        </row>
        <row r="533">
          <cell r="A533" t="str">
            <v>31111-1301</v>
          </cell>
          <cell r="B533" t="str">
            <v>OBRA PÙBLICA</v>
          </cell>
        </row>
        <row r="534">
          <cell r="A534" t="str">
            <v>31111-1401</v>
          </cell>
          <cell r="B534" t="str">
            <v>SECRETARIA DE SEGURIDAD PÙBLICA</v>
          </cell>
        </row>
        <row r="535">
          <cell r="A535" t="str">
            <v>31111-1501</v>
          </cell>
          <cell r="B535" t="str">
            <v>DIR. DE MEDIO AMBIENTE Y ECOLOGIA</v>
          </cell>
        </row>
        <row r="536">
          <cell r="A536" t="str">
            <v>31120-8201</v>
          </cell>
          <cell r="B536" t="str">
            <v>SISTEMA MUNICIPAL DIF</v>
          </cell>
        </row>
        <row r="537">
          <cell r="A537" t="str">
            <v>31120-8301</v>
          </cell>
          <cell r="B537" t="str">
            <v>SISTEMA DE CULTURA FISICA Y DEPORTE DEL MUNICIPIO DE CELAYA</v>
          </cell>
        </row>
        <row r="538">
          <cell r="A538" t="str">
            <v>31120-8401</v>
          </cell>
          <cell r="B538" t="str">
            <v>INSTITUTO MUNICIPAL DE  ARTE Y CULTURA</v>
          </cell>
        </row>
        <row r="539">
          <cell r="A539" t="str">
            <v>31120-8501</v>
          </cell>
          <cell r="B539" t="str">
            <v>PATRONATO DE LA FERIA</v>
          </cell>
        </row>
        <row r="540">
          <cell r="A540" t="str">
            <v>31120-8601</v>
          </cell>
          <cell r="B540" t="str">
            <v>INSTITUTO MUNICIPAL  DE VIVIENDA</v>
          </cell>
        </row>
        <row r="541">
          <cell r="A541" t="str">
            <v>31120-8701</v>
          </cell>
          <cell r="B541" t="str">
            <v>INSTITUTO MUNICIPAL  DE ECOLOGÍA</v>
          </cell>
        </row>
        <row r="542">
          <cell r="A542" t="str">
            <v>31120-8801</v>
          </cell>
          <cell r="B542" t="str">
            <v>INSTITUTO DE PLANEACIÓN, INVESTIGACIÒN.</v>
          </cell>
        </row>
        <row r="543">
          <cell r="A543" t="str">
            <v>31120-8901</v>
          </cell>
          <cell r="B543" t="str">
            <v>INSTITUTO MUNICIPAL DE LA MUJER CELAYENSE</v>
          </cell>
        </row>
        <row r="544">
          <cell r="A544" t="str">
            <v>31120-9001</v>
          </cell>
          <cell r="B544" t="str">
            <v>PATRONATO PARQUE XOCHIPILLI</v>
          </cell>
        </row>
        <row r="545">
          <cell r="A545" t="str">
            <v>31120-9101</v>
          </cell>
          <cell r="B545" t="str">
            <v>CONSEJO DE TURISMO DE CELAYA</v>
          </cell>
        </row>
        <row r="546">
          <cell r="A546" t="str">
            <v>31120-9201</v>
          </cell>
          <cell r="B546" t="str">
            <v>INSTITUTO MUNICIPAL DE LA JUVENTUD</v>
          </cell>
        </row>
        <row r="547">
          <cell r="A547" t="str">
            <v>31120-9301</v>
          </cell>
          <cell r="B547" t="str">
            <v>JUNTA MUNICIPAL DE AGUA POTABLE Y ALCANTARILLADO</v>
          </cell>
        </row>
        <row r="548">
          <cell r="A548" t="str">
            <v>31120-9401</v>
          </cell>
          <cell r="B548" t="str">
            <v>INSTITUTO MUNICIPAL PARA LA INCLUSIÓN Y ATENCIÓN DE PERSONAS CON DISCAPACIDAD</v>
          </cell>
        </row>
        <row r="549">
          <cell r="A549" t="str">
            <v>E0008</v>
          </cell>
          <cell r="B549" t="str">
            <v>ATENCIÓN CIUDADANA</v>
          </cell>
        </row>
        <row r="550">
          <cell r="A550" t="str">
            <v>E0019</v>
          </cell>
          <cell r="B550" t="str">
            <v>ESTRUCTURA CENTRALIZADA COMISIONADA A BIBLIOTECAS.</v>
          </cell>
        </row>
        <row r="551">
          <cell r="A551" t="str">
            <v>E0016</v>
          </cell>
          <cell r="B551" t="str">
            <v>CENTROS CASA</v>
          </cell>
        </row>
        <row r="552">
          <cell r="A552" t="str">
            <v>E0017</v>
          </cell>
          <cell r="B552" t="str">
            <v>ADMINISTRACIÓN INTERNA SALUD</v>
          </cell>
        </row>
        <row r="553">
          <cell r="A553" t="str">
            <v>E0018</v>
          </cell>
          <cell r="B553" t="str">
            <v>PREVENCIÓN Y CONTROL DE RABIA</v>
          </cell>
        </row>
        <row r="554">
          <cell r="A554" t="str">
            <v>E0044</v>
          </cell>
          <cell r="B554" t="str">
            <v>JUECES CALIFICADORES</v>
          </cell>
        </row>
        <row r="555">
          <cell r="A555" t="str">
            <v>E0045</v>
          </cell>
          <cell r="B555" t="str">
            <v>PROGRAMA SERVICIO MILITAR NACIONAL</v>
          </cell>
        </row>
        <row r="556">
          <cell r="A556" t="str">
            <v>E0046</v>
          </cell>
          <cell r="B556" t="str">
            <v>CONTRATOS, TITULACIÓN Y ATENCIÓN A PROCESOS LEGALES</v>
          </cell>
        </row>
        <row r="557">
          <cell r="A557" t="str">
            <v>E0048</v>
          </cell>
          <cell r="B557" t="str">
            <v>PASAPORTES Y ASUNTOS CONSULARES</v>
          </cell>
        </row>
        <row r="558">
          <cell r="A558" t="str">
            <v>E0050</v>
          </cell>
          <cell r="B558" t="str">
            <v>PREVENCIÓN. MITIGACIÓN DE RIESGOS Y CONTROL DE INCENDIOS</v>
          </cell>
        </row>
        <row r="559">
          <cell r="A559" t="str">
            <v>E0052</v>
          </cell>
          <cell r="B559" t="str">
            <v>JUSTICIA EXPEDITA</v>
          </cell>
        </row>
        <row r="560">
          <cell r="A560" t="str">
            <v>E0054</v>
          </cell>
          <cell r="B560" t="str">
            <v>SERVICIO DE LICENCIAS E INFRACCIONES</v>
          </cell>
        </row>
        <row r="561">
          <cell r="A561" t="str">
            <v>E0055</v>
          </cell>
          <cell r="B561" t="str">
            <v xml:space="preserve">PROG. OPERATIVO DE TRANSPORTE, VIALIDAD </v>
          </cell>
        </row>
        <row r="562">
          <cell r="A562" t="str">
            <v>E0056</v>
          </cell>
          <cell r="B562" t="str">
            <v>SERVICIO ADMINISTRATIVO</v>
          </cell>
        </row>
        <row r="563">
          <cell r="A563" t="str">
            <v>E0075</v>
          </cell>
          <cell r="B563" t="str">
            <v>ADMINISTRACIÓN INMOBILIARIA</v>
          </cell>
        </row>
        <row r="564">
          <cell r="A564" t="str">
            <v>E0080</v>
          </cell>
          <cell r="B564" t="str">
            <v>COMERCIO EN LA VÍA PÚBLICA</v>
          </cell>
        </row>
        <row r="565">
          <cell r="A565" t="str">
            <v>E0081</v>
          </cell>
          <cell r="B565" t="str">
            <v>MERCADOS Y TIANGUIS</v>
          </cell>
        </row>
        <row r="566">
          <cell r="A566" t="str">
            <v>E0082</v>
          </cell>
          <cell r="B566" t="str">
            <v>ESTABLECIMIENTOS COMERCIALES Y DE SERVICIOS C/VTA</v>
          </cell>
        </row>
        <row r="567">
          <cell r="A567" t="str">
            <v>E0083</v>
          </cell>
          <cell r="B567" t="str">
            <v>GASTOS ADMINISTRATIVOS</v>
          </cell>
        </row>
        <row r="568">
          <cell r="A568" t="str">
            <v>E0095</v>
          </cell>
          <cell r="B568" t="str">
            <v>SUPERINTENDENCIA DE MANTENIMIENTO</v>
          </cell>
        </row>
        <row r="569">
          <cell r="A569" t="str">
            <v>E0097</v>
          </cell>
          <cell r="B569" t="str">
            <v>DIR. GENERAL</v>
          </cell>
        </row>
        <row r="570">
          <cell r="A570" t="str">
            <v>E0098</v>
          </cell>
          <cell r="B570" t="str">
            <v>DIR. DE CONTROL DEL DESARROLLO</v>
          </cell>
        </row>
        <row r="571">
          <cell r="A571" t="str">
            <v>E0101</v>
          </cell>
          <cell r="B571" t="str">
            <v>DIR. DE FRACCIONAMIENTOS</v>
          </cell>
        </row>
        <row r="572">
          <cell r="A572" t="str">
            <v>E0104</v>
          </cell>
          <cell r="B572" t="str">
            <v>ADMINISTRACION</v>
          </cell>
        </row>
        <row r="573">
          <cell r="A573" t="str">
            <v>E0105</v>
          </cell>
          <cell r="B573" t="str">
            <v>PROGRAMA MANTENIMIENTO Y CONSERVACIÓN PARQUE BICEN</v>
          </cell>
        </row>
        <row r="574">
          <cell r="A574" t="str">
            <v>E0106</v>
          </cell>
          <cell r="B574" t="str">
            <v>CELAYA NUEVA IMAGEN</v>
          </cell>
        </row>
        <row r="575">
          <cell r="A575" t="str">
            <v>E0107</v>
          </cell>
          <cell r="B575" t="str">
            <v>RASTRO MUNICIPAL</v>
          </cell>
        </row>
        <row r="576">
          <cell r="A576" t="str">
            <v>E0108</v>
          </cell>
          <cell r="B576" t="str">
            <v>CELAYA ILUMINADA</v>
          </cell>
        </row>
        <row r="577">
          <cell r="A577" t="str">
            <v>E0109</v>
          </cell>
          <cell r="B577" t="str">
            <v>PANTEONES PÚBLICOS MUNICIPALES</v>
          </cell>
        </row>
        <row r="578">
          <cell r="A578" t="str">
            <v>E0110</v>
          </cell>
          <cell r="B578" t="str">
            <v>ASEO ADMINISTRATIVO</v>
          </cell>
        </row>
        <row r="579">
          <cell r="A579" t="str">
            <v>E0111</v>
          </cell>
          <cell r="B579" t="str">
            <v>PROG. RECOLECCIÓN DE RESIDUOS SOLIDOS URBANOS</v>
          </cell>
        </row>
        <row r="580">
          <cell r="A580" t="str">
            <v>E0113</v>
          </cell>
          <cell r="B580" t="str">
            <v>PROG.TRATAMIENTO Y DISPOSICIÓN DE RESIDUOS SOLIDOS</v>
          </cell>
        </row>
        <row r="581">
          <cell r="A581" t="str">
            <v>E0116</v>
          </cell>
          <cell r="B581" t="str">
            <v>PROGRAMA OPERATIVO</v>
          </cell>
        </row>
        <row r="582">
          <cell r="A582" t="str">
            <v>E0117</v>
          </cell>
          <cell r="B582" t="str">
            <v>PROGRAMA ESPACIOS SEGUROS E ILUMINADOS</v>
          </cell>
        </row>
        <row r="583">
          <cell r="A583" t="str">
            <v>E0118</v>
          </cell>
          <cell r="B583" t="str">
            <v>EQUIPAMIENTO Y TEGNOLOGÍA</v>
          </cell>
        </row>
        <row r="584">
          <cell r="A584" t="str">
            <v>E0159</v>
          </cell>
          <cell r="B584" t="str">
            <v>COORDINACIÓN DE AGUA POTABLE Y ALCANTARILLADO</v>
          </cell>
        </row>
        <row r="585">
          <cell r="A585" t="str">
            <v>E0162</v>
          </cell>
          <cell r="B585" t="str">
            <v>GASTOS DE TRANSICION</v>
          </cell>
        </row>
        <row r="586">
          <cell r="A586" t="str">
            <v>E0218</v>
          </cell>
          <cell r="B586" t="str">
            <v>INGENIERIA VIAL</v>
          </cell>
        </row>
        <row r="587">
          <cell r="A587" t="str">
            <v>E0274</v>
          </cell>
          <cell r="B587" t="str">
            <v>PROGRAMA C-4</v>
          </cell>
        </row>
        <row r="588">
          <cell r="A588" t="str">
            <v>E0288</v>
          </cell>
          <cell r="B588" t="str">
            <v>CENTENARIO DE LAS BATALLAS DE CELAYA</v>
          </cell>
        </row>
        <row r="589">
          <cell r="A589" t="str">
            <v>E0289</v>
          </cell>
          <cell r="B589" t="str">
            <v>MERCADO SAN JUAN DE LA VEGA</v>
          </cell>
        </row>
        <row r="590">
          <cell r="A590" t="str">
            <v>E0292</v>
          </cell>
          <cell r="B590" t="str">
            <v xml:space="preserve">PROGRAMA SERVICIOS DE CALIDAD  </v>
          </cell>
        </row>
        <row r="591">
          <cell r="A591" t="str">
            <v>E0295</v>
          </cell>
          <cell r="B591" t="str">
            <v>PROG. MODERNIZACION DEL TRANSPORTE</v>
          </cell>
        </row>
        <row r="592">
          <cell r="A592" t="str">
            <v>E0297</v>
          </cell>
          <cell r="B592" t="str">
            <v>PROG. FIESTAS PATRONALES</v>
          </cell>
        </row>
        <row r="593">
          <cell r="A593" t="str">
            <v>E0305</v>
          </cell>
          <cell r="B593" t="str">
            <v>UNIDAD ADMINISTRATIVA</v>
          </cell>
        </row>
        <row r="594">
          <cell r="A594" t="str">
            <v>E0306</v>
          </cell>
          <cell r="B594" t="str">
            <v>MEDIO AMBIENTE Y ECOLOGIA</v>
          </cell>
        </row>
        <row r="595">
          <cell r="A595" t="str">
            <v>E0307</v>
          </cell>
          <cell r="B595" t="str">
            <v>UNIDAD DE PREVENCIÓN Y CONTROL AMBIENTAL</v>
          </cell>
        </row>
        <row r="596">
          <cell r="A596" t="str">
            <v>E0308</v>
          </cell>
          <cell r="B596" t="str">
            <v>UNIDAD DE PLANEACIÓN Y GESTIÓN</v>
          </cell>
        </row>
        <row r="597">
          <cell r="A597" t="str">
            <v>E0309</v>
          </cell>
          <cell r="B597" t="str">
            <v>UNIDAD DE RECURSOS NATURALES Y ORDENAMIENTO ECOLOGICO</v>
          </cell>
        </row>
        <row r="598">
          <cell r="A598" t="str">
            <v>E0310</v>
          </cell>
          <cell r="B598" t="str">
            <v>PROYECTOS SMAOT</v>
          </cell>
        </row>
        <row r="599">
          <cell r="A599" t="str">
            <v>E0311</v>
          </cell>
          <cell r="B599" t="str">
            <v xml:space="preserve">CENTRO DE ASISTENCIA ANIMAL </v>
          </cell>
        </row>
        <row r="600">
          <cell r="A600" t="str">
            <v>F0040</v>
          </cell>
          <cell r="B600" t="str">
            <v>COMUNICACIÓN SOCIAL</v>
          </cell>
        </row>
        <row r="601">
          <cell r="A601" t="str">
            <v>F0041</v>
          </cell>
          <cell r="B601" t="str">
            <v>RELACIONES PÚBLICAS</v>
          </cell>
        </row>
        <row r="602">
          <cell r="A602" t="str">
            <v>J0068</v>
          </cell>
          <cell r="B602" t="str">
            <v>JUBILADOS</v>
          </cell>
        </row>
        <row r="603">
          <cell r="A603" t="str">
            <v>K0002</v>
          </cell>
          <cell r="B603" t="str">
            <v>PROGRAMA ATRACCION DE INVERSIONES</v>
          </cell>
        </row>
        <row r="604">
          <cell r="A604" t="str">
            <v>K0003</v>
          </cell>
          <cell r="B604" t="str">
            <v>MIPYMES Y MEJORA REGULATORIA</v>
          </cell>
        </row>
        <row r="605">
          <cell r="A605" t="str">
            <v>K0280</v>
          </cell>
          <cell r="B605" t="str">
            <v>EQUIPAMIENTO DE LA RED DE SEMAFOROS DE LA ZONA SUR</v>
          </cell>
        </row>
        <row r="606">
          <cell r="A606" t="str">
            <v>K0281</v>
          </cell>
          <cell r="B606" t="str">
            <v>CONCLUSION DEL SEGUNDO ANILLO VIAL, TRAMO SURORIEN</v>
          </cell>
        </row>
        <row r="607">
          <cell r="A607" t="str">
            <v>K0282</v>
          </cell>
          <cell r="B607" t="str">
            <v>SEÑALETICA VIAL,CICLOVIA Y/O MOBILIARIO URBANO</v>
          </cell>
        </row>
        <row r="608">
          <cell r="A608" t="str">
            <v>K0283</v>
          </cell>
          <cell r="B608" t="str">
            <v>REHABILITACION DE POSTES Y LUMINARIAS</v>
          </cell>
        </row>
        <row r="609">
          <cell r="A609" t="str">
            <v>K0284</v>
          </cell>
          <cell r="B609" t="str">
            <v>OBRA CIVIL EN SUPERFICIE VIAL</v>
          </cell>
        </row>
        <row r="610">
          <cell r="A610" t="str">
            <v>K0285</v>
          </cell>
          <cell r="B610" t="str">
            <v>REHABILITACION DE AREAS VERDES</v>
          </cell>
        </row>
        <row r="611">
          <cell r="A611" t="str">
            <v>K0298</v>
          </cell>
          <cell r="B611" t="str">
            <v>REHABILITACION AREAS VERDES BULEVAR ALM</v>
          </cell>
        </row>
        <row r="612">
          <cell r="A612" t="str">
            <v>M0073</v>
          </cell>
          <cell r="B612" t="str">
            <v>CONTABILIDAD Y  PRESUPUESTO</v>
          </cell>
        </row>
        <row r="613">
          <cell r="A613" t="str">
            <v>O0001</v>
          </cell>
          <cell r="B613" t="str">
            <v>GASTOS ADMINISTRATIVOS</v>
          </cell>
        </row>
        <row r="614">
          <cell r="A614" t="str">
            <v>O0005</v>
          </cell>
          <cell r="B614" t="str">
            <v>GASTOS ADMINISTRATIVOS</v>
          </cell>
        </row>
        <row r="615">
          <cell r="A615" t="str">
            <v>O0015</v>
          </cell>
          <cell r="B615" t="str">
            <v>GASTOS ADMINISTRATIVOS</v>
          </cell>
        </row>
        <row r="616">
          <cell r="A616" t="str">
            <v>O0020</v>
          </cell>
          <cell r="B616" t="str">
            <v>GASTOS ADMINISTRATIVOS</v>
          </cell>
        </row>
        <row r="617">
          <cell r="A617" t="str">
            <v>O0033</v>
          </cell>
          <cell r="B617" t="str">
            <v>GASTOS ADMINISTRATIVOS</v>
          </cell>
        </row>
        <row r="618">
          <cell r="A618" t="str">
            <v>O0035</v>
          </cell>
          <cell r="B618" t="str">
            <v>GASTOS OPERATIVOS</v>
          </cell>
        </row>
        <row r="619">
          <cell r="A619" t="str">
            <v>O0036</v>
          </cell>
          <cell r="B619" t="str">
            <v>GESTIÓN CIUDADANA</v>
          </cell>
        </row>
        <row r="620">
          <cell r="A620" t="str">
            <v>O0037</v>
          </cell>
          <cell r="B620" t="str">
            <v>ATENCIONES DEL PRESIDENTE</v>
          </cell>
        </row>
        <row r="621">
          <cell r="A621" t="str">
            <v>O0038</v>
          </cell>
          <cell r="B621" t="str">
            <v>MODULO DE ATENCIÓN PERSONALIZADA</v>
          </cell>
        </row>
        <row r="622">
          <cell r="A622" t="str">
            <v>O0039</v>
          </cell>
          <cell r="B622" t="str">
            <v>GESTIÓN FINANCIERA</v>
          </cell>
        </row>
        <row r="623">
          <cell r="A623" t="str">
            <v>O0040</v>
          </cell>
          <cell r="B623" t="str">
            <v>CRONICA MUNICIPAL</v>
          </cell>
        </row>
        <row r="624">
          <cell r="A624" t="str">
            <v>O0058</v>
          </cell>
          <cell r="B624" t="str">
            <v>DIFUSIÓN DE LA UNIDAD DE ACCESO</v>
          </cell>
        </row>
        <row r="625">
          <cell r="A625" t="str">
            <v>O0059</v>
          </cell>
          <cell r="B625" t="str">
            <v>COORDINACIÓN DE ARCHIVOS</v>
          </cell>
        </row>
        <row r="626">
          <cell r="A626" t="str">
            <v>O0060</v>
          </cell>
          <cell r="B626" t="str">
            <v>ADMINISTRACIÓN DE LA OFICIALIA</v>
          </cell>
        </row>
        <row r="627">
          <cell r="A627" t="str">
            <v>O0062</v>
          </cell>
          <cell r="B627" t="str">
            <v>MANTENIMIENTO DE BIENES MUEBLES Y ESTACIONAMIENTO</v>
          </cell>
        </row>
        <row r="628">
          <cell r="A628" t="str">
            <v>O0063</v>
          </cell>
          <cell r="B628" t="str">
            <v>ADMINISTRACIÓN DE RECURSOS HUMANOS</v>
          </cell>
        </row>
        <row r="629">
          <cell r="A629" t="str">
            <v>O0069</v>
          </cell>
          <cell r="B629" t="str">
            <v>SERVICIO SOCIAL Y PRÁCTICAS PROFESIONALES</v>
          </cell>
        </row>
        <row r="630">
          <cell r="A630" t="str">
            <v>O0070</v>
          </cell>
          <cell r="B630" t="str">
            <v>GASTOS ADMINISTRATIVOS</v>
          </cell>
        </row>
        <row r="631">
          <cell r="A631" t="str">
            <v>O0071</v>
          </cell>
          <cell r="B631" t="str">
            <v>SEGUIMIENTO POA 2012</v>
          </cell>
        </row>
        <row r="632">
          <cell r="A632" t="str">
            <v>O0072</v>
          </cell>
          <cell r="B632" t="str">
            <v>ADMINISTRACIÓN DE LA HACIENDA PÚBLICA</v>
          </cell>
        </row>
        <row r="633">
          <cell r="A633" t="str">
            <v>O0074</v>
          </cell>
          <cell r="B633" t="str">
            <v>RECAUDACION DE INGRESOS MUNICIPALES</v>
          </cell>
        </row>
        <row r="634">
          <cell r="A634" t="str">
            <v>O0076</v>
          </cell>
          <cell r="B634" t="str">
            <v>PROGRAMA GEOMÁTICA, PROCESAMIENTO Y ACTUALIZACIÓN</v>
          </cell>
        </row>
        <row r="635">
          <cell r="A635" t="str">
            <v>O0078</v>
          </cell>
          <cell r="B635" t="str">
            <v>ACT. PADRON DE PROVEEDORES, EMISIÓN DE ORDENES DE COMPRA</v>
          </cell>
        </row>
        <row r="636">
          <cell r="A636" t="str">
            <v>O0084</v>
          </cell>
          <cell r="B636" t="str">
            <v>PROG. DE DESARROLLO INFORMÁTICO</v>
          </cell>
        </row>
        <row r="637">
          <cell r="A637" t="str">
            <v>O0085</v>
          </cell>
          <cell r="B637" t="str">
            <v>REDES Y TELECOMUNICACIONES</v>
          </cell>
        </row>
        <row r="638">
          <cell r="A638" t="str">
            <v>O0086</v>
          </cell>
          <cell r="B638" t="str">
            <v>CONTROL DE ALMACÉN</v>
          </cell>
        </row>
        <row r="639">
          <cell r="A639" t="str">
            <v>O0087</v>
          </cell>
          <cell r="B639" t="str">
            <v>BIENES MUEBLES E INMUEBLES</v>
          </cell>
        </row>
        <row r="640">
          <cell r="A640" t="str">
            <v>O0090</v>
          </cell>
          <cell r="B640" t="str">
            <v>GASTOS ADMINISTRATIVOS</v>
          </cell>
        </row>
        <row r="641">
          <cell r="A641" t="str">
            <v>O0091</v>
          </cell>
          <cell r="B641" t="str">
            <v>AUDITORIAS</v>
          </cell>
        </row>
        <row r="642">
          <cell r="A642" t="str">
            <v>O0092</v>
          </cell>
          <cell r="B642" t="str">
            <v>ASUNTOS JURÍDICOS</v>
          </cell>
        </row>
        <row r="643">
          <cell r="A643" t="str">
            <v>O0093</v>
          </cell>
          <cell r="B643" t="str">
            <v>PROGRAMA ANUAL DE OBRAS Y CONTROL ADMINISTRATIVO</v>
          </cell>
        </row>
        <row r="644">
          <cell r="A644" t="str">
            <v>O0094</v>
          </cell>
          <cell r="B644" t="str">
            <v xml:space="preserve">CONTROL TÉCNICO Y SUPERVISIÓN </v>
          </cell>
        </row>
        <row r="645">
          <cell r="A645" t="str">
            <v>O0117</v>
          </cell>
          <cell r="B645" t="str">
            <v>PROFESIONALIZACIÓN DEL POLICÍA</v>
          </cell>
        </row>
        <row r="646">
          <cell r="A646" t="str">
            <v>O0119</v>
          </cell>
          <cell r="B646" t="str">
            <v>PROG. FORTASEG</v>
          </cell>
        </row>
        <row r="647">
          <cell r="A647" t="str">
            <v>O0158</v>
          </cell>
          <cell r="B647" t="str">
            <v>PROGRAMA PREVENTIVOS Y DE PARTICIPACIÓN SOCIAL</v>
          </cell>
        </row>
        <row r="648">
          <cell r="A648" t="str">
            <v>O0220</v>
          </cell>
          <cell r="B648" t="str">
            <v>PARQUE BICENTENARIO</v>
          </cell>
        </row>
        <row r="649">
          <cell r="A649" t="str">
            <v>O0221</v>
          </cell>
          <cell r="B649" t="str">
            <v>PROG DE SEGURIDAD PÚBLICA CON UNA VISIÓN CIUDADANA</v>
          </cell>
        </row>
        <row r="650">
          <cell r="A650" t="str">
            <v>O0222</v>
          </cell>
          <cell r="B650" t="str">
            <v>POR ASIGNAR</v>
          </cell>
        </row>
        <row r="651">
          <cell r="A651" t="str">
            <v>O0223</v>
          </cell>
          <cell r="B651" t="str">
            <v>VIVIENDA</v>
          </cell>
        </row>
        <row r="652">
          <cell r="A652" t="str">
            <v>O0262</v>
          </cell>
          <cell r="B652" t="str">
            <v>GASTOS ADMINISTRATIVOS</v>
          </cell>
        </row>
        <row r="653">
          <cell r="A653" t="str">
            <v>O0267</v>
          </cell>
          <cell r="B653" t="str">
            <v>EJECUCIÓN Y SEGUIMIENTO</v>
          </cell>
        </row>
        <row r="654">
          <cell r="A654" t="str">
            <v>P0042</v>
          </cell>
          <cell r="B654" t="str">
            <v>PROG. ADMINISTRATIVO SECRETARIA DEL AYUNTAMIENTO</v>
          </cell>
        </row>
        <row r="655">
          <cell r="A655" t="str">
            <v>P0285</v>
          </cell>
          <cell r="B655" t="str">
            <v>PLANEACION Y ESTUDIO</v>
          </cell>
        </row>
        <row r="656">
          <cell r="A656" t="str">
            <v>P0286</v>
          </cell>
          <cell r="B656" t="str">
            <v>PROCESOS ADMINISTRATIVOS Y GESTION JURIDICA</v>
          </cell>
        </row>
        <row r="657">
          <cell r="A657" t="str">
            <v>P0287</v>
          </cell>
          <cell r="B657" t="str">
            <v>COORDINACION OPERATIVA</v>
          </cell>
        </row>
        <row r="658">
          <cell r="A658" t="str">
            <v>Q0280</v>
          </cell>
          <cell r="B658" t="str">
            <v>EQUIPAMIENTO DE LA RED DE SEMAFOROS DE LA ZONA SUR</v>
          </cell>
        </row>
        <row r="659">
          <cell r="A659" t="str">
            <v>Q0281</v>
          </cell>
          <cell r="B659" t="str">
            <v>CONCLUSION DEL SEGUNDO ANILLO VIAL, TRAMO SURORIEN</v>
          </cell>
        </row>
        <row r="660">
          <cell r="A660" t="str">
            <v>Q0282</v>
          </cell>
          <cell r="B660" t="str">
            <v>SEÑALETICA VIAL,CICLOVIA Y/O MOBILIARIO URBANO</v>
          </cell>
        </row>
        <row r="661">
          <cell r="A661" t="str">
            <v>Q0283</v>
          </cell>
          <cell r="B661" t="str">
            <v>REHABILITACION DE POSTES Y LUMINARIAS</v>
          </cell>
        </row>
        <row r="662">
          <cell r="A662" t="str">
            <v>Q0284</v>
          </cell>
          <cell r="B662" t="str">
            <v>OBRA CIVIL EN SUPERFICIE VIAL</v>
          </cell>
        </row>
        <row r="663">
          <cell r="A663" t="str">
            <v>Q0285</v>
          </cell>
          <cell r="B663" t="str">
            <v>REHABILITACION DE AREAS VERDES</v>
          </cell>
        </row>
        <row r="664">
          <cell r="A664" t="str">
            <v>R0034</v>
          </cell>
          <cell r="B664" t="str">
            <v>MANTENIMIENTO DE ESPACIOS DEPORTIVOS</v>
          </cell>
        </row>
        <row r="665">
          <cell r="A665" t="str">
            <v>R0043</v>
          </cell>
          <cell r="B665" t="str">
            <v>COORDINACIÓN DE DELEGADOS</v>
          </cell>
        </row>
        <row r="666">
          <cell r="A666" t="str">
            <v>R0057</v>
          </cell>
          <cell r="B666" t="str">
            <v>CARRERA TÉCNICA</v>
          </cell>
        </row>
        <row r="667">
          <cell r="A667" t="str">
            <v>R0137</v>
          </cell>
          <cell r="B667" t="str">
            <v>DEUDA PÚBLICA</v>
          </cell>
        </row>
        <row r="668">
          <cell r="A668" t="str">
            <v>R0138</v>
          </cell>
          <cell r="B668" t="str">
            <v>OBRA PÚBLICA RECURSO DE LIBRE DISPOSICIÓN</v>
          </cell>
        </row>
        <row r="669">
          <cell r="A669" t="str">
            <v>R0139</v>
          </cell>
          <cell r="B669" t="str">
            <v>OBRA PÚBLICA RECURSO FAISM</v>
          </cell>
        </row>
        <row r="670">
          <cell r="A670" t="str">
            <v>R0140</v>
          </cell>
          <cell r="B670" t="str">
            <v>OBRA PÚBLICA RECURSO FORTAMUN</v>
          </cell>
        </row>
        <row r="671">
          <cell r="A671" t="str">
            <v>R0157</v>
          </cell>
          <cell r="B671" t="str">
            <v>PROG ESTATALES Y FEDERALES</v>
          </cell>
        </row>
        <row r="672">
          <cell r="A672" t="str">
            <v>R0158</v>
          </cell>
          <cell r="B672" t="str">
            <v>ACONDICIONAMIENTO PARQUE XOCHIPILLI</v>
          </cell>
        </row>
        <row r="673">
          <cell r="A673" t="str">
            <v>R0169</v>
          </cell>
          <cell r="B673" t="str">
            <v>REMANENTE RECURSOS FAISM 2011</v>
          </cell>
        </row>
        <row r="674">
          <cell r="A674" t="str">
            <v>R0170</v>
          </cell>
          <cell r="B674" t="str">
            <v>REMANENTE RECURSOS FAISM 2010</v>
          </cell>
        </row>
        <row r="675">
          <cell r="A675" t="str">
            <v>R0171</v>
          </cell>
          <cell r="B675" t="str">
            <v>REMANENTE RECURSOS FAISM 2009</v>
          </cell>
        </row>
        <row r="676">
          <cell r="A676" t="str">
            <v>R0172</v>
          </cell>
          <cell r="B676" t="str">
            <v>REMANENTE RECURSOS FAISM 2008</v>
          </cell>
        </row>
        <row r="677">
          <cell r="A677" t="str">
            <v>R0173</v>
          </cell>
          <cell r="B677" t="str">
            <v>REMANENTE RECURSOS FAISM 2005-2007</v>
          </cell>
        </row>
        <row r="678">
          <cell r="A678" t="str">
            <v>R0174</v>
          </cell>
          <cell r="B678" t="str">
            <v>REMANENTE RECURSOS FORTAMUN 2011</v>
          </cell>
        </row>
        <row r="679">
          <cell r="A679" t="str">
            <v>R0175</v>
          </cell>
          <cell r="B679" t="str">
            <v>REMANENTE RECURSOS FORTAMUN 2010</v>
          </cell>
        </row>
        <row r="680">
          <cell r="A680" t="str">
            <v>R0176</v>
          </cell>
          <cell r="B680" t="str">
            <v>REMANENTE RECURSOS FORTAMUN 2009</v>
          </cell>
        </row>
        <row r="681">
          <cell r="A681" t="str">
            <v>R0177</v>
          </cell>
          <cell r="B681" t="str">
            <v>REMANENTE RECURSOS FAISM 2015</v>
          </cell>
        </row>
        <row r="682">
          <cell r="A682" t="str">
            <v>R0178</v>
          </cell>
          <cell r="B682" t="str">
            <v>REM REC FORTAMUN 15</v>
          </cell>
        </row>
        <row r="683">
          <cell r="A683" t="str">
            <v>R0179</v>
          </cell>
          <cell r="B683" t="str">
            <v>REMANENTES PROGRAMAS ESTATALES Y FEDERALES</v>
          </cell>
        </row>
        <row r="684">
          <cell r="A684" t="str">
            <v>R0180</v>
          </cell>
          <cell r="B684" t="str">
            <v xml:space="preserve">REMANENTE RECURSO DE LIBRE DISPOSICIÓN  </v>
          </cell>
        </row>
        <row r="685">
          <cell r="A685" t="str">
            <v>R0186</v>
          </cell>
          <cell r="B685" t="str">
            <v>REMANENTE RECURSOS FAISM</v>
          </cell>
        </row>
        <row r="686">
          <cell r="A686" t="str">
            <v>R0190</v>
          </cell>
          <cell r="B686" t="str">
            <v>PROGRAMA OPERACIÓN DE PLANTA SEPARADORA DE RESIDUO</v>
          </cell>
        </row>
        <row r="687">
          <cell r="A687" t="str">
            <v>R0205</v>
          </cell>
          <cell r="B687" t="str">
            <v>REMANENTE RECURSOS FORTAMUN</v>
          </cell>
        </row>
        <row r="688">
          <cell r="A688" t="str">
            <v>R0272</v>
          </cell>
          <cell r="B688" t="str">
            <v>REMANENTE RECURSOS FAISM 2013</v>
          </cell>
        </row>
        <row r="689">
          <cell r="A689" t="str">
            <v>R0273</v>
          </cell>
          <cell r="B689" t="str">
            <v>REMANENTE RECURSOS ESTATALES Y FEDERALES 2013</v>
          </cell>
        </row>
        <row r="690">
          <cell r="A690" t="str">
            <v>R0290</v>
          </cell>
          <cell r="B690" t="str">
            <v>REMANENTE RECURSOS FAISM 2014</v>
          </cell>
        </row>
        <row r="691">
          <cell r="A691" t="str">
            <v>R0291</v>
          </cell>
          <cell r="B691" t="str">
            <v>REMANENTE RECURSOS FORTAMUN 2014</v>
          </cell>
        </row>
        <row r="692">
          <cell r="A692" t="str">
            <v>R0292</v>
          </cell>
          <cell r="B692" t="str">
            <v>REMANENTE RECURSOS ESTATALES Y FEDERALES 2014</v>
          </cell>
        </row>
        <row r="693">
          <cell r="A693" t="str">
            <v>R0293</v>
          </cell>
          <cell r="B693" t="str">
            <v>REMANENTE RECURSOS ESTATALES Y FEDERALES 2014</v>
          </cell>
        </row>
        <row r="694">
          <cell r="A694" t="str">
            <v>R0302</v>
          </cell>
          <cell r="B694" t="str">
            <v>PROG. INFRAESTRUCTURA DEPORTIVA (OBRA)</v>
          </cell>
        </row>
        <row r="695">
          <cell r="A695" t="str">
            <v>R0303</v>
          </cell>
          <cell r="B695" t="str">
            <v>PROG. HABITAT (OBRA)</v>
          </cell>
        </row>
        <row r="696">
          <cell r="A696" t="str">
            <v>R0304</v>
          </cell>
          <cell r="B696" t="str">
            <v>PROG. RESCATE DE ESPACIOS PÚBLICOS (OBRA)</v>
          </cell>
        </row>
        <row r="697">
          <cell r="A697" t="str">
            <v>S0012</v>
          </cell>
          <cell r="B697" t="str">
            <v xml:space="preserve">PROG.  MI COLONIA A COLOR  </v>
          </cell>
        </row>
        <row r="698">
          <cell r="A698" t="str">
            <v>S0013</v>
          </cell>
          <cell r="B698" t="str">
            <v>PROGRAMA HABITAT</v>
          </cell>
        </row>
        <row r="699">
          <cell r="A699" t="str">
            <v>S0014</v>
          </cell>
          <cell r="B699" t="str">
            <v>PROGRAMA RESCATE DE ESPACIOS PÚBLICOS</v>
          </cell>
        </row>
        <row r="700">
          <cell r="A700" t="str">
            <v>S0022</v>
          </cell>
          <cell r="B700" t="str">
            <v>PROGRAMA CAMINO SACACOSECHAS</v>
          </cell>
        </row>
        <row r="701">
          <cell r="A701" t="str">
            <v>S0023</v>
          </cell>
          <cell r="B701" t="str">
            <v>BORDERIA</v>
          </cell>
        </row>
        <row r="702">
          <cell r="A702" t="str">
            <v>S0024</v>
          </cell>
          <cell r="B702" t="str">
            <v>PROGRAMA VIVIENDA DIGNA</v>
          </cell>
        </row>
        <row r="703">
          <cell r="A703" t="str">
            <v>S0025</v>
          </cell>
          <cell r="B703" t="str">
            <v>PROG. TRABAJEMOS JUNTOS</v>
          </cell>
        </row>
        <row r="704">
          <cell r="A704" t="str">
            <v>S0027</v>
          </cell>
          <cell r="B704" t="str">
            <v>PROGRAMA MEJORAMIENTO DE VIVIENDA TECHO SEGURO</v>
          </cell>
        </row>
        <row r="705">
          <cell r="A705" t="str">
            <v>S0028</v>
          </cell>
          <cell r="B705" t="str">
            <v>PROG. HABITAT VERTIENTE SOCIAL</v>
          </cell>
        </row>
        <row r="706">
          <cell r="A706" t="str">
            <v>S0029</v>
          </cell>
          <cell r="B706" t="str">
            <v>PROG. PDZP (INFRAESTRUCTURA BÁSICA)</v>
          </cell>
        </row>
        <row r="707">
          <cell r="A707" t="str">
            <v>S0030</v>
          </cell>
          <cell r="B707" t="str">
            <v>PROG. PISBCC  CAMBIAR NOMBRE</v>
          </cell>
        </row>
        <row r="708">
          <cell r="A708" t="str">
            <v>S0031</v>
          </cell>
          <cell r="B708" t="str">
            <v xml:space="preserve">PROG. PSBMC </v>
          </cell>
        </row>
        <row r="709">
          <cell r="A709" t="str">
            <v>S0032</v>
          </cell>
          <cell r="B709" t="str">
            <v>PROG. PDZP (MEJORAMIENTO DE VIVIENDA)</v>
          </cell>
        </row>
        <row r="710">
          <cell r="A710" t="str">
            <v>S0033</v>
          </cell>
          <cell r="B710" t="str">
            <v>PROG. PIDH VIVE MEJOR</v>
          </cell>
        </row>
        <row r="711">
          <cell r="A711" t="str">
            <v>S0034</v>
          </cell>
          <cell r="B711" t="str">
            <v>PROG. HABITAT INFRAESTRUCTURA</v>
          </cell>
        </row>
        <row r="712">
          <cell r="A712" t="str">
            <v>S0035</v>
          </cell>
          <cell r="B712" t="str">
            <v xml:space="preserve">PROG. RESCATE DE ESPACIOS PÚBLICOS </v>
          </cell>
        </row>
        <row r="713">
          <cell r="A713" t="str">
            <v>S0036</v>
          </cell>
          <cell r="B713" t="str">
            <v>EQUIP. CENTRO DE IMPULSO XOCHIPILLI</v>
          </cell>
        </row>
        <row r="714">
          <cell r="A714" t="str">
            <v>S0037</v>
          </cell>
          <cell r="B714" t="str">
            <v>PROG. PARA LA RECONSTRUCCIÓN  DEL TEJIDO SOCIAL</v>
          </cell>
        </row>
        <row r="715">
          <cell r="A715" t="str">
            <v>S0038</v>
          </cell>
          <cell r="B715" t="str">
            <v xml:space="preserve">PROG. DE IMPULSO AL DESARROLLO DEL  HOGAR </v>
          </cell>
        </row>
        <row r="716">
          <cell r="A716" t="str">
            <v>S0039</v>
          </cell>
          <cell r="B716" t="str">
            <v>PROG. DE INFRAESTRUCTURA SEDATU  (CONST. CUARTOS)</v>
          </cell>
        </row>
        <row r="717">
          <cell r="A717" t="str">
            <v>S0040</v>
          </cell>
          <cell r="B717" t="str">
            <v>PROG. FORTALECE</v>
          </cell>
        </row>
        <row r="718">
          <cell r="A718" t="str">
            <v>S0041</v>
          </cell>
          <cell r="B718" t="str">
            <v>PROG. DESARROLLO  REGIONAL</v>
          </cell>
        </row>
        <row r="719">
          <cell r="A719" t="str">
            <v>S0042</v>
          </cell>
          <cell r="B719" t="str">
            <v>3X1 MIGRANTES</v>
          </cell>
        </row>
        <row r="720">
          <cell r="A720" t="str">
            <v>S0043</v>
          </cell>
          <cell r="B720" t="str">
            <v xml:space="preserve">PROG. CONECTANDO MI CAMINO </v>
          </cell>
        </row>
        <row r="721">
          <cell r="A721" t="str">
            <v>S0044</v>
          </cell>
          <cell r="B721" t="str">
            <v>PROG. DESASOLVE DE CANALES Y DRENES</v>
          </cell>
        </row>
        <row r="722">
          <cell r="A722" t="str">
            <v>S0045</v>
          </cell>
          <cell r="B722" t="str">
            <v>APOYOS POR CONVENIO A OBRAS DE INFRAESTRUCTURA   (PGO)</v>
          </cell>
        </row>
        <row r="723">
          <cell r="A723" t="str">
            <v>S0046</v>
          </cell>
          <cell r="B723" t="str">
            <v xml:space="preserve">PROG. GTO. ME MUEVE </v>
          </cell>
        </row>
        <row r="724">
          <cell r="A724" t="str">
            <v>S0047</v>
          </cell>
          <cell r="B724" t="str">
            <v>PUENTE COMONFORT-CELAYA</v>
          </cell>
        </row>
        <row r="725">
          <cell r="A725" t="str">
            <v>S0048</v>
          </cell>
          <cell r="B725" t="str">
            <v>PROYECTOS DE DESARROLLO REGIONAL</v>
          </cell>
        </row>
        <row r="726">
          <cell r="A726" t="str">
            <v>S0049</v>
          </cell>
          <cell r="B726" t="str">
            <v>METROPOLITANO</v>
          </cell>
        </row>
        <row r="727">
          <cell r="A727" t="str">
            <v>S0050</v>
          </cell>
          <cell r="B727" t="str">
            <v>CASA DE LA TIERRA</v>
          </cell>
        </row>
        <row r="728">
          <cell r="A728" t="str">
            <v>S0051</v>
          </cell>
          <cell r="B728" t="str">
            <v>PROG. CEAG</v>
          </cell>
        </row>
        <row r="729">
          <cell r="A729" t="str">
            <v>S0052</v>
          </cell>
          <cell r="B729" t="str">
            <v>PROGRAMA INFRAESTRUCTURA SALUD</v>
          </cell>
        </row>
        <row r="730">
          <cell r="A730" t="str">
            <v>S0053</v>
          </cell>
          <cell r="B730" t="str">
            <v>PROG. INFRAESTRUCTURA EDUCATIVA</v>
          </cell>
        </row>
        <row r="731">
          <cell r="A731" t="str">
            <v>S0054</v>
          </cell>
          <cell r="B731" t="str">
            <v>PROG. MEJORAMIENTO CONSERVATORIO DE MUSICA</v>
          </cell>
        </row>
        <row r="732">
          <cell r="A732" t="str">
            <v>S0055</v>
          </cell>
          <cell r="B732" t="str">
            <v>PROGRAMA DE MEJORAMIENTO DE ESPÁCIOS PÚBLICOS</v>
          </cell>
        </row>
        <row r="733">
          <cell r="A733" t="str">
            <v>S0056</v>
          </cell>
          <cell r="B733" t="str">
            <v>PROGRAMA INFRAESTRUCTURA SALUD</v>
          </cell>
        </row>
        <row r="734">
          <cell r="A734" t="str">
            <v>S0057</v>
          </cell>
          <cell r="B734" t="str">
            <v>PROGRAMA INFRAESTRURA CENTRO HISTORICO</v>
          </cell>
        </row>
        <row r="735">
          <cell r="A735" t="str">
            <v>S0058</v>
          </cell>
          <cell r="B735" t="str">
            <v xml:space="preserve">PROG. MI GANADO PRODUCTIVO </v>
          </cell>
        </row>
        <row r="736">
          <cell r="A736" t="str">
            <v>S0059</v>
          </cell>
          <cell r="B736" t="str">
            <v xml:space="preserve">PIESCC  </v>
          </cell>
        </row>
        <row r="737">
          <cell r="A737" t="str">
            <v>S0060</v>
          </cell>
          <cell r="B737" t="str">
            <v>FIMETRO</v>
          </cell>
        </row>
        <row r="738">
          <cell r="A738" t="str">
            <v>S0061</v>
          </cell>
          <cell r="B738" t="str">
            <v>MEJORAMIENTO DE VIVIENDA SEDATU</v>
          </cell>
        </row>
        <row r="739">
          <cell r="A739" t="str">
            <v>S0062</v>
          </cell>
          <cell r="B739" t="str">
            <v>CASA DE LA TIERRA</v>
          </cell>
        </row>
        <row r="740">
          <cell r="A740" t="str">
            <v>S0063</v>
          </cell>
          <cell r="B740" t="str">
            <v>PIECIS</v>
          </cell>
        </row>
        <row r="741">
          <cell r="A741" t="str">
            <v>S0064</v>
          </cell>
          <cell r="B741" t="str">
            <v xml:space="preserve">SEDESHU </v>
          </cell>
        </row>
        <row r="742">
          <cell r="A742" t="str">
            <v>S0065</v>
          </cell>
          <cell r="B742" t="str">
            <v>PROGRAMA LIMPIEZA Y REFORZAMIENTO</v>
          </cell>
        </row>
        <row r="743">
          <cell r="A743" t="str">
            <v>S0066</v>
          </cell>
          <cell r="B743" t="str">
            <v>PROG.EMBELLECIENDO MI COLONIA</v>
          </cell>
        </row>
        <row r="744">
          <cell r="A744" t="str">
            <v>S0067</v>
          </cell>
          <cell r="B744" t="str">
            <v>PROG.VIVO LOS ESPACIOS EN MI COLONIA</v>
          </cell>
        </row>
        <row r="745">
          <cell r="A745" t="str">
            <v>S0068</v>
          </cell>
          <cell r="B745" t="str">
            <v xml:space="preserve"> INSUMOS AGRICOLAS </v>
          </cell>
        </row>
        <row r="746">
          <cell r="A746" t="str">
            <v>S0069</v>
          </cell>
          <cell r="B746" t="str">
            <v>PAICE FEDERAL</v>
          </cell>
        </row>
        <row r="747">
          <cell r="A747" t="str">
            <v>S0070</v>
          </cell>
          <cell r="B747" t="str">
            <v xml:space="preserve"> INSUMOS AGRICOLAS </v>
          </cell>
        </row>
        <row r="748">
          <cell r="A748" t="str">
            <v>S0071</v>
          </cell>
          <cell r="B748" t="str">
            <v>PROGRAMA ESTATAL TECNOCAMPO GUANAJUATO</v>
          </cell>
        </row>
        <row r="749">
          <cell r="A749" t="str">
            <v>S0072</v>
          </cell>
          <cell r="B749" t="str">
            <v>APOYO AL EMPRENDEDOR MUNICIPAL</v>
          </cell>
        </row>
        <row r="750">
          <cell r="A750" t="str">
            <v>S0073</v>
          </cell>
          <cell r="B750" t="str">
            <v>POR MI CAMPO AGREGO VALOR (TRANSFORMACIÓN )</v>
          </cell>
        </row>
        <row r="751">
          <cell r="A751" t="str">
            <v>S0074</v>
          </cell>
          <cell r="B751" t="str">
            <v>PROGRAMA MI RIEGO PRODUCTIVO</v>
          </cell>
        </row>
        <row r="752">
          <cell r="A752" t="str">
            <v>S0075</v>
          </cell>
          <cell r="B752" t="str">
            <v>PROGRAMA AL CAMPO</v>
          </cell>
        </row>
        <row r="753">
          <cell r="A753" t="str">
            <v>S0076</v>
          </cell>
          <cell r="B753" t="str">
            <v>PROGRAMA DESARROLLO ECONOMICO</v>
          </cell>
        </row>
        <row r="754">
          <cell r="A754" t="str">
            <v>S0077</v>
          </cell>
          <cell r="B754" t="str">
            <v>PROGRAMA SDAYR</v>
          </cell>
        </row>
        <row r="755">
          <cell r="A755" t="str">
            <v>S0078</v>
          </cell>
          <cell r="B755" t="str">
            <v xml:space="preserve">PROGRAMA ESTATAL DE INFRAESTRUCTURA SOCIAL: PAVIMENTACIONES Y REHABILITACIONES </v>
          </cell>
        </row>
        <row r="756">
          <cell r="A756" t="str">
            <v>S0180</v>
          </cell>
          <cell r="B756" t="str">
            <v>PROGRAMA BAÑOS DIGNOS</v>
          </cell>
        </row>
        <row r="757">
          <cell r="A757" t="str">
            <v>S0208</v>
          </cell>
          <cell r="B757" t="str">
            <v>PROGRAMA ESCUELAS DE CALIDAD</v>
          </cell>
        </row>
        <row r="758">
          <cell r="A758" t="str">
            <v>S0209</v>
          </cell>
          <cell r="B758" t="str">
            <v>PROGRAMA ESCUELA DIGNA</v>
          </cell>
        </row>
        <row r="759">
          <cell r="A759" t="str">
            <v>S0210</v>
          </cell>
          <cell r="B759" t="str">
            <v>PROGRAMA ESTIMULO A LA EDUCACIÓN PRIMARIA (SB)</v>
          </cell>
        </row>
        <row r="760">
          <cell r="A760" t="str">
            <v>S0211</v>
          </cell>
          <cell r="B760" t="str">
            <v>PROGRAMA ALCALDE EN TU ESCUELA</v>
          </cell>
        </row>
        <row r="761">
          <cell r="A761" t="str">
            <v>S0212</v>
          </cell>
          <cell r="B761" t="str">
            <v>PROGRAMA APOYOS POR CONVENIO INSTITUCIONES DE ENSEÑANZA</v>
          </cell>
        </row>
        <row r="762">
          <cell r="A762" t="str">
            <v>S0213</v>
          </cell>
          <cell r="B762" t="str">
            <v xml:space="preserve">PROGRAMA ESCUELAS DE CALIDAD (ESTIMULOS AL ESFUERZO) </v>
          </cell>
        </row>
        <row r="763">
          <cell r="A763" t="str">
            <v>S0216</v>
          </cell>
          <cell r="B763" t="str">
            <v>COORDINACION DE INFRAESTRUCTURA URBANA</v>
          </cell>
        </row>
        <row r="764">
          <cell r="A764" t="str">
            <v>S0217</v>
          </cell>
          <cell r="B764" t="str">
            <v>CAMINOS RURALES</v>
          </cell>
        </row>
        <row r="765">
          <cell r="A765" t="str">
            <v>S0218</v>
          </cell>
          <cell r="B765" t="str">
            <v>PROGRAMA PATIOS Y CANCHAS</v>
          </cell>
        </row>
        <row r="766">
          <cell r="A766" t="str">
            <v>S0259</v>
          </cell>
          <cell r="B766" t="str">
            <v>APOYO POR CONVENIOS COORDINACION PARTICIPACIÓN CIUDADANA</v>
          </cell>
        </row>
        <row r="767">
          <cell r="A767" t="str">
            <v>S0260</v>
          </cell>
          <cell r="B767" t="str">
            <v>CENTROS COMUNITARIOS</v>
          </cell>
        </row>
        <row r="768">
          <cell r="A768" t="str">
            <v>S0261</v>
          </cell>
          <cell r="B768" t="str">
            <v>PROMOTORIA SOCIAL DE LA ZONA RURAL</v>
          </cell>
        </row>
        <row r="769">
          <cell r="A769" t="str">
            <v>S0269</v>
          </cell>
          <cell r="B769" t="str">
            <v>PROG. SANIDAD VEGETAL</v>
          </cell>
        </row>
        <row r="770">
          <cell r="A770" t="str">
            <v>S0271</v>
          </cell>
          <cell r="B770" t="str">
            <v>PROG. CONSERVACION Y USOS SUSTENTABLES (COUSSA)</v>
          </cell>
        </row>
        <row r="771">
          <cell r="A771" t="str">
            <v>S0276</v>
          </cell>
          <cell r="B771" t="str">
            <v>PROG. PIDH PISO FIRME</v>
          </cell>
        </row>
        <row r="772">
          <cell r="A772" t="str">
            <v>S0277</v>
          </cell>
          <cell r="B772" t="str">
            <v>PROG. PIDH TECHO FIRME</v>
          </cell>
        </row>
        <row r="773">
          <cell r="A773" t="str">
            <v>S0278</v>
          </cell>
          <cell r="B773" t="str">
            <v>PROG. PIDH CUARTO DORMITORIO</v>
          </cell>
        </row>
        <row r="774">
          <cell r="A774" t="str">
            <v>S0294</v>
          </cell>
          <cell r="B774" t="str">
            <v>PROG. EMPLEO TEMPORAL</v>
          </cell>
        </row>
        <row r="775">
          <cell r="A775" t="str">
            <v>S0295</v>
          </cell>
          <cell r="B775" t="str">
            <v>PROG. ECOTECNOLOGIAS</v>
          </cell>
        </row>
        <row r="776">
          <cell r="A776" t="str">
            <v>S0296</v>
          </cell>
          <cell r="B776" t="str">
            <v>PROG. INFRAESTRUCTURA BASICA</v>
          </cell>
        </row>
        <row r="777">
          <cell r="A777" t="str">
            <v>S0299</v>
          </cell>
          <cell r="B777" t="str">
            <v>PROGRAMA PRODIM</v>
          </cell>
        </row>
        <row r="778">
          <cell r="A778" t="str">
            <v>S0300</v>
          </cell>
          <cell r="B778" t="str">
            <v xml:space="preserve">PROG. INTEGRAL DE LA SUSTENTABILIDAD COMUNITARIA </v>
          </cell>
        </row>
        <row r="779">
          <cell r="A779" t="str">
            <v>S0305</v>
          </cell>
          <cell r="B779" t="str">
            <v>PROG. DE APOYO DE INFRAESTRUCTURA CULTURAL DE LOS</v>
          </cell>
        </row>
        <row r="780">
          <cell r="A780" t="str">
            <v>U0031</v>
          </cell>
          <cell r="B780" t="str">
            <v>PROG. ACTIVOS PRODUCTIVOS</v>
          </cell>
        </row>
        <row r="781">
          <cell r="A781" t="str">
            <v>U0122</v>
          </cell>
          <cell r="B781" t="str">
            <v>APORT. D.I.F. PROGRAMA MI HOGAR CON VALORES</v>
          </cell>
        </row>
        <row r="782">
          <cell r="A782" t="str">
            <v>U0123</v>
          </cell>
          <cell r="B782" t="str">
            <v>APORT. D.I.F. ALBERGUE TEMPORAL PARA MENORES</v>
          </cell>
        </row>
        <row r="783">
          <cell r="A783" t="str">
            <v>U0127</v>
          </cell>
          <cell r="B783" t="str">
            <v>INSTITUTO MUNICIPAL DE ARTE Y CULTURA</v>
          </cell>
        </row>
        <row r="784">
          <cell r="A784" t="str">
            <v>U0128</v>
          </cell>
          <cell r="B784" t="str">
            <v>MUSEO DE ARTE OCTAVIO OCAMPO</v>
          </cell>
        </row>
        <row r="785">
          <cell r="A785" t="str">
            <v>U0129</v>
          </cell>
          <cell r="B785" t="str">
            <v>CONSEJO DE TURISMO DE CELAYA</v>
          </cell>
        </row>
        <row r="786">
          <cell r="A786" t="str">
            <v>U0130</v>
          </cell>
          <cell r="B786" t="str">
            <v>APORT. CONSEJO DE TURISMO DE CELAYA FONDOS MIXTOS</v>
          </cell>
        </row>
        <row r="787">
          <cell r="A787" t="str">
            <v>U0131</v>
          </cell>
          <cell r="B787" t="str">
            <v xml:space="preserve">GALERIAS XOCHIPILLI </v>
          </cell>
        </row>
        <row r="788">
          <cell r="A788" t="str">
            <v>U0132</v>
          </cell>
          <cell r="B788" t="str">
            <v>INSTITUTO MUNICIPAL DE LA JUVENTUD</v>
          </cell>
        </row>
        <row r="789">
          <cell r="A789" t="str">
            <v>U0133</v>
          </cell>
          <cell r="B789" t="str">
            <v>BIBLIOTECAS</v>
          </cell>
        </row>
        <row r="790">
          <cell r="A790" t="str">
            <v>U0134</v>
          </cell>
          <cell r="B790" t="str">
            <v>PATRONATO DEL PARQUE XOCHIPILLI</v>
          </cell>
        </row>
        <row r="791">
          <cell r="A791" t="str">
            <v>U0135</v>
          </cell>
          <cell r="B791" t="str">
            <v>SUBSIDIOS</v>
          </cell>
        </row>
        <row r="792">
          <cell r="A792" t="str">
            <v>U0136</v>
          </cell>
          <cell r="B792" t="str">
            <v>AYUDAS</v>
          </cell>
        </row>
        <row r="793">
          <cell r="A793" t="str">
            <v>U0140</v>
          </cell>
          <cell r="B793" t="str">
            <v>COORD. DE SERVICIOS MÉDICOS Y DISCAPACIDAD</v>
          </cell>
        </row>
        <row r="794">
          <cell r="A794" t="str">
            <v>U0156</v>
          </cell>
          <cell r="B794" t="str">
            <v xml:space="preserve">PROG. RECONVENCIÓN PRODUCTIVA </v>
          </cell>
        </row>
        <row r="795">
          <cell r="A795" t="str">
            <v>U0161</v>
          </cell>
          <cell r="B795" t="str">
            <v>PROGRAMA DE IMPULSO A LA ECONOMIA SOCIAL SUSTENTABLE</v>
          </cell>
        </row>
        <row r="796">
          <cell r="A796" t="str">
            <v>U0187</v>
          </cell>
          <cell r="B796" t="str">
            <v>PROG OPCIONES PRODUCTIVAS</v>
          </cell>
        </row>
        <row r="797">
          <cell r="A797" t="str">
            <v>U0213</v>
          </cell>
          <cell r="B797" t="str">
            <v>APOYO AL EMPRENDEDOR MUNICIPAL</v>
          </cell>
        </row>
        <row r="798">
          <cell r="A798" t="str">
            <v>U0222</v>
          </cell>
          <cell r="B798" t="str">
            <v>SERVICIOS MEDICOS</v>
          </cell>
        </row>
        <row r="799">
          <cell r="A799" t="str">
            <v>U0223</v>
          </cell>
          <cell r="B799" t="str">
            <v>VIVIENDA</v>
          </cell>
        </row>
        <row r="800">
          <cell r="A800" t="str">
            <v>U0224</v>
          </cell>
          <cell r="B800" t="str">
            <v>DESARROLLO COMUNITARIO</v>
          </cell>
        </row>
        <row r="801">
          <cell r="A801" t="str">
            <v>U0225</v>
          </cell>
          <cell r="B801" t="str">
            <v>RED MÓVIL</v>
          </cell>
        </row>
        <row r="802">
          <cell r="A802" t="str">
            <v>U0226</v>
          </cell>
          <cell r="B802" t="str">
            <v>COORDINACIÓN EDUCATIVA</v>
          </cell>
        </row>
        <row r="803">
          <cell r="A803" t="str">
            <v>U0227</v>
          </cell>
          <cell r="B803" t="str">
            <v>COORDINACIÓN CAFI</v>
          </cell>
        </row>
        <row r="804">
          <cell r="A804" t="str">
            <v>U0228</v>
          </cell>
          <cell r="B804" t="str">
            <v>TRABAJO SOCIAL</v>
          </cell>
        </row>
        <row r="805">
          <cell r="A805" t="str">
            <v>U0229</v>
          </cell>
          <cell r="B805" t="str">
            <v>PROCURADURÍA</v>
          </cell>
        </row>
        <row r="806">
          <cell r="A806" t="str">
            <v>U0230</v>
          </cell>
          <cell r="B806" t="str">
            <v>CEMAIV</v>
          </cell>
        </row>
        <row r="807">
          <cell r="A807" t="str">
            <v>U0231</v>
          </cell>
          <cell r="B807" t="str">
            <v>ADULTO MAYOR</v>
          </cell>
        </row>
        <row r="808">
          <cell r="A808" t="str">
            <v>U0232</v>
          </cell>
          <cell r="B808" t="str">
            <v>DIR. GENERAL D.I.F</v>
          </cell>
        </row>
        <row r="809">
          <cell r="A809" t="str">
            <v>U0233</v>
          </cell>
          <cell r="B809" t="str">
            <v>EVENTOS Y COMUNICACIÓN</v>
          </cell>
        </row>
        <row r="810">
          <cell r="A810" t="str">
            <v>U0234</v>
          </cell>
          <cell r="B810" t="str">
            <v>DIR. ADMINISTRATIVA</v>
          </cell>
        </row>
        <row r="811">
          <cell r="A811" t="str">
            <v>U0235</v>
          </cell>
          <cell r="B811" t="str">
            <v>DONATIVOS</v>
          </cell>
        </row>
        <row r="812">
          <cell r="A812" t="str">
            <v>U0236</v>
          </cell>
          <cell r="B812" t="str">
            <v>DIR. GENERAL SIDEC</v>
          </cell>
        </row>
        <row r="813">
          <cell r="A813" t="str">
            <v>U0237</v>
          </cell>
          <cell r="B813" t="str">
            <v>ADMINISTRACIÓN DE APOYOS</v>
          </cell>
        </row>
        <row r="814">
          <cell r="A814" t="str">
            <v>U0238</v>
          </cell>
          <cell r="B814" t="str">
            <v>INSTALACIONES</v>
          </cell>
        </row>
        <row r="815">
          <cell r="A815" t="str">
            <v>U0239</v>
          </cell>
          <cell r="B815" t="str">
            <v>DEPORTE</v>
          </cell>
        </row>
        <row r="816">
          <cell r="A816" t="str">
            <v>U0240</v>
          </cell>
          <cell r="B816" t="str">
            <v>CULTURA FISICA</v>
          </cell>
        </row>
        <row r="817">
          <cell r="A817" t="str">
            <v>U0241</v>
          </cell>
          <cell r="B817" t="str">
            <v>SERVICIOS ADMINISTRATIVOS</v>
          </cell>
        </row>
        <row r="818">
          <cell r="A818" t="str">
            <v>U0242</v>
          </cell>
          <cell r="B818" t="str">
            <v>URBANIZACIÓN Y VIVIENDA</v>
          </cell>
        </row>
        <row r="819">
          <cell r="A819" t="str">
            <v>U0243</v>
          </cell>
          <cell r="B819" t="str">
            <v>DIR. GENERAL</v>
          </cell>
        </row>
        <row r="820">
          <cell r="A820" t="str">
            <v>U0244</v>
          </cell>
          <cell r="B820" t="str">
            <v>UNIDAD DE PREVENSION Y CONTROL AMBIENTAL</v>
          </cell>
        </row>
        <row r="821">
          <cell r="A821" t="str">
            <v>U0245</v>
          </cell>
          <cell r="B821" t="str">
            <v>UNIDAD DE PLANEACION Y GESTION</v>
          </cell>
        </row>
        <row r="822">
          <cell r="A822" t="str">
            <v>U0246</v>
          </cell>
          <cell r="B822" t="str">
            <v>UNIDAD DE CULTURA AMBIENTAL</v>
          </cell>
        </row>
        <row r="823">
          <cell r="A823" t="str">
            <v>U0247</v>
          </cell>
          <cell r="B823" t="str">
            <v>UNIDAD JURIDICA Y NORMATIVA</v>
          </cell>
        </row>
        <row r="824">
          <cell r="A824" t="str">
            <v>U0248</v>
          </cell>
          <cell r="B824" t="str">
            <v>UNIDAD ADMINISTRATIVA</v>
          </cell>
        </row>
        <row r="825">
          <cell r="A825" t="str">
            <v>U0249</v>
          </cell>
          <cell r="B825" t="str">
            <v>DIR. GENERAL</v>
          </cell>
        </row>
        <row r="826">
          <cell r="A826" t="str">
            <v>U0250</v>
          </cell>
          <cell r="B826" t="str">
            <v>COORDINACIÓN ADMINISTRATIVA</v>
          </cell>
        </row>
        <row r="827">
          <cell r="A827" t="str">
            <v>U0251</v>
          </cell>
          <cell r="B827" t="str">
            <v>COORDINACIÓN TECNICA</v>
          </cell>
        </row>
        <row r="828">
          <cell r="A828" t="str">
            <v>U0252</v>
          </cell>
          <cell r="B828" t="str">
            <v>COPLADEM</v>
          </cell>
        </row>
        <row r="829">
          <cell r="A829" t="str">
            <v>U0253</v>
          </cell>
          <cell r="B829" t="str">
            <v>DIR. GENERAL</v>
          </cell>
        </row>
        <row r="830">
          <cell r="A830" t="str">
            <v>U0254</v>
          </cell>
          <cell r="B830" t="str">
            <v>DESARROLLO HUMANO</v>
          </cell>
        </row>
        <row r="831">
          <cell r="A831" t="str">
            <v>U0255</v>
          </cell>
          <cell r="B831" t="str">
            <v>COORDINACION DE PRODUCTIVIDAD Y PROGRAMAS</v>
          </cell>
        </row>
        <row r="832">
          <cell r="A832" t="str">
            <v>U0256</v>
          </cell>
          <cell r="B832" t="str">
            <v>ATENCION Y PREVENCION A LA VIOLENCIA</v>
          </cell>
        </row>
        <row r="833">
          <cell r="A833" t="str">
            <v>U0257</v>
          </cell>
          <cell r="B833" t="str">
            <v>PROG. MADRES JEFAS DE FAMILIA</v>
          </cell>
        </row>
        <row r="834">
          <cell r="A834" t="str">
            <v>U0258</v>
          </cell>
          <cell r="B834" t="str">
            <v>ADMINISTRATIVO</v>
          </cell>
        </row>
        <row r="835">
          <cell r="A835" t="str">
            <v>U0263</v>
          </cell>
          <cell r="B835" t="str">
            <v>PROG IMPULSO A SISTEMAS PRODUCTIVOS</v>
          </cell>
        </row>
        <row r="836">
          <cell r="A836" t="str">
            <v>U0264</v>
          </cell>
          <cell r="B836" t="str">
            <v>PROG ACOMPAÑAMIENTO CONSOLIDACIÓN PROYECTOS EXITOS</v>
          </cell>
        </row>
        <row r="837">
          <cell r="A837" t="str">
            <v>U0265</v>
          </cell>
          <cell r="B837" t="str">
            <v>PROG IMPULSO AL TURISMO RURAL</v>
          </cell>
        </row>
        <row r="838">
          <cell r="A838" t="str">
            <v>U0266</v>
          </cell>
          <cell r="B838" t="str">
            <v>PROGRAMA DE COINVERSIÓN CON INDESOL PARA PROYECTOS</v>
          </cell>
        </row>
        <row r="839">
          <cell r="A839" t="str">
            <v>U0267</v>
          </cell>
          <cell r="B839" t="str">
            <v xml:space="preserve">PROG. MI PATIO PRODUCTIVO   </v>
          </cell>
        </row>
        <row r="840">
          <cell r="A840" t="str">
            <v>U0268</v>
          </cell>
          <cell r="B840" t="str">
            <v>DIR. DE PROYECTOS</v>
          </cell>
        </row>
        <row r="841">
          <cell r="A841" t="str">
            <v>U0269</v>
          </cell>
          <cell r="B841" t="str">
            <v>PROGRAMA INFRAESTRUCTURA CIS</v>
          </cell>
        </row>
        <row r="842">
          <cell r="A842" t="str">
            <v>U0270</v>
          </cell>
          <cell r="B842" t="str">
            <v>PROGRAMA VIVO LOS ESPACIOS EN MI COLONIA (PVEMC)</v>
          </cell>
        </row>
        <row r="843">
          <cell r="A843" t="str">
            <v>R0191</v>
          </cell>
          <cell r="B843" t="str">
            <v>PROG.  DE INFRAESTRUCTURA EN SEGURIDAD PÚBLICA</v>
          </cell>
        </row>
        <row r="844">
          <cell r="A844" t="str">
            <v>U0270</v>
          </cell>
          <cell r="B844" t="str">
            <v>PROYECTOS ESTRATEGICOS</v>
          </cell>
        </row>
        <row r="845">
          <cell r="A845" t="str">
            <v>U0271</v>
          </cell>
          <cell r="B845" t="str">
            <v>APORTACIÓN ESTATAL SIDEC</v>
          </cell>
        </row>
        <row r="846">
          <cell r="A846" t="str">
            <v>U0275</v>
          </cell>
          <cell r="B846" t="str">
            <v>PATRONATO DE LA FERIA</v>
          </cell>
        </row>
        <row r="847">
          <cell r="A847" t="str">
            <v>U0279</v>
          </cell>
          <cell r="B847" t="str">
            <v>FONHAPO</v>
          </cell>
        </row>
        <row r="848">
          <cell r="A848" t="str">
            <v>U0301</v>
          </cell>
          <cell r="B848" t="str">
            <v>JUNTA MUNICIPAL DE AGUA POTABLE Y ALCANTARILLADO</v>
          </cell>
        </row>
        <row r="849">
          <cell r="A849" t="str">
            <v>U0188</v>
          </cell>
          <cell r="B849" t="str">
            <v>PROG. PLANTAS POTABILIZADORAS</v>
          </cell>
        </row>
        <row r="850">
          <cell r="A850" t="str">
            <v>U0189</v>
          </cell>
          <cell r="B850" t="str">
            <v>PROG. CEAG</v>
          </cell>
        </row>
        <row r="851">
          <cell r="A851" t="str">
            <v>31111-0147</v>
          </cell>
          <cell r="B851" t="str">
            <v>LIC. JORGE ARMENGOL DURÁN</v>
          </cell>
        </row>
        <row r="852">
          <cell r="A852" t="str">
            <v>31111-0148</v>
          </cell>
          <cell r="B852" t="str">
            <v>LIC. ADRIANA JOSEFINA AUDELO ARANA</v>
          </cell>
        </row>
        <row r="853">
          <cell r="A853" t="str">
            <v>31111-0149</v>
          </cell>
          <cell r="B853" t="str">
            <v>C. CARLOS RIVAS AGUILAR</v>
          </cell>
        </row>
        <row r="854">
          <cell r="A854" t="str">
            <v>31111-0150</v>
          </cell>
          <cell r="B854" t="str">
            <v>C. MARTHA ANGÉLICA RAMÍREZ BARBA</v>
          </cell>
        </row>
        <row r="855">
          <cell r="A855" t="str">
            <v>31111-0151</v>
          </cell>
          <cell r="B855" t="str">
            <v>LIC. ALDO SAHIB VELÁSQUEZ VELÁZQUEZ</v>
          </cell>
        </row>
        <row r="856">
          <cell r="A856" t="str">
            <v>31111-0152</v>
          </cell>
          <cell r="B856" t="str">
            <v>C. REBECA LOMELÍ VELASCO</v>
          </cell>
        </row>
        <row r="857">
          <cell r="A857" t="str">
            <v>31111-0153</v>
          </cell>
          <cell r="B857" t="str">
            <v>LIC. EZEQUIEL MANCERA MARTÍNEZ</v>
          </cell>
        </row>
        <row r="858">
          <cell r="A858" t="str">
            <v>31111-0154</v>
          </cell>
          <cell r="B858" t="str">
            <v>LIC. JUAN CARLOS OLIVEROS SÁNCHEZ</v>
          </cell>
        </row>
        <row r="859">
          <cell r="A859" t="str">
            <v>31111-0155</v>
          </cell>
          <cell r="B859" t="str">
            <v>LIC. URIEL AGUSTÍN PINEDA SOTO</v>
          </cell>
        </row>
        <row r="860">
          <cell r="A860" t="str">
            <v>31111-0156</v>
          </cell>
          <cell r="B860" t="str">
            <v>LIC. BARBARA VARELA ROSALES</v>
          </cell>
        </row>
        <row r="861">
          <cell r="A861" t="str">
            <v>31111-0157</v>
          </cell>
          <cell r="B861" t="str">
            <v>LIC. JOSE LUIS ALVAREZ ALFARO</v>
          </cell>
        </row>
        <row r="862">
          <cell r="A862" t="str">
            <v>31111-0158</v>
          </cell>
          <cell r="B862" t="str">
            <v>LIC. MARÍA DE LA SALUD GARCÍA RODRÍGUEZ</v>
          </cell>
        </row>
        <row r="863">
          <cell r="A863" t="str">
            <v>31111-0159</v>
          </cell>
          <cell r="B863" t="str">
            <v>L.E. MAURICIO HERNÁNDEZ MENDOZA</v>
          </cell>
        </row>
        <row r="864">
          <cell r="A864" t="str">
            <v>31111-0160</v>
          </cell>
          <cell r="B864" t="str">
            <v>LIC. MÓNICA DELGADO DELGADO</v>
          </cell>
        </row>
        <row r="865">
          <cell r="A865">
            <v>1</v>
          </cell>
          <cell r="B865" t="str">
            <v>IMPUESTOS</v>
          </cell>
        </row>
        <row r="866">
          <cell r="A866">
            <v>3</v>
          </cell>
          <cell r="B866" t="str">
            <v>CONTRIBUCIÓN DE MEJORAS POR OBRAS PÚBLICAS</v>
          </cell>
        </row>
        <row r="867">
          <cell r="A867">
            <v>4</v>
          </cell>
          <cell r="B867" t="str">
            <v>DERECHOS</v>
          </cell>
        </row>
        <row r="868">
          <cell r="A868">
            <v>5</v>
          </cell>
          <cell r="B868" t="str">
            <v>PRODUCTOS</v>
          </cell>
        </row>
        <row r="869">
          <cell r="A869">
            <v>6</v>
          </cell>
          <cell r="B869" t="str">
            <v>APROVECHAMIENTOS</v>
          </cell>
        </row>
        <row r="870">
          <cell r="A870">
            <v>8</v>
          </cell>
          <cell r="B870" t="str">
            <v>PARTICIPACIONES Y APORTACIONES</v>
          </cell>
        </row>
        <row r="871">
          <cell r="A871">
            <v>0</v>
          </cell>
          <cell r="B871" t="str">
            <v>REMANENTES</v>
          </cell>
        </row>
        <row r="872">
          <cell r="A872">
            <v>12</v>
          </cell>
          <cell r="B872" t="str">
            <v>IMPUESTOS SOBRE EL PATRIMONIO</v>
          </cell>
        </row>
        <row r="873">
          <cell r="A873">
            <v>13</v>
          </cell>
          <cell r="B873" t="str">
            <v xml:space="preserve">IMPUESTOS SOBRE LA PRODUCCIÓN, EL CONSUMO Y LAS TRANSACCIONES </v>
          </cell>
        </row>
        <row r="874">
          <cell r="A874">
            <v>16</v>
          </cell>
          <cell r="B874" t="str">
            <v xml:space="preserve"> IMPUESTOS ECOLÓGICOS</v>
          </cell>
        </row>
        <row r="875">
          <cell r="A875">
            <v>31</v>
          </cell>
          <cell r="B875" t="str">
            <v xml:space="preserve">CONTRIBUCIONES DE MEJORAS POR OBRAS PÚBLICO </v>
          </cell>
        </row>
        <row r="876">
          <cell r="A876">
            <v>43</v>
          </cell>
          <cell r="B876" t="str">
            <v>DERECHOS POR PRESTACIÓN DE SERVICIOS</v>
          </cell>
        </row>
        <row r="877">
          <cell r="A877">
            <v>51</v>
          </cell>
          <cell r="B877" t="str">
            <v>PRODUCTOS DE TIPO CORRIENTE</v>
          </cell>
        </row>
        <row r="878">
          <cell r="A878">
            <v>61</v>
          </cell>
          <cell r="B878" t="str">
            <v>APROVECHAMIENTOS DE TIPO CORRIENTE</v>
          </cell>
        </row>
        <row r="879">
          <cell r="A879">
            <v>81</v>
          </cell>
          <cell r="B879" t="str">
            <v>PARTICIPACIONES</v>
          </cell>
        </row>
        <row r="880">
          <cell r="A880">
            <v>82</v>
          </cell>
          <cell r="B880" t="str">
            <v>APORTACIONES</v>
          </cell>
        </row>
        <row r="881">
          <cell r="A881">
            <v>83</v>
          </cell>
          <cell r="B881" t="str">
            <v>CONVENIOS</v>
          </cell>
        </row>
        <row r="882">
          <cell r="A882">
            <v>0</v>
          </cell>
          <cell r="B882" t="str">
            <v>REMANENTES</v>
          </cell>
        </row>
        <row r="883">
          <cell r="A883" t="str">
            <v>000000</v>
          </cell>
          <cell r="B883" t="str">
            <v>FINANCIAMIENTO</v>
          </cell>
        </row>
        <row r="884">
          <cell r="A884" t="str">
            <v>010101</v>
          </cell>
          <cell r="B884" t="str">
            <v>DEUDA INTERNA</v>
          </cell>
        </row>
        <row r="885">
          <cell r="A885" t="str">
            <v>030000</v>
          </cell>
          <cell r="B885" t="str">
            <v>REMANENTES</v>
          </cell>
        </row>
        <row r="886">
          <cell r="A886" t="str">
            <v>031001</v>
          </cell>
          <cell r="B886" t="str">
            <v>REMANENTE CTA PUB</v>
          </cell>
        </row>
        <row r="887">
          <cell r="A887" t="str">
            <v>031002</v>
          </cell>
          <cell r="B887" t="str">
            <v>REMANENTE ESTATAL</v>
          </cell>
        </row>
        <row r="888">
          <cell r="A888" t="str">
            <v>031003</v>
          </cell>
          <cell r="B888" t="str">
            <v>REMANENTE FEDERAL</v>
          </cell>
        </row>
        <row r="889">
          <cell r="A889" t="str">
            <v>031004</v>
          </cell>
          <cell r="B889" t="str">
            <v>REMANENTE FAISM</v>
          </cell>
        </row>
        <row r="890">
          <cell r="A890" t="str">
            <v>031005</v>
          </cell>
          <cell r="B890" t="str">
            <v>REMANENTE FORTAMUN</v>
          </cell>
        </row>
        <row r="891">
          <cell r="A891" t="str">
            <v>100000</v>
          </cell>
          <cell r="B891" t="str">
            <v>IMPUESTOS</v>
          </cell>
        </row>
        <row r="892">
          <cell r="A892">
            <v>110101</v>
          </cell>
          <cell r="B892" t="str">
            <v>IMP 8% S/JUEGOS Y APUESTAS PERMITIDAS</v>
          </cell>
        </row>
        <row r="893">
          <cell r="A893">
            <v>110201</v>
          </cell>
          <cell r="B893" t="str">
            <v>IMP 6% DIVERSIONES Y ESPECTÁCULOS PÚBLICOS</v>
          </cell>
        </row>
        <row r="894">
          <cell r="A894">
            <v>110202</v>
          </cell>
          <cell r="B894" t="str">
            <v>IMP 8% DIVERSIONES Y ESPECTÁCULOS PÚBLICOS</v>
          </cell>
        </row>
        <row r="895">
          <cell r="A895">
            <v>110301</v>
          </cell>
          <cell r="B895" t="str">
            <v>IMP 5% RIFAS, SORTEOS, LOTERIAS</v>
          </cell>
        </row>
        <row r="896">
          <cell r="A896">
            <v>120008</v>
          </cell>
          <cell r="B896" t="str">
            <v>DIVISION REGIMEN EN CONDOMINIO</v>
          </cell>
        </row>
        <row r="897">
          <cell r="A897">
            <v>120101</v>
          </cell>
          <cell r="B897" t="str">
            <v>PREDIAL URBANO CORRIENTE</v>
          </cell>
        </row>
        <row r="898">
          <cell r="A898">
            <v>120102</v>
          </cell>
          <cell r="B898" t="str">
            <v>PREDIAL RUSTICO CORRIENTE</v>
          </cell>
        </row>
        <row r="899">
          <cell r="A899">
            <v>120103</v>
          </cell>
          <cell r="B899" t="str">
            <v>PREDIAL URBANO REZAGO</v>
          </cell>
        </row>
        <row r="900">
          <cell r="A900">
            <v>120104</v>
          </cell>
          <cell r="B900" t="str">
            <v>PREDIAL RUSTICO REZAGO</v>
          </cell>
        </row>
        <row r="901">
          <cell r="A901">
            <v>120005</v>
          </cell>
          <cell r="B901" t="str">
            <v>TRASLACION DE DOMINIO</v>
          </cell>
        </row>
        <row r="902">
          <cell r="A902">
            <v>120201</v>
          </cell>
          <cell r="B902" t="str">
            <v>DIVISION Y LOTIFICACIÓN</v>
          </cell>
        </row>
        <row r="903">
          <cell r="A903" t="str">
            <v>130101</v>
          </cell>
          <cell r="B903" t="str">
            <v>EXPLOTACIÓN DE MÁRMOL</v>
          </cell>
        </row>
        <row r="904">
          <cell r="A904" t="str">
            <v>130201</v>
          </cell>
          <cell r="B904" t="str">
            <v>IMPUESTO SOBRE ABI</v>
          </cell>
        </row>
        <row r="905">
          <cell r="A905">
            <v>130301</v>
          </cell>
          <cell r="B905" t="str">
            <v>IMPUESTO DE FRACCIONAMIENTOS</v>
          </cell>
        </row>
        <row r="906">
          <cell r="A906">
            <v>160001</v>
          </cell>
          <cell r="B906" t="str">
            <v>EXPLOTACION DE BANCOS</v>
          </cell>
        </row>
        <row r="907">
          <cell r="A907" t="str">
            <v>170101</v>
          </cell>
          <cell r="B907" t="str">
            <v>RECARGOS IMPUESTO PREDIAL</v>
          </cell>
        </row>
        <row r="908">
          <cell r="A908" t="str">
            <v>170102</v>
          </cell>
          <cell r="B908" t="str">
            <v>RECARGOS ABI</v>
          </cell>
        </row>
        <row r="909">
          <cell r="A909" t="str">
            <v>170103</v>
          </cell>
          <cell r="B909" t="str">
            <v>RECARGOS SALDO INI</v>
          </cell>
        </row>
        <row r="910">
          <cell r="A910" t="str">
            <v>170201</v>
          </cell>
          <cell r="B910" t="str">
            <v>MULTAS INMOBILIARIAS</v>
          </cell>
        </row>
        <row r="911">
          <cell r="A911" t="str">
            <v>170301</v>
          </cell>
          <cell r="B911" t="str">
            <v>HONORARIOS EJECUCIÓN</v>
          </cell>
        </row>
        <row r="912">
          <cell r="A912" t="str">
            <v>170501</v>
          </cell>
          <cell r="B912" t="str">
            <v>CUOTA ORGANISMO AGRICOLA</v>
          </cell>
        </row>
        <row r="913">
          <cell r="A913">
            <v>310001</v>
          </cell>
          <cell r="B913" t="str">
            <v>BENEFICIARIOS 1992</v>
          </cell>
        </row>
        <row r="914">
          <cell r="A914">
            <v>310002</v>
          </cell>
          <cell r="B914" t="str">
            <v>BENEFICIARIOS 1999</v>
          </cell>
        </row>
        <row r="915">
          <cell r="A915">
            <v>310003</v>
          </cell>
          <cell r="B915" t="str">
            <v>BENEFICIARIOS 2000</v>
          </cell>
        </row>
        <row r="916">
          <cell r="A916">
            <v>310004</v>
          </cell>
          <cell r="B916" t="str">
            <v>BENEFICIARIOS 2001</v>
          </cell>
        </row>
        <row r="917">
          <cell r="A917">
            <v>310005</v>
          </cell>
          <cell r="B917" t="str">
            <v>BENEFICIARIOS 2002</v>
          </cell>
        </row>
        <row r="918">
          <cell r="A918">
            <v>310006</v>
          </cell>
          <cell r="B918" t="str">
            <v>BENEFICIARIOS 2003</v>
          </cell>
        </row>
        <row r="919">
          <cell r="A919">
            <v>310007</v>
          </cell>
          <cell r="B919" t="str">
            <v>BENEFICIARIOS 2004</v>
          </cell>
        </row>
        <row r="920">
          <cell r="A920">
            <v>310008</v>
          </cell>
          <cell r="B920" t="str">
            <v>BENEFICIARIOS 2005</v>
          </cell>
        </row>
        <row r="921">
          <cell r="A921">
            <v>310009</v>
          </cell>
          <cell r="B921" t="str">
            <v>BENEFICIARIOS 2006</v>
          </cell>
        </row>
        <row r="922">
          <cell r="A922">
            <v>310010</v>
          </cell>
          <cell r="B922" t="str">
            <v>BENEFICIARIOS 2007</v>
          </cell>
        </row>
        <row r="923">
          <cell r="A923">
            <v>310011</v>
          </cell>
          <cell r="B923" t="str">
            <v>BENEFICIARIOS 2008</v>
          </cell>
        </row>
        <row r="924">
          <cell r="A924">
            <v>310012</v>
          </cell>
          <cell r="B924" t="str">
            <v>BENEFICIARIOS 2009</v>
          </cell>
        </row>
        <row r="925">
          <cell r="A925">
            <v>310013</v>
          </cell>
          <cell r="B925" t="str">
            <v>BENEFICIARIOS DE OBRAS PUBLICAS</v>
          </cell>
        </row>
        <row r="926">
          <cell r="A926">
            <v>310014</v>
          </cell>
          <cell r="B926" t="str">
            <v>BENEFICIARIOS HABITAT 2004-2005</v>
          </cell>
        </row>
        <row r="927">
          <cell r="A927">
            <v>310015</v>
          </cell>
          <cell r="B927" t="str">
            <v>BENEFICIARIOS PROGRAMA SOCIAL URBANO</v>
          </cell>
        </row>
        <row r="928">
          <cell r="A928">
            <v>310016</v>
          </cell>
          <cell r="B928" t="str">
            <v>BENEFICIARIOS HABITAT 2006-2010</v>
          </cell>
        </row>
        <row r="929">
          <cell r="A929">
            <v>310017</v>
          </cell>
          <cell r="B929" t="str">
            <v>BENEFICIARIOS CAMINITO DE LA ESCUELA</v>
          </cell>
        </row>
        <row r="930">
          <cell r="A930">
            <v>310018</v>
          </cell>
          <cell r="B930" t="str">
            <v>BENEFICIARIOS MI PLAZA</v>
          </cell>
        </row>
        <row r="931">
          <cell r="A931">
            <v>310019</v>
          </cell>
          <cell r="B931" t="str">
            <v>BENEFICIARIOS DIGNIFICACION DE TU CALLE</v>
          </cell>
        </row>
        <row r="932">
          <cell r="A932">
            <v>310020</v>
          </cell>
          <cell r="B932" t="str">
            <v>BENEFICIARIOS CAMINO SACACOSECHAS</v>
          </cell>
        </row>
        <row r="933">
          <cell r="A933">
            <v>310021</v>
          </cell>
          <cell r="B933" t="str">
            <v>BORDERIAS</v>
          </cell>
        </row>
        <row r="934">
          <cell r="A934">
            <v>310022</v>
          </cell>
          <cell r="B934" t="str">
            <v>BENEFICIARIOS MI C</v>
          </cell>
        </row>
        <row r="935">
          <cell r="A935">
            <v>310023</v>
          </cell>
          <cell r="B935" t="str">
            <v>BENEFICIARIOS FOND</v>
          </cell>
        </row>
        <row r="936">
          <cell r="A936">
            <v>310024</v>
          </cell>
          <cell r="B936" t="str">
            <v>BENEFICIARIOS 2010</v>
          </cell>
        </row>
        <row r="937">
          <cell r="A937">
            <v>310025</v>
          </cell>
          <cell r="B937" t="str">
            <v>BENEFICIARIOS FIDO</v>
          </cell>
        </row>
        <row r="938">
          <cell r="A938">
            <v>310026</v>
          </cell>
          <cell r="B938" t="str">
            <v>BENEFICIARIOS FIDO</v>
          </cell>
        </row>
        <row r="939">
          <cell r="A939">
            <v>310027</v>
          </cell>
          <cell r="B939" t="str">
            <v>BENEFICIARIOS FIDO</v>
          </cell>
        </row>
        <row r="940">
          <cell r="A940">
            <v>310028</v>
          </cell>
          <cell r="B940" t="str">
            <v>BENEFICIARIOS 2011</v>
          </cell>
        </row>
        <row r="941">
          <cell r="A941">
            <v>310029</v>
          </cell>
          <cell r="B941" t="str">
            <v>BENEF HABITAT 2011</v>
          </cell>
        </row>
        <row r="942">
          <cell r="A942">
            <v>310030</v>
          </cell>
          <cell r="B942" t="str">
            <v>BENEFICIARIOS PROG</v>
          </cell>
        </row>
        <row r="943">
          <cell r="A943">
            <v>310031</v>
          </cell>
          <cell r="B943" t="str">
            <v>BENEFICIARIOS FOPEDEM</v>
          </cell>
        </row>
        <row r="944">
          <cell r="A944">
            <v>310032</v>
          </cell>
          <cell r="B944" t="str">
            <v>BENEFICIARIOS PDIBC</v>
          </cell>
        </row>
        <row r="945">
          <cell r="A945">
            <v>310033</v>
          </cell>
          <cell r="B945" t="str">
            <v>BENEFICIARIOS AÑOS ANTERIORES</v>
          </cell>
        </row>
        <row r="946">
          <cell r="A946">
            <v>310034</v>
          </cell>
          <cell r="B946" t="str">
            <v>BENEFICIARIOS AÑO ACTUAL</v>
          </cell>
        </row>
        <row r="947">
          <cell r="A947">
            <v>310035</v>
          </cell>
          <cell r="B947" t="str">
            <v>BENEFICIARIOS HABITAT AÑOS ANTERIORES</v>
          </cell>
        </row>
        <row r="948">
          <cell r="A948">
            <v>310037</v>
          </cell>
          <cell r="B948" t="str">
            <v>BENEFICIARIOS PROG.FOPEDEM AÑO ANTERIOR</v>
          </cell>
        </row>
        <row r="949">
          <cell r="A949">
            <v>310038</v>
          </cell>
          <cell r="B949" t="str">
            <v>BENEFICIARIOS PROG. PPC AÑO ANTERIOR</v>
          </cell>
        </row>
        <row r="950">
          <cell r="A950">
            <v>310039</v>
          </cell>
          <cell r="B950" t="str">
            <v>BENEFICIARIOS PROG. PDIBC AÑO ANTERIOR</v>
          </cell>
        </row>
        <row r="951">
          <cell r="A951">
            <v>310040</v>
          </cell>
          <cell r="B951" t="str">
            <v>BENEFICIARIOS PROG "TU CASA" PROYECTOS ESPECIALES</v>
          </cell>
        </row>
        <row r="952">
          <cell r="A952">
            <v>310041</v>
          </cell>
          <cell r="B952" t="str">
            <v>BENEFICIARIOS PROGRAMA AMPLIACION DE VIVIENDA</v>
          </cell>
        </row>
        <row r="953">
          <cell r="A953">
            <v>310042</v>
          </cell>
          <cell r="B953" t="str">
            <v>BENEFICARIOS  PROG. CAPTEMOS AGUA</v>
          </cell>
        </row>
        <row r="954">
          <cell r="A954">
            <v>310043</v>
          </cell>
          <cell r="B954" t="str">
            <v>CAMINO SACA COSECHAS</v>
          </cell>
        </row>
        <row r="955">
          <cell r="A955">
            <v>310044</v>
          </cell>
          <cell r="B955" t="str">
            <v>BENEF. PROGR. FAIM AÑOS ANTERIORES</v>
          </cell>
        </row>
        <row r="956">
          <cell r="A956">
            <v>310045</v>
          </cell>
          <cell r="B956" t="str">
            <v>BENEFICIARIOS HABITAT 2013</v>
          </cell>
        </row>
        <row r="957">
          <cell r="A957">
            <v>310046</v>
          </cell>
          <cell r="B957" t="str">
            <v>BENEFICIARIOS FOPEDEM 2012</v>
          </cell>
        </row>
        <row r="958">
          <cell r="A958">
            <v>310047</v>
          </cell>
          <cell r="B958" t="str">
            <v>BENEFICIARIOS ELECTRIFICACIONES RURALES AÑOS ANTER</v>
          </cell>
        </row>
        <row r="959">
          <cell r="A959">
            <v>310048</v>
          </cell>
          <cell r="B959" t="str">
            <v>BENEFICIARIOS ELECTRIFICACIONES RURALES AÑO ACTUAL</v>
          </cell>
        </row>
        <row r="960">
          <cell r="A960">
            <v>310049</v>
          </cell>
          <cell r="B960" t="str">
            <v>BENEFICIARIOS SFA. OBRAS DE INFRAESTRUCTURA</v>
          </cell>
        </row>
        <row r="961">
          <cell r="A961">
            <v>310050</v>
          </cell>
          <cell r="B961" t="str">
            <v>BENEFICIARIOS PDIBC AÑO ACTUAL</v>
          </cell>
        </row>
        <row r="962">
          <cell r="A962">
            <v>310051</v>
          </cell>
          <cell r="B962" t="str">
            <v>BENEFICIARIOS PROG PDZP AÑO ACTUAL</v>
          </cell>
        </row>
        <row r="963">
          <cell r="A963">
            <v>310052</v>
          </cell>
          <cell r="B963" t="str">
            <v>BENEF. FOPEDEP AÑO ANTERIOR</v>
          </cell>
        </row>
        <row r="964">
          <cell r="A964">
            <v>310053</v>
          </cell>
          <cell r="B964" t="str">
            <v>BENEFICIARIOS PROG. MI PLAZA</v>
          </cell>
        </row>
        <row r="965">
          <cell r="A965">
            <v>310055</v>
          </cell>
          <cell r="B965" t="str">
            <v>BENEF. 3X1 EMPLEO TEMPORAL SEMARNAT</v>
          </cell>
        </row>
        <row r="966">
          <cell r="A966">
            <v>310056</v>
          </cell>
          <cell r="B966" t="str">
            <v>BENEF. PROGRAMA EN MARCHA</v>
          </cell>
        </row>
        <row r="967">
          <cell r="A967">
            <v>310059</v>
          </cell>
          <cell r="B967" t="str">
            <v>BENEF. PROGRAMA DE DESARROLLO REGIONAL</v>
          </cell>
        </row>
        <row r="968">
          <cell r="A968">
            <v>310060</v>
          </cell>
          <cell r="B968" t="str">
            <v>BENEF. PROGRAMA VIVIENDA DIGNA</v>
          </cell>
        </row>
        <row r="969">
          <cell r="A969">
            <v>310061</v>
          </cell>
          <cell r="B969" t="str">
            <v>BENEF. PROG. MEJORAMIENTO DE VIVIENDA</v>
          </cell>
        </row>
        <row r="970">
          <cell r="A970">
            <v>310063</v>
          </cell>
          <cell r="B970" t="str">
            <v>BENEF. APOYOS POR CONVENIO AÑO ACTUAL</v>
          </cell>
        </row>
        <row r="971">
          <cell r="A971">
            <v>310064</v>
          </cell>
          <cell r="B971" t="str">
            <v>BENEF. APOYO AL EMPRENDEDOR</v>
          </cell>
        </row>
        <row r="972">
          <cell r="A972">
            <v>310065</v>
          </cell>
          <cell r="B972" t="str">
            <v>BENEF. APOYO DE IMPULSO AL EMPRENDEDOR (PIESS 2014</v>
          </cell>
        </row>
        <row r="973">
          <cell r="A973">
            <v>310066</v>
          </cell>
          <cell r="B973" t="str">
            <v>BENEFICIARIOS RECONVERSIÓN PRODUCTIVA</v>
          </cell>
        </row>
        <row r="974">
          <cell r="A974">
            <v>310067</v>
          </cell>
          <cell r="B974" t="str">
            <v>BENEF. FOPADEM AÑO ACTUAL</v>
          </cell>
        </row>
        <row r="975">
          <cell r="A975">
            <v>310068</v>
          </cell>
          <cell r="B975" t="str">
            <v>BENEFICIARIOS PIESS 2015</v>
          </cell>
        </row>
        <row r="976">
          <cell r="A976">
            <v>310069</v>
          </cell>
          <cell r="B976" t="str">
            <v>BENEF. FOPADEM AÑO ANTERIOR</v>
          </cell>
        </row>
        <row r="977">
          <cell r="A977">
            <v>310070</v>
          </cell>
          <cell r="B977" t="str">
            <v>Beneficiarios PIESS 2016</v>
          </cell>
        </row>
        <row r="978">
          <cell r="A978">
            <v>310071</v>
          </cell>
          <cell r="B978" t="str">
            <v>BENEF. OBRAS Y ACCIONES (CULTIVOS DE ALTERNATIVA)</v>
          </cell>
        </row>
        <row r="979">
          <cell r="A979">
            <v>310072</v>
          </cell>
          <cell r="B979" t="str">
            <v>BENEF. PROG. BORDERIA</v>
          </cell>
        </row>
        <row r="980">
          <cell r="A980">
            <v>310073</v>
          </cell>
          <cell r="B980" t="str">
            <v>BENEF. PROG. DEZASOLVES</v>
          </cell>
        </row>
        <row r="981">
          <cell r="A981">
            <v>310074</v>
          </cell>
          <cell r="B981" t="str">
            <v>BENEF. APORTACION MIGRANTES 2X1</v>
          </cell>
        </row>
        <row r="982">
          <cell r="A982">
            <v>310075</v>
          </cell>
          <cell r="B982" t="str">
            <v>BENEF.BARDAS FCO PAREDES</v>
          </cell>
        </row>
        <row r="983">
          <cell r="A983">
            <v>310076</v>
          </cell>
          <cell r="B983" t="str">
            <v>BENEF. MI GANADO PRODUCTIVO</v>
          </cell>
        </row>
        <row r="984">
          <cell r="A984">
            <v>310077</v>
          </cell>
          <cell r="B984" t="str">
            <v>BENEF. MI PATIO PRODUCTIVO</v>
          </cell>
        </row>
        <row r="985">
          <cell r="A985" t="str">
            <v>310101</v>
          </cell>
          <cell r="B985" t="str">
            <v>BENEF AÑOS ANTERIORES</v>
          </cell>
        </row>
        <row r="986">
          <cell r="A986" t="str">
            <v>410101</v>
          </cell>
          <cell r="B986" t="str">
            <v>PLAZA VENTA AMBULANTE</v>
          </cell>
        </row>
        <row r="987">
          <cell r="A987" t="str">
            <v>410102</v>
          </cell>
          <cell r="B987" t="str">
            <v>EXPEDICION LICENCIAS DE AMBULANTE</v>
          </cell>
        </row>
        <row r="988">
          <cell r="A988" t="str">
            <v>410103</v>
          </cell>
          <cell r="B988" t="str">
            <v>OCUPACION VIA PUBLICA CASETAS</v>
          </cell>
        </row>
        <row r="989">
          <cell r="A989" t="str">
            <v>410104</v>
          </cell>
          <cell r="B989" t="str">
            <v>PERMISO CIERRE DE CALLES</v>
          </cell>
        </row>
        <row r="990">
          <cell r="A990" t="str">
            <v>410201</v>
          </cell>
          <cell r="B990" t="str">
            <v>MERCADO 5 DE FEBRERO</v>
          </cell>
        </row>
        <row r="991">
          <cell r="A991" t="str">
            <v>410202</v>
          </cell>
          <cell r="B991" t="str">
            <v>MERCADO BENITO JUAREZ</v>
          </cell>
        </row>
        <row r="992">
          <cell r="A992" t="str">
            <v>410203</v>
          </cell>
          <cell r="B992" t="str">
            <v>MERCADO HIDALGO</v>
          </cell>
        </row>
        <row r="993">
          <cell r="A993" t="str">
            <v>410204</v>
          </cell>
          <cell r="B993" t="str">
            <v>MERCADO MORELOS</v>
          </cell>
        </row>
        <row r="994">
          <cell r="A994" t="str">
            <v>410205</v>
          </cell>
          <cell r="B994" t="str">
            <v>MERCADO SAN JUAN DE LA VEGA</v>
          </cell>
        </row>
        <row r="995">
          <cell r="A995" t="str">
            <v>410206</v>
          </cell>
          <cell r="B995" t="str">
            <v>USO Y ARRENDAMIENTO</v>
          </cell>
        </row>
        <row r="996">
          <cell r="A996" t="str">
            <v>410207</v>
          </cell>
          <cell r="B996" t="str">
            <v>PARQUE BICENTENARIO</v>
          </cell>
        </row>
        <row r="997">
          <cell r="A997" t="str">
            <v>410208</v>
          </cell>
          <cell r="B997" t="str">
            <v>TARIMAS</v>
          </cell>
        </row>
        <row r="998">
          <cell r="A998" t="str">
            <v>410209</v>
          </cell>
          <cell r="B998" t="str">
            <v>MAMPARAS</v>
          </cell>
        </row>
        <row r="999">
          <cell r="A999">
            <v>430014</v>
          </cell>
          <cell r="B999" t="str">
            <v>INSPECCION MATADEROS RURALES</v>
          </cell>
        </row>
        <row r="1000">
          <cell r="A1000">
            <v>430015</v>
          </cell>
          <cell r="B1000" t="str">
            <v>INCINERACION DE CANAL</v>
          </cell>
        </row>
        <row r="1001">
          <cell r="A1001">
            <v>430017</v>
          </cell>
          <cell r="B1001" t="str">
            <v>POLICIA INDUSTRIAL</v>
          </cell>
        </row>
        <row r="1002">
          <cell r="A1002">
            <v>430021</v>
          </cell>
          <cell r="B1002" t="str">
            <v>TRAMITES DE TRANSPORTE MUNICIPAL</v>
          </cell>
        </row>
        <row r="1003">
          <cell r="A1003">
            <v>430023</v>
          </cell>
          <cell r="B1003" t="str">
            <v>EXPEDICION DE LICENCIAS DE CONDUCIR</v>
          </cell>
        </row>
        <row r="1004">
          <cell r="A1004">
            <v>430025</v>
          </cell>
          <cell r="B1004" t="str">
            <v>EXPEDICION DE CONSTANCIA DE NO INFRACCION</v>
          </cell>
        </row>
        <row r="1005">
          <cell r="A1005">
            <v>430026</v>
          </cell>
          <cell r="B1005" t="str">
            <v>ESTACIONAMIENTO PLAZA MORELOS</v>
          </cell>
        </row>
        <row r="1006">
          <cell r="A1006">
            <v>430036</v>
          </cell>
          <cell r="B1006" t="str">
            <v>HONORARIOS CATASTRALES</v>
          </cell>
        </row>
        <row r="1007">
          <cell r="A1007">
            <v>430038</v>
          </cell>
          <cell r="B1007" t="str">
            <v>INDENT. DE INMUEBLES REGISTRADOS EN CATASTRO</v>
          </cell>
        </row>
        <row r="1008">
          <cell r="A1008">
            <v>430039</v>
          </cell>
          <cell r="B1008" t="str">
            <v>DIVISIONES Y RELOTIFICACIONES</v>
          </cell>
        </row>
        <row r="1009">
          <cell r="A1009">
            <v>430046</v>
          </cell>
          <cell r="B1009" t="str">
            <v>OTROS SERVICIOS EN MATERIA DE MEDIO AMBIENTE</v>
          </cell>
        </row>
        <row r="1010">
          <cell r="A1010">
            <v>430053</v>
          </cell>
          <cell r="B1010" t="str">
            <v>ACCESO A LA INFORMACION PUBLICA</v>
          </cell>
        </row>
        <row r="1011">
          <cell r="A1011">
            <v>430054</v>
          </cell>
          <cell r="B1011" t="str">
            <v>SERVICIO ALUMBRADO PUBLICO</v>
          </cell>
        </row>
        <row r="1012">
          <cell r="A1012">
            <v>430055</v>
          </cell>
          <cell r="B1012" t="str">
            <v>ASIGNACION CLAVE CATASTRAL</v>
          </cell>
        </row>
        <row r="1013">
          <cell r="A1013">
            <v>430056</v>
          </cell>
          <cell r="B1013" t="str">
            <v>EXPEDICION DICTAMEN DE VERIFICACION VEHICULOS</v>
          </cell>
        </row>
        <row r="1014">
          <cell r="A1014">
            <v>430058</v>
          </cell>
          <cell r="B1014" t="str">
            <v>PERMISO CIERRE DE CALLES</v>
          </cell>
        </row>
        <row r="1015">
          <cell r="A1015">
            <v>430059</v>
          </cell>
          <cell r="B1015" t="str">
            <v>PERMISO EN MATERIA AMBIENTAL</v>
          </cell>
        </row>
        <row r="1016">
          <cell r="A1016">
            <v>430060</v>
          </cell>
          <cell r="B1016" t="str">
            <v>PERMISO PARA RECOLECCION DE RESIDUOS SOLIDOS</v>
          </cell>
        </row>
        <row r="1017">
          <cell r="A1017">
            <v>430061</v>
          </cell>
          <cell r="B1017" t="str">
            <v>PERMISO PARA ESTABLECIEMIENTOS MEDIO AMBIENTE</v>
          </cell>
        </row>
        <row r="1018">
          <cell r="A1018">
            <v>430062</v>
          </cell>
          <cell r="B1018" t="str">
            <v>PERMISO DE PERIFONEO</v>
          </cell>
        </row>
        <row r="1019">
          <cell r="A1019">
            <v>430063</v>
          </cell>
          <cell r="B1019" t="str">
            <v>PERMISO PARA CIRCULACION DE TRANSPORTISTAS</v>
          </cell>
        </row>
        <row r="1020">
          <cell r="A1020">
            <v>430064</v>
          </cell>
          <cell r="B1020" t="str">
            <v>EXPEDICIÓN, REPOSICIÓN Y RENOVACIÓN DE CÉDULA DEL</v>
          </cell>
        </row>
        <row r="1021">
          <cell r="A1021">
            <v>430066</v>
          </cell>
          <cell r="B1021" t="str">
            <v>PESAJE DE CANAL DE RES</v>
          </cell>
        </row>
        <row r="1022">
          <cell r="A1022">
            <v>430067</v>
          </cell>
          <cell r="B1022" t="str">
            <v>PESAJE DE CANAL DE CERDO</v>
          </cell>
        </row>
        <row r="1023">
          <cell r="A1023" t="str">
            <v>430101</v>
          </cell>
          <cell r="B1023" t="str">
            <v>SERVICIO ESPECIAL DE RECOLECCION</v>
          </cell>
        </row>
        <row r="1024">
          <cell r="A1024" t="str">
            <v>430102</v>
          </cell>
          <cell r="B1024" t="str">
            <v>ACCESO AL RELLENO SANITARIO</v>
          </cell>
        </row>
        <row r="1025">
          <cell r="A1025" t="str">
            <v>430103</v>
          </cell>
          <cell r="B1025" t="str">
            <v>LIMPIEZA DE LOTES BALDIOS</v>
          </cell>
        </row>
        <row r="1026">
          <cell r="A1026" t="str">
            <v>430104</v>
          </cell>
          <cell r="B1026" t="str">
            <v>PLANTA SEPARADORA TINAJITAS</v>
          </cell>
        </row>
        <row r="1027">
          <cell r="A1027" t="str">
            <v>430105</v>
          </cell>
          <cell r="B1027" t="str">
            <v>TALA O PODA DE ARBOLES</v>
          </cell>
        </row>
        <row r="1028">
          <cell r="A1028" t="str">
            <v>430106</v>
          </cell>
          <cell r="B1028" t="str">
            <v>SERVICIO DE PIPAS DE AGUA</v>
          </cell>
        </row>
        <row r="1029">
          <cell r="A1029" t="str">
            <v>430107</v>
          </cell>
          <cell r="B1029" t="str">
            <v>PERMISO P/ RECOLECCION RESIDUOS SOLIDOS</v>
          </cell>
        </row>
        <row r="1030">
          <cell r="A1030" t="str">
            <v>430201</v>
          </cell>
          <cell r="B1030" t="str">
            <v>INHUMACIONES Y EXHUMACIONES</v>
          </cell>
        </row>
        <row r="1031">
          <cell r="A1031" t="str">
            <v>430202</v>
          </cell>
          <cell r="B1031" t="str">
            <v>TRASLADO DE CADAVERES</v>
          </cell>
        </row>
        <row r="1032">
          <cell r="A1032" t="str">
            <v>430203</v>
          </cell>
          <cell r="B1032" t="str">
            <v>VENTA DE GAVETAS</v>
          </cell>
        </row>
        <row r="1033">
          <cell r="A1033" t="str">
            <v>430204</v>
          </cell>
          <cell r="B1033" t="str">
            <v>DERECHO DE CREMACIONES</v>
          </cell>
        </row>
        <row r="1034">
          <cell r="A1034" t="str">
            <v>430205</v>
          </cell>
          <cell r="B1034" t="str">
            <v>PLACAS Y MONUMENTOS</v>
          </cell>
        </row>
        <row r="1035">
          <cell r="A1035" t="str">
            <v>430301</v>
          </cell>
          <cell r="B1035" t="str">
            <v>GANADO VACUNO</v>
          </cell>
        </row>
        <row r="1036">
          <cell r="A1036" t="str">
            <v>430302</v>
          </cell>
          <cell r="B1036" t="str">
            <v>GANADO PORCINO</v>
          </cell>
        </row>
        <row r="1037">
          <cell r="A1037" t="str">
            <v>430303</v>
          </cell>
          <cell r="B1037" t="str">
            <v>GANADO OVICAPRINO</v>
          </cell>
        </row>
        <row r="1038">
          <cell r="A1038" t="str">
            <v>430304</v>
          </cell>
          <cell r="B1038" t="str">
            <v>CONDUCCION</v>
          </cell>
        </row>
        <row r="1039">
          <cell r="A1039" t="str">
            <v>430305</v>
          </cell>
          <cell r="B1039" t="str">
            <v>REFRIGERACION</v>
          </cell>
        </row>
        <row r="1040">
          <cell r="A1040" t="str">
            <v>430306</v>
          </cell>
          <cell r="B1040" t="str">
            <v>OTROS SERVICIOS DEL RASTRO</v>
          </cell>
        </row>
        <row r="1041">
          <cell r="A1041" t="str">
            <v>430307</v>
          </cell>
          <cell r="B1041" t="str">
            <v>PESAJE DE CANAL DE RES</v>
          </cell>
        </row>
        <row r="1042">
          <cell r="A1042" t="str">
            <v>430308</v>
          </cell>
          <cell r="B1042" t="str">
            <v>PESAJE DE CANAL DE CERDO</v>
          </cell>
        </row>
        <row r="1043">
          <cell r="A1043" t="str">
            <v>430401</v>
          </cell>
          <cell r="B1043" t="str">
            <v>POLICIA AUXILIAR</v>
          </cell>
        </row>
        <row r="1044">
          <cell r="A1044" t="str">
            <v>430402</v>
          </cell>
          <cell r="B1044" t="str">
            <v>SERVICIO PARTICULAR DE VIGILANCIA</v>
          </cell>
        </row>
        <row r="1045">
          <cell r="A1045" t="str">
            <v>430403</v>
          </cell>
          <cell r="B1045" t="str">
            <v>DICTAMEN DE VIABILIDAD DE SEGURIDAD PUBL</v>
          </cell>
        </row>
        <row r="1046">
          <cell r="A1046" t="str">
            <v>430404</v>
          </cell>
          <cell r="B1046" t="str">
            <v>PERMISO PARA PROTECCION DE EVENTOS</v>
          </cell>
        </row>
        <row r="1047">
          <cell r="A1047" t="str">
            <v>430501</v>
          </cell>
          <cell r="B1047" t="str">
            <v>RENOV CONCESIONES</v>
          </cell>
        </row>
        <row r="1048">
          <cell r="A1048" t="str">
            <v>430502</v>
          </cell>
          <cell r="B1048" t="str">
            <v>REVISTA MECANICA</v>
          </cell>
        </row>
        <row r="1049">
          <cell r="A1049" t="str">
            <v>430503</v>
          </cell>
          <cell r="B1049" t="str">
            <v>PERMISO P/CIRCULACION DE TRANSPORTISTA</v>
          </cell>
        </row>
        <row r="1050">
          <cell r="A1050" t="str">
            <v>430504</v>
          </cell>
          <cell r="B1050" t="str">
            <v>EXPED, RENOV O REPOSICION DE CEDULA</v>
          </cell>
        </row>
        <row r="1051">
          <cell r="A1051" t="str">
            <v>430505</v>
          </cell>
          <cell r="B1051" t="str">
            <v>TRÁMITES DE TRANSPORTE PÚBLICO</v>
          </cell>
        </row>
        <row r="1052">
          <cell r="A1052" t="str">
            <v>430601</v>
          </cell>
          <cell r="B1052" t="str">
            <v>EXPEDICION DE CONST DE NO INFRACCION</v>
          </cell>
        </row>
        <row r="1053">
          <cell r="A1053" t="str">
            <v>430602</v>
          </cell>
          <cell r="B1053" t="str">
            <v>MANIOBRAS DE CARGA Y DESCARGA</v>
          </cell>
        </row>
        <row r="1054">
          <cell r="A1054" t="str">
            <v>430701</v>
          </cell>
          <cell r="B1054" t="str">
            <v>CONCESION PARQUE MORELOS</v>
          </cell>
        </row>
        <row r="1055">
          <cell r="A1055" t="str">
            <v>430801</v>
          </cell>
          <cell r="B1055" t="str">
            <v>CENTRO DE CONTROL ANIMAL</v>
          </cell>
        </row>
        <row r="1056">
          <cell r="A1056" t="str">
            <v>430901</v>
          </cell>
          <cell r="B1056" t="str">
            <v>INSPECCION DE INMUEBLES</v>
          </cell>
        </row>
        <row r="1057">
          <cell r="A1057" t="str">
            <v>430902</v>
          </cell>
          <cell r="B1057" t="str">
            <v>REVISION DE INSTALACIONES EN EVENTOS</v>
          </cell>
        </row>
        <row r="1058">
          <cell r="A1058" t="str">
            <v>430903</v>
          </cell>
          <cell r="B1058" t="str">
            <v>EXPEDICION DE DICTAMEN DE VERIFICACION</v>
          </cell>
        </row>
        <row r="1059">
          <cell r="A1059" t="str">
            <v>431001</v>
          </cell>
          <cell r="B1059" t="str">
            <v>DIVISION REGIMEN EN CONDOMINIO</v>
          </cell>
        </row>
        <row r="1060">
          <cell r="A1060" t="str">
            <v>431002</v>
          </cell>
          <cell r="B1060" t="str">
            <v>OBRA NUEVA</v>
          </cell>
        </row>
        <row r="1061">
          <cell r="A1061" t="str">
            <v>431003</v>
          </cell>
          <cell r="B1061" t="str">
            <v>AMPLIACION, REPARACION Y REGULARIZACION</v>
          </cell>
        </row>
        <row r="1062">
          <cell r="A1062" t="str">
            <v>431004</v>
          </cell>
          <cell r="B1062" t="str">
            <v>ALINEAMIENTO Y NUMERO OFICIAL</v>
          </cell>
        </row>
        <row r="1063">
          <cell r="A1063" t="str">
            <v>431005</v>
          </cell>
          <cell r="B1063" t="str">
            <v>USO DE SUELO</v>
          </cell>
        </row>
        <row r="1064">
          <cell r="A1064" t="str">
            <v>431006</v>
          </cell>
          <cell r="B1064" t="str">
            <v>OCUPACION DE LA VIA PUBLICA</v>
          </cell>
        </row>
        <row r="1065">
          <cell r="A1065" t="str">
            <v>431007</v>
          </cell>
          <cell r="B1065" t="str">
            <v>PRORROGA Y TERMINACION DE OBRA</v>
          </cell>
        </row>
        <row r="1066">
          <cell r="A1066" t="str">
            <v>431101</v>
          </cell>
          <cell r="B1066" t="str">
            <v>ASIGNACION CLAVE CATASTRAL</v>
          </cell>
        </row>
        <row r="1067">
          <cell r="A1067" t="str">
            <v>431102</v>
          </cell>
          <cell r="B1067" t="str">
            <v>DERECHOS DE VALUACION</v>
          </cell>
        </row>
        <row r="1068">
          <cell r="A1068" t="str">
            <v>431103</v>
          </cell>
          <cell r="B1068" t="str">
            <v>HONORARIOS DE VALUACION</v>
          </cell>
        </row>
        <row r="1069">
          <cell r="A1069" t="str">
            <v>431201</v>
          </cell>
          <cell r="B1069" t="str">
            <v>DERECHOS DE FRACCIONAMIENTOS</v>
          </cell>
        </row>
        <row r="1070">
          <cell r="A1070" t="str">
            <v>431202</v>
          </cell>
          <cell r="B1070" t="str">
            <v>SUPERVISION DE FRACCIONAMIENTO</v>
          </cell>
        </row>
        <row r="1071">
          <cell r="A1071" t="str">
            <v>431203</v>
          </cell>
          <cell r="B1071" t="str">
            <v>DIVISIÓN Y RELOTIFICACIÓN</v>
          </cell>
        </row>
        <row r="1072">
          <cell r="A1072" t="str">
            <v>431301</v>
          </cell>
          <cell r="B1072" t="str">
            <v>ANUNCIOS</v>
          </cell>
        </row>
        <row r="1073">
          <cell r="A1073" t="str">
            <v>431401</v>
          </cell>
          <cell r="B1073" t="str">
            <v>PERMISO PARA VENTA DE BEBIDAS ALCOHOLICAS</v>
          </cell>
        </row>
        <row r="1074">
          <cell r="A1074" t="str">
            <v>431402</v>
          </cell>
          <cell r="B1074" t="str">
            <v>AMPLIACION DE HORARIO</v>
          </cell>
        </row>
        <row r="1075">
          <cell r="A1075" t="str">
            <v>431501</v>
          </cell>
          <cell r="B1075" t="str">
            <v>MANIFESTACION DE IMPACTO AMBIENTAL</v>
          </cell>
        </row>
        <row r="1076">
          <cell r="A1076" t="str">
            <v>431502</v>
          </cell>
          <cell r="B1076" t="str">
            <v>PERMISO EN MATERIA AMBIENTAL</v>
          </cell>
        </row>
        <row r="1077">
          <cell r="A1077" t="str">
            <v>431503</v>
          </cell>
          <cell r="B1077" t="str">
            <v>PERMISO P/ESTABL DE MEDIO AMBIENTE</v>
          </cell>
        </row>
        <row r="1078">
          <cell r="A1078" t="str">
            <v>431504</v>
          </cell>
          <cell r="B1078" t="str">
            <v>PERMISO PERIFONEO</v>
          </cell>
        </row>
        <row r="1079">
          <cell r="A1079" t="str">
            <v>431505</v>
          </cell>
          <cell r="B1079" t="str">
            <v>CAPACITACIÓN EN MATERIA AMBIENTAL</v>
          </cell>
        </row>
        <row r="1080">
          <cell r="A1080" t="str">
            <v>431506</v>
          </cell>
          <cell r="B1080" t="str">
            <v>VIVERO PLANTAS NATIVAS</v>
          </cell>
        </row>
        <row r="1081">
          <cell r="A1081" t="str">
            <v>431601</v>
          </cell>
          <cell r="B1081" t="str">
            <v>OTRAS CERTIFICACIONES</v>
          </cell>
        </row>
        <row r="1082">
          <cell r="A1082" t="str">
            <v>431602</v>
          </cell>
          <cell r="B1082" t="str">
            <v>CERTIFICACIONES DE DESARROLLO URBANO</v>
          </cell>
        </row>
        <row r="1083">
          <cell r="A1083" t="str">
            <v>431603</v>
          </cell>
          <cell r="B1083" t="str">
            <v>CERTIFICACIONES DE POLICIA</v>
          </cell>
        </row>
        <row r="1084">
          <cell r="A1084" t="str">
            <v>431604</v>
          </cell>
          <cell r="B1084" t="str">
            <v>CERTIFICACIONES DE NO ADEUDO</v>
          </cell>
        </row>
        <row r="1085">
          <cell r="A1085" t="str">
            <v>431605</v>
          </cell>
          <cell r="B1085" t="str">
            <v>OTROS CERTIFICADOS DE IMPTOS INMOBIL</v>
          </cell>
        </row>
        <row r="1086">
          <cell r="A1086" t="str">
            <v>431606</v>
          </cell>
          <cell r="B1086" t="str">
            <v>CARTAS Y CERTIFICACIONES SRIA.H.AYUNT.</v>
          </cell>
        </row>
        <row r="1087">
          <cell r="A1087" t="str">
            <v>431607</v>
          </cell>
          <cell r="B1087" t="str">
            <v>CERTIFICACIONES DE MEDIO AMBIENTE</v>
          </cell>
        </row>
        <row r="1088">
          <cell r="A1088" t="str">
            <v>431608</v>
          </cell>
          <cell r="B1088" t="str">
            <v>CERTIFICACIONES DE CLAVE CATASTRAL</v>
          </cell>
        </row>
        <row r="1089">
          <cell r="A1089" t="str">
            <v>431609</v>
          </cell>
          <cell r="B1089" t="str">
            <v>CONSTANCIA DE NO INFRACCIÓN MOVILIDAD</v>
          </cell>
        </row>
        <row r="1090">
          <cell r="A1090" t="str">
            <v>431701</v>
          </cell>
          <cell r="B1090" t="str">
            <v>TRASPASO DE LOCALES</v>
          </cell>
        </row>
        <row r="1091">
          <cell r="A1091" t="str">
            <v>431801</v>
          </cell>
          <cell r="B1091" t="str">
            <v>POR SERVICIOS DE ALUMBRADO PÚBLICO</v>
          </cell>
        </row>
        <row r="1092">
          <cell r="A1092" t="str">
            <v>432101</v>
          </cell>
          <cell r="B1092" t="str">
            <v>CENTROS CASSA</v>
          </cell>
        </row>
        <row r="1093">
          <cell r="A1093" t="str">
            <v>432102</v>
          </cell>
          <cell r="B1093" t="str">
            <v>INCAPACIDADES</v>
          </cell>
        </row>
        <row r="1094">
          <cell r="A1094">
            <v>510001</v>
          </cell>
          <cell r="B1094" t="str">
            <v>UNIDAD DEPORTIVA MIGUEL ALEMAN</v>
          </cell>
        </row>
        <row r="1095">
          <cell r="A1095">
            <v>510002</v>
          </cell>
          <cell r="B1095" t="str">
            <v>INSTALACIONES DEPORTIVAS CELANESE</v>
          </cell>
        </row>
        <row r="1096">
          <cell r="A1096">
            <v>510003</v>
          </cell>
          <cell r="B1096" t="str">
            <v>TARIMAS</v>
          </cell>
        </row>
        <row r="1097">
          <cell r="A1097">
            <v>510004</v>
          </cell>
          <cell r="B1097" t="str">
            <v>VTA. DE BIENES MUEBLES E INMUEBLES</v>
          </cell>
        </row>
        <row r="1098">
          <cell r="A1098">
            <v>510005</v>
          </cell>
          <cell r="B1098" t="str">
            <v>MAMPARAS</v>
          </cell>
        </row>
        <row r="1099">
          <cell r="A1099">
            <v>510006</v>
          </cell>
          <cell r="B1099" t="str">
            <v>RECUPERACION DE SEGUROS</v>
          </cell>
        </row>
        <row r="1100">
          <cell r="A1100">
            <v>510008</v>
          </cell>
          <cell r="B1100" t="str">
            <v>PLAZA VENTA AMBULANTE</v>
          </cell>
        </row>
        <row r="1101">
          <cell r="A1101">
            <v>510009</v>
          </cell>
          <cell r="B1101" t="str">
            <v>EXPEDICION LICENCIAS DE AMBULANTE</v>
          </cell>
        </row>
        <row r="1102">
          <cell r="A1102">
            <v>510010</v>
          </cell>
          <cell r="B1102" t="str">
            <v>MERCADO 5 DE FEBRERO</v>
          </cell>
        </row>
        <row r="1103">
          <cell r="A1103">
            <v>510011</v>
          </cell>
          <cell r="B1103" t="str">
            <v>MERCADO BENITO JUAREZ</v>
          </cell>
        </row>
        <row r="1104">
          <cell r="A1104">
            <v>510012</v>
          </cell>
          <cell r="B1104" t="str">
            <v>MERCADO HIDALGO</v>
          </cell>
        </row>
        <row r="1105">
          <cell r="A1105">
            <v>510013</v>
          </cell>
          <cell r="B1105" t="str">
            <v>MERCADO MORELOS</v>
          </cell>
        </row>
        <row r="1106">
          <cell r="A1106">
            <v>510014</v>
          </cell>
          <cell r="B1106" t="str">
            <v>SERVICIO DE PIPAS DE AGUA</v>
          </cell>
        </row>
        <row r="1107">
          <cell r="A1107">
            <v>510015</v>
          </cell>
          <cell r="B1107" t="str">
            <v>TRASPASO DE LOCALES EN MERCADOS</v>
          </cell>
        </row>
        <row r="1108">
          <cell r="A1108">
            <v>510016</v>
          </cell>
          <cell r="B1108" t="str">
            <v>CENTROS CASSA</v>
          </cell>
        </row>
        <row r="1109">
          <cell r="A1109">
            <v>510017</v>
          </cell>
          <cell r="B1109" t="str">
            <v>INCAPACIDADES</v>
          </cell>
        </row>
        <row r="1110">
          <cell r="A1110">
            <v>510018</v>
          </cell>
          <cell r="B1110" t="str">
            <v>CONCURSOS DE OBRA</v>
          </cell>
        </row>
        <row r="1111">
          <cell r="A1111">
            <v>510019</v>
          </cell>
          <cell r="B1111" t="str">
            <v>PUBLICITACION AL PADRON DE CONTRATISTAS</v>
          </cell>
        </row>
        <row r="1112">
          <cell r="A1112">
            <v>510020</v>
          </cell>
          <cell r="B1112" t="str">
            <v>FOTOCREDENCIALIZACION</v>
          </cell>
        </row>
        <row r="1113">
          <cell r="A1113">
            <v>510021</v>
          </cell>
          <cell r="B1113" t="str">
            <v>BANDA MUNICIPAL</v>
          </cell>
        </row>
        <row r="1114">
          <cell r="A1114">
            <v>510022</v>
          </cell>
          <cell r="B1114" t="str">
            <v>LICITACIONES</v>
          </cell>
        </row>
        <row r="1115">
          <cell r="A1115">
            <v>510023</v>
          </cell>
          <cell r="B1115" t="str">
            <v>EXPEDICION DE PLANOS</v>
          </cell>
        </row>
        <row r="1116">
          <cell r="A1116">
            <v>510024</v>
          </cell>
          <cell r="B1116" t="str">
            <v>TALA O PODA DE ARBOLES</v>
          </cell>
        </row>
        <row r="1117">
          <cell r="A1117">
            <v>510025</v>
          </cell>
          <cell r="B1117" t="str">
            <v>MANIOBRAS DE CARGA Y DESCARGA</v>
          </cell>
        </row>
        <row r="1118">
          <cell r="A1118">
            <v>510026</v>
          </cell>
          <cell r="B1118" t="str">
            <v>OTROS PRODUCTOS</v>
          </cell>
        </row>
        <row r="1119">
          <cell r="A1119">
            <v>510027</v>
          </cell>
          <cell r="B1119" t="str">
            <v>DAÑOS A PROPIEDAD MUNICIPAL</v>
          </cell>
        </row>
        <row r="1120">
          <cell r="A1120">
            <v>510028</v>
          </cell>
          <cell r="B1120" t="str">
            <v>TRAMITE DE PASAPORTE</v>
          </cell>
        </row>
        <row r="1121">
          <cell r="A1121">
            <v>510029</v>
          </cell>
          <cell r="B1121" t="str">
            <v>FOTOGRAFIAS DE PASAPORTE</v>
          </cell>
        </row>
        <row r="1122">
          <cell r="A1122">
            <v>510030</v>
          </cell>
          <cell r="B1122" t="str">
            <v>CONSTITUCION DE SOC Y ASOCIACIONES</v>
          </cell>
        </row>
        <row r="1123">
          <cell r="A1123">
            <v>510031</v>
          </cell>
          <cell r="B1123" t="str">
            <v>COPIAS FOTOSTATICAS</v>
          </cell>
        </row>
        <row r="1124">
          <cell r="A1124">
            <v>510032</v>
          </cell>
          <cell r="B1124" t="str">
            <v>VENTA DE BIENES MUNICIP. EN DESUSO</v>
          </cell>
        </row>
        <row r="1125">
          <cell r="A1125">
            <v>510033</v>
          </cell>
          <cell r="B1125" t="str">
            <v>INT. SCOTIABANK REMOD. AUDIT. 21036213941</v>
          </cell>
        </row>
        <row r="1126">
          <cell r="A1126">
            <v>510034</v>
          </cell>
          <cell r="B1126" t="str">
            <v>INT. SCOTIABANK PROG. FOPAM 2103613771</v>
          </cell>
        </row>
        <row r="1127">
          <cell r="A1127">
            <v>510035</v>
          </cell>
          <cell r="B1127" t="str">
            <v>INT. SCOTIABANK CTA EJE. C. 2103497240</v>
          </cell>
        </row>
        <row r="1128">
          <cell r="A1128">
            <v>510036</v>
          </cell>
          <cell r="B1128" t="str">
            <v>INT.INV.BANORTE FORTAMUN 2007</v>
          </cell>
        </row>
        <row r="1129">
          <cell r="A1129">
            <v>510037</v>
          </cell>
          <cell r="B1129" t="str">
            <v>INT. INV.BANORTE FAISM 2007</v>
          </cell>
        </row>
        <row r="1130">
          <cell r="A1130">
            <v>510041</v>
          </cell>
          <cell r="B1130" t="str">
            <v>INT.PRODUCTIVO FAISM 2007</v>
          </cell>
        </row>
        <row r="1131">
          <cell r="A1131">
            <v>510047</v>
          </cell>
          <cell r="B1131" t="str">
            <v>INT. BAJIO INFRACC.LIC.C.12651065</v>
          </cell>
        </row>
        <row r="1132">
          <cell r="A1132">
            <v>510050</v>
          </cell>
          <cell r="B1132" t="str">
            <v>INT. INV.C/BANORTE C. PUB. 2003-2006</v>
          </cell>
        </row>
        <row r="1133">
          <cell r="A1133">
            <v>510051</v>
          </cell>
          <cell r="B1133" t="str">
            <v>INT.BAJIO C.2008 C/2829460101</v>
          </cell>
        </row>
        <row r="1134">
          <cell r="A1134">
            <v>510052</v>
          </cell>
          <cell r="B1134" t="str">
            <v>INT.BANORTE C.PUB. 2008 C.559287684</v>
          </cell>
        </row>
        <row r="1135">
          <cell r="A1135">
            <v>510053</v>
          </cell>
          <cell r="B1135" t="str">
            <v>INT. MAXICUENTA</v>
          </cell>
        </row>
        <row r="1136">
          <cell r="A1136">
            <v>510054</v>
          </cell>
          <cell r="B1136" t="str">
            <v>INT.INV.BAJIO FORTAMUN 2008</v>
          </cell>
        </row>
        <row r="1137">
          <cell r="A1137">
            <v>510056</v>
          </cell>
          <cell r="B1137" t="str">
            <v>INT.INV.BAJIO FAISM 2008</v>
          </cell>
        </row>
        <row r="1138">
          <cell r="A1138">
            <v>510060</v>
          </cell>
          <cell r="B1138" t="str">
            <v>INT. BAJIO SEBSEMUN MUNICIPAL</v>
          </cell>
        </row>
        <row r="1139">
          <cell r="A1139">
            <v>510061</v>
          </cell>
          <cell r="B1139" t="str">
            <v>INT. BANORTE FAFM 2003-2006 79307722</v>
          </cell>
        </row>
        <row r="1140">
          <cell r="A1140">
            <v>510062</v>
          </cell>
          <cell r="B1140" t="str">
            <v>INT.BANORTE FAISM 2003-2006 9307731</v>
          </cell>
        </row>
        <row r="1141">
          <cell r="A1141">
            <v>510063</v>
          </cell>
          <cell r="B1141" t="str">
            <v>INTERESES BANORTE FAISM 2010 SF</v>
          </cell>
        </row>
        <row r="1142">
          <cell r="A1142">
            <v>510064</v>
          </cell>
          <cell r="B1142" t="str">
            <v>INTERESES BAJIO FORTAMUN 2010 SF</v>
          </cell>
        </row>
        <row r="1143">
          <cell r="A1143">
            <v>510074</v>
          </cell>
          <cell r="B1143" t="str">
            <v>INT.INV.FORTAMUN 2008 C. 2928190</v>
          </cell>
        </row>
        <row r="1144">
          <cell r="A1144">
            <v>510076</v>
          </cell>
          <cell r="B1144" t="str">
            <v>INT. X INV. VECTOR C PUBLICA 2004</v>
          </cell>
        </row>
        <row r="1145">
          <cell r="A1145">
            <v>510079</v>
          </cell>
          <cell r="B1145" t="str">
            <v>INT.INV.BAJIO CTA.PUB.2009</v>
          </cell>
        </row>
        <row r="1146">
          <cell r="A1146">
            <v>510080</v>
          </cell>
          <cell r="B1146" t="str">
            <v>INT.INV.BANORTE CTA.PUB. 2009</v>
          </cell>
        </row>
        <row r="1147">
          <cell r="A1147">
            <v>510081</v>
          </cell>
          <cell r="B1147" t="str">
            <v>INT.INV.FAISM 2009</v>
          </cell>
        </row>
        <row r="1148">
          <cell r="A1148">
            <v>510082</v>
          </cell>
          <cell r="B1148" t="str">
            <v>INT.INV. FAFM 2009</v>
          </cell>
        </row>
        <row r="1149">
          <cell r="A1149">
            <v>510085</v>
          </cell>
          <cell r="B1149" t="str">
            <v>INT. INV. FAISM 2010</v>
          </cell>
        </row>
        <row r="1150">
          <cell r="A1150">
            <v>510086</v>
          </cell>
          <cell r="B1150" t="str">
            <v>INT. INV. FAFM 2010</v>
          </cell>
        </row>
        <row r="1151">
          <cell r="A1151">
            <v>510087</v>
          </cell>
          <cell r="B1151" t="str">
            <v>INT. INV. CTA. PUBLICA 2010</v>
          </cell>
        </row>
        <row r="1152">
          <cell r="A1152">
            <v>510088</v>
          </cell>
          <cell r="B1152" t="str">
            <v>SANT. CTA. PUB. 2010 C. 65502571971</v>
          </cell>
        </row>
        <row r="1153">
          <cell r="A1153">
            <v>510089</v>
          </cell>
          <cell r="B1153" t="str">
            <v>INT. BANORTE CTA. PUB. 2010 C. 0633163446</v>
          </cell>
        </row>
        <row r="1154">
          <cell r="A1154">
            <v>510090</v>
          </cell>
          <cell r="B1154" t="str">
            <v>INT.  BANCOMER CTA. EJE C. 15433796</v>
          </cell>
        </row>
        <row r="1155">
          <cell r="A1155">
            <v>510091</v>
          </cell>
          <cell r="B1155" t="str">
            <v>INTBAJ. SUBSEMUN MPAL/2010 5280987</v>
          </cell>
        </row>
        <row r="1156">
          <cell r="A1156">
            <v>510092</v>
          </cell>
          <cell r="B1156" t="str">
            <v>INT. BAJIO SUBSEMUN FED.  2010 5280987</v>
          </cell>
        </row>
        <row r="1157">
          <cell r="A1157">
            <v>510093</v>
          </cell>
          <cell r="B1157" t="str">
            <v>INT.INV.FAISM 2011</v>
          </cell>
        </row>
        <row r="1158">
          <cell r="A1158">
            <v>510094</v>
          </cell>
          <cell r="B1158" t="str">
            <v>INT.INV. FAFM 2011</v>
          </cell>
        </row>
        <row r="1159">
          <cell r="A1159">
            <v>510095</v>
          </cell>
          <cell r="B1159" t="str">
            <v>INT.  SANTANDER CTA. PUB. 2011</v>
          </cell>
        </row>
        <row r="1160">
          <cell r="A1160">
            <v>510096</v>
          </cell>
          <cell r="B1160" t="str">
            <v>INT.  BANORTE  CTA. PUB. 2011</v>
          </cell>
        </row>
        <row r="1161">
          <cell r="A1161">
            <v>510097</v>
          </cell>
          <cell r="B1161" t="str">
            <v>INT. BAJIO CTA. PUB. 2011</v>
          </cell>
        </row>
        <row r="1162">
          <cell r="A1162">
            <v>510098</v>
          </cell>
          <cell r="B1162" t="str">
            <v>INT. BAJIO SUBSEMUN FED. 2011</v>
          </cell>
        </row>
        <row r="1163">
          <cell r="A1163">
            <v>510099</v>
          </cell>
          <cell r="B1163" t="str">
            <v>BAJIO SEBSEMUN MUNIC. 2011</v>
          </cell>
        </row>
        <row r="1164">
          <cell r="A1164">
            <v>510100</v>
          </cell>
          <cell r="B1164" t="str">
            <v>NT. SERFIN COMAND. DELEG. 65502767449</v>
          </cell>
        </row>
        <row r="1165">
          <cell r="A1165" t="str">
            <v>510101</v>
          </cell>
          <cell r="B1165" t="str">
            <v>INT. SCPTIABANCK FIDOC C. 2103457273</v>
          </cell>
        </row>
        <row r="1166">
          <cell r="A1166">
            <v>510102</v>
          </cell>
          <cell r="B1166" t="str">
            <v>INT. INV. FAISM 2012</v>
          </cell>
        </row>
        <row r="1167">
          <cell r="A1167" t="str">
            <v>510103</v>
          </cell>
          <cell r="B1167" t="str">
            <v>INT. INV. FFM 2012</v>
          </cell>
        </row>
        <row r="1168">
          <cell r="A1168" t="str">
            <v>510104</v>
          </cell>
          <cell r="B1168" t="str">
            <v>INT. BAJIO SUBSEMUN FED. 2012</v>
          </cell>
        </row>
        <row r="1169">
          <cell r="A1169">
            <v>510105</v>
          </cell>
          <cell r="B1169" t="str">
            <v>INT. BAJ. SUBSEMUN MUNIC. 2012</v>
          </cell>
        </row>
        <row r="1170">
          <cell r="A1170">
            <v>510106</v>
          </cell>
          <cell r="B1170" t="str">
            <v>INT. BAJIO CTA.PUB. 2012</v>
          </cell>
        </row>
        <row r="1171">
          <cell r="A1171">
            <v>510107</v>
          </cell>
          <cell r="B1171" t="str">
            <v>INT. SANTANDER CTA. PUB. 2012</v>
          </cell>
        </row>
        <row r="1172">
          <cell r="A1172">
            <v>510108</v>
          </cell>
          <cell r="B1172" t="str">
            <v>INT. BANORTE CTA. PUB. 2012</v>
          </cell>
        </row>
        <row r="1173">
          <cell r="A1173">
            <v>510109</v>
          </cell>
          <cell r="B1173" t="str">
            <v>OTROS SERVICIOS DE PASAPORTE</v>
          </cell>
        </row>
        <row r="1174">
          <cell r="A1174">
            <v>510111</v>
          </cell>
          <cell r="B1174" t="str">
            <v>INT. INV. FAISM 2013</v>
          </cell>
        </row>
        <row r="1175">
          <cell r="A1175">
            <v>510112</v>
          </cell>
          <cell r="B1175" t="str">
            <v>INT. INV. FFM 2013</v>
          </cell>
        </row>
        <row r="1176">
          <cell r="A1176">
            <v>510113</v>
          </cell>
          <cell r="B1176" t="str">
            <v>INT. SANTANDER CTA PUB 2013 CTA 65503553046</v>
          </cell>
        </row>
        <row r="1177">
          <cell r="A1177">
            <v>510114</v>
          </cell>
          <cell r="B1177" t="str">
            <v>INT.INV.BAJIO CUENTA PUBLICA 2013 CTA.8759755</v>
          </cell>
        </row>
        <row r="1178">
          <cell r="A1178">
            <v>510115</v>
          </cell>
          <cell r="B1178" t="str">
            <v>INT.BANORTE CUENTA PUBLICA 2013 CTA.0855194895</v>
          </cell>
        </row>
        <row r="1179">
          <cell r="A1179">
            <v>510116</v>
          </cell>
          <cell r="B1179" t="str">
            <v>INT.BAJIO FAISM 2003-2006</v>
          </cell>
        </row>
        <row r="1180">
          <cell r="A1180">
            <v>510117</v>
          </cell>
          <cell r="B1180" t="str">
            <v>INT.BAJIO FAISM 2007</v>
          </cell>
        </row>
        <row r="1181">
          <cell r="A1181">
            <v>510118</v>
          </cell>
          <cell r="B1181" t="str">
            <v>INT.BAJIO FAISM 2011</v>
          </cell>
        </row>
        <row r="1182">
          <cell r="A1182">
            <v>510119</v>
          </cell>
          <cell r="B1182" t="str">
            <v>INT.BAJIO CTA.PUB.AÑOS ANT.C.9230491</v>
          </cell>
        </row>
        <row r="1183">
          <cell r="A1183">
            <v>510120</v>
          </cell>
          <cell r="B1183" t="str">
            <v>INT.BAJIO SUBSEMUN 13 COOP.MP.C.9068594</v>
          </cell>
        </row>
        <row r="1184">
          <cell r="A1184">
            <v>510121</v>
          </cell>
          <cell r="B1184" t="str">
            <v>INT.BAJIO SUBSEMUN 13 FEDERAL C.9068537</v>
          </cell>
        </row>
        <row r="1185">
          <cell r="A1185">
            <v>510122</v>
          </cell>
          <cell r="B1185" t="str">
            <v>INT. BANAMEX CTA PUB 2013 C.2271320</v>
          </cell>
        </row>
        <row r="1186">
          <cell r="A1186">
            <v>510123</v>
          </cell>
          <cell r="B1186" t="str">
            <v>INT.BAJIO CTA.PUB.2014 C.10266252</v>
          </cell>
        </row>
        <row r="1187">
          <cell r="A1187">
            <v>510124</v>
          </cell>
          <cell r="B1187" t="str">
            <v>INT.BAJIO SUBSEMUN 2014 FEDERAL C.107291</v>
          </cell>
        </row>
        <row r="1188">
          <cell r="A1188">
            <v>510125</v>
          </cell>
          <cell r="B1188" t="str">
            <v>INT.BAJIO SUBSEMUN 2014 COOP.MPAL.C.1072</v>
          </cell>
        </row>
        <row r="1189">
          <cell r="A1189">
            <v>510126</v>
          </cell>
          <cell r="B1189" t="str">
            <v>INT.BAJIO FORTAMUN 2014 C.10434710</v>
          </cell>
        </row>
        <row r="1190">
          <cell r="A1190">
            <v>510127</v>
          </cell>
          <cell r="B1190" t="str">
            <v>INT. BANORTE MODERNZ. CATASTRAL C.0236291076</v>
          </cell>
        </row>
        <row r="1191">
          <cell r="A1191">
            <v>510128</v>
          </cell>
          <cell r="B1191" t="str">
            <v>INT. INV. FAISM 2014 CT 10434819</v>
          </cell>
        </row>
        <row r="1192">
          <cell r="A1192">
            <v>510129</v>
          </cell>
          <cell r="B1192" t="str">
            <v>INT INV FAISM 03-06</v>
          </cell>
        </row>
        <row r="1193">
          <cell r="A1193">
            <v>510130</v>
          </cell>
          <cell r="B1193" t="str">
            <v>INT BAJIO FAISM 2007</v>
          </cell>
        </row>
        <row r="1194">
          <cell r="A1194">
            <v>510131</v>
          </cell>
          <cell r="B1194" t="str">
            <v>INT BAJIO FAISM 2008</v>
          </cell>
        </row>
        <row r="1195">
          <cell r="A1195">
            <v>510132</v>
          </cell>
          <cell r="B1195" t="str">
            <v>INT BAJIO FAISM 2009</v>
          </cell>
        </row>
        <row r="1196">
          <cell r="A1196">
            <v>510133</v>
          </cell>
          <cell r="B1196" t="str">
            <v>INT BAJIO FAISM 2010</v>
          </cell>
        </row>
        <row r="1197">
          <cell r="A1197">
            <v>510134</v>
          </cell>
          <cell r="B1197" t="str">
            <v>INT BAJIO FAISM 2012</v>
          </cell>
        </row>
        <row r="1198">
          <cell r="A1198">
            <v>510135</v>
          </cell>
          <cell r="B1198" t="str">
            <v>INT BAJIO FAISM 2013</v>
          </cell>
        </row>
        <row r="1199">
          <cell r="A1199">
            <v>510136</v>
          </cell>
          <cell r="B1199" t="str">
            <v>INT BAJIO FAISM 2014</v>
          </cell>
        </row>
        <row r="1200">
          <cell r="A1200">
            <v>510137</v>
          </cell>
          <cell r="B1200" t="str">
            <v>INT. BAJIO CUENTA PÚBLICA 2015</v>
          </cell>
        </row>
        <row r="1201">
          <cell r="A1201">
            <v>510138</v>
          </cell>
          <cell r="B1201" t="str">
            <v>INT. BANORTE CUENTA PÚBLICA 2015</v>
          </cell>
        </row>
        <row r="1202">
          <cell r="A1202">
            <v>510139</v>
          </cell>
          <cell r="B1202" t="str">
            <v>OCUPACION VIA PUBLICA CASETAS</v>
          </cell>
        </row>
        <row r="1203">
          <cell r="A1203">
            <v>510140</v>
          </cell>
          <cell r="B1203" t="str">
            <v>INT. BAJIO FORTAMUN 2015</v>
          </cell>
        </row>
        <row r="1204">
          <cell r="A1204">
            <v>510141</v>
          </cell>
          <cell r="B1204" t="str">
            <v>INT. BAJIO FAISM 2015</v>
          </cell>
        </row>
        <row r="1205">
          <cell r="A1205">
            <v>510142</v>
          </cell>
          <cell r="B1205" t="str">
            <v>MERCADO COM. SAN JUAN DE LA VEGA</v>
          </cell>
        </row>
        <row r="1206">
          <cell r="A1206">
            <v>510143</v>
          </cell>
          <cell r="B1206" t="str">
            <v>USO Y ARRENDAMIENTO MERCADO SAN JUAN DE LA VEGA</v>
          </cell>
        </row>
        <row r="1207">
          <cell r="A1207">
            <v>510144</v>
          </cell>
          <cell r="B1207" t="str">
            <v>CONCESION PARQUE MORELOS</v>
          </cell>
        </row>
        <row r="1208">
          <cell r="A1208">
            <v>510145</v>
          </cell>
          <cell r="B1208" t="str">
            <v>CONVENIO MERCADO SAN JUAN DE LA VEGA</v>
          </cell>
        </row>
        <row r="1209">
          <cell r="A1209">
            <v>510146</v>
          </cell>
          <cell r="B1209" t="str">
            <v>INT. BAJIO SUBSEMUN FEDERAL 2015</v>
          </cell>
        </row>
        <row r="1210">
          <cell r="A1210">
            <v>510147</v>
          </cell>
          <cell r="B1210" t="str">
            <v>INT. BAJIO SUBSEMUN COOP. 2015</v>
          </cell>
        </row>
        <row r="1211">
          <cell r="A1211">
            <v>510148</v>
          </cell>
          <cell r="B1211" t="str">
            <v>INT. X INV. BAJIO PARTICIPACIONES 2015</v>
          </cell>
        </row>
        <row r="1212">
          <cell r="A1212">
            <v>510149</v>
          </cell>
          <cell r="B1212" t="str">
            <v>INT. BAJIO FORTAMUN 2016</v>
          </cell>
        </row>
        <row r="1213">
          <cell r="A1213">
            <v>510150</v>
          </cell>
          <cell r="B1213" t="str">
            <v>INT. BAJIO FAISM  2016</v>
          </cell>
        </row>
        <row r="1214">
          <cell r="A1214">
            <v>510151</v>
          </cell>
          <cell r="B1214" t="str">
            <v>INT. BAJIO CTA. PÚBLICA 2016</v>
          </cell>
        </row>
        <row r="1215">
          <cell r="A1215">
            <v>510152</v>
          </cell>
          <cell r="B1215" t="str">
            <v>INT. BANCOMER PARTICIPACIONES 2016</v>
          </cell>
        </row>
        <row r="1216">
          <cell r="A1216">
            <v>510153</v>
          </cell>
          <cell r="B1216" t="str">
            <v>INT. MULTIVA CTA. EJE C-5907257</v>
          </cell>
        </row>
        <row r="1217">
          <cell r="A1217">
            <v>510154</v>
          </cell>
          <cell r="B1217" t="str">
            <v>VIVERO PLANTAS NATIVAS</v>
          </cell>
        </row>
        <row r="1218">
          <cell r="A1218">
            <v>510155</v>
          </cell>
          <cell r="B1218" t="str">
            <v>CAPACITACION EN MATERIA AMBIENTAL</v>
          </cell>
        </row>
        <row r="1219">
          <cell r="A1219">
            <v>510156</v>
          </cell>
          <cell r="B1219" t="str">
            <v>PLANTA SEPARADORA TINAJITAS</v>
          </cell>
        </row>
        <row r="1220">
          <cell r="A1220">
            <v>510157</v>
          </cell>
          <cell r="B1220" t="str">
            <v>INT. FORTASEG 2016 APORT. FEDERAL</v>
          </cell>
        </row>
        <row r="1221">
          <cell r="A1221">
            <v>510158</v>
          </cell>
          <cell r="B1221" t="str">
            <v>INT. FORTASEG 2016 COPARTICIPACION</v>
          </cell>
        </row>
        <row r="1222">
          <cell r="A1222">
            <v>510160</v>
          </cell>
          <cell r="B1222" t="str">
            <v>PARQUE BICENTENARIO</v>
          </cell>
        </row>
        <row r="1223">
          <cell r="A1223">
            <v>510161</v>
          </cell>
          <cell r="B1223" t="str">
            <v>INTERESES FIDEICOMISO</v>
          </cell>
        </row>
        <row r="1224">
          <cell r="A1224">
            <v>510162</v>
          </cell>
          <cell r="B1224" t="str">
            <v>INT BBVA BANCOMER CREDITO IMPULSO CTA-0107887957</v>
          </cell>
        </row>
        <row r="1225">
          <cell r="A1225">
            <v>510167</v>
          </cell>
          <cell r="B1225" t="str">
            <v>IINT. BAJIO CUENTA PUBLICA 2017</v>
          </cell>
        </row>
        <row r="1226">
          <cell r="A1226">
            <v>510168</v>
          </cell>
          <cell r="B1226" t="str">
            <v>INT. BANCOMER PARTICIPACIONES 2017</v>
          </cell>
        </row>
        <row r="1227">
          <cell r="A1227">
            <v>510169</v>
          </cell>
          <cell r="B1227" t="str">
            <v>INT. FORTASEG 2017 APORT. FEDERAL</v>
          </cell>
        </row>
        <row r="1228">
          <cell r="A1228">
            <v>510170</v>
          </cell>
          <cell r="B1228" t="str">
            <v>INT. FORTASEG 2017 COPARTICIPACION</v>
          </cell>
        </row>
        <row r="1229">
          <cell r="A1229">
            <v>510171</v>
          </cell>
          <cell r="B1229" t="str">
            <v>INT. BAJIO FORTAMUN 2017</v>
          </cell>
        </row>
        <row r="1230">
          <cell r="A1230">
            <v>510172</v>
          </cell>
          <cell r="B1230" t="str">
            <v>INT. BAJIO FAISM  2017</v>
          </cell>
        </row>
        <row r="1231">
          <cell r="A1231">
            <v>510173</v>
          </cell>
          <cell r="B1231" t="str">
            <v>INT. IMPULSO</v>
          </cell>
        </row>
        <row r="1232">
          <cell r="A1232">
            <v>510175</v>
          </cell>
          <cell r="B1232" t="str">
            <v>INT.BAJIO PROVISION AGUINALDO C-17980350</v>
          </cell>
        </row>
        <row r="1233">
          <cell r="A1233">
            <v>510177</v>
          </cell>
          <cell r="B1233" t="str">
            <v>INT.INV.SANTANDER NOMINA C.1800004366</v>
          </cell>
        </row>
        <row r="1234">
          <cell r="A1234">
            <v>510178</v>
          </cell>
          <cell r="B1234" t="str">
            <v>INT. INTERACCIONES CTA EJE CTA-300194433</v>
          </cell>
        </row>
        <row r="1235">
          <cell r="A1235">
            <v>510179</v>
          </cell>
          <cell r="B1235" t="str">
            <v>CAPACITACIÓN A OPERADORES DE TRANSPORTE</v>
          </cell>
        </row>
        <row r="1236">
          <cell r="A1236">
            <v>510180</v>
          </cell>
          <cell r="B1236" t="str">
            <v>INT. BAJIO CUENTA PUBLICA CRED IMPULSO 2017</v>
          </cell>
        </row>
        <row r="1237">
          <cell r="A1237">
            <v>510181</v>
          </cell>
          <cell r="B1237" t="str">
            <v>INT. BAJIO FORTAMUN 2018</v>
          </cell>
        </row>
        <row r="1238">
          <cell r="A1238">
            <v>510182</v>
          </cell>
          <cell r="B1238" t="str">
            <v>INT. BAJIO FAISM 2018</v>
          </cell>
        </row>
        <row r="1239">
          <cell r="A1239">
            <v>510183</v>
          </cell>
          <cell r="B1239" t="str">
            <v>PARTICIPACIONES 2018</v>
          </cell>
        </row>
        <row r="1240">
          <cell r="A1240">
            <v>510184</v>
          </cell>
          <cell r="B1240" t="str">
            <v>INT. BAJIO CTA. PUB.2018 C-20694865</v>
          </cell>
        </row>
        <row r="1241">
          <cell r="A1241">
            <v>510188</v>
          </cell>
          <cell r="B1241" t="str">
            <v>INT BAJIO CUENTA PUBLICA FOMENTO DEPORTIVO 2017</v>
          </cell>
        </row>
        <row r="1242">
          <cell r="A1242">
            <v>510189</v>
          </cell>
          <cell r="B1242" t="str">
            <v>INTERESES LIBRE DISPOSICIÓN</v>
          </cell>
        </row>
        <row r="1243">
          <cell r="A1243">
            <v>510190</v>
          </cell>
          <cell r="B1243" t="str">
            <v>INT. BAJIO FORTAMUN 2019</v>
          </cell>
        </row>
        <row r="1244">
          <cell r="A1244">
            <v>510191</v>
          </cell>
          <cell r="B1244" t="str">
            <v>INT. BAJIO FAISM 2019</v>
          </cell>
        </row>
        <row r="1245">
          <cell r="A1245">
            <v>510301</v>
          </cell>
          <cell r="B1245" t="str">
            <v>VENTA DE FORMAS OFICIALES</v>
          </cell>
        </row>
        <row r="1246">
          <cell r="A1246" t="str">
            <v>510501</v>
          </cell>
          <cell r="B1246" t="str">
            <v>ACCESO INFORMACIÓN PÚBLICA</v>
          </cell>
        </row>
        <row r="1247">
          <cell r="A1247" t="str">
            <v>510502</v>
          </cell>
          <cell r="B1247" t="str">
            <v>EXPEDICIÓN DE PLANOS</v>
          </cell>
        </row>
        <row r="1248">
          <cell r="A1248">
            <v>510601</v>
          </cell>
          <cell r="B1248" t="str">
            <v>VENTA DE BIENES MUNICIPALES EN DESUSO</v>
          </cell>
        </row>
        <row r="1249">
          <cell r="A1249" t="str">
            <v>510701</v>
          </cell>
          <cell r="B1249" t="str">
            <v>VTA DE BIEN INM MUEBLES</v>
          </cell>
        </row>
        <row r="1250">
          <cell r="A1250" t="str">
            <v>510901</v>
          </cell>
          <cell r="B1250" t="str">
            <v>OTROS PRODUCTOS</v>
          </cell>
        </row>
        <row r="1251">
          <cell r="A1251">
            <v>610005</v>
          </cell>
          <cell r="B1251" t="str">
            <v>MULTAS DE COMERCIO</v>
          </cell>
        </row>
        <row r="1252">
          <cell r="A1252">
            <v>610007</v>
          </cell>
          <cell r="B1252" t="str">
            <v>MULTAS DE INMOBILIARIO</v>
          </cell>
        </row>
        <row r="1253">
          <cell r="A1253">
            <v>610010</v>
          </cell>
          <cell r="B1253" t="str">
            <v>MULTAS FEDERALES</v>
          </cell>
        </row>
        <row r="1254">
          <cell r="A1254">
            <v>610011</v>
          </cell>
          <cell r="B1254" t="str">
            <v>OTRAS MULTAS FEDERALES</v>
          </cell>
        </row>
        <row r="1255">
          <cell r="A1255">
            <v>610013</v>
          </cell>
          <cell r="B1255" t="str">
            <v>MULTAS INDAUTOR (FED)</v>
          </cell>
        </row>
        <row r="1256">
          <cell r="A1256">
            <v>610014</v>
          </cell>
          <cell r="B1256" t="str">
            <v>MULTAS PROFECO (FED)</v>
          </cell>
        </row>
        <row r="1257">
          <cell r="A1257">
            <v>610015</v>
          </cell>
          <cell r="B1257" t="str">
            <v>MULTAS SAGARPA (FED)</v>
          </cell>
        </row>
        <row r="1258">
          <cell r="A1258">
            <v>610016</v>
          </cell>
          <cell r="B1258" t="str">
            <v>MULTAS S.A. (FED)</v>
          </cell>
        </row>
        <row r="1259">
          <cell r="A1259">
            <v>610017</v>
          </cell>
          <cell r="B1259" t="str">
            <v>MULTAS S.T.P.S. (FED)</v>
          </cell>
        </row>
        <row r="1260">
          <cell r="A1260">
            <v>610018</v>
          </cell>
          <cell r="B1260" t="str">
            <v>MULTAS SENER</v>
          </cell>
        </row>
        <row r="1261">
          <cell r="A1261">
            <v>610020</v>
          </cell>
          <cell r="B1261" t="str">
            <v>MULTAS ADMINISTRATIVAS FEDERALES NO FISCALES</v>
          </cell>
        </row>
        <row r="1262">
          <cell r="A1262">
            <v>610021</v>
          </cell>
          <cell r="B1262" t="str">
            <v>MULTAS ADMVAS.  ESTATALES NO FISCALES</v>
          </cell>
        </row>
        <row r="1263">
          <cell r="A1263">
            <v>610101</v>
          </cell>
          <cell r="B1263" t="str">
            <v>LICITACION DE COMPRAS</v>
          </cell>
        </row>
        <row r="1264">
          <cell r="A1264">
            <v>610102</v>
          </cell>
          <cell r="B1264" t="str">
            <v>PROGRAMA FONHAPO</v>
          </cell>
        </row>
        <row r="1265">
          <cell r="A1265">
            <v>610102</v>
          </cell>
          <cell r="B1265" t="str">
            <v>LICITACION DE OBRAS</v>
          </cell>
        </row>
        <row r="1266">
          <cell r="A1266">
            <v>610103</v>
          </cell>
          <cell r="B1266" t="str">
            <v>REG PADRON PROVEEDORES</v>
          </cell>
        </row>
        <row r="1267">
          <cell r="A1267">
            <v>610104</v>
          </cell>
          <cell r="B1267" t="str">
            <v>FOTOCREDENCIALIZACIÓN</v>
          </cell>
        </row>
        <row r="1268">
          <cell r="A1268">
            <v>610105</v>
          </cell>
          <cell r="B1268" t="str">
            <v>PROGRAMA EMPLEO TEMPORAL</v>
          </cell>
        </row>
        <row r="1269">
          <cell r="A1269">
            <v>610106</v>
          </cell>
          <cell r="B1269" t="str">
            <v>PROGRAMA PISO FIRME</v>
          </cell>
        </row>
        <row r="1270">
          <cell r="A1270">
            <v>610107</v>
          </cell>
          <cell r="B1270" t="str">
            <v>PROGRAMA BORDERIAS</v>
          </cell>
        </row>
        <row r="1271">
          <cell r="A1271">
            <v>610109</v>
          </cell>
          <cell r="B1271" t="str">
            <v>RESCATE ESPACIOS PÚBLICOS</v>
          </cell>
        </row>
        <row r="1272">
          <cell r="A1272">
            <v>610111</v>
          </cell>
          <cell r="B1272" t="str">
            <v>PROGRAMA CAMINO SACA COSECHAS</v>
          </cell>
        </row>
        <row r="1273">
          <cell r="A1273">
            <v>610128</v>
          </cell>
          <cell r="B1273" t="str">
            <v>DESARR. DE INF. BASICA 2010</v>
          </cell>
        </row>
        <row r="1274">
          <cell r="A1274">
            <v>610133</v>
          </cell>
          <cell r="B1274" t="str">
            <v>PROGRAMA  SERVICIOS DE CALIDAD</v>
          </cell>
        </row>
        <row r="1275">
          <cell r="A1275">
            <v>610141</v>
          </cell>
          <cell r="B1275" t="str">
            <v>PROGRAMA CONSTRUCCION BIBLIOTECAS IEC</v>
          </cell>
        </row>
        <row r="1276">
          <cell r="A1276">
            <v>610143</v>
          </cell>
          <cell r="B1276" t="str">
            <v>APORT.ESTATAL TINAJITAS 2010</v>
          </cell>
        </row>
        <row r="1277">
          <cell r="A1277">
            <v>610144</v>
          </cell>
          <cell r="B1277" t="str">
            <v>PROGRAMA SABES 2010</v>
          </cell>
        </row>
        <row r="1278">
          <cell r="A1278">
            <v>610153</v>
          </cell>
          <cell r="B1278" t="str">
            <v>OBRAS DE ELECTRIFICACION</v>
          </cell>
        </row>
        <row r="1279">
          <cell r="A1279">
            <v>610154</v>
          </cell>
          <cell r="B1279" t="str">
            <v>PROGRAMA PISO FIRME</v>
          </cell>
        </row>
        <row r="1280">
          <cell r="A1280">
            <v>610155</v>
          </cell>
          <cell r="B1280" t="str">
            <v>PROGRAMA PISO FIRME ZONA RURAL</v>
          </cell>
        </row>
        <row r="1281">
          <cell r="A1281">
            <v>610156</v>
          </cell>
          <cell r="B1281" t="str">
            <v>PROGRAMA TECHO SEGURO ZONA RURAL</v>
          </cell>
        </row>
        <row r="1282">
          <cell r="A1282">
            <v>610157</v>
          </cell>
          <cell r="B1282" t="str">
            <v>MEJORAMIENTO DE VIVIENDA ZONA URBANA</v>
          </cell>
        </row>
        <row r="1283">
          <cell r="A1283">
            <v>610158</v>
          </cell>
          <cell r="B1283" t="str">
            <v>MEJORAMIENTO DE VIVIENDA ZONA RURAL</v>
          </cell>
        </row>
        <row r="1284">
          <cell r="A1284">
            <v>610159</v>
          </cell>
          <cell r="B1284" t="str">
            <v>PROGRAMA PINTA TU ENTORNO</v>
          </cell>
        </row>
        <row r="1285">
          <cell r="A1285">
            <v>610160</v>
          </cell>
          <cell r="B1285" t="str">
            <v>HABITAT</v>
          </cell>
        </row>
        <row r="1286">
          <cell r="A1286">
            <v>610161</v>
          </cell>
          <cell r="B1286" t="str">
            <v>PROGRAMA PDZP ELECTRIFICACIONES</v>
          </cell>
        </row>
        <row r="1287">
          <cell r="A1287">
            <v>610162</v>
          </cell>
          <cell r="B1287" t="str">
            <v>ADQUISICION DE ACTIVOS</v>
          </cell>
        </row>
        <row r="1288">
          <cell r="A1288">
            <v>610163</v>
          </cell>
          <cell r="B1288" t="str">
            <v>BAÑOS DIGNOS</v>
          </cell>
        </row>
        <row r="1289">
          <cell r="A1289">
            <v>610164</v>
          </cell>
          <cell r="B1289" t="str">
            <v>SUBSEMUN FEDERAL</v>
          </cell>
        </row>
        <row r="1290">
          <cell r="A1290">
            <v>610165</v>
          </cell>
          <cell r="B1290" t="str">
            <v>PROGRAMA MIGRANTES 3X1 2010</v>
          </cell>
        </row>
        <row r="1291">
          <cell r="A1291">
            <v>610166</v>
          </cell>
          <cell r="B1291" t="str">
            <v>PROGRAMA MUNICIPAL DE VIVIENDA COVEG</v>
          </cell>
        </row>
        <row r="1292">
          <cell r="A1292">
            <v>610167</v>
          </cell>
          <cell r="B1292" t="str">
            <v>PROG. APOYO AL EMPRENDEDOR 2010</v>
          </cell>
        </row>
        <row r="1293">
          <cell r="A1293">
            <v>610168</v>
          </cell>
          <cell r="B1293" t="str">
            <v>APORTACION ESTATAL ACCESO UNIV. HOSPITAL MATERNO</v>
          </cell>
        </row>
        <row r="1294">
          <cell r="A1294">
            <v>610169</v>
          </cell>
          <cell r="B1294" t="str">
            <v>CONS.CNTRO. DE  DESARROLLO GERONTOLOGICO</v>
          </cell>
        </row>
        <row r="1295">
          <cell r="A1295">
            <v>610170</v>
          </cell>
          <cell r="B1295" t="str">
            <v>PROGRAMA  PDZP</v>
          </cell>
        </row>
        <row r="1296">
          <cell r="A1296">
            <v>610171</v>
          </cell>
          <cell r="B1296" t="str">
            <v>APORTACION FEDERAL PROGRAMA MIGRANTES 3X1</v>
          </cell>
        </row>
        <row r="1297">
          <cell r="A1297">
            <v>610172</v>
          </cell>
          <cell r="B1297" t="str">
            <v>OBRAS DE INFRAESTRUCTURA DEL RECINTO FERIAL</v>
          </cell>
        </row>
        <row r="1298">
          <cell r="A1298">
            <v>610173</v>
          </cell>
          <cell r="B1298" t="str">
            <v>PROG PAVIMENTACION  CALLES</v>
          </cell>
        </row>
        <row r="1299">
          <cell r="A1299">
            <v>610174</v>
          </cell>
          <cell r="B1299" t="str">
            <v>PROGRAMA FOPADEM</v>
          </cell>
        </row>
        <row r="1300">
          <cell r="A1300">
            <v>610175</v>
          </cell>
          <cell r="B1300" t="str">
            <v>CONSTRUCCION DE BIBLIOTECA EFRAIN HUERTA</v>
          </cell>
        </row>
        <row r="1301">
          <cell r="A1301">
            <v>610176</v>
          </cell>
          <cell r="B1301" t="str">
            <v>CONST.BIBLIOT.COL.ARBOLED.DE SN RAFAEL</v>
          </cell>
        </row>
        <row r="1302">
          <cell r="A1302">
            <v>610177</v>
          </cell>
          <cell r="B1302" t="str">
            <v>CONST. NUEVO PANTEON EL PUESTO 2010</v>
          </cell>
        </row>
        <row r="1303">
          <cell r="A1303">
            <v>610178</v>
          </cell>
          <cell r="B1303" t="str">
            <v>CONST. NUEVO PANTEON EL SAUZ DE VILLASEÑOR 2010</v>
          </cell>
        </row>
        <row r="1304">
          <cell r="A1304">
            <v>610179</v>
          </cell>
          <cell r="B1304" t="str">
            <v>REHAB. DE RED DE DRENAJE Y REACTOR ANAEROBICO</v>
          </cell>
        </row>
        <row r="1305">
          <cell r="A1305">
            <v>610180</v>
          </cell>
          <cell r="B1305" t="str">
            <v>CONST.DE DRENAJE SANITARIO, COMUNIDAD  LOS GALVANE</v>
          </cell>
        </row>
        <row r="1306">
          <cell r="A1306">
            <v>610181</v>
          </cell>
          <cell r="B1306" t="str">
            <v>REHAB. DE REDES DE DRENAJE SANITARIO(2DA ETAPA)</v>
          </cell>
        </row>
        <row r="1307">
          <cell r="A1307">
            <v>610182</v>
          </cell>
          <cell r="B1307" t="str">
            <v>CONST.AULA DOBLE VIBA DE SAN JOSE DE GTO.</v>
          </cell>
        </row>
        <row r="1308">
          <cell r="A1308">
            <v>610183</v>
          </cell>
          <cell r="B1308" t="str">
            <v>CONST.PATIO CIVICO VIBA OJO SECO 2010</v>
          </cell>
        </row>
        <row r="1309">
          <cell r="A1309">
            <v>610184</v>
          </cell>
          <cell r="B1309" t="str">
            <v>APORT.ESTATAL ESPACIO PODER JOVEN</v>
          </cell>
        </row>
        <row r="1310">
          <cell r="A1310">
            <v>610185</v>
          </cell>
          <cell r="B1310" t="str">
            <v>CONST.MODULO ISAPEG</v>
          </cell>
        </row>
        <row r="1311">
          <cell r="A1311">
            <v>610186</v>
          </cell>
          <cell r="B1311" t="str">
            <v>APORT.SEMARNAT (CONST. 2a CELDA) TINAJITAS</v>
          </cell>
        </row>
        <row r="1312">
          <cell r="A1312">
            <v>610187</v>
          </cell>
          <cell r="B1312" t="str">
            <v>APORT.ESTATAL EQUI.CUERPOS POLICIACOS</v>
          </cell>
        </row>
        <row r="1313">
          <cell r="A1313">
            <v>610188</v>
          </cell>
          <cell r="B1313" t="str">
            <v>APORT.ESTATAL ACCIONES DE INFRAESTRUCTURA</v>
          </cell>
        </row>
        <row r="1314">
          <cell r="A1314">
            <v>610189</v>
          </cell>
          <cell r="B1314" t="str">
            <v>PROG.CONST. DE BIBLIOTECAS IEC 2010</v>
          </cell>
        </row>
        <row r="1315">
          <cell r="A1315">
            <v>610190</v>
          </cell>
          <cell r="B1315" t="str">
            <v>APOYO EXTRAORDINARIO</v>
          </cell>
        </row>
        <row r="1316">
          <cell r="A1316">
            <v>610191</v>
          </cell>
          <cell r="B1316" t="str">
            <v>APORT.EST. REHAB. MOD.ATENCION. DIF</v>
          </cell>
        </row>
        <row r="1317">
          <cell r="A1317">
            <v>610192</v>
          </cell>
          <cell r="B1317" t="str">
            <v>CONSTRUCCION UNIDAD MPAL DE REHAB CELAYA</v>
          </cell>
        </row>
        <row r="1318">
          <cell r="A1318">
            <v>610193</v>
          </cell>
          <cell r="B1318" t="str">
            <v>PROGRAMA PDZP. AGUA POTABLE</v>
          </cell>
        </row>
        <row r="1319">
          <cell r="A1319">
            <v>610194</v>
          </cell>
          <cell r="B1319" t="str">
            <v>PROGRAMA DE DESARROLLO SOCIAL URBANO 2011</v>
          </cell>
        </row>
        <row r="1320">
          <cell r="A1320">
            <v>610195</v>
          </cell>
          <cell r="B1320" t="str">
            <v>APORTACIONES MUNICIPALES FIDOC</v>
          </cell>
        </row>
        <row r="1321">
          <cell r="A1321">
            <v>610196</v>
          </cell>
          <cell r="B1321" t="str">
            <v>APORTACION ESTATAL BIBLIOTECA MOVIL</v>
          </cell>
        </row>
        <row r="1322">
          <cell r="A1322">
            <v>610197</v>
          </cell>
          <cell r="B1322" t="str">
            <v>PROGRAMAS DE DESARROLLO INTEGRAL DE LA JUVENTUD</v>
          </cell>
        </row>
        <row r="1323">
          <cell r="A1323">
            <v>610198</v>
          </cell>
          <cell r="B1323" t="str">
            <v>RESERVA TERRITORIAL LIBRAMIENTO FERROVIARIO</v>
          </cell>
        </row>
        <row r="1324">
          <cell r="A1324">
            <v>610199</v>
          </cell>
          <cell r="B1324" t="str">
            <v>PROG PDZP FOGONES ECOLOGICOS</v>
          </cell>
        </row>
        <row r="1325">
          <cell r="A1325">
            <v>610200</v>
          </cell>
          <cell r="B1325" t="str">
            <v>OBRAS CONADE</v>
          </cell>
        </row>
        <row r="1326">
          <cell r="A1326">
            <v>610201</v>
          </cell>
          <cell r="B1326" t="str">
            <v>PLANTA SEPARADORA (SEMARNAT)</v>
          </cell>
        </row>
        <row r="1327">
          <cell r="A1327">
            <v>610202</v>
          </cell>
          <cell r="B1327" t="str">
            <v>APORT. ESTATAL MUSEO OCTAVIO OCAMPO</v>
          </cell>
        </row>
        <row r="1328">
          <cell r="A1328">
            <v>610203</v>
          </cell>
          <cell r="B1328" t="str">
            <v>REH. CAMINO SAN ANTONIO G. SAN JOSE M</v>
          </cell>
        </row>
        <row r="1329">
          <cell r="A1329">
            <v>610204</v>
          </cell>
          <cell r="B1329" t="str">
            <v>APORT. SFA EROGAC.EXTRAORDINARIA POLICIA</v>
          </cell>
        </row>
        <row r="1330">
          <cell r="A1330">
            <v>610205</v>
          </cell>
          <cell r="B1330" t="str">
            <v>APORTACION SFA OBRAS DE INFRAESTRUCTURA</v>
          </cell>
        </row>
        <row r="1331">
          <cell r="A1331">
            <v>610206</v>
          </cell>
          <cell r="B1331" t="str">
            <v>APORTACION SFA FORO EXPOSITOR</v>
          </cell>
        </row>
        <row r="1332">
          <cell r="A1332">
            <v>610207</v>
          </cell>
          <cell r="B1332" t="str">
            <v>PROGRAMA FOAM BIOGAS</v>
          </cell>
        </row>
        <row r="1333">
          <cell r="A1333">
            <v>610208</v>
          </cell>
          <cell r="B1333" t="str">
            <v>PROGRAMA FISE</v>
          </cell>
        </row>
        <row r="1334">
          <cell r="A1334">
            <v>610209</v>
          </cell>
          <cell r="B1334" t="str">
            <v>CONVENIO DESARROLLO ECONOMICO GOBIERNO ESTADO</v>
          </cell>
        </row>
        <row r="1335">
          <cell r="A1335">
            <v>610210</v>
          </cell>
          <cell r="B1335" t="str">
            <v>FONAES</v>
          </cell>
        </row>
        <row r="1336">
          <cell r="A1336">
            <v>610211</v>
          </cell>
          <cell r="B1336" t="str">
            <v>PROGRAMA BORDERIAS EMPLEO TEMPORAL</v>
          </cell>
        </row>
        <row r="1337">
          <cell r="A1337">
            <v>610212</v>
          </cell>
          <cell r="B1337" t="str">
            <v>PROGRAMA SACACOSECHAS EMPLEO TEMPORAL</v>
          </cell>
        </row>
        <row r="1338">
          <cell r="A1338">
            <v>610213</v>
          </cell>
          <cell r="B1338" t="str">
            <v>PROGRAMA PDIBC 2011</v>
          </cell>
        </row>
        <row r="1339">
          <cell r="A1339">
            <v>610214</v>
          </cell>
          <cell r="B1339" t="str">
            <v>PROGRAMA PDIBC 2012</v>
          </cell>
        </row>
        <row r="1340">
          <cell r="A1340">
            <v>610215</v>
          </cell>
          <cell r="B1340" t="str">
            <v>PROGRAMA PAICE (MUSEO IMAGINA)</v>
          </cell>
        </row>
        <row r="1341">
          <cell r="A1341">
            <v>610216</v>
          </cell>
          <cell r="B1341" t="str">
            <v>APOYO ESTATAL TECHUMBRES ESCUELAS</v>
          </cell>
        </row>
        <row r="1342">
          <cell r="A1342">
            <v>610217</v>
          </cell>
          <cell r="B1342" t="str">
            <v>PROGRAMA FOPEDEM 2011</v>
          </cell>
        </row>
        <row r="1343">
          <cell r="A1343">
            <v>610218</v>
          </cell>
          <cell r="B1343" t="str">
            <v>PDSU 2012 EQUI. CTROS. COMUNITARIOS</v>
          </cell>
        </row>
        <row r="1344">
          <cell r="A1344">
            <v>610219</v>
          </cell>
          <cell r="B1344" t="str">
            <v>PDSU 2012 EQUI. CTROS. COMUNITARIOS</v>
          </cell>
        </row>
        <row r="1345">
          <cell r="A1345">
            <v>610220</v>
          </cell>
          <cell r="B1345" t="str">
            <v>PROGRAMA ACTIVOS PRODUCTIVOS</v>
          </cell>
        </row>
        <row r="1346">
          <cell r="A1346">
            <v>610221</v>
          </cell>
          <cell r="B1346" t="str">
            <v>PROGRAMA TU CASA PROYECTOS ESPECIALES</v>
          </cell>
        </row>
        <row r="1347">
          <cell r="A1347">
            <v>610222</v>
          </cell>
          <cell r="B1347" t="str">
            <v>PROGRAMA OPCIONES PRODUCTIVAS</v>
          </cell>
        </row>
        <row r="1348">
          <cell r="A1348">
            <v>610223</v>
          </cell>
          <cell r="B1348" t="str">
            <v>PROGRAMA APOYO A SEQUIAS</v>
          </cell>
        </row>
        <row r="1349">
          <cell r="A1349">
            <v>610224</v>
          </cell>
          <cell r="B1349" t="str">
            <v>PROGRAMA JORNALEROS AGRICOLAS</v>
          </cell>
        </row>
        <row r="1350">
          <cell r="A1350">
            <v>610225</v>
          </cell>
          <cell r="B1350" t="str">
            <v>PROGRAMA FOPEDEP 2013</v>
          </cell>
        </row>
        <row r="1351">
          <cell r="A1351">
            <v>610226</v>
          </cell>
          <cell r="B1351" t="str">
            <v>SUBSEMUN FEDERAL 2013</v>
          </cell>
        </row>
        <row r="1352">
          <cell r="A1352">
            <v>610227</v>
          </cell>
          <cell r="B1352" t="str">
            <v>PROGRAMA GUANAJUATO ILUMINADO</v>
          </cell>
        </row>
        <row r="1353">
          <cell r="A1353">
            <v>610228</v>
          </cell>
          <cell r="B1353" t="str">
            <v>Programa Restauración del Templo Corazon de Maria</v>
          </cell>
        </row>
        <row r="1354">
          <cell r="A1354">
            <v>610229</v>
          </cell>
          <cell r="B1354" t="str">
            <v>Interv. Cubiertas y Anexos Templo de San Francisco</v>
          </cell>
        </row>
        <row r="1355">
          <cell r="A1355">
            <v>610230</v>
          </cell>
          <cell r="B1355" t="str">
            <v>PROG. MEJORA REGULATORIA ESTATAL</v>
          </cell>
        </row>
        <row r="1356">
          <cell r="A1356">
            <v>610231</v>
          </cell>
          <cell r="B1356" t="str">
            <v>PROG. MEJORA REGULATORIA FEDERAL</v>
          </cell>
        </row>
        <row r="1357">
          <cell r="A1357">
            <v>610232</v>
          </cell>
          <cell r="B1357" t="str">
            <v>PROG. MEJORAMIENTO DE VIVIENDA</v>
          </cell>
        </row>
        <row r="1358">
          <cell r="A1358">
            <v>610233</v>
          </cell>
          <cell r="B1358" t="str">
            <v>PROGRAMA PDIBC</v>
          </cell>
        </row>
        <row r="1359">
          <cell r="A1359">
            <v>610234</v>
          </cell>
          <cell r="B1359" t="str">
            <v>INFRAES. DEP. (CONADE) SAN JUAN DE LA VEGA</v>
          </cell>
        </row>
        <row r="1360">
          <cell r="A1360">
            <v>610235</v>
          </cell>
          <cell r="B1360" t="str">
            <v>INFRAES. DEP. (CONADE) M.A.V.</v>
          </cell>
        </row>
        <row r="1361">
          <cell r="A1361">
            <v>610236</v>
          </cell>
          <cell r="B1361" t="str">
            <v>FESTIVAL DIA INT. JUVENTUD 2013</v>
          </cell>
        </row>
        <row r="1362">
          <cell r="A1362">
            <v>610237</v>
          </cell>
          <cell r="B1362" t="str">
            <v>PROG. CULTURA ENCAUSEMOS ARTE</v>
          </cell>
        </row>
        <row r="1363">
          <cell r="A1363">
            <v>610238</v>
          </cell>
          <cell r="B1363" t="str">
            <v>PROG. CODE REMODELACIÓN DEPORT. M.A.V</v>
          </cell>
        </row>
        <row r="1364">
          <cell r="A1364">
            <v>610239</v>
          </cell>
          <cell r="B1364" t="str">
            <v>PROG CONST. 3RA CELDA COF. RES</v>
          </cell>
        </row>
        <row r="1365">
          <cell r="A1365">
            <v>610240</v>
          </cell>
          <cell r="B1365" t="str">
            <v>PROG. TRATAMIENTO RESIDUOS ORG. P/MEJ. AREAS VERDE</v>
          </cell>
        </row>
        <row r="1366">
          <cell r="A1366">
            <v>610241</v>
          </cell>
          <cell r="B1366" t="str">
            <v>PROG RECONVERSION ESPECIES VEGETALES P/USO FOREST</v>
          </cell>
        </row>
        <row r="1367">
          <cell r="A1367">
            <v>610242</v>
          </cell>
          <cell r="B1367" t="str">
            <v>PROG. 3X1 EMPLEO TEMPORAL SEMARNAT ESTATAL</v>
          </cell>
        </row>
        <row r="1368">
          <cell r="A1368">
            <v>610243</v>
          </cell>
          <cell r="B1368" t="str">
            <v>PROG. 3X1 EMPLEO TEMPORAL SEMARNAT FEDERAL</v>
          </cell>
        </row>
        <row r="1369">
          <cell r="A1369">
            <v>610244</v>
          </cell>
          <cell r="B1369" t="str">
            <v>FERIA ECOLOGIA REGIONAL</v>
          </cell>
        </row>
        <row r="1370">
          <cell r="A1370">
            <v>610245</v>
          </cell>
          <cell r="B1370" t="str">
            <v>CONMEMORACIÓN 3 FECHAS AMBIENTALES</v>
          </cell>
        </row>
        <row r="1371">
          <cell r="A1371">
            <v>610246</v>
          </cell>
          <cell r="B1371" t="str">
            <v>FORTALECIMIENTO PROG. VERIF. VEHICULAR</v>
          </cell>
        </row>
        <row r="1372">
          <cell r="A1372">
            <v>610247</v>
          </cell>
          <cell r="B1372" t="str">
            <v>PROG. HABITAT</v>
          </cell>
        </row>
        <row r="1373">
          <cell r="A1373">
            <v>610248</v>
          </cell>
          <cell r="B1373" t="str">
            <v>PROG. REPARACIÓN POZO COM. ROQUE</v>
          </cell>
        </row>
        <row r="1374">
          <cell r="A1374">
            <v>610249</v>
          </cell>
          <cell r="B1374" t="str">
            <v>PROG. PLANTA TRAT. AGUA (ROQUE)</v>
          </cell>
        </row>
        <row r="1375">
          <cell r="A1375">
            <v>610250</v>
          </cell>
          <cell r="B1375" t="str">
            <v>APOYO EXTRAORDINARIO GOBIERNO DEL ESTADO</v>
          </cell>
        </row>
        <row r="1376">
          <cell r="A1376">
            <v>610251</v>
          </cell>
          <cell r="B1376" t="str">
            <v>PROGRAMA BANOBRAS</v>
          </cell>
        </row>
        <row r="1377">
          <cell r="A1377">
            <v>610252</v>
          </cell>
          <cell r="B1377" t="str">
            <v>Programa Habitat Municipal</v>
          </cell>
        </row>
        <row r="1378">
          <cell r="A1378">
            <v>610253</v>
          </cell>
          <cell r="B1378" t="str">
            <v>RAMO XXXIII DE DESARROLLO REGIONAL 2013</v>
          </cell>
        </row>
        <row r="1379">
          <cell r="A1379">
            <v>610254</v>
          </cell>
          <cell r="B1379" t="str">
            <v>PROG. CDC ZUMAR</v>
          </cell>
        </row>
        <row r="1380">
          <cell r="A1380">
            <v>610255</v>
          </cell>
          <cell r="B1380" t="str">
            <v>PROG. SOP MUNICIPIO</v>
          </cell>
        </row>
        <row r="1381">
          <cell r="A1381">
            <v>610256</v>
          </cell>
          <cell r="B1381" t="str">
            <v>PROG. EQ. CONSERVATORIO DE MUSICA</v>
          </cell>
        </row>
        <row r="1382">
          <cell r="A1382">
            <v>610258</v>
          </cell>
          <cell r="B1382" t="str">
            <v>PIEDI 2013 CTROS. COMUNITARIOS ACC COMPLEMEN.</v>
          </cell>
        </row>
        <row r="1383">
          <cell r="A1383">
            <v>610259</v>
          </cell>
          <cell r="B1383" t="str">
            <v>PROGRAMA PROCURADURA AMBIENTAL</v>
          </cell>
        </row>
        <row r="1384">
          <cell r="A1384">
            <v>610260</v>
          </cell>
          <cell r="B1384" t="str">
            <v>PROG VIVIENDA DIGN</v>
          </cell>
        </row>
        <row r="1385">
          <cell r="A1385">
            <v>610261</v>
          </cell>
          <cell r="B1385" t="str">
            <v>PROG CAMINOS RURALES</v>
          </cell>
        </row>
        <row r="1386">
          <cell r="A1386">
            <v>610262</v>
          </cell>
          <cell r="B1386" t="str">
            <v>PROG. RECONVERSIÓN PRODUCTIVA</v>
          </cell>
        </row>
        <row r="1387">
          <cell r="A1387">
            <v>610263</v>
          </cell>
          <cell r="B1387" t="str">
            <v>PROG IMPULSO A SISTEM. PROD</v>
          </cell>
        </row>
        <row r="1388">
          <cell r="A1388">
            <v>610264</v>
          </cell>
          <cell r="B1388" t="str">
            <v>PROG ACOMPAN. CONSOL. PROY. EXITOSOS</v>
          </cell>
        </row>
        <row r="1389">
          <cell r="A1389">
            <v>610265</v>
          </cell>
          <cell r="B1389" t="str">
            <v>PROG COINV C/INDESOL PROY</v>
          </cell>
        </row>
        <row r="1390">
          <cell r="A1390">
            <v>610266</v>
          </cell>
          <cell r="B1390" t="str">
            <v>PROG REF. EJE NORPONIENTE</v>
          </cell>
        </row>
        <row r="1391">
          <cell r="A1391">
            <v>610267</v>
          </cell>
          <cell r="B1391" t="str">
            <v>PROG PROY. SUST. LUMINARIAS</v>
          </cell>
        </row>
        <row r="1392">
          <cell r="A1392">
            <v>610268</v>
          </cell>
          <cell r="B1392" t="str">
            <v>RECURSOS EXTRAORDINARIOS GOB DEL ESTADO 2014</v>
          </cell>
        </row>
        <row r="1393">
          <cell r="A1393">
            <v>610269</v>
          </cell>
          <cell r="B1393" t="str">
            <v>FONDO DE CULTURA</v>
          </cell>
        </row>
        <row r="1394">
          <cell r="A1394">
            <v>610270</v>
          </cell>
          <cell r="B1394" t="str">
            <v>FONDO DE INFRA. DEPORTIVA</v>
          </cell>
        </row>
        <row r="1395">
          <cell r="A1395">
            <v>610271</v>
          </cell>
          <cell r="B1395" t="str">
            <v>PROG.FOREST.Y REFOR.AREAS VERDES</v>
          </cell>
        </row>
        <row r="1396">
          <cell r="A1396">
            <v>610272</v>
          </cell>
          <cell r="B1396" t="str">
            <v>PROG.MITIGACION CAMBIO CLIMATICO</v>
          </cell>
        </row>
        <row r="1397">
          <cell r="A1397">
            <v>610273</v>
          </cell>
          <cell r="B1397" t="str">
            <v>PROG. PRONAPRED</v>
          </cell>
        </row>
        <row r="1398">
          <cell r="A1398">
            <v>610274</v>
          </cell>
          <cell r="B1398" t="str">
            <v>PROG. 2DA.ETAPA GIMNASIO VOLEIBOL(DEP.M.A.V.)</v>
          </cell>
        </row>
        <row r="1399">
          <cell r="A1399">
            <v>610275</v>
          </cell>
          <cell r="B1399" t="str">
            <v>PROG. FAIM</v>
          </cell>
        </row>
        <row r="1400">
          <cell r="A1400">
            <v>610276</v>
          </cell>
          <cell r="B1400" t="str">
            <v>PROG.CREACION AREAS NATURALES</v>
          </cell>
        </row>
        <row r="1401">
          <cell r="A1401">
            <v>610277</v>
          </cell>
          <cell r="B1401" t="str">
            <v>PROG.FORTALECIMIENTO MEJORAMIENTO DEL AIRE</v>
          </cell>
        </row>
        <row r="1402">
          <cell r="A1402">
            <v>610278</v>
          </cell>
          <cell r="B1402" t="str">
            <v>PROG. INVENTARIO EMISIONES PARA EL MUNICIPIO</v>
          </cell>
        </row>
        <row r="1403">
          <cell r="A1403">
            <v>610279</v>
          </cell>
          <cell r="B1403" t="str">
            <v>PROG. FORTALECIMIENTO INSTITUCIONAL</v>
          </cell>
        </row>
        <row r="1404">
          <cell r="A1404">
            <v>610280</v>
          </cell>
          <cell r="B1404" t="str">
            <v>PROG. CONGRESO DE ATENCIÓN AL CAMBIO CLIMÁTICO</v>
          </cell>
        </row>
        <row r="1405">
          <cell r="A1405">
            <v>610281</v>
          </cell>
          <cell r="B1405" t="str">
            <v>PROG. FACTIBILIDAD CREACION ORG.OPERADOR</v>
          </cell>
        </row>
        <row r="1406">
          <cell r="A1406">
            <v>610282</v>
          </cell>
          <cell r="B1406" t="str">
            <v>PROG. ARRANQUE Y OPER. BIODIGESTOR</v>
          </cell>
        </row>
        <row r="1407">
          <cell r="A1407">
            <v>610283</v>
          </cell>
          <cell r="B1407" t="str">
            <v>PROG. EQUIP.CUERPO BOMBEROS (PROT.CIVIL)</v>
          </cell>
        </row>
        <row r="1408">
          <cell r="A1408">
            <v>610284</v>
          </cell>
          <cell r="B1408" t="str">
            <v>PROG. FONDO PRESERV. DESASTRES (PROT.CIVIL)</v>
          </cell>
        </row>
        <row r="1409">
          <cell r="A1409">
            <v>610285</v>
          </cell>
          <cell r="B1409" t="str">
            <v>PROG. 2A.ETAPA MODERNIZACION CATASTRO ( SEDATU)</v>
          </cell>
        </row>
        <row r="1410">
          <cell r="A1410">
            <v>610286</v>
          </cell>
          <cell r="B1410" t="str">
            <v>PROG DE MODERNIZACION CATASTRAL (BANOBRAS-INEGI)</v>
          </cell>
        </row>
        <row r="1411">
          <cell r="A1411">
            <v>610287</v>
          </cell>
          <cell r="B1411" t="str">
            <v>REHABILITACION DEL AREA IMJUV CELAYA</v>
          </cell>
        </row>
        <row r="1412">
          <cell r="A1412">
            <v>610288</v>
          </cell>
          <cell r="B1412" t="str">
            <v>CONVOCATORIAS JUVENILES</v>
          </cell>
        </row>
        <row r="1413">
          <cell r="A1413">
            <v>610289</v>
          </cell>
          <cell r="B1413" t="str">
            <v>PROGRAMA PAICE AUDITORIO FCO EDUARDO TRESGUERRAS</v>
          </cell>
        </row>
        <row r="1414">
          <cell r="A1414">
            <v>610290</v>
          </cell>
          <cell r="B1414" t="str">
            <v>FORTALECIMIENTO INSTANCIAS MUNICIPALES JUV. (IMJUV</v>
          </cell>
        </row>
        <row r="1415">
          <cell r="A1415">
            <v>610291</v>
          </cell>
          <cell r="B1415" t="str">
            <v>PROGRAMA ESPACIOS PODER JOVEN</v>
          </cell>
        </row>
        <row r="1416">
          <cell r="A1416">
            <v>610292</v>
          </cell>
          <cell r="B1416" t="str">
            <v>PROG. INFR. Y EQ. CTROS IMPULSO SOC. PIECIS 2014</v>
          </cell>
        </row>
        <row r="1417">
          <cell r="A1417">
            <v>610293</v>
          </cell>
          <cell r="B1417" t="str">
            <v>PIESCM PLAZAS Y JARDINES</v>
          </cell>
        </row>
        <row r="1418">
          <cell r="A1418">
            <v>610294</v>
          </cell>
          <cell r="B1418" t="str">
            <v>PROG. FOREMOBA TEMPLO SAN JUAN DE DIOS</v>
          </cell>
        </row>
        <row r="1419">
          <cell r="A1419">
            <v>610295</v>
          </cell>
          <cell r="B1419" t="str">
            <v>PROG. PISBCC 2014</v>
          </cell>
        </row>
        <row r="1420">
          <cell r="A1420">
            <v>610296</v>
          </cell>
          <cell r="B1420" t="str">
            <v>PROG. ACCIONES DE INFRAESTRUCTURA DEPORTIVA</v>
          </cell>
        </row>
        <row r="1421">
          <cell r="A1421">
            <v>610297</v>
          </cell>
          <cell r="B1421" t="str">
            <v>PROG. PUENTE CELAYA-COMONFORT</v>
          </cell>
        </row>
        <row r="1422">
          <cell r="A1422">
            <v>610298</v>
          </cell>
          <cell r="B1422" t="str">
            <v>PROG. CEAG</v>
          </cell>
        </row>
        <row r="1423">
          <cell r="A1423">
            <v>610299</v>
          </cell>
          <cell r="B1423" t="str">
            <v>PROGRAMA FOPADEM</v>
          </cell>
        </row>
        <row r="1424">
          <cell r="A1424">
            <v>610301</v>
          </cell>
          <cell r="B1424" t="str">
            <v>DONACIONES EN EFEC 610321</v>
          </cell>
        </row>
        <row r="1425">
          <cell r="A1425">
            <v>610302</v>
          </cell>
          <cell r="B1425" t="str">
            <v>DONACIONES  EN ESPECIE</v>
          </cell>
        </row>
        <row r="1426">
          <cell r="A1426">
            <v>610303</v>
          </cell>
          <cell r="B1426" t="str">
            <v>RECARGOS TRASLADO</v>
          </cell>
        </row>
        <row r="1427">
          <cell r="A1427">
            <v>610304</v>
          </cell>
          <cell r="B1427" t="str">
            <v>RECARGOS SOBRE SAL</v>
          </cell>
        </row>
        <row r="1428">
          <cell r="A1428">
            <v>610305</v>
          </cell>
          <cell r="B1428" t="str">
            <v>HONORARIOS DE EJEC</v>
          </cell>
        </row>
        <row r="1429">
          <cell r="A1429">
            <v>610306</v>
          </cell>
          <cell r="B1429" t="str">
            <v>HONORARIOS DE EJEC</v>
          </cell>
        </row>
        <row r="1430">
          <cell r="A1430">
            <v>610307</v>
          </cell>
          <cell r="B1430" t="str">
            <v>HONORARIOS JURIDIC</v>
          </cell>
        </row>
        <row r="1431">
          <cell r="A1431">
            <v>610308</v>
          </cell>
          <cell r="B1431" t="str">
            <v>HONORARIOS MULTAS</v>
          </cell>
        </row>
        <row r="1432">
          <cell r="A1432">
            <v>610309</v>
          </cell>
          <cell r="B1432" t="str">
            <v>HONORARIOS MULTAS</v>
          </cell>
        </row>
        <row r="1433">
          <cell r="A1433">
            <v>610310</v>
          </cell>
          <cell r="B1433" t="str">
            <v>CUOTA DE ORGANISMO</v>
          </cell>
        </row>
        <row r="1434">
          <cell r="A1434">
            <v>610311</v>
          </cell>
          <cell r="B1434" t="str">
            <v>REGULARIZACION COL</v>
          </cell>
        </row>
        <row r="1435">
          <cell r="A1435">
            <v>610313</v>
          </cell>
          <cell r="B1435" t="str">
            <v>REGULARIZACION DE</v>
          </cell>
        </row>
        <row r="1436">
          <cell r="A1436">
            <v>610314</v>
          </cell>
          <cell r="B1436" t="str">
            <v>SUPERAVIT DAP</v>
          </cell>
        </row>
        <row r="1437">
          <cell r="A1437">
            <v>610315</v>
          </cell>
          <cell r="B1437" t="str">
            <v>PENAL.OBRAS RAMO 3</v>
          </cell>
        </row>
        <row r="1438">
          <cell r="A1438">
            <v>610316</v>
          </cell>
          <cell r="B1438" t="str">
            <v>PENAL A CONTR OBRA</v>
          </cell>
        </row>
        <row r="1439">
          <cell r="A1439">
            <v>610317</v>
          </cell>
          <cell r="B1439" t="str">
            <v>PENALIZ. DE OBRAS</v>
          </cell>
        </row>
        <row r="1440">
          <cell r="A1440">
            <v>610318</v>
          </cell>
          <cell r="B1440" t="str">
            <v>REINTEGRO DE OBRAS</v>
          </cell>
        </row>
        <row r="1441">
          <cell r="A1441">
            <v>610319</v>
          </cell>
          <cell r="B1441" t="str">
            <v>REINTEGRO DE OBRAS</v>
          </cell>
        </row>
        <row r="1442">
          <cell r="A1442">
            <v>610320</v>
          </cell>
          <cell r="B1442" t="str">
            <v>REINTEGRO DE OBRAS</v>
          </cell>
        </row>
        <row r="1443">
          <cell r="A1443">
            <v>610322</v>
          </cell>
          <cell r="B1443" t="str">
            <v>CONSTR. PLAZOLETA PRODERECTUS</v>
          </cell>
        </row>
        <row r="1444">
          <cell r="A1444">
            <v>610323</v>
          </cell>
          <cell r="B1444" t="str">
            <v>SEÑALIZACION ATRACTIVOS TURISTICOS</v>
          </cell>
        </row>
        <row r="1445">
          <cell r="A1445">
            <v>610324</v>
          </cell>
          <cell r="B1445" t="str">
            <v>PROG. PISBCC FISE 2015</v>
          </cell>
        </row>
        <row r="1446">
          <cell r="A1446">
            <v>610325</v>
          </cell>
          <cell r="B1446" t="str">
            <v>PROG. PISBCC FAFEF 2015</v>
          </cell>
        </row>
        <row r="1447">
          <cell r="A1447">
            <v>610326</v>
          </cell>
          <cell r="B1447" t="str">
            <v>SARE 2015</v>
          </cell>
        </row>
        <row r="1448">
          <cell r="A1448">
            <v>610327</v>
          </cell>
          <cell r="B1448" t="str">
            <v>PROGRAMA SARE INADEM</v>
          </cell>
        </row>
        <row r="1449">
          <cell r="A1449">
            <v>610328</v>
          </cell>
          <cell r="B1449" t="str">
            <v>PROG. PISBCC</v>
          </cell>
        </row>
        <row r="1450">
          <cell r="A1450">
            <v>610329</v>
          </cell>
          <cell r="B1450" t="str">
            <v>PROGRAMA PIECIS 2015</v>
          </cell>
        </row>
        <row r="1451">
          <cell r="A1451">
            <v>610330</v>
          </cell>
          <cell r="B1451" t="str">
            <v>TECHO FIRME</v>
          </cell>
        </row>
        <row r="1452">
          <cell r="A1452">
            <v>610331</v>
          </cell>
          <cell r="B1452" t="str">
            <v>CUARTO DORMITORIO</v>
          </cell>
        </row>
        <row r="1453">
          <cell r="A1453">
            <v>610332</v>
          </cell>
          <cell r="B1453" t="str">
            <v>PROGRAMA HABITAT (SOCIAL)</v>
          </cell>
        </row>
        <row r="1454">
          <cell r="A1454">
            <v>610333</v>
          </cell>
          <cell r="B1454" t="str">
            <v>PROGRAMA HABITAT (INFRAESTRUCTURA)</v>
          </cell>
        </row>
        <row r="1455">
          <cell r="A1455">
            <v>610334</v>
          </cell>
          <cell r="B1455" t="str">
            <v>PROG. PIDMC 2016</v>
          </cell>
        </row>
        <row r="1456">
          <cell r="A1456">
            <v>610335</v>
          </cell>
          <cell r="B1456" t="str">
            <v>PROG. PSBMC</v>
          </cell>
        </row>
        <row r="1457">
          <cell r="A1457">
            <v>610336</v>
          </cell>
          <cell r="B1457" t="str">
            <v>PISBCC (INFRAESTRUCTURA BASICA Y COMUNITARIA) (ALU</v>
          </cell>
        </row>
        <row r="1458">
          <cell r="A1458">
            <v>610337</v>
          </cell>
          <cell r="B1458" t="str">
            <v>RESCATE DE ESPACIOS PUBLICOS (INFRAESTRUCTURA)</v>
          </cell>
        </row>
        <row r="1459">
          <cell r="A1459">
            <v>610338</v>
          </cell>
          <cell r="B1459" t="str">
            <v>PROGRAMA SEMARNAT (SUSTITUCION DE LUMINARIAS)</v>
          </cell>
        </row>
        <row r="1460">
          <cell r="A1460">
            <v>610339</v>
          </cell>
          <cell r="B1460" t="str">
            <v>PROGRAMA SEDESHU (SUSTITUCION LUMINARIAS)</v>
          </cell>
        </row>
        <row r="1461">
          <cell r="A1461">
            <v>610340</v>
          </cell>
          <cell r="B1461" t="str">
            <v>PROG. FORTALECE</v>
          </cell>
        </row>
        <row r="1462">
          <cell r="A1462">
            <v>610341</v>
          </cell>
          <cell r="B1462" t="str">
            <v>PROG. ATLAS DE RIESGO</v>
          </cell>
        </row>
        <row r="1463">
          <cell r="A1463">
            <v>610342</v>
          </cell>
          <cell r="B1463" t="str">
            <v>PROG. INFRAESTRUC.P/RECONSTR.TEJIDO SOCIAL</v>
          </cell>
        </row>
        <row r="1464">
          <cell r="A1464">
            <v>610343</v>
          </cell>
          <cell r="B1464" t="str">
            <v>APORT. ESTATAL ADQ. CAMIONES RECOLECTORES</v>
          </cell>
        </row>
        <row r="1465">
          <cell r="A1465">
            <v>610344</v>
          </cell>
          <cell r="B1465" t="str">
            <v>PROG. FOAM</v>
          </cell>
        </row>
        <row r="1466">
          <cell r="A1466">
            <v>610345</v>
          </cell>
          <cell r="B1466" t="str">
            <v>PROG. IMPULSO A LA ECONOMIA SOCIAL</v>
          </cell>
        </row>
        <row r="1467">
          <cell r="A1467">
            <v>610346</v>
          </cell>
          <cell r="B1467" t="str">
            <v>PROGRAMA SEDATU CONSTRUCCION DE CUARTOS</v>
          </cell>
        </row>
        <row r="1468">
          <cell r="A1468">
            <v>610347</v>
          </cell>
          <cell r="B1468" t="str">
            <v>PROG. SEDESOL COINVERSION SOCIAL</v>
          </cell>
        </row>
        <row r="1469">
          <cell r="A1469">
            <v>610348</v>
          </cell>
          <cell r="B1469" t="str">
            <v>PROG. FONDO DE APOYO A MIGRANTES</v>
          </cell>
        </row>
        <row r="1470">
          <cell r="A1470">
            <v>610349</v>
          </cell>
          <cell r="B1470" t="str">
            <v>PROG.  GTO ME MUEVE</v>
          </cell>
        </row>
        <row r="1471">
          <cell r="A1471">
            <v>610350</v>
          </cell>
          <cell r="B1471" t="str">
            <v>PROGRAMA FONDO METROPOLITANO 2016</v>
          </cell>
        </row>
        <row r="1472">
          <cell r="A1472">
            <v>610351</v>
          </cell>
          <cell r="B1472" t="str">
            <v>PROGRAMA PISBCC 2016 FAIS ESTATAL</v>
          </cell>
        </row>
        <row r="1473">
          <cell r="A1473">
            <v>610352</v>
          </cell>
          <cell r="B1473" t="str">
            <v>PROGRAMA PISBCC 2016 ESTATAL</v>
          </cell>
        </row>
        <row r="1474">
          <cell r="A1474">
            <v>610353</v>
          </cell>
          <cell r="B1474" t="str">
            <v>PROGRAMA IMPULSO AL DESARROLLO DEL HOGAR (CUARTOS)</v>
          </cell>
        </row>
        <row r="1475">
          <cell r="A1475">
            <v>610354</v>
          </cell>
          <cell r="B1475" t="str">
            <v>PROGRAMA 3x1  MIGRANTES</v>
          </cell>
        </row>
        <row r="1476">
          <cell r="A1476">
            <v>610355</v>
          </cell>
          <cell r="B1476" t="str">
            <v>PROGRAMA CAMINOS</v>
          </cell>
        </row>
        <row r="1477">
          <cell r="A1477">
            <v>610356</v>
          </cell>
          <cell r="B1477" t="str">
            <v>PROG. IMPULSO A LA ECONOMIA SUSUTENTABLE</v>
          </cell>
        </row>
        <row r="1478">
          <cell r="A1478">
            <v>610357</v>
          </cell>
          <cell r="B1478" t="str">
            <v>PROG. DE COINVERSIÓN SOCIAL CON INDESOL PARA PROYE</v>
          </cell>
        </row>
        <row r="1479">
          <cell r="A1479">
            <v>610358</v>
          </cell>
          <cell r="B1479" t="str">
            <v>PROGRAMA DE INFRAESTRUCTURA EN SU VERTIENTE RESCAT</v>
          </cell>
        </row>
        <row r="1480">
          <cell r="A1480">
            <v>610359</v>
          </cell>
          <cell r="B1480" t="str">
            <v>PROGRAMA 3x1  MIGRANTES</v>
          </cell>
        </row>
        <row r="1481">
          <cell r="A1481">
            <v>610360</v>
          </cell>
          <cell r="B1481" t="str">
            <v>COUZZA</v>
          </cell>
        </row>
        <row r="1482">
          <cell r="A1482">
            <v>610361</v>
          </cell>
          <cell r="B1482" t="str">
            <v>PROG.  FOAM (ASEO PÚBLICO CONV. 2016)</v>
          </cell>
        </row>
        <row r="1483">
          <cell r="A1483">
            <v>610362</v>
          </cell>
          <cell r="B1483" t="str">
            <v>PROG.  FOAM (ASEO PÚBLICO BARREDORA)</v>
          </cell>
        </row>
        <row r="1484">
          <cell r="A1484">
            <v>610363</v>
          </cell>
          <cell r="B1484" t="str">
            <v>PROG.  FIFOSEC</v>
          </cell>
        </row>
        <row r="1485">
          <cell r="A1485">
            <v>610364</v>
          </cell>
          <cell r="B1485" t="str">
            <v>PROGRAMA PIECIS XOCHIPÍLLI</v>
          </cell>
        </row>
        <row r="1486">
          <cell r="A1486">
            <v>610365</v>
          </cell>
          <cell r="B1486" t="str">
            <v>PROGRAMA PIECIS  S. J. VEGA</v>
          </cell>
        </row>
        <row r="1487">
          <cell r="A1487">
            <v>610366</v>
          </cell>
          <cell r="B1487" t="str">
            <v>PROG. CASA DE LA TIERRA (APORT. ESTATAL)</v>
          </cell>
        </row>
        <row r="1488">
          <cell r="A1488">
            <v>610367</v>
          </cell>
          <cell r="B1488" t="str">
            <v>PROG. CASA DE LA T</v>
          </cell>
        </row>
        <row r="1489">
          <cell r="A1489">
            <v>610368</v>
          </cell>
          <cell r="B1489" t="str">
            <v>PROG. FIMETRO</v>
          </cell>
        </row>
        <row r="1490">
          <cell r="A1490">
            <v>610369</v>
          </cell>
          <cell r="B1490" t="str">
            <v>PROG. FOAM  2016</v>
          </cell>
        </row>
        <row r="1491">
          <cell r="A1491">
            <v>610370</v>
          </cell>
          <cell r="B1491" t="str">
            <v>CODE  CONV. 2016</v>
          </cell>
        </row>
        <row r="1492">
          <cell r="A1492">
            <v>610371</v>
          </cell>
          <cell r="B1492" t="str">
            <v>CODE  CONV. 2017</v>
          </cell>
        </row>
        <row r="1493">
          <cell r="A1493">
            <v>610372</v>
          </cell>
          <cell r="B1493" t="str">
            <v>CONST. EDIFICIO DIF</v>
          </cell>
        </row>
        <row r="1494">
          <cell r="A1494">
            <v>610373</v>
          </cell>
          <cell r="B1494" t="str">
            <v>PROG MECANIZACION AGRICOLA</v>
          </cell>
        </row>
        <row r="1495">
          <cell r="A1495">
            <v>610374</v>
          </cell>
          <cell r="B1495" t="str">
            <v>APOYO EXT. INFRAESTRUCTURA MUNICIPAL</v>
          </cell>
        </row>
        <row r="1496">
          <cell r="A1496">
            <v>610375</v>
          </cell>
          <cell r="B1496" t="str">
            <v>PROG. MI PATIO PRODUCTIVO</v>
          </cell>
        </row>
        <row r="1497">
          <cell r="A1497">
            <v>610376</v>
          </cell>
          <cell r="B1497" t="str">
            <v>PROG.CAMINOS RURALES 2017</v>
          </cell>
        </row>
        <row r="1498">
          <cell r="A1498">
            <v>610377</v>
          </cell>
          <cell r="B1498" t="str">
            <v>FONDO DE APOYO A MIGRANTES</v>
          </cell>
        </row>
        <row r="1499">
          <cell r="A1499">
            <v>610378</v>
          </cell>
          <cell r="B1499" t="str">
            <v>PROGRAMA REPROCOM</v>
          </cell>
        </row>
        <row r="1500">
          <cell r="A1500">
            <v>610379</v>
          </cell>
          <cell r="B1500" t="str">
            <v>PROGRAMA CECYTEG</v>
          </cell>
        </row>
        <row r="1501">
          <cell r="A1501">
            <v>610380</v>
          </cell>
          <cell r="B1501" t="str">
            <v>PROG.CONST. CANCHA CACHIBOL</v>
          </cell>
        </row>
        <row r="1502">
          <cell r="A1502">
            <v>610381</v>
          </cell>
          <cell r="B1502" t="str">
            <v>PROG FIMETRO 2017</v>
          </cell>
        </row>
        <row r="1503">
          <cell r="A1503">
            <v>610382</v>
          </cell>
          <cell r="B1503" t="str">
            <v>APORT. ESTATAL LIMPIEZA DE DRENES</v>
          </cell>
        </row>
        <row r="1504">
          <cell r="A1504">
            <v>610383</v>
          </cell>
          <cell r="B1504" t="str">
            <v>APORT. FED. SEDATU (INFRAESTRUCTURA)</v>
          </cell>
        </row>
        <row r="1505">
          <cell r="A1505">
            <v>610384</v>
          </cell>
          <cell r="B1505" t="str">
            <v>APORT. ESTATAL RESCATE DE ESPACIOS PÚBLICOS</v>
          </cell>
        </row>
        <row r="1506">
          <cell r="A1506">
            <v>610385</v>
          </cell>
          <cell r="B1506" t="str">
            <v>APORT. ESTATAL COUSSA</v>
          </cell>
        </row>
        <row r="1507">
          <cell r="A1507">
            <v>610386</v>
          </cell>
          <cell r="B1507" t="str">
            <v>APORT. EST. INFRA. SALUD</v>
          </cell>
        </row>
        <row r="1508">
          <cell r="A1508">
            <v>610387</v>
          </cell>
          <cell r="B1508" t="str">
            <v>APORT. ESTATAL INFRAESTRUCTURA  EDUCATIVA</v>
          </cell>
        </row>
        <row r="1509">
          <cell r="A1509">
            <v>610388</v>
          </cell>
          <cell r="B1509" t="str">
            <v>APORT. ESTATAL  MEJORAMIENTO DE VIVIENDA (SEDESHU)</v>
          </cell>
        </row>
        <row r="1510">
          <cell r="A1510">
            <v>610389</v>
          </cell>
          <cell r="B1510" t="str">
            <v>APORT. FEDERAL  MEJORAMIENTO DE VIVIENDA (SEDATU)</v>
          </cell>
        </row>
        <row r="1511">
          <cell r="A1511">
            <v>610391</v>
          </cell>
          <cell r="B1511" t="str">
            <v>APORT. FEDERAL  OBRAS DE INFRAESTRUCTURA</v>
          </cell>
        </row>
        <row r="1512">
          <cell r="A1512">
            <v>610392</v>
          </cell>
          <cell r="B1512" t="str">
            <v>APORT. ESTATAL  ITS 2019</v>
          </cell>
        </row>
        <row r="1513">
          <cell r="A1513">
            <v>610393</v>
          </cell>
          <cell r="B1513" t="str">
            <v>PROGRAMA DE INVERSION MIGRANTE 2X1</v>
          </cell>
        </row>
        <row r="1514">
          <cell r="A1514">
            <v>610394</v>
          </cell>
          <cell r="B1514" t="str">
            <v>APORT.EST.BARRIO LIMPIO</v>
          </cell>
        </row>
        <row r="1515">
          <cell r="A1515">
            <v>610395</v>
          </cell>
          <cell r="B1515" t="str">
            <v>APORT.EST.ALUMBRADO CD.INDUSTRIAL </v>
          </cell>
        </row>
        <row r="1516">
          <cell r="A1516">
            <v>610396</v>
          </cell>
          <cell r="B1516" t="str">
            <v>APORT. EST.  BARDA EN FCO PAREDES</v>
          </cell>
        </row>
        <row r="1517">
          <cell r="A1517">
            <v>610397</v>
          </cell>
          <cell r="B1517" t="str">
            <v>POR UN GUANAJUATO MAS LIMPIO</v>
          </cell>
        </row>
        <row r="1518">
          <cell r="A1518">
            <v>610398</v>
          </cell>
          <cell r="B1518" t="str">
            <v>SEDESHU GUARNICIONES Y BANQUETAS</v>
          </cell>
        </row>
        <row r="1519">
          <cell r="A1519">
            <v>610399</v>
          </cell>
          <cell r="B1519" t="str">
            <v>PROGRAMA ESTATAL TECNIFICACIÓN AUTOBUSES</v>
          </cell>
        </row>
        <row r="1520">
          <cell r="A1520">
            <v>610400</v>
          </cell>
          <cell r="B1520" t="str">
            <v>APORT.EST.ESTUFAS ECOLOGICAS</v>
          </cell>
        </row>
        <row r="1521">
          <cell r="A1521">
            <v>610401</v>
          </cell>
          <cell r="B1521" t="str">
            <v>APORT. EST. GUITAR CAMERA INTERNACIONAL CELAYA 18</v>
          </cell>
        </row>
        <row r="1522">
          <cell r="A1522">
            <v>610401</v>
          </cell>
          <cell r="B1522" t="str">
            <v>DAÑOS PROPIEDAD MUNICIPAL</v>
          </cell>
        </row>
        <row r="1523">
          <cell r="A1523">
            <v>610402</v>
          </cell>
          <cell r="B1523" t="str">
            <v>PROG.  DESAZOLVE  DE  CANALES LA BEGOÑA</v>
          </cell>
        </row>
        <row r="1524">
          <cell r="A1524">
            <v>610403</v>
          </cell>
          <cell r="B1524" t="str">
            <v>PROG. LIMPIEZA Y FORTAL.  RIO LAJA</v>
          </cell>
        </row>
        <row r="1525">
          <cell r="A1525">
            <v>610404</v>
          </cell>
          <cell r="B1525" t="str">
            <v>APOR FED PROFEST  ENTREARTE CELAYA 19</v>
          </cell>
        </row>
        <row r="1526">
          <cell r="A1526">
            <v>610405</v>
          </cell>
          <cell r="B1526" t="str">
            <v>APORT FED PROFEST FUNDACIÓN  CELAYA 19</v>
          </cell>
        </row>
        <row r="1527">
          <cell r="A1527">
            <v>610406</v>
          </cell>
          <cell r="B1527" t="str">
            <v>INFRAESTRUCTURA EN SEGURIDAD PUBLICA</v>
          </cell>
        </row>
        <row r="1528">
          <cell r="A1528">
            <v>610407</v>
          </cell>
          <cell r="B1528" t="str">
            <v>APORT CEAG PLANTAS POTABI Y ELECTR POZOS</v>
          </cell>
        </row>
        <row r="1529">
          <cell r="A1529">
            <v>610408</v>
          </cell>
          <cell r="B1529" t="str">
            <v>PROG. SERVICIOS BÁSICOS GTO.</v>
          </cell>
        </row>
        <row r="1530">
          <cell r="A1530">
            <v>610409</v>
          </cell>
          <cell r="B1530" t="str">
            <v>PROGRAMA PEMC</v>
          </cell>
        </row>
        <row r="1531">
          <cell r="A1531">
            <v>610410</v>
          </cell>
          <cell r="B1531" t="str">
            <v>PROGRMA PVEMC</v>
          </cell>
        </row>
        <row r="1532">
          <cell r="A1532">
            <v>610411</v>
          </cell>
          <cell r="B1532" t="str">
            <v>PROG. PAICE 2019 (CENTRO XIM-HAI)</v>
          </cell>
        </row>
        <row r="1533">
          <cell r="A1533">
            <v>610412</v>
          </cell>
          <cell r="B1533" t="str">
            <v>PROGRAMA APOYOS SECTUR</v>
          </cell>
        </row>
        <row r="1534">
          <cell r="A1534">
            <v>610413</v>
          </cell>
          <cell r="B1534" t="str">
            <v>Aport. SDAyR  "Alianza para el Campo"</v>
          </cell>
        </row>
        <row r="1535">
          <cell r="A1535">
            <v>610501</v>
          </cell>
          <cell r="B1535" t="str">
            <v>PENALIZACIONES OBRA PUBLICA</v>
          </cell>
        </row>
        <row r="1536">
          <cell r="A1536">
            <v>610502</v>
          </cell>
          <cell r="B1536" t="str">
            <v>PENALIZACIONES A PROVEEDOR</v>
          </cell>
        </row>
        <row r="1537">
          <cell r="A1537">
            <v>610601</v>
          </cell>
          <cell r="B1537" t="str">
            <v>MULTAS DE TRANSPORPORTE Y VIALIDAD</v>
          </cell>
        </row>
        <row r="1538">
          <cell r="A1538">
            <v>610602</v>
          </cell>
          <cell r="B1538" t="str">
            <v>MULTAS DE VERIFICACIÓN VEHICULAR</v>
          </cell>
        </row>
        <row r="1539">
          <cell r="A1539">
            <v>610603</v>
          </cell>
          <cell r="B1539" t="str">
            <v>MULTAS DE POLICIA</v>
          </cell>
        </row>
        <row r="1540">
          <cell r="A1540">
            <v>610604</v>
          </cell>
          <cell r="B1540" t="str">
            <v>MULTAS SERVICIOS MUNICIPALES</v>
          </cell>
        </row>
        <row r="1541">
          <cell r="A1541" t="str">
            <v>610605</v>
          </cell>
          <cell r="B1541" t="str">
            <v>MULTAS DE COMERCIO</v>
          </cell>
        </row>
        <row r="1542">
          <cell r="A1542">
            <v>610606</v>
          </cell>
          <cell r="B1542" t="str">
            <v>MULTAS DE DESARROLLO URBANO</v>
          </cell>
        </row>
        <row r="1543">
          <cell r="A1543">
            <v>610607</v>
          </cell>
          <cell r="B1543" t="str">
            <v>MULTAS DE CINTURON DE SEGURIDAD</v>
          </cell>
        </row>
        <row r="1544">
          <cell r="A1544">
            <v>610608</v>
          </cell>
          <cell r="B1544" t="str">
            <v>MULTAS MEDIO AMBIENTE</v>
          </cell>
        </row>
        <row r="1545">
          <cell r="A1545">
            <v>610609</v>
          </cell>
          <cell r="B1545" t="str">
            <v>MULTAS DE ALCOHOLES</v>
          </cell>
        </row>
        <row r="1546">
          <cell r="A1546">
            <v>610610</v>
          </cell>
          <cell r="B1546" t="str">
            <v>MULTAS DE MOVILIDAD Y TRANSPORTE PÚBLICO</v>
          </cell>
        </row>
        <row r="1547">
          <cell r="A1547">
            <v>610611</v>
          </cell>
          <cell r="B1547" t="str">
            <v>MULTAS PROTECCION CIVIL</v>
          </cell>
        </row>
        <row r="1548">
          <cell r="A1548">
            <v>610612</v>
          </cell>
          <cell r="B1548" t="str">
            <v>MULTAS CENTRO DE CONTROL ANIMAL</v>
          </cell>
        </row>
        <row r="1549">
          <cell r="A1549">
            <v>610613</v>
          </cell>
          <cell r="B1549" t="str">
            <v>MULTAS ESTATALES NO FISCALES</v>
          </cell>
        </row>
        <row r="1550">
          <cell r="A1550">
            <v>610614</v>
          </cell>
          <cell r="B1550" t="str">
            <v>MULTAS FEDERALES NO FISCALES</v>
          </cell>
        </row>
        <row r="1551">
          <cell r="A1551">
            <v>610700</v>
          </cell>
          <cell r="B1551" t="str">
            <v>RECARGOS MULTAS</v>
          </cell>
        </row>
        <row r="1552">
          <cell r="A1552">
            <v>610701</v>
          </cell>
          <cell r="B1552" t="str">
            <v>OTROS INGRESOS</v>
          </cell>
        </row>
        <row r="1553">
          <cell r="A1553">
            <v>610702</v>
          </cell>
          <cell r="B1553" t="str">
            <v>RECARGOS IMPUESTO PREDIAL</v>
          </cell>
        </row>
        <row r="1554">
          <cell r="A1554">
            <v>610702</v>
          </cell>
          <cell r="B1554" t="str">
            <v>REINTEGRO DE OBRAS</v>
          </cell>
        </row>
        <row r="1555">
          <cell r="A1555">
            <v>610703</v>
          </cell>
          <cell r="B1555" t="str">
            <v>RECARGOS ADQ. BIEN</v>
          </cell>
        </row>
        <row r="1556">
          <cell r="A1556">
            <v>610703</v>
          </cell>
          <cell r="B1556" t="str">
            <v>HONORARIOS DE EJEC DE OBRA</v>
          </cell>
        </row>
        <row r="1557">
          <cell r="A1557">
            <v>610704</v>
          </cell>
          <cell r="B1557" t="str">
            <v>RECARGOS SOBRE SALDOS INSOLUTOS</v>
          </cell>
        </row>
        <row r="1558">
          <cell r="A1558">
            <v>610704</v>
          </cell>
          <cell r="B1558" t="str">
            <v>EXP DE LIC CONDUCIR</v>
          </cell>
        </row>
        <row r="1559">
          <cell r="A1559">
            <v>610705</v>
          </cell>
          <cell r="B1559" t="str">
            <v>RECUPERACIÓN DE SEGUROS</v>
          </cell>
        </row>
        <row r="1560">
          <cell r="A1560">
            <v>610706</v>
          </cell>
          <cell r="B1560" t="str">
            <v>HONORARIOS DE EJECUCIÓN</v>
          </cell>
        </row>
        <row r="1561">
          <cell r="A1561">
            <v>610706</v>
          </cell>
          <cell r="B1561" t="str">
            <v>TRÁMITE DE PASAPORTE</v>
          </cell>
        </row>
        <row r="1562">
          <cell r="A1562">
            <v>610707</v>
          </cell>
          <cell r="B1562" t="str">
            <v>HONORARIOS JURIDICO</v>
          </cell>
        </row>
        <row r="1563">
          <cell r="A1563">
            <v>610707</v>
          </cell>
          <cell r="B1563" t="str">
            <v>FOTO DE PASAPORTE</v>
          </cell>
        </row>
        <row r="1564">
          <cell r="A1564">
            <v>610708</v>
          </cell>
          <cell r="B1564" t="str">
            <v>HONORARIOS MULTAS MUNICIPALES</v>
          </cell>
        </row>
        <row r="1565">
          <cell r="A1565">
            <v>610708</v>
          </cell>
          <cell r="B1565" t="str">
            <v>COPIAS FOTOSTÁTICAS</v>
          </cell>
        </row>
        <row r="1566">
          <cell r="A1566">
            <v>610709</v>
          </cell>
          <cell r="B1566" t="str">
            <v>HONORARIOS MULTAS FEDERALES</v>
          </cell>
        </row>
        <row r="1567">
          <cell r="A1567">
            <v>610709</v>
          </cell>
          <cell r="B1567" t="str">
            <v>OTROS SERV PASAPORTE</v>
          </cell>
        </row>
        <row r="1568">
          <cell r="A1568">
            <v>610710</v>
          </cell>
          <cell r="B1568" t="str">
            <v>CUOTA DE ORGANISMO AGRICOLA</v>
          </cell>
        </row>
        <row r="1569">
          <cell r="A1569">
            <v>610711</v>
          </cell>
          <cell r="B1569" t="str">
            <v>REGULARIZACION COLONIA ALFREDO V. BONFIL</v>
          </cell>
        </row>
        <row r="1570">
          <cell r="A1570">
            <v>610712</v>
          </cell>
          <cell r="B1570" t="str">
            <v>OTROS INGRESOS</v>
          </cell>
        </row>
        <row r="1571">
          <cell r="A1571">
            <v>610713</v>
          </cell>
          <cell r="B1571" t="str">
            <v>REGULARIZACION DE ASENTAMIENTOS HUMANOS</v>
          </cell>
        </row>
        <row r="1572">
          <cell r="A1572">
            <v>610715</v>
          </cell>
          <cell r="B1572" t="str">
            <v>PENAL.OBRAS RAMO 33 FONDO II</v>
          </cell>
        </row>
        <row r="1573">
          <cell r="A1573">
            <v>610716</v>
          </cell>
          <cell r="B1573" t="str">
            <v>PENALIZACION A CONTRAT.OBRA PUBLICA</v>
          </cell>
        </row>
        <row r="1574">
          <cell r="A1574">
            <v>610717</v>
          </cell>
          <cell r="B1574" t="str">
            <v>PENALIZ. DE OBRAS RAMO 33 FONDO I</v>
          </cell>
        </row>
        <row r="1575">
          <cell r="A1575">
            <v>610719</v>
          </cell>
          <cell r="B1575" t="str">
            <v>REINTEGRO DE OBRAS RAMO 33 FONDO I</v>
          </cell>
        </row>
        <row r="1576">
          <cell r="A1576">
            <v>610720</v>
          </cell>
          <cell r="B1576" t="str">
            <v>REINTEGRO DE OBRAS RAMO 33 FONDO II</v>
          </cell>
        </row>
        <row r="1577">
          <cell r="A1577">
            <v>610721</v>
          </cell>
          <cell r="B1577" t="str">
            <v>DONACIONES EN EFECTIVO Y EN ESPECIE</v>
          </cell>
        </row>
        <row r="1578">
          <cell r="A1578">
            <v>610722</v>
          </cell>
          <cell r="B1578" t="str">
            <v>PENALIZACION A PROVEEDORES</v>
          </cell>
        </row>
        <row r="1579">
          <cell r="A1579">
            <v>610723</v>
          </cell>
          <cell r="B1579" t="str">
            <v>RECARGOS S/SALDOS INSOLUTOS OBRAS</v>
          </cell>
        </row>
        <row r="1580">
          <cell r="A1580">
            <v>610725</v>
          </cell>
          <cell r="B1580" t="str">
            <v>RECARGOS PREDIAL RUSTICO</v>
          </cell>
        </row>
        <row r="1581">
          <cell r="A1581">
            <v>610726</v>
          </cell>
          <cell r="B1581" t="str">
            <v>ESTIMULO FISCAL</v>
          </cell>
        </row>
        <row r="1582">
          <cell r="A1582">
            <v>610727</v>
          </cell>
          <cell r="B1582" t="str">
            <v>REINTEGROS RECURSOS FEDERALES</v>
          </cell>
        </row>
        <row r="1583">
          <cell r="A1583">
            <v>610729</v>
          </cell>
          <cell r="B1583" t="str">
            <v>DONACIONES DEL MEDIO AMBIENTE</v>
          </cell>
        </row>
        <row r="1584">
          <cell r="A1584">
            <v>610730</v>
          </cell>
          <cell r="B1584" t="str">
            <v>DONACIONES DE ASFALTO</v>
          </cell>
        </row>
        <row r="1585">
          <cell r="A1585">
            <v>610732</v>
          </cell>
          <cell r="B1585" t="str">
            <v>INCENTIVOS</v>
          </cell>
        </row>
        <row r="1586">
          <cell r="A1586">
            <v>630101</v>
          </cell>
          <cell r="B1586" t="str">
            <v>RECARGOS MULTAS</v>
          </cell>
        </row>
        <row r="1587">
          <cell r="A1587">
            <v>630102</v>
          </cell>
          <cell r="B1587" t="str">
            <v>RECARGOS DE OBRAS  POR COOPERACIÓN</v>
          </cell>
        </row>
        <row r="1588">
          <cell r="A1588">
            <v>630201</v>
          </cell>
          <cell r="B1588" t="str">
            <v>GASTOS DE EJECUCIÓN DE MULTAS</v>
          </cell>
        </row>
        <row r="1589">
          <cell r="A1589">
            <v>630202</v>
          </cell>
          <cell r="B1589" t="str">
            <v>GASTOS DE EJECUCIÓN DE MULTAS FEDERALES</v>
          </cell>
        </row>
        <row r="1590">
          <cell r="A1590">
            <v>810003</v>
          </cell>
          <cell r="B1590" t="str">
            <v>FONDO DE COMPENSACION ISAN</v>
          </cell>
        </row>
        <row r="1591">
          <cell r="A1591">
            <v>810005</v>
          </cell>
          <cell r="B1591" t="str">
            <v>IEPS EN GASOLINA Y DIESEL</v>
          </cell>
        </row>
        <row r="1592">
          <cell r="A1592">
            <v>810006</v>
          </cell>
          <cell r="B1592" t="str">
            <v>PARTICIPACIONES EJERCICIO ANTERIOR</v>
          </cell>
        </row>
        <row r="1593">
          <cell r="A1593">
            <v>810007</v>
          </cell>
          <cell r="B1593" t="str">
            <v>IMPUESTO S/ TENENCIA O USO DE VEHICULO</v>
          </cell>
        </row>
        <row r="1594">
          <cell r="A1594">
            <v>810008</v>
          </cell>
          <cell r="B1594" t="str">
            <v>IMPUESTO ESPECIAL S/PRODUCCION Y SERVICIO</v>
          </cell>
        </row>
        <row r="1595">
          <cell r="A1595">
            <v>810009</v>
          </cell>
          <cell r="B1595" t="str">
            <v>IMPUESTO SOBRE AUTOMOVILES NUEVOS</v>
          </cell>
        </row>
        <row r="1596">
          <cell r="A1596">
            <v>810010</v>
          </cell>
          <cell r="B1596" t="str">
            <v>DERECHOS POR LICENCIA DE BEB. ALCOHOLICAS</v>
          </cell>
        </row>
        <row r="1597">
          <cell r="A1597">
            <v>830002</v>
          </cell>
          <cell r="B1597" t="str">
            <v>PROG. FOPEDEP</v>
          </cell>
        </row>
        <row r="1598">
          <cell r="A1598">
            <v>830003</v>
          </cell>
          <cell r="B1598" t="str">
            <v>APOYO EXTRAORDINARIO</v>
          </cell>
        </row>
        <row r="1599">
          <cell r="A1599">
            <v>830004</v>
          </cell>
          <cell r="B1599" t="str">
            <v>PROGRAMA SARE-INADEM (APORT. PRIVADA)</v>
          </cell>
        </row>
        <row r="1600">
          <cell r="A1600">
            <v>830006</v>
          </cell>
          <cell r="B1600" t="str">
            <v>CONV FOMENTO CULTURA FISICA Y DEPORTE</v>
          </cell>
        </row>
        <row r="1601">
          <cell r="A1601">
            <v>810101</v>
          </cell>
          <cell r="B1601" t="str">
            <v>FONDO GENERAL DE PARTICIPACIONES</v>
          </cell>
        </row>
        <row r="1602">
          <cell r="A1602">
            <v>810201</v>
          </cell>
          <cell r="B1602" t="str">
            <v>FONDO DE FOMENTO MUNICIPAL</v>
          </cell>
        </row>
        <row r="1603">
          <cell r="A1603">
            <v>810301</v>
          </cell>
          <cell r="B1603" t="str">
            <v>FONDO DE FISCALIZACIÓN Y RECAUDACIÓN</v>
          </cell>
        </row>
        <row r="1604">
          <cell r="A1604" t="str">
            <v>810401</v>
          </cell>
          <cell r="B1604" t="str">
            <v>IEPS</v>
          </cell>
        </row>
        <row r="1605">
          <cell r="A1605" t="str">
            <v>810501</v>
          </cell>
          <cell r="B1605" t="str">
            <v>GASOLINAS Y DIÉSEL</v>
          </cell>
        </row>
        <row r="1606">
          <cell r="A1606">
            <v>810601</v>
          </cell>
          <cell r="B1606" t="str">
            <v>FONDO DE ISR                        810011</v>
          </cell>
        </row>
        <row r="1607">
          <cell r="A1607">
            <v>820101</v>
          </cell>
          <cell r="B1607" t="str">
            <v>FONDO APORT FAISM</v>
          </cell>
        </row>
        <row r="1608">
          <cell r="A1608">
            <v>820201</v>
          </cell>
          <cell r="B1608" t="str">
            <v>FONDO APORT FORTAMUN</v>
          </cell>
        </row>
        <row r="1609">
          <cell r="A1609">
            <v>830101</v>
          </cell>
          <cell r="B1609" t="str">
            <v>PROG DE SEGURIDAD</v>
          </cell>
        </row>
        <row r="1610">
          <cell r="A1610" t="str">
            <v>830301</v>
          </cell>
          <cell r="B1610" t="str">
            <v>INCENTIVO DE  MULTAS ESTATALES NO FISCALES</v>
          </cell>
        </row>
        <row r="1611">
          <cell r="A1611">
            <v>830302</v>
          </cell>
          <cell r="B1611" t="str">
            <v>CONVENIO DE REGIMEN DE INCORPORACIÓN FISCAL</v>
          </cell>
        </row>
        <row r="1612">
          <cell r="A1612" t="str">
            <v>830303</v>
          </cell>
          <cell r="B1612" t="str">
            <v>PROGRAMA DE RIEGO PRODUCTIVO</v>
          </cell>
        </row>
        <row r="1613">
          <cell r="A1613" t="str">
            <v>830304</v>
          </cell>
          <cell r="B1613" t="str">
            <v>POR MI CAMPO AGREGO VALOR (TRANSFORMACIÓN)</v>
          </cell>
        </row>
        <row r="1614">
          <cell r="A1614" t="str">
            <v>830305</v>
          </cell>
          <cell r="B1614" t="str">
            <v>MI PATIO PRODUCTIVO</v>
          </cell>
        </row>
        <row r="1615">
          <cell r="A1615" t="str">
            <v>830306</v>
          </cell>
          <cell r="B1615" t="str">
            <v>PROGRAMA TECNOCAMPO GUANAJUATO</v>
          </cell>
        </row>
        <row r="1616">
          <cell r="A1616" t="str">
            <v>830307</v>
          </cell>
          <cell r="B1616" t="str">
            <v>PROGRAMA RECONVENCIÓN PRODUCTIVA</v>
          </cell>
        </row>
        <row r="1617">
          <cell r="A1617" t="str">
            <v>830308</v>
          </cell>
          <cell r="B1617" t="str">
            <v>PROGRAMA FORTALECIMIENTOS PRODUCTIVOS GANADERA</v>
          </cell>
        </row>
        <row r="1618">
          <cell r="A1618" t="str">
            <v>830309</v>
          </cell>
          <cell r="B1618" t="str">
            <v>PROGRAMA SANIDAD VEGETAL MASAG</v>
          </cell>
        </row>
        <row r="1619">
          <cell r="A1619" t="str">
            <v>830310</v>
          </cell>
          <cell r="B1619" t="str">
            <v>PROGRAMA SERVICIOS DE CALIDAD</v>
          </cell>
        </row>
        <row r="1620">
          <cell r="A1620" t="str">
            <v>830311</v>
          </cell>
          <cell r="B1620" t="str">
            <v>PROGRAMA APOYO MYPIMES</v>
          </cell>
        </row>
        <row r="1621">
          <cell r="A1621" t="str">
            <v>830312</v>
          </cell>
          <cell r="B1621" t="str">
            <v>PROGRAMA SMAOT</v>
          </cell>
        </row>
        <row r="1622">
          <cell r="A1622" t="str">
            <v>830314</v>
          </cell>
          <cell r="B1622" t="str">
            <v>PVEMC</v>
          </cell>
        </row>
        <row r="1623">
          <cell r="A1623" t="str">
            <v>840101</v>
          </cell>
          <cell r="B1623" t="str">
            <v>TENENCIA USO VEHÍCULOS</v>
          </cell>
        </row>
        <row r="1624">
          <cell r="A1624" t="str">
            <v>840201</v>
          </cell>
          <cell r="B1624" t="str">
            <v>FONDO DE COMP ISAN</v>
          </cell>
        </row>
        <row r="1625">
          <cell r="A1625" t="str">
            <v>840301</v>
          </cell>
          <cell r="B1625" t="str">
            <v>IMPTO AUTOS NUEVOS</v>
          </cell>
        </row>
        <row r="1626">
          <cell r="A1626" t="str">
            <v>840601</v>
          </cell>
          <cell r="B1626" t="str">
            <v>ALCOHOLES</v>
          </cell>
        </row>
        <row r="1627">
          <cell r="A1627" t="str">
            <v xml:space="preserve">    010101</v>
          </cell>
          <cell r="B1627" t="str">
            <v>DEUDA INTERNA</v>
          </cell>
        </row>
        <row r="1628">
          <cell r="A1628" t="str">
            <v xml:space="preserve">    010102</v>
          </cell>
          <cell r="B1628" t="str">
            <v>SECRETARIA DE FINANZAS Y ADMINISTRACIÓN</v>
          </cell>
        </row>
        <row r="1629">
          <cell r="A1629" t="str">
            <v xml:space="preserve">    010103</v>
          </cell>
          <cell r="B1629" t="str">
            <v>ONTIVEROS HERNANDEZ ARMANDO</v>
          </cell>
        </row>
        <row r="1630">
          <cell r="A1630" t="str">
            <v xml:space="preserve">    010104</v>
          </cell>
          <cell r="B1630" t="str">
            <v>PATIÑO CALDERON GONZALO (COMPRA TERRENO)</v>
          </cell>
        </row>
        <row r="1631">
          <cell r="A1631" t="str">
            <v xml:space="preserve">    030101</v>
          </cell>
          <cell r="B1631" t="str">
            <v>REMANENTE FAISM</v>
          </cell>
        </row>
        <row r="1632">
          <cell r="A1632" t="str">
            <v xml:space="preserve">    030201</v>
          </cell>
          <cell r="B1632" t="str">
            <v>REMANENTE FORTAMUN</v>
          </cell>
        </row>
        <row r="1633">
          <cell r="A1633" t="str">
            <v xml:space="preserve">    030301</v>
          </cell>
          <cell r="B1633" t="str">
            <v>REMANENTE FEDERAL</v>
          </cell>
        </row>
        <row r="1634">
          <cell r="A1634" t="str">
            <v>080401</v>
          </cell>
          <cell r="B1634" t="str">
            <v>REMANENTE ESTATAL</v>
          </cell>
        </row>
        <row r="1635">
          <cell r="A1635" t="str">
            <v>080801</v>
          </cell>
          <cell r="B1635" t="str">
            <v>REMANENTE CTA PUB</v>
          </cell>
        </row>
        <row r="1636">
          <cell r="A1636" t="str">
            <v xml:space="preserve">    031001</v>
          </cell>
          <cell r="B1636" t="str">
            <v>REMANENTE CTA PUB</v>
          </cell>
        </row>
        <row r="1637">
          <cell r="A1637" t="str">
            <v xml:space="preserve">    031002</v>
          </cell>
          <cell r="B1637" t="str">
            <v>REMANENTE ESTATAL</v>
          </cell>
        </row>
        <row r="1638">
          <cell r="A1638" t="str">
            <v xml:space="preserve">    081003</v>
          </cell>
          <cell r="B1638" t="str">
            <v>REMANENTE FEDERAL</v>
          </cell>
        </row>
        <row r="1639">
          <cell r="A1639" t="str">
            <v xml:space="preserve">    031004</v>
          </cell>
          <cell r="B1639" t="str">
            <v>REMANENTE FAISM</v>
          </cell>
        </row>
        <row r="1640">
          <cell r="A1640" t="str">
            <v xml:space="preserve">    031005</v>
          </cell>
          <cell r="B1640" t="str">
            <v>REMANENTE FORTAMUN</v>
          </cell>
        </row>
        <row r="1641">
          <cell r="A1641" t="str">
            <v>080302</v>
          </cell>
          <cell r="B1641" t="str">
            <v>REMANENTE FEDERAL</v>
          </cell>
        </row>
        <row r="1642">
          <cell r="A1642" t="str">
            <v>080402</v>
          </cell>
          <cell r="B1642" t="str">
            <v>REMANENTE ESTATAL</v>
          </cell>
        </row>
        <row r="1643">
          <cell r="A1643" t="str">
            <v>080802</v>
          </cell>
          <cell r="B1643" t="str">
            <v>REM.CUENTA PÚBLICA</v>
          </cell>
        </row>
        <row r="1644">
          <cell r="A1644" t="str">
            <v>081007</v>
          </cell>
          <cell r="B1644" t="str">
            <v>REMA. TEJID SOC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Hoja3"/>
      <sheetName val="ANALÍTICO INGRESOS"/>
      <sheetName val="ppto octubre 2020"/>
      <sheetName val="Hoja1"/>
      <sheetName val="PROGRAMATICO"/>
      <sheetName val="CTG"/>
      <sheetName val="C.F.F"/>
      <sheetName val="COG"/>
      <sheetName val="C.A"/>
      <sheetName val="C.F.G"/>
    </sheetNames>
    <sheetDataSet>
      <sheetData sheetId="0">
        <row r="3">
          <cell r="N3" t="str">
            <v>Etiquetas de fila</v>
          </cell>
          <cell r="O3" t="str">
            <v>Suma de ASIGNADO</v>
          </cell>
          <cell r="P3" t="str">
            <v>Suma de MODIFICADO</v>
          </cell>
          <cell r="Q3" t="str">
            <v>Suma de DEV+PAG</v>
          </cell>
          <cell r="R3" t="str">
            <v>Suma de TERCERA MODIFICACIÓN</v>
          </cell>
        </row>
        <row r="4">
          <cell r="N4">
            <v>1131</v>
          </cell>
          <cell r="O4">
            <v>70559856.249999985</v>
          </cell>
          <cell r="P4">
            <v>66575286.349999994</v>
          </cell>
          <cell r="Q4">
            <v>56203268.919999994</v>
          </cell>
          <cell r="R4">
            <v>66575286.349999994</v>
          </cell>
        </row>
        <row r="5">
          <cell r="N5">
            <v>1132</v>
          </cell>
          <cell r="O5">
            <v>218449235.29000002</v>
          </cell>
          <cell r="P5">
            <v>196876544.20000002</v>
          </cell>
          <cell r="Q5">
            <v>206677890.91000003</v>
          </cell>
          <cell r="R5">
            <v>196876544.20000002</v>
          </cell>
        </row>
        <row r="6">
          <cell r="N6">
            <v>1212</v>
          </cell>
          <cell r="O6">
            <v>107410499.34</v>
          </cell>
          <cell r="P6">
            <v>142856544.71000001</v>
          </cell>
          <cell r="Q6">
            <v>115535613.36999999</v>
          </cell>
          <cell r="R6">
            <v>142856544.71000001</v>
          </cell>
        </row>
        <row r="7">
          <cell r="N7">
            <v>1221</v>
          </cell>
          <cell r="O7">
            <v>375000</v>
          </cell>
          <cell r="P7">
            <v>252355</v>
          </cell>
          <cell r="Q7">
            <v>70698.759999999995</v>
          </cell>
          <cell r="R7">
            <v>252355</v>
          </cell>
        </row>
        <row r="8">
          <cell r="N8">
            <v>1321</v>
          </cell>
          <cell r="O8">
            <v>16257197.759999996</v>
          </cell>
          <cell r="P8">
            <v>15562402.439999996</v>
          </cell>
          <cell r="Q8">
            <v>7600465.46</v>
          </cell>
          <cell r="R8">
            <v>15562402.439999996</v>
          </cell>
        </row>
        <row r="9">
          <cell r="N9">
            <v>1322</v>
          </cell>
          <cell r="O9">
            <v>960800</v>
          </cell>
          <cell r="P9">
            <v>848607.05999999994</v>
          </cell>
          <cell r="Q9">
            <v>595160.79999999993</v>
          </cell>
          <cell r="R9">
            <v>848607.05999999994</v>
          </cell>
        </row>
        <row r="10">
          <cell r="N10">
            <v>1323</v>
          </cell>
          <cell r="O10">
            <v>55252518.390000001</v>
          </cell>
          <cell r="P10">
            <v>55288399.100000009</v>
          </cell>
          <cell r="Q10">
            <v>39540473.479999997</v>
          </cell>
          <cell r="R10">
            <v>55288399.100000009</v>
          </cell>
        </row>
        <row r="11">
          <cell r="N11">
            <v>1331</v>
          </cell>
          <cell r="O11">
            <v>4182672.4</v>
          </cell>
          <cell r="P11">
            <v>3059639.4</v>
          </cell>
          <cell r="Q11">
            <v>1415906.9500000002</v>
          </cell>
          <cell r="R11">
            <v>3059639.4</v>
          </cell>
        </row>
        <row r="12">
          <cell r="N12">
            <v>1342</v>
          </cell>
          <cell r="O12">
            <v>209890.5</v>
          </cell>
          <cell r="P12">
            <v>125933.5</v>
          </cell>
          <cell r="Q12">
            <v>0</v>
          </cell>
          <cell r="R12">
            <v>125933.5</v>
          </cell>
        </row>
        <row r="13">
          <cell r="N13">
            <v>1413</v>
          </cell>
          <cell r="O13">
            <v>90143362.859999985</v>
          </cell>
          <cell r="P13">
            <v>87101535.659999996</v>
          </cell>
          <cell r="Q13">
            <v>70150504.859999999</v>
          </cell>
          <cell r="R13">
            <v>87101535.659999996</v>
          </cell>
        </row>
        <row r="14">
          <cell r="N14">
            <v>1421</v>
          </cell>
          <cell r="O14">
            <v>27217592.350000001</v>
          </cell>
          <cell r="P14">
            <v>24011999.740000002</v>
          </cell>
          <cell r="Q14">
            <v>21506508.489999998</v>
          </cell>
          <cell r="R14">
            <v>24011999.740000002</v>
          </cell>
        </row>
        <row r="15">
          <cell r="N15">
            <v>1431</v>
          </cell>
          <cell r="O15">
            <v>28242775.909999996</v>
          </cell>
          <cell r="P15">
            <v>27706469.449999996</v>
          </cell>
          <cell r="Q15">
            <v>24784683.29999999</v>
          </cell>
          <cell r="R15">
            <v>27706469.449999996</v>
          </cell>
        </row>
        <row r="16">
          <cell r="N16">
            <v>1441</v>
          </cell>
          <cell r="O16">
            <v>6500000</v>
          </cell>
          <cell r="P16">
            <v>4873000</v>
          </cell>
          <cell r="Q16">
            <v>4857142.8600000003</v>
          </cell>
          <cell r="R16">
            <v>4873000</v>
          </cell>
        </row>
        <row r="17">
          <cell r="N17">
            <v>1511</v>
          </cell>
          <cell r="O17">
            <v>3897832.5599999996</v>
          </cell>
          <cell r="P17">
            <v>3656340.4499999993</v>
          </cell>
          <cell r="Q17">
            <v>3067036.98</v>
          </cell>
          <cell r="R17">
            <v>3656340.4499999993</v>
          </cell>
        </row>
        <row r="18">
          <cell r="N18">
            <v>1522</v>
          </cell>
          <cell r="O18">
            <v>18250000</v>
          </cell>
          <cell r="P18">
            <v>18598218</v>
          </cell>
          <cell r="Q18">
            <v>12850761.73</v>
          </cell>
          <cell r="R18">
            <v>18598218</v>
          </cell>
        </row>
        <row r="19">
          <cell r="N19">
            <v>1531</v>
          </cell>
          <cell r="O19">
            <v>715375</v>
          </cell>
          <cell r="P19">
            <v>663628.77</v>
          </cell>
          <cell r="Q19">
            <v>552450.89</v>
          </cell>
          <cell r="R19">
            <v>663628.77</v>
          </cell>
        </row>
        <row r="20">
          <cell r="N20">
            <v>1541</v>
          </cell>
          <cell r="O20">
            <v>36577548.359999985</v>
          </cell>
          <cell r="P20">
            <v>37654410.249999993</v>
          </cell>
          <cell r="Q20">
            <v>26757425.999999993</v>
          </cell>
          <cell r="R20">
            <v>37654410.249999993</v>
          </cell>
        </row>
        <row r="21">
          <cell r="N21">
            <v>1591</v>
          </cell>
          <cell r="O21">
            <v>2258000</v>
          </cell>
          <cell r="P21">
            <v>2027373</v>
          </cell>
          <cell r="Q21">
            <v>838678.66999999993</v>
          </cell>
          <cell r="R21">
            <v>2027373</v>
          </cell>
        </row>
        <row r="22">
          <cell r="N22">
            <v>1592</v>
          </cell>
          <cell r="O22">
            <v>83726285.11999999</v>
          </cell>
          <cell r="P22">
            <v>78854476.309999973</v>
          </cell>
          <cell r="Q22">
            <v>66021776.200000018</v>
          </cell>
          <cell r="R22">
            <v>78854476.309999973</v>
          </cell>
        </row>
        <row r="23">
          <cell r="N23">
            <v>1593</v>
          </cell>
          <cell r="O23">
            <v>13855377.9</v>
          </cell>
          <cell r="P23">
            <v>13602292.4</v>
          </cell>
          <cell r="Q23">
            <v>10311102.359999999</v>
          </cell>
          <cell r="R23">
            <v>13602292.4</v>
          </cell>
        </row>
        <row r="24">
          <cell r="N24">
            <v>1611</v>
          </cell>
          <cell r="O24">
            <v>1793920.39</v>
          </cell>
          <cell r="P24">
            <v>1076352.24</v>
          </cell>
          <cell r="Q24">
            <v>0</v>
          </cell>
          <cell r="R24">
            <v>1076352.24</v>
          </cell>
        </row>
        <row r="25">
          <cell r="N25">
            <v>1711</v>
          </cell>
          <cell r="O25">
            <v>245200</v>
          </cell>
          <cell r="P25">
            <v>213648</v>
          </cell>
          <cell r="Q25">
            <v>97280</v>
          </cell>
          <cell r="R25">
            <v>213648</v>
          </cell>
        </row>
        <row r="26">
          <cell r="N26">
            <v>1712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N27">
            <v>2111</v>
          </cell>
          <cell r="O27">
            <v>1859750</v>
          </cell>
          <cell r="P27">
            <v>1406789</v>
          </cell>
          <cell r="Q27">
            <v>724979.12999999989</v>
          </cell>
          <cell r="R27">
            <v>1445714.96</v>
          </cell>
        </row>
        <row r="28">
          <cell r="N28">
            <v>2112</v>
          </cell>
          <cell r="O28">
            <v>1750377.84</v>
          </cell>
          <cell r="P28">
            <v>2299244.5099999998</v>
          </cell>
          <cell r="Q28">
            <v>1389401.7500000002</v>
          </cell>
          <cell r="R28">
            <v>2373394.5599999996</v>
          </cell>
        </row>
        <row r="29">
          <cell r="N29">
            <v>2121</v>
          </cell>
          <cell r="O29">
            <v>1357443</v>
          </cell>
          <cell r="P29">
            <v>1043118.1</v>
          </cell>
          <cell r="Q29">
            <v>650262.44000000006</v>
          </cell>
          <cell r="R29">
            <v>1041909.1</v>
          </cell>
        </row>
        <row r="30">
          <cell r="N30">
            <v>2131</v>
          </cell>
          <cell r="O30">
            <v>80000</v>
          </cell>
          <cell r="P30">
            <v>80000</v>
          </cell>
          <cell r="Q30">
            <v>0</v>
          </cell>
          <cell r="R30">
            <v>80000</v>
          </cell>
        </row>
        <row r="31">
          <cell r="N31">
            <v>2142</v>
          </cell>
          <cell r="O31">
            <v>470844</v>
          </cell>
          <cell r="P31">
            <v>1352194</v>
          </cell>
          <cell r="Q31">
            <v>0</v>
          </cell>
          <cell r="R31">
            <v>1249044</v>
          </cell>
        </row>
        <row r="32">
          <cell r="N32">
            <v>2151</v>
          </cell>
          <cell r="O32">
            <v>4500</v>
          </cell>
          <cell r="P32">
            <v>4500</v>
          </cell>
          <cell r="Q32">
            <v>1495</v>
          </cell>
          <cell r="R32">
            <v>4500</v>
          </cell>
        </row>
        <row r="33">
          <cell r="N33">
            <v>2161</v>
          </cell>
          <cell r="O33">
            <v>1133599.02</v>
          </cell>
          <cell r="P33">
            <v>1481051.9500000002</v>
          </cell>
          <cell r="Q33">
            <v>780916.46999999986</v>
          </cell>
          <cell r="R33">
            <v>1477551.95</v>
          </cell>
        </row>
        <row r="34">
          <cell r="N34">
            <v>2171</v>
          </cell>
          <cell r="O34">
            <v>487188</v>
          </cell>
          <cell r="P34">
            <v>484259.96</v>
          </cell>
          <cell r="Q34">
            <v>493.63</v>
          </cell>
          <cell r="R34">
            <v>462855.96</v>
          </cell>
        </row>
        <row r="35">
          <cell r="N35">
            <v>2182</v>
          </cell>
          <cell r="O35">
            <v>4696572</v>
          </cell>
          <cell r="P35">
            <v>2848204</v>
          </cell>
          <cell r="Q35">
            <v>1111175.6000000001</v>
          </cell>
          <cell r="R35">
            <v>2848204</v>
          </cell>
        </row>
        <row r="36">
          <cell r="N36">
            <v>2211</v>
          </cell>
          <cell r="O36">
            <v>250000</v>
          </cell>
          <cell r="P36">
            <v>3113160</v>
          </cell>
          <cell r="Q36">
            <v>2611852.0900000003</v>
          </cell>
          <cell r="R36">
            <v>3113160</v>
          </cell>
        </row>
        <row r="37">
          <cell r="N37">
            <v>2212</v>
          </cell>
          <cell r="O37">
            <v>3408200</v>
          </cell>
          <cell r="P37">
            <v>3769367</v>
          </cell>
          <cell r="Q37">
            <v>2626020.0700000003</v>
          </cell>
          <cell r="R37">
            <v>3767167</v>
          </cell>
        </row>
        <row r="38">
          <cell r="N38">
            <v>2221</v>
          </cell>
          <cell r="O38">
            <v>1264900</v>
          </cell>
          <cell r="P38">
            <v>620900</v>
          </cell>
          <cell r="Q38">
            <v>589967.62</v>
          </cell>
          <cell r="R38">
            <v>740900</v>
          </cell>
        </row>
        <row r="39">
          <cell r="N39">
            <v>2231</v>
          </cell>
          <cell r="O39">
            <v>0</v>
          </cell>
          <cell r="P39">
            <v>37660.639999999999</v>
          </cell>
          <cell r="Q39">
            <v>29839</v>
          </cell>
          <cell r="R39">
            <v>31800</v>
          </cell>
        </row>
        <row r="40">
          <cell r="N40">
            <v>2312</v>
          </cell>
          <cell r="O40">
            <v>60000</v>
          </cell>
          <cell r="P40">
            <v>89740</v>
          </cell>
          <cell r="Q40">
            <v>59740.03</v>
          </cell>
          <cell r="R40">
            <v>89740</v>
          </cell>
        </row>
        <row r="41">
          <cell r="N41">
            <v>2321</v>
          </cell>
          <cell r="Q41">
            <v>0</v>
          </cell>
          <cell r="R41">
            <v>164230.32</v>
          </cell>
        </row>
        <row r="42">
          <cell r="N42">
            <v>2391</v>
          </cell>
          <cell r="O42">
            <v>903457</v>
          </cell>
          <cell r="P42">
            <v>2319678.4700000002</v>
          </cell>
          <cell r="Q42">
            <v>1300059.5</v>
          </cell>
          <cell r="R42">
            <v>2321426.4700000002</v>
          </cell>
        </row>
        <row r="43">
          <cell r="N43">
            <v>2411</v>
          </cell>
          <cell r="O43">
            <v>50000</v>
          </cell>
          <cell r="P43">
            <v>44500</v>
          </cell>
          <cell r="Q43">
            <v>3808</v>
          </cell>
          <cell r="R43">
            <v>44500</v>
          </cell>
        </row>
        <row r="44">
          <cell r="N44">
            <v>2421</v>
          </cell>
          <cell r="O44">
            <v>2545799.39</v>
          </cell>
          <cell r="P44">
            <v>4275182.4000000004</v>
          </cell>
          <cell r="Q44">
            <v>1531506.19</v>
          </cell>
          <cell r="R44">
            <v>4275182.4000000004</v>
          </cell>
        </row>
        <row r="45">
          <cell r="N45">
            <v>2441</v>
          </cell>
          <cell r="O45">
            <v>40000</v>
          </cell>
          <cell r="P45">
            <v>40000</v>
          </cell>
          <cell r="Q45">
            <v>34915.99</v>
          </cell>
          <cell r="R45">
            <v>40000</v>
          </cell>
        </row>
        <row r="46">
          <cell r="N46">
            <v>2461</v>
          </cell>
          <cell r="O46">
            <v>4454299.8</v>
          </cell>
          <cell r="P46">
            <v>4406034.58</v>
          </cell>
          <cell r="Q46">
            <v>3968714.1599999992</v>
          </cell>
          <cell r="R46">
            <v>7789088.4800000004</v>
          </cell>
        </row>
        <row r="47">
          <cell r="N47">
            <v>2471</v>
          </cell>
          <cell r="Q47">
            <v>0</v>
          </cell>
          <cell r="R47">
            <v>55000</v>
          </cell>
        </row>
        <row r="48">
          <cell r="N48">
            <v>2481</v>
          </cell>
          <cell r="O48">
            <v>13000000</v>
          </cell>
          <cell r="P48">
            <v>15142331.539999999</v>
          </cell>
          <cell r="Q48">
            <v>4985332.5999999996</v>
          </cell>
          <cell r="R48">
            <v>15091031.539999999</v>
          </cell>
        </row>
        <row r="49">
          <cell r="N49">
            <v>2491</v>
          </cell>
          <cell r="O49">
            <v>14235071.710000001</v>
          </cell>
          <cell r="P49">
            <v>11081203.879999999</v>
          </cell>
          <cell r="Q49">
            <v>7819034.5799999982</v>
          </cell>
          <cell r="R49">
            <v>11537503.849999998</v>
          </cell>
        </row>
        <row r="50">
          <cell r="N50">
            <v>2492</v>
          </cell>
          <cell r="O50">
            <v>0</v>
          </cell>
          <cell r="P50">
            <v>5409211.6299999999</v>
          </cell>
          <cell r="Q50">
            <v>3586966.61</v>
          </cell>
          <cell r="R50">
            <v>5709211.6299999999</v>
          </cell>
        </row>
        <row r="51">
          <cell r="N51">
            <v>2493</v>
          </cell>
          <cell r="O51">
            <v>0</v>
          </cell>
          <cell r="P51">
            <v>3765000</v>
          </cell>
          <cell r="Q51">
            <v>2914420.24</v>
          </cell>
          <cell r="R51">
            <v>3765000</v>
          </cell>
        </row>
        <row r="52">
          <cell r="N52">
            <v>2511</v>
          </cell>
          <cell r="O52">
            <v>40000</v>
          </cell>
          <cell r="P52">
            <v>40000</v>
          </cell>
          <cell r="Q52">
            <v>23010.97</v>
          </cell>
          <cell r="R52">
            <v>40000</v>
          </cell>
        </row>
        <row r="53">
          <cell r="N53">
            <v>2521</v>
          </cell>
          <cell r="O53">
            <v>85000</v>
          </cell>
          <cell r="P53">
            <v>80000</v>
          </cell>
          <cell r="Q53">
            <v>45214.2</v>
          </cell>
          <cell r="R53">
            <v>80000</v>
          </cell>
        </row>
        <row r="54">
          <cell r="N54">
            <v>2522</v>
          </cell>
          <cell r="O54">
            <v>1176000</v>
          </cell>
          <cell r="P54">
            <v>1120208.6299999999</v>
          </cell>
          <cell r="Q54">
            <v>952911.77999999991</v>
          </cell>
          <cell r="R54">
            <v>1044208.63</v>
          </cell>
        </row>
        <row r="55">
          <cell r="N55">
            <v>2531</v>
          </cell>
          <cell r="O55">
            <v>1169000</v>
          </cell>
          <cell r="P55">
            <v>862091.04</v>
          </cell>
          <cell r="Q55">
            <v>562051.35999999987</v>
          </cell>
          <cell r="R55">
            <v>742091.04</v>
          </cell>
        </row>
        <row r="56">
          <cell r="N56">
            <v>2541</v>
          </cell>
          <cell r="O56">
            <v>405000</v>
          </cell>
          <cell r="P56">
            <v>425616.48</v>
          </cell>
          <cell r="Q56">
            <v>173974.02</v>
          </cell>
          <cell r="R56">
            <v>425616.48</v>
          </cell>
        </row>
        <row r="57">
          <cell r="N57">
            <v>2551</v>
          </cell>
          <cell r="O57">
            <v>20000</v>
          </cell>
          <cell r="P57">
            <v>20000</v>
          </cell>
          <cell r="Q57">
            <v>19280.36</v>
          </cell>
          <cell r="R57">
            <v>20000</v>
          </cell>
        </row>
        <row r="58">
          <cell r="N58">
            <v>2611</v>
          </cell>
          <cell r="O58">
            <v>25000000</v>
          </cell>
          <cell r="P58">
            <v>26000000</v>
          </cell>
          <cell r="Q58">
            <v>18388304.829999998</v>
          </cell>
          <cell r="R58">
            <v>26000000</v>
          </cell>
        </row>
        <row r="59">
          <cell r="N59">
            <v>2612</v>
          </cell>
          <cell r="O59">
            <v>35857862</v>
          </cell>
          <cell r="P59">
            <v>35618500</v>
          </cell>
          <cell r="Q59">
            <v>26886164.510000002</v>
          </cell>
          <cell r="R59">
            <v>35434000</v>
          </cell>
        </row>
        <row r="60">
          <cell r="N60">
            <v>2613</v>
          </cell>
          <cell r="O60">
            <v>160000</v>
          </cell>
          <cell r="P60">
            <v>160000</v>
          </cell>
          <cell r="Q60">
            <v>98808.21</v>
          </cell>
          <cell r="R60">
            <v>240000</v>
          </cell>
        </row>
        <row r="61">
          <cell r="N61">
            <v>2614</v>
          </cell>
          <cell r="O61">
            <v>4800000</v>
          </cell>
          <cell r="P61">
            <v>1274999.22</v>
          </cell>
          <cell r="Q61">
            <v>716307.10000000009</v>
          </cell>
          <cell r="R61">
            <v>1274999.22</v>
          </cell>
        </row>
        <row r="62">
          <cell r="N62">
            <v>2711</v>
          </cell>
          <cell r="O62">
            <v>19495800</v>
          </cell>
          <cell r="P62">
            <v>24400886.939999998</v>
          </cell>
          <cell r="Q62">
            <v>20751354.029999997</v>
          </cell>
          <cell r="R62">
            <v>24870879.109999999</v>
          </cell>
        </row>
        <row r="63">
          <cell r="N63">
            <v>2721</v>
          </cell>
          <cell r="O63">
            <v>1865000</v>
          </cell>
          <cell r="P63">
            <v>352096.65</v>
          </cell>
          <cell r="Q63">
            <v>31008.71</v>
          </cell>
          <cell r="R63">
            <v>358096.65</v>
          </cell>
        </row>
        <row r="64">
          <cell r="N64">
            <v>2722</v>
          </cell>
          <cell r="O64">
            <v>28000</v>
          </cell>
          <cell r="P64">
            <v>288700</v>
          </cell>
          <cell r="Q64">
            <v>256988.74000000002</v>
          </cell>
          <cell r="R64">
            <v>515476.2</v>
          </cell>
        </row>
        <row r="65">
          <cell r="N65">
            <v>2731</v>
          </cell>
          <cell r="O65">
            <v>20000</v>
          </cell>
          <cell r="P65">
            <v>35000</v>
          </cell>
          <cell r="Q65">
            <v>0</v>
          </cell>
          <cell r="R65">
            <v>35000</v>
          </cell>
        </row>
        <row r="66">
          <cell r="N66">
            <v>2751</v>
          </cell>
          <cell r="O66">
            <v>600000</v>
          </cell>
          <cell r="P66">
            <v>600000</v>
          </cell>
          <cell r="Q66">
            <v>0</v>
          </cell>
          <cell r="R66">
            <v>600000</v>
          </cell>
        </row>
        <row r="67">
          <cell r="N67">
            <v>2821</v>
          </cell>
          <cell r="O67">
            <v>0</v>
          </cell>
          <cell r="P67">
            <v>859050</v>
          </cell>
          <cell r="Q67">
            <v>859050</v>
          </cell>
          <cell r="R67">
            <v>859050</v>
          </cell>
        </row>
        <row r="68">
          <cell r="N68">
            <v>2831</v>
          </cell>
          <cell r="O68">
            <v>5012000</v>
          </cell>
          <cell r="P68">
            <v>0</v>
          </cell>
          <cell r="Q68">
            <v>0</v>
          </cell>
          <cell r="R68">
            <v>0</v>
          </cell>
        </row>
        <row r="69">
          <cell r="N69">
            <v>2911</v>
          </cell>
          <cell r="O69">
            <v>490664</v>
          </cell>
          <cell r="P69">
            <v>536703.57000000007</v>
          </cell>
          <cell r="Q69">
            <v>263042.68</v>
          </cell>
          <cell r="R69">
            <v>543201.25</v>
          </cell>
        </row>
        <row r="70">
          <cell r="N70">
            <v>2932</v>
          </cell>
          <cell r="O70">
            <v>0</v>
          </cell>
          <cell r="P70">
            <v>11000</v>
          </cell>
          <cell r="Q70">
            <v>0</v>
          </cell>
          <cell r="R70">
            <v>11000</v>
          </cell>
        </row>
        <row r="71">
          <cell r="N71">
            <v>2941</v>
          </cell>
          <cell r="O71">
            <v>249500</v>
          </cell>
          <cell r="P71">
            <v>1160234.3999999999</v>
          </cell>
          <cell r="Q71">
            <v>1081599.52</v>
          </cell>
          <cell r="R71">
            <v>1460234.56</v>
          </cell>
        </row>
        <row r="72">
          <cell r="N72">
            <v>2951</v>
          </cell>
          <cell r="O72">
            <v>5000</v>
          </cell>
          <cell r="P72">
            <v>5000</v>
          </cell>
          <cell r="Q72">
            <v>0</v>
          </cell>
          <cell r="R72">
            <v>5000</v>
          </cell>
        </row>
        <row r="73">
          <cell r="N73">
            <v>2961</v>
          </cell>
          <cell r="O73">
            <v>15000</v>
          </cell>
          <cell r="P73">
            <v>15000</v>
          </cell>
          <cell r="Q73">
            <v>0</v>
          </cell>
          <cell r="R73">
            <v>15000</v>
          </cell>
        </row>
        <row r="74">
          <cell r="N74">
            <v>3111</v>
          </cell>
          <cell r="O74">
            <v>8796500</v>
          </cell>
          <cell r="P74">
            <v>9107961.0999999996</v>
          </cell>
          <cell r="Q74">
            <v>5923027.4000000004</v>
          </cell>
          <cell r="R74">
            <v>9107961.0999999996</v>
          </cell>
        </row>
        <row r="75">
          <cell r="N75">
            <v>3112</v>
          </cell>
          <cell r="O75">
            <v>97000000</v>
          </cell>
          <cell r="P75">
            <v>90000000</v>
          </cell>
          <cell r="Q75">
            <v>66377570.75</v>
          </cell>
          <cell r="R75">
            <v>90000000</v>
          </cell>
        </row>
        <row r="76">
          <cell r="N76">
            <v>3121</v>
          </cell>
          <cell r="O76">
            <v>240800</v>
          </cell>
          <cell r="P76">
            <v>240800</v>
          </cell>
          <cell r="Q76">
            <v>161659.15000000002</v>
          </cell>
          <cell r="R76">
            <v>240800</v>
          </cell>
        </row>
        <row r="77">
          <cell r="N77">
            <v>3131</v>
          </cell>
          <cell r="O77">
            <v>2210550</v>
          </cell>
          <cell r="P77">
            <v>2144050</v>
          </cell>
          <cell r="Q77">
            <v>1601522.0300000003</v>
          </cell>
          <cell r="R77">
            <v>2144050</v>
          </cell>
        </row>
        <row r="78">
          <cell r="N78">
            <v>3141</v>
          </cell>
          <cell r="O78">
            <v>3851700</v>
          </cell>
          <cell r="P78">
            <v>3733700</v>
          </cell>
          <cell r="Q78">
            <v>2466446.0900000003</v>
          </cell>
          <cell r="R78">
            <v>3733700</v>
          </cell>
        </row>
        <row r="79">
          <cell r="N79">
            <v>3151</v>
          </cell>
          <cell r="O79">
            <v>508007.01</v>
          </cell>
          <cell r="P79">
            <v>518000</v>
          </cell>
          <cell r="Q79">
            <v>348460.86</v>
          </cell>
          <cell r="R79">
            <v>605000</v>
          </cell>
        </row>
        <row r="80">
          <cell r="N80">
            <v>3161</v>
          </cell>
          <cell r="O80">
            <v>3065000</v>
          </cell>
          <cell r="P80">
            <v>3065000</v>
          </cell>
          <cell r="Q80">
            <v>867843.8</v>
          </cell>
          <cell r="R80">
            <v>3065000</v>
          </cell>
        </row>
        <row r="81">
          <cell r="N81">
            <v>3172</v>
          </cell>
          <cell r="O81">
            <v>155000</v>
          </cell>
          <cell r="P81">
            <v>944346.91999999993</v>
          </cell>
          <cell r="Q81">
            <v>492544.83</v>
          </cell>
          <cell r="R81">
            <v>949846.91999999993</v>
          </cell>
        </row>
        <row r="82">
          <cell r="N82">
            <v>3173</v>
          </cell>
          <cell r="O82">
            <v>1410000</v>
          </cell>
          <cell r="P82">
            <v>474962</v>
          </cell>
          <cell r="Q82">
            <v>93370.22</v>
          </cell>
          <cell r="R82">
            <v>541462</v>
          </cell>
        </row>
        <row r="83">
          <cell r="N83">
            <v>3181</v>
          </cell>
          <cell r="O83">
            <v>1407450</v>
          </cell>
          <cell r="P83">
            <v>1260629.97</v>
          </cell>
          <cell r="Q83">
            <v>498741.01</v>
          </cell>
          <cell r="R83">
            <v>1260629.97</v>
          </cell>
        </row>
        <row r="84">
          <cell r="N84">
            <v>3192</v>
          </cell>
          <cell r="Q84">
            <v>0</v>
          </cell>
          <cell r="R84">
            <v>3820.84</v>
          </cell>
        </row>
        <row r="85">
          <cell r="N85">
            <v>3221</v>
          </cell>
          <cell r="O85">
            <v>6165766.8199999994</v>
          </cell>
          <cell r="P85">
            <v>6121173.71</v>
          </cell>
          <cell r="Q85">
            <v>5128957.0599999996</v>
          </cell>
          <cell r="R85">
            <v>6121173.71</v>
          </cell>
        </row>
        <row r="86">
          <cell r="N86">
            <v>3231</v>
          </cell>
          <cell r="O86">
            <v>2250000</v>
          </cell>
          <cell r="P86">
            <v>2250000</v>
          </cell>
          <cell r="Q86">
            <v>1067491.96</v>
          </cell>
          <cell r="R86">
            <v>2250000</v>
          </cell>
        </row>
        <row r="87">
          <cell r="N87">
            <v>3233</v>
          </cell>
          <cell r="O87">
            <v>600000</v>
          </cell>
          <cell r="P87">
            <v>150000</v>
          </cell>
          <cell r="Q87">
            <v>14500</v>
          </cell>
          <cell r="R87">
            <v>14500</v>
          </cell>
        </row>
        <row r="88">
          <cell r="N88">
            <v>3261</v>
          </cell>
          <cell r="O88">
            <v>4814832</v>
          </cell>
          <cell r="P88">
            <v>4717682</v>
          </cell>
          <cell r="Q88">
            <v>3209122.6</v>
          </cell>
          <cell r="R88">
            <v>4717682</v>
          </cell>
        </row>
        <row r="89">
          <cell r="N89">
            <v>3271</v>
          </cell>
          <cell r="O89">
            <v>1100000</v>
          </cell>
          <cell r="P89">
            <v>160800</v>
          </cell>
          <cell r="Q89">
            <v>155829.76000000001</v>
          </cell>
          <cell r="R89">
            <v>160800</v>
          </cell>
        </row>
        <row r="90">
          <cell r="N90">
            <v>3311</v>
          </cell>
          <cell r="O90">
            <v>1490000</v>
          </cell>
          <cell r="P90">
            <v>866100</v>
          </cell>
          <cell r="Q90">
            <v>439813.72</v>
          </cell>
          <cell r="R90">
            <v>866100</v>
          </cell>
        </row>
        <row r="91">
          <cell r="N91">
            <v>3314</v>
          </cell>
          <cell r="O91">
            <v>100000</v>
          </cell>
          <cell r="P91">
            <v>100000</v>
          </cell>
          <cell r="Q91">
            <v>0</v>
          </cell>
          <cell r="R91">
            <v>100000</v>
          </cell>
        </row>
        <row r="92">
          <cell r="N92">
            <v>3321</v>
          </cell>
          <cell r="O92">
            <v>15042131.98</v>
          </cell>
          <cell r="P92">
            <v>32446492.560000002</v>
          </cell>
          <cell r="Q92">
            <v>15282228.950000001</v>
          </cell>
          <cell r="R92">
            <v>32446492.560000002</v>
          </cell>
        </row>
        <row r="93">
          <cell r="N93">
            <v>3331</v>
          </cell>
          <cell r="O93">
            <v>1861420</v>
          </cell>
          <cell r="P93">
            <v>4325710.3</v>
          </cell>
          <cell r="Q93">
            <v>1795779.5499999998</v>
          </cell>
          <cell r="R93">
            <v>4325710.3</v>
          </cell>
        </row>
        <row r="94">
          <cell r="N94">
            <v>3332</v>
          </cell>
          <cell r="O94">
            <v>1232000</v>
          </cell>
          <cell r="P94">
            <v>4814183.16</v>
          </cell>
          <cell r="Q94">
            <v>1653775.78</v>
          </cell>
          <cell r="R94">
            <v>4360211.71</v>
          </cell>
        </row>
        <row r="95">
          <cell r="N95">
            <v>3341</v>
          </cell>
          <cell r="O95">
            <v>3869700</v>
          </cell>
          <cell r="P95">
            <v>5496889</v>
          </cell>
          <cell r="Q95">
            <v>491954</v>
          </cell>
          <cell r="R95">
            <v>5736360.4500000002</v>
          </cell>
        </row>
        <row r="96">
          <cell r="N96">
            <v>3352</v>
          </cell>
          <cell r="O96">
            <v>0</v>
          </cell>
          <cell r="P96">
            <v>25000.32</v>
          </cell>
          <cell r="Q96">
            <v>0</v>
          </cell>
          <cell r="R96">
            <v>25000.32</v>
          </cell>
        </row>
        <row r="97">
          <cell r="N97">
            <v>3361</v>
          </cell>
          <cell r="O97">
            <v>1231280</v>
          </cell>
          <cell r="P97">
            <v>1541288</v>
          </cell>
          <cell r="Q97">
            <v>737531.72</v>
          </cell>
          <cell r="R97">
            <v>1522861.04</v>
          </cell>
        </row>
        <row r="98">
          <cell r="N98">
            <v>3381</v>
          </cell>
          <cell r="O98">
            <v>1065000</v>
          </cell>
          <cell r="P98">
            <v>295245</v>
          </cell>
          <cell r="Q98">
            <v>29606.799999999999</v>
          </cell>
          <cell r="R98">
            <v>160245</v>
          </cell>
        </row>
        <row r="99">
          <cell r="N99">
            <v>3391</v>
          </cell>
          <cell r="O99">
            <v>9016652.4800000004</v>
          </cell>
          <cell r="P99">
            <v>5184124.87</v>
          </cell>
          <cell r="Q99">
            <v>2250515.87</v>
          </cell>
          <cell r="R99">
            <v>5941540.1100000003</v>
          </cell>
        </row>
        <row r="100">
          <cell r="N100">
            <v>3411</v>
          </cell>
          <cell r="O100">
            <v>1800000</v>
          </cell>
          <cell r="P100">
            <v>1700000</v>
          </cell>
          <cell r="Q100">
            <v>1266757.17</v>
          </cell>
          <cell r="R100">
            <v>1700000</v>
          </cell>
        </row>
        <row r="101">
          <cell r="N101">
            <v>3421</v>
          </cell>
          <cell r="O101">
            <v>7360000</v>
          </cell>
          <cell r="P101">
            <v>6533000</v>
          </cell>
          <cell r="Q101">
            <v>4735628.71</v>
          </cell>
          <cell r="R101">
            <v>6433000</v>
          </cell>
        </row>
        <row r="102">
          <cell r="N102">
            <v>3431</v>
          </cell>
          <cell r="O102">
            <v>450000</v>
          </cell>
          <cell r="P102">
            <v>420000</v>
          </cell>
          <cell r="Q102">
            <v>131789.59</v>
          </cell>
          <cell r="R102">
            <v>420000</v>
          </cell>
        </row>
        <row r="103">
          <cell r="N103">
            <v>3441</v>
          </cell>
          <cell r="O103">
            <v>850000</v>
          </cell>
          <cell r="P103">
            <v>1350000</v>
          </cell>
          <cell r="Q103">
            <v>1012489.38</v>
          </cell>
          <cell r="R103">
            <v>1350000</v>
          </cell>
        </row>
        <row r="104">
          <cell r="N104">
            <v>3451</v>
          </cell>
          <cell r="O104">
            <v>6500000</v>
          </cell>
          <cell r="P104">
            <v>11199905.92</v>
          </cell>
          <cell r="Q104">
            <v>7680902.3600000003</v>
          </cell>
          <cell r="R104">
            <v>11199905.92</v>
          </cell>
        </row>
        <row r="105">
          <cell r="N105">
            <v>3461</v>
          </cell>
          <cell r="O105">
            <v>201672</v>
          </cell>
          <cell r="P105">
            <v>176672</v>
          </cell>
          <cell r="Q105">
            <v>111824</v>
          </cell>
          <cell r="R105">
            <v>151672</v>
          </cell>
        </row>
        <row r="106">
          <cell r="N106">
            <v>3471</v>
          </cell>
          <cell r="O106">
            <v>35000</v>
          </cell>
          <cell r="P106">
            <v>136471.12</v>
          </cell>
          <cell r="Q106">
            <v>37120</v>
          </cell>
          <cell r="R106">
            <v>136471.12</v>
          </cell>
        </row>
        <row r="107">
          <cell r="N107">
            <v>3511</v>
          </cell>
          <cell r="O107">
            <v>11781140</v>
          </cell>
          <cell r="P107">
            <v>11557371.91</v>
          </cell>
          <cell r="Q107">
            <v>2229644.7400000002</v>
          </cell>
          <cell r="R107">
            <v>5646096.21</v>
          </cell>
        </row>
        <row r="108">
          <cell r="N108">
            <v>3513</v>
          </cell>
          <cell r="O108">
            <v>1000000</v>
          </cell>
          <cell r="P108">
            <v>1233170.24</v>
          </cell>
          <cell r="Q108">
            <v>937876.57</v>
          </cell>
          <cell r="R108">
            <v>1233170.24</v>
          </cell>
        </row>
        <row r="109">
          <cell r="N109">
            <v>3521</v>
          </cell>
          <cell r="O109">
            <v>481311.3</v>
          </cell>
          <cell r="P109">
            <v>488711.3</v>
          </cell>
          <cell r="Q109">
            <v>457987.3</v>
          </cell>
          <cell r="R109">
            <v>488711.3</v>
          </cell>
        </row>
        <row r="110">
          <cell r="N110">
            <v>3531</v>
          </cell>
          <cell r="O110">
            <v>835000</v>
          </cell>
          <cell r="P110">
            <v>350301.66000000003</v>
          </cell>
          <cell r="Q110">
            <v>22631.599999999999</v>
          </cell>
          <cell r="R110">
            <v>320317.78000000003</v>
          </cell>
        </row>
        <row r="111">
          <cell r="N111">
            <v>3551</v>
          </cell>
          <cell r="O111">
            <v>33508600</v>
          </cell>
          <cell r="P111">
            <v>35607663.399999999</v>
          </cell>
          <cell r="Q111">
            <v>30602586.239999998</v>
          </cell>
          <cell r="R111">
            <v>35605597.899999999</v>
          </cell>
        </row>
        <row r="112">
          <cell r="N112">
            <v>3561</v>
          </cell>
          <cell r="O112">
            <v>750000</v>
          </cell>
          <cell r="P112">
            <v>150000</v>
          </cell>
          <cell r="Q112">
            <v>0</v>
          </cell>
          <cell r="R112">
            <v>150000</v>
          </cell>
        </row>
        <row r="113">
          <cell r="N113">
            <v>3571</v>
          </cell>
          <cell r="O113">
            <v>5410200</v>
          </cell>
          <cell r="P113">
            <v>2422243.08</v>
          </cell>
          <cell r="Q113">
            <v>989259.62</v>
          </cell>
          <cell r="R113">
            <v>2412643.08</v>
          </cell>
        </row>
        <row r="114">
          <cell r="N114">
            <v>3581</v>
          </cell>
          <cell r="O114">
            <v>3710400</v>
          </cell>
          <cell r="P114">
            <v>3191340.4400000004</v>
          </cell>
          <cell r="Q114">
            <v>2376410.52</v>
          </cell>
          <cell r="R114">
            <v>3191340.4400000004</v>
          </cell>
        </row>
        <row r="115">
          <cell r="N115">
            <v>3591</v>
          </cell>
          <cell r="O115">
            <v>27520</v>
          </cell>
          <cell r="P115">
            <v>94600</v>
          </cell>
          <cell r="Q115">
            <v>62114.52</v>
          </cell>
          <cell r="R115">
            <v>104200</v>
          </cell>
        </row>
        <row r="116">
          <cell r="N116">
            <v>3611</v>
          </cell>
          <cell r="O116">
            <v>10552545</v>
          </cell>
          <cell r="P116">
            <v>10197367.6</v>
          </cell>
          <cell r="Q116">
            <v>2990389.5800000005</v>
          </cell>
          <cell r="R116">
            <v>10361166.09</v>
          </cell>
        </row>
        <row r="117">
          <cell r="N117">
            <v>3612</v>
          </cell>
          <cell r="O117">
            <v>595000</v>
          </cell>
          <cell r="P117">
            <v>495000</v>
          </cell>
          <cell r="Q117">
            <v>248311.28</v>
          </cell>
          <cell r="R117">
            <v>495000</v>
          </cell>
        </row>
        <row r="118">
          <cell r="N118">
            <v>3631</v>
          </cell>
          <cell r="O118">
            <v>324000</v>
          </cell>
          <cell r="P118">
            <v>0</v>
          </cell>
          <cell r="Q118">
            <v>0</v>
          </cell>
          <cell r="R118">
            <v>0</v>
          </cell>
        </row>
        <row r="119">
          <cell r="N119">
            <v>3661</v>
          </cell>
          <cell r="O119">
            <v>1570000</v>
          </cell>
          <cell r="P119">
            <v>1570000</v>
          </cell>
          <cell r="Q119">
            <v>933156.37</v>
          </cell>
          <cell r="R119">
            <v>1599000</v>
          </cell>
        </row>
        <row r="120">
          <cell r="N120">
            <v>3691</v>
          </cell>
          <cell r="O120">
            <v>145000</v>
          </cell>
          <cell r="P120">
            <v>60000</v>
          </cell>
          <cell r="Q120">
            <v>29252</v>
          </cell>
          <cell r="R120">
            <v>60000</v>
          </cell>
        </row>
        <row r="121">
          <cell r="N121">
            <v>3711</v>
          </cell>
          <cell r="O121">
            <v>30000</v>
          </cell>
          <cell r="P121">
            <v>30000</v>
          </cell>
          <cell r="Q121">
            <v>0</v>
          </cell>
          <cell r="R121">
            <v>30000</v>
          </cell>
        </row>
        <row r="122">
          <cell r="N122">
            <v>3712</v>
          </cell>
          <cell r="O122">
            <v>190000</v>
          </cell>
          <cell r="P122">
            <v>46721</v>
          </cell>
          <cell r="Q122">
            <v>36720.99</v>
          </cell>
          <cell r="R122">
            <v>46721</v>
          </cell>
        </row>
        <row r="123">
          <cell r="N123">
            <v>3721</v>
          </cell>
          <cell r="O123">
            <v>36000</v>
          </cell>
          <cell r="P123">
            <v>39000</v>
          </cell>
          <cell r="Q123">
            <v>3028.95</v>
          </cell>
          <cell r="R123">
            <v>39000</v>
          </cell>
        </row>
        <row r="124">
          <cell r="N124">
            <v>3751</v>
          </cell>
          <cell r="O124">
            <v>458000</v>
          </cell>
          <cell r="P124">
            <v>430489.59</v>
          </cell>
          <cell r="Q124">
            <v>83198.030000000013</v>
          </cell>
          <cell r="R124">
            <v>422989.59</v>
          </cell>
        </row>
        <row r="125">
          <cell r="N125">
            <v>3761</v>
          </cell>
          <cell r="O125">
            <v>265000</v>
          </cell>
          <cell r="P125">
            <v>71804.320000000007</v>
          </cell>
          <cell r="Q125">
            <v>71804.320000000007</v>
          </cell>
          <cell r="R125">
            <v>71804.320000000007</v>
          </cell>
        </row>
        <row r="126">
          <cell r="N126">
            <v>3791</v>
          </cell>
          <cell r="O126">
            <v>311900</v>
          </cell>
          <cell r="P126">
            <v>345900</v>
          </cell>
          <cell r="Q126">
            <v>132928.22999999998</v>
          </cell>
          <cell r="R126">
            <v>339096</v>
          </cell>
        </row>
        <row r="127">
          <cell r="N127">
            <v>3821</v>
          </cell>
          <cell r="O127">
            <v>12990000</v>
          </cell>
          <cell r="P127">
            <v>8847756</v>
          </cell>
          <cell r="Q127">
            <v>3382610.4299999997</v>
          </cell>
          <cell r="R127">
            <v>8572748</v>
          </cell>
        </row>
        <row r="128">
          <cell r="N128">
            <v>3831</v>
          </cell>
          <cell r="O128">
            <v>770000</v>
          </cell>
          <cell r="P128">
            <v>127800.56</v>
          </cell>
          <cell r="Q128">
            <v>3150</v>
          </cell>
          <cell r="R128">
            <v>127800.56</v>
          </cell>
        </row>
        <row r="129">
          <cell r="N129">
            <v>3852</v>
          </cell>
          <cell r="O129">
            <v>7230000</v>
          </cell>
          <cell r="P129">
            <v>1821100</v>
          </cell>
          <cell r="Q129">
            <v>851838.5</v>
          </cell>
          <cell r="R129">
            <v>1634100</v>
          </cell>
        </row>
        <row r="130">
          <cell r="N130">
            <v>3854</v>
          </cell>
          <cell r="O130">
            <v>3200000</v>
          </cell>
          <cell r="P130">
            <v>4849897.01</v>
          </cell>
          <cell r="Q130">
            <v>3271721.59</v>
          </cell>
          <cell r="R130">
            <v>4849897.01</v>
          </cell>
        </row>
        <row r="131">
          <cell r="N131">
            <v>3921</v>
          </cell>
          <cell r="O131">
            <v>3497720</v>
          </cell>
          <cell r="P131">
            <v>3376234</v>
          </cell>
          <cell r="Q131">
            <v>3078339.9200000009</v>
          </cell>
          <cell r="R131">
            <v>3374498</v>
          </cell>
        </row>
        <row r="132">
          <cell r="N132">
            <v>3941</v>
          </cell>
          <cell r="O132">
            <v>550000</v>
          </cell>
          <cell r="P132">
            <v>550000</v>
          </cell>
          <cell r="Q132">
            <v>0</v>
          </cell>
          <cell r="R132">
            <v>550000</v>
          </cell>
        </row>
        <row r="133">
          <cell r="N133">
            <v>3951</v>
          </cell>
          <cell r="O133">
            <v>320000</v>
          </cell>
          <cell r="P133">
            <v>320000</v>
          </cell>
          <cell r="Q133">
            <v>63660.44</v>
          </cell>
          <cell r="R133">
            <v>320000</v>
          </cell>
        </row>
        <row r="134">
          <cell r="N134">
            <v>3961</v>
          </cell>
          <cell r="O134">
            <v>4617870.66</v>
          </cell>
          <cell r="P134">
            <v>6386296.3499999996</v>
          </cell>
          <cell r="Q134">
            <v>4211060.8900000006</v>
          </cell>
          <cell r="R134">
            <v>6527144.0800000001</v>
          </cell>
        </row>
        <row r="135">
          <cell r="N135">
            <v>3981</v>
          </cell>
          <cell r="O135">
            <v>10867858</v>
          </cell>
          <cell r="P135">
            <v>10867858</v>
          </cell>
          <cell r="Q135">
            <v>7886471</v>
          </cell>
          <cell r="R135">
            <v>10867858</v>
          </cell>
        </row>
        <row r="136">
          <cell r="N136">
            <v>4151</v>
          </cell>
          <cell r="O136">
            <v>122588840.12</v>
          </cell>
          <cell r="P136">
            <v>119537451.84</v>
          </cell>
          <cell r="Q136">
            <v>95954312.060000002</v>
          </cell>
          <cell r="R136">
            <v>118209633.27</v>
          </cell>
        </row>
        <row r="137">
          <cell r="N137">
            <v>4152</v>
          </cell>
          <cell r="O137">
            <v>100000</v>
          </cell>
          <cell r="P137">
            <v>100000</v>
          </cell>
          <cell r="Q137">
            <v>99278.52</v>
          </cell>
          <cell r="R137">
            <v>469458</v>
          </cell>
        </row>
        <row r="138">
          <cell r="N138">
            <v>4153</v>
          </cell>
          <cell r="O138">
            <v>5991077</v>
          </cell>
          <cell r="P138">
            <v>14991077</v>
          </cell>
          <cell r="Q138">
            <v>10922352.52</v>
          </cell>
          <cell r="R138">
            <v>15781238.57</v>
          </cell>
        </row>
        <row r="139">
          <cell r="N139">
            <v>4154</v>
          </cell>
          <cell r="O139">
            <v>1000000</v>
          </cell>
          <cell r="P139">
            <v>4500000</v>
          </cell>
          <cell r="Q139">
            <v>4499500</v>
          </cell>
          <cell r="R139">
            <v>4500000</v>
          </cell>
        </row>
        <row r="140">
          <cell r="N140">
            <v>4155</v>
          </cell>
          <cell r="O140">
            <v>80000</v>
          </cell>
          <cell r="P140">
            <v>0</v>
          </cell>
          <cell r="Q140">
            <v>0</v>
          </cell>
          <cell r="R140">
            <v>168199</v>
          </cell>
        </row>
        <row r="141">
          <cell r="N141">
            <v>4156</v>
          </cell>
          <cell r="O141">
            <v>465868.93</v>
          </cell>
          <cell r="P141">
            <v>15101189.060000001</v>
          </cell>
          <cell r="Q141">
            <v>3977500</v>
          </cell>
          <cell r="R141">
            <v>15101189.060000001</v>
          </cell>
        </row>
        <row r="142">
          <cell r="N142">
            <v>4321</v>
          </cell>
          <cell r="O142">
            <v>1880000</v>
          </cell>
          <cell r="P142">
            <v>630000</v>
          </cell>
          <cell r="Q142">
            <v>339200</v>
          </cell>
          <cell r="R142">
            <v>630000</v>
          </cell>
        </row>
        <row r="143">
          <cell r="N143">
            <v>4331</v>
          </cell>
          <cell r="O143">
            <v>1955000</v>
          </cell>
          <cell r="P143">
            <v>3434279</v>
          </cell>
          <cell r="Q143">
            <v>2436691.1800000002</v>
          </cell>
          <cell r="R143">
            <v>3434279</v>
          </cell>
        </row>
        <row r="144">
          <cell r="N144">
            <v>4341</v>
          </cell>
          <cell r="O144">
            <v>924000</v>
          </cell>
          <cell r="P144">
            <v>1240824</v>
          </cell>
          <cell r="Q144">
            <v>889363.9</v>
          </cell>
          <cell r="R144">
            <v>1240824</v>
          </cell>
        </row>
        <row r="145">
          <cell r="N145">
            <v>4391</v>
          </cell>
          <cell r="O145">
            <v>9000000</v>
          </cell>
          <cell r="P145">
            <v>7114262.79</v>
          </cell>
          <cell r="Q145">
            <v>4792170.71</v>
          </cell>
          <cell r="R145">
            <v>7114262.79</v>
          </cell>
        </row>
        <row r="146">
          <cell r="N146">
            <v>4411</v>
          </cell>
          <cell r="O146">
            <v>19285000</v>
          </cell>
          <cell r="P146">
            <v>23695447</v>
          </cell>
          <cell r="Q146">
            <v>11545020.949999999</v>
          </cell>
          <cell r="R146">
            <v>23705912.5</v>
          </cell>
        </row>
        <row r="147">
          <cell r="N147">
            <v>4413</v>
          </cell>
          <cell r="O147">
            <v>600000</v>
          </cell>
          <cell r="P147">
            <v>600000</v>
          </cell>
          <cell r="Q147">
            <v>327000</v>
          </cell>
          <cell r="R147">
            <v>600000</v>
          </cell>
        </row>
        <row r="148">
          <cell r="N148">
            <v>4421</v>
          </cell>
          <cell r="O148">
            <v>8000000</v>
          </cell>
          <cell r="P148">
            <v>4836500</v>
          </cell>
          <cell r="Q148">
            <v>4514883.32</v>
          </cell>
          <cell r="R148">
            <v>4808800</v>
          </cell>
        </row>
        <row r="149">
          <cell r="N149">
            <v>4431</v>
          </cell>
          <cell r="O149">
            <v>4624000</v>
          </cell>
          <cell r="P149">
            <v>4645680</v>
          </cell>
          <cell r="Q149">
            <v>1768359.9100000001</v>
          </cell>
          <cell r="R149">
            <v>4673380</v>
          </cell>
        </row>
        <row r="150">
          <cell r="N150">
            <v>4451</v>
          </cell>
          <cell r="O150">
            <v>7088224</v>
          </cell>
          <cell r="P150">
            <v>7095530.96</v>
          </cell>
          <cell r="Q150">
            <v>5574501.5599999996</v>
          </cell>
          <cell r="R150">
            <v>7095530.96</v>
          </cell>
        </row>
        <row r="151">
          <cell r="N151">
            <v>4481</v>
          </cell>
          <cell r="O151">
            <v>1000000</v>
          </cell>
          <cell r="P151">
            <v>6065259.9400000004</v>
          </cell>
          <cell r="Q151">
            <v>4268981.53</v>
          </cell>
          <cell r="R151">
            <v>6065259.9400000004</v>
          </cell>
        </row>
        <row r="152">
          <cell r="N152">
            <v>4511</v>
          </cell>
          <cell r="O152">
            <v>62146965.560000002</v>
          </cell>
          <cell r="P152">
            <v>62684500.560000002</v>
          </cell>
          <cell r="Q152">
            <v>51621902.359999999</v>
          </cell>
          <cell r="R152">
            <v>62684500.560000002</v>
          </cell>
        </row>
        <row r="153">
          <cell r="N153">
            <v>5111</v>
          </cell>
          <cell r="O153">
            <v>750597.8</v>
          </cell>
          <cell r="P153">
            <v>785711.85000000009</v>
          </cell>
          <cell r="Q153">
            <v>181500</v>
          </cell>
          <cell r="R153">
            <v>710436.19000000006</v>
          </cell>
        </row>
        <row r="154">
          <cell r="N154">
            <v>5151</v>
          </cell>
          <cell r="O154">
            <v>4854309</v>
          </cell>
          <cell r="P154">
            <v>6998387.1000000006</v>
          </cell>
          <cell r="Q154">
            <v>3295509.65</v>
          </cell>
          <cell r="R154">
            <v>7647342.1000000006</v>
          </cell>
        </row>
        <row r="155">
          <cell r="N155">
            <v>5191</v>
          </cell>
          <cell r="O155">
            <v>403160</v>
          </cell>
          <cell r="P155">
            <v>418709</v>
          </cell>
          <cell r="Q155">
            <v>343008</v>
          </cell>
          <cell r="R155">
            <v>458909</v>
          </cell>
        </row>
        <row r="156">
          <cell r="N156">
            <v>5192</v>
          </cell>
          <cell r="O156">
            <v>18000</v>
          </cell>
          <cell r="P156">
            <v>18000</v>
          </cell>
          <cell r="Q156">
            <v>12000.98</v>
          </cell>
          <cell r="R156">
            <v>18000</v>
          </cell>
        </row>
        <row r="157">
          <cell r="N157">
            <v>5211</v>
          </cell>
          <cell r="O157">
            <v>280598</v>
          </cell>
          <cell r="P157">
            <v>379603.39999999997</v>
          </cell>
          <cell r="Q157">
            <v>196094.83000000002</v>
          </cell>
          <cell r="R157">
            <v>409103.39999999997</v>
          </cell>
        </row>
        <row r="158">
          <cell r="N158">
            <v>5231</v>
          </cell>
          <cell r="O158">
            <v>730187.5</v>
          </cell>
          <cell r="P158">
            <v>815187.5</v>
          </cell>
          <cell r="Q158">
            <v>751086.9</v>
          </cell>
          <cell r="R158">
            <v>864787.5</v>
          </cell>
        </row>
        <row r="159">
          <cell r="N159">
            <v>5291</v>
          </cell>
          <cell r="O159">
            <v>0</v>
          </cell>
          <cell r="P159">
            <v>25000</v>
          </cell>
          <cell r="Q159">
            <v>0</v>
          </cell>
          <cell r="R159">
            <v>25000</v>
          </cell>
        </row>
        <row r="160">
          <cell r="N160">
            <v>5311</v>
          </cell>
          <cell r="O160">
            <v>20000</v>
          </cell>
          <cell r="P160">
            <v>20000</v>
          </cell>
          <cell r="Q160">
            <v>0</v>
          </cell>
          <cell r="R160">
            <v>20000</v>
          </cell>
        </row>
        <row r="161">
          <cell r="N161">
            <v>5321</v>
          </cell>
          <cell r="O161">
            <v>13103</v>
          </cell>
          <cell r="P161">
            <v>13103</v>
          </cell>
          <cell r="Q161">
            <v>0</v>
          </cell>
          <cell r="R161">
            <v>13103</v>
          </cell>
        </row>
        <row r="162">
          <cell r="N162">
            <v>5411</v>
          </cell>
          <cell r="O162">
            <v>18270000</v>
          </cell>
          <cell r="P162">
            <v>92112210</v>
          </cell>
          <cell r="Q162">
            <v>76840580.00999999</v>
          </cell>
          <cell r="R162">
            <v>92574110</v>
          </cell>
        </row>
        <row r="163">
          <cell r="N163">
            <v>5491</v>
          </cell>
          <cell r="O163">
            <v>1522400</v>
          </cell>
          <cell r="P163">
            <v>6412882.7199999997</v>
          </cell>
          <cell r="Q163">
            <v>0</v>
          </cell>
          <cell r="R163">
            <v>6412882.7199999997</v>
          </cell>
        </row>
        <row r="164">
          <cell r="N164">
            <v>5511</v>
          </cell>
          <cell r="O164">
            <v>0</v>
          </cell>
          <cell r="P164">
            <v>11237770</v>
          </cell>
          <cell r="Q164">
            <v>11131390.390000001</v>
          </cell>
          <cell r="R164">
            <v>11237770</v>
          </cell>
        </row>
        <row r="165">
          <cell r="N165">
            <v>5611</v>
          </cell>
          <cell r="O165">
            <v>289542.28000000003</v>
          </cell>
          <cell r="P165">
            <v>205559.28</v>
          </cell>
          <cell r="Q165">
            <v>198590</v>
          </cell>
          <cell r="R165">
            <v>205559.28</v>
          </cell>
        </row>
        <row r="166">
          <cell r="N166">
            <v>5631</v>
          </cell>
          <cell r="O166">
            <v>3479172.2800000003</v>
          </cell>
          <cell r="P166">
            <v>1472607</v>
          </cell>
          <cell r="Q166">
            <v>1464937</v>
          </cell>
          <cell r="R166">
            <v>1472607</v>
          </cell>
        </row>
        <row r="167">
          <cell r="N167">
            <v>5641</v>
          </cell>
          <cell r="O167">
            <v>340000</v>
          </cell>
          <cell r="P167">
            <v>146660</v>
          </cell>
          <cell r="Q167">
            <v>18056.510000000002</v>
          </cell>
          <cell r="R167">
            <v>146660</v>
          </cell>
        </row>
        <row r="168">
          <cell r="N168">
            <v>5651</v>
          </cell>
          <cell r="O168">
            <v>2330838.3199999998</v>
          </cell>
          <cell r="P168">
            <v>5720877.4100000001</v>
          </cell>
          <cell r="Q168">
            <v>4909865.74</v>
          </cell>
          <cell r="R168">
            <v>5756134.3200000003</v>
          </cell>
        </row>
        <row r="169">
          <cell r="N169">
            <v>5661</v>
          </cell>
          <cell r="O169">
            <v>300000</v>
          </cell>
          <cell r="P169">
            <v>280000</v>
          </cell>
          <cell r="Q169">
            <v>0</v>
          </cell>
          <cell r="R169">
            <v>280000</v>
          </cell>
        </row>
        <row r="170">
          <cell r="N170">
            <v>5662</v>
          </cell>
          <cell r="O170">
            <v>7000</v>
          </cell>
          <cell r="P170">
            <v>7000</v>
          </cell>
          <cell r="Q170">
            <v>0</v>
          </cell>
          <cell r="R170">
            <v>7000</v>
          </cell>
        </row>
        <row r="171">
          <cell r="N171">
            <v>5663</v>
          </cell>
          <cell r="Q171">
            <v>0</v>
          </cell>
          <cell r="R171">
            <v>274006.53999999998</v>
          </cell>
        </row>
        <row r="172">
          <cell r="N172">
            <v>5671</v>
          </cell>
          <cell r="O172">
            <v>371000</v>
          </cell>
          <cell r="P172">
            <v>476743.58999999997</v>
          </cell>
          <cell r="Q172">
            <v>91305.34</v>
          </cell>
          <cell r="R172">
            <v>475350</v>
          </cell>
        </row>
        <row r="173">
          <cell r="N173">
            <v>5691</v>
          </cell>
          <cell r="O173">
            <v>6708984.6500000004</v>
          </cell>
          <cell r="P173">
            <v>6802250.8599999994</v>
          </cell>
          <cell r="Q173">
            <v>6120929.7000000002</v>
          </cell>
          <cell r="R173">
            <v>6802250.8599999994</v>
          </cell>
        </row>
        <row r="174">
          <cell r="N174">
            <v>5811</v>
          </cell>
          <cell r="O174">
            <v>5000000</v>
          </cell>
          <cell r="P174">
            <v>3000000</v>
          </cell>
          <cell r="Q174">
            <v>0</v>
          </cell>
          <cell r="R174">
            <v>3000000</v>
          </cell>
        </row>
        <row r="175">
          <cell r="N175">
            <v>5911</v>
          </cell>
          <cell r="O175">
            <v>450000</v>
          </cell>
          <cell r="P175">
            <v>45588</v>
          </cell>
          <cell r="Q175">
            <v>0</v>
          </cell>
          <cell r="R175">
            <v>45588</v>
          </cell>
        </row>
        <row r="176">
          <cell r="N176">
            <v>5921</v>
          </cell>
          <cell r="O176">
            <v>10000</v>
          </cell>
          <cell r="P176">
            <v>10000</v>
          </cell>
          <cell r="Q176">
            <v>0</v>
          </cell>
          <cell r="R176">
            <v>10000</v>
          </cell>
        </row>
        <row r="177">
          <cell r="N177">
            <v>5971</v>
          </cell>
          <cell r="O177">
            <v>4225657</v>
          </cell>
          <cell r="P177">
            <v>3173679.16</v>
          </cell>
          <cell r="Q177">
            <v>1335987.42</v>
          </cell>
          <cell r="R177">
            <v>2723679.16</v>
          </cell>
        </row>
        <row r="178">
          <cell r="N178">
            <v>6111</v>
          </cell>
          <cell r="O178">
            <v>29463.759999999998</v>
          </cell>
          <cell r="P178">
            <v>33827509.210000001</v>
          </cell>
          <cell r="Q178">
            <v>16427877.91</v>
          </cell>
          <cell r="R178">
            <v>37652509.210000001</v>
          </cell>
        </row>
        <row r="179">
          <cell r="N179">
            <v>6121</v>
          </cell>
          <cell r="O179">
            <v>12933149.060000001</v>
          </cell>
          <cell r="P179">
            <v>130226907.41999999</v>
          </cell>
          <cell r="Q179">
            <v>45747995.280000001</v>
          </cell>
          <cell r="R179">
            <v>131011059.68999998</v>
          </cell>
        </row>
        <row r="180">
          <cell r="N180">
            <v>6131</v>
          </cell>
          <cell r="O180">
            <v>74794398.620000005</v>
          </cell>
          <cell r="P180">
            <v>87027363.409999996</v>
          </cell>
          <cell r="Q180">
            <v>19651854.809999999</v>
          </cell>
          <cell r="R180">
            <v>137027363.40999997</v>
          </cell>
        </row>
        <row r="181">
          <cell r="N181">
            <v>6141</v>
          </cell>
          <cell r="O181">
            <v>233030875.31999999</v>
          </cell>
          <cell r="P181">
            <v>243514344.42000002</v>
          </cell>
          <cell r="Q181">
            <v>98440634.069999993</v>
          </cell>
          <cell r="R181">
            <v>238564344.42000002</v>
          </cell>
        </row>
        <row r="182">
          <cell r="N182">
            <v>6221</v>
          </cell>
          <cell r="O182">
            <v>8602559.0999999996</v>
          </cell>
          <cell r="P182">
            <v>14837847.029999999</v>
          </cell>
          <cell r="Q182">
            <v>2463375.54</v>
          </cell>
          <cell r="R182">
            <v>14837847.029999999</v>
          </cell>
        </row>
        <row r="183">
          <cell r="N183">
            <v>9111</v>
          </cell>
          <cell r="O183">
            <v>23536625.920000002</v>
          </cell>
          <cell r="P183">
            <v>23536625.920000002</v>
          </cell>
          <cell r="Q183">
            <v>19613854.899999999</v>
          </cell>
          <cell r="R183">
            <v>23536625.920000002</v>
          </cell>
        </row>
        <row r="184">
          <cell r="N184">
            <v>9211</v>
          </cell>
          <cell r="O184">
            <v>21040806.780000001</v>
          </cell>
          <cell r="P184">
            <v>19025622.539999999</v>
          </cell>
          <cell r="Q184">
            <v>14908204.99</v>
          </cell>
          <cell r="R184">
            <v>19025622.539999999</v>
          </cell>
        </row>
        <row r="185">
          <cell r="N185" t="str">
            <v>31111-0101</v>
          </cell>
          <cell r="O185">
            <v>11396212.42</v>
          </cell>
          <cell r="P185">
            <v>9284033.1799999997</v>
          </cell>
          <cell r="Q185">
            <v>7259747.0899999999</v>
          </cell>
          <cell r="R185">
            <v>9284033.1799999997</v>
          </cell>
        </row>
        <row r="186">
          <cell r="N186" t="str">
            <v>31111-0102</v>
          </cell>
          <cell r="O186">
            <v>18988266.020000003</v>
          </cell>
          <cell r="P186">
            <v>18820456.619999997</v>
          </cell>
          <cell r="Q186">
            <v>15486127.710000003</v>
          </cell>
          <cell r="R186">
            <v>18820456.619999997</v>
          </cell>
        </row>
        <row r="187">
          <cell r="N187" t="str">
            <v>31111-0145</v>
          </cell>
          <cell r="O187">
            <v>2062552.1699999997</v>
          </cell>
          <cell r="P187">
            <v>1719145.53</v>
          </cell>
          <cell r="Q187">
            <v>1253660.2600000002</v>
          </cell>
          <cell r="R187">
            <v>1719145.53</v>
          </cell>
        </row>
        <row r="188">
          <cell r="N188" t="str">
            <v>31111-0147</v>
          </cell>
          <cell r="O188">
            <v>459121</v>
          </cell>
          <cell r="P188">
            <v>455916.83</v>
          </cell>
          <cell r="Q188">
            <v>380822.13</v>
          </cell>
          <cell r="R188">
            <v>455916.83</v>
          </cell>
        </row>
        <row r="189">
          <cell r="N189" t="str">
            <v>31111-0148</v>
          </cell>
          <cell r="O189">
            <v>459121</v>
          </cell>
          <cell r="P189">
            <v>455925.20999999996</v>
          </cell>
          <cell r="Q189">
            <v>259894.09</v>
          </cell>
          <cell r="R189">
            <v>455925.20999999996</v>
          </cell>
        </row>
        <row r="190">
          <cell r="N190" t="str">
            <v>31111-0149</v>
          </cell>
          <cell r="O190">
            <v>453210</v>
          </cell>
          <cell r="P190">
            <v>450333.92</v>
          </cell>
          <cell r="Q190">
            <v>263540.83999999997</v>
          </cell>
          <cell r="R190">
            <v>450333.92</v>
          </cell>
        </row>
        <row r="191">
          <cell r="N191" t="str">
            <v>31111-0150</v>
          </cell>
          <cell r="O191">
            <v>453210</v>
          </cell>
          <cell r="P191">
            <v>450333.92</v>
          </cell>
          <cell r="Q191">
            <v>280158.81</v>
          </cell>
          <cell r="R191">
            <v>450333.92</v>
          </cell>
        </row>
        <row r="192">
          <cell r="N192" t="str">
            <v>31111-0151</v>
          </cell>
          <cell r="O192">
            <v>453210</v>
          </cell>
          <cell r="P192">
            <v>450333.92</v>
          </cell>
          <cell r="Q192">
            <v>382872.71</v>
          </cell>
          <cell r="R192">
            <v>450333.92</v>
          </cell>
        </row>
        <row r="193">
          <cell r="N193" t="str">
            <v>31111-0152</v>
          </cell>
          <cell r="O193">
            <v>453210</v>
          </cell>
          <cell r="P193">
            <v>450333.92</v>
          </cell>
          <cell r="Q193">
            <v>179757.32</v>
          </cell>
          <cell r="R193">
            <v>450333.92</v>
          </cell>
        </row>
        <row r="194">
          <cell r="N194" t="str">
            <v>31111-0153</v>
          </cell>
          <cell r="O194">
            <v>453210</v>
          </cell>
          <cell r="P194">
            <v>450333.92</v>
          </cell>
          <cell r="Q194">
            <v>328860.82</v>
          </cell>
          <cell r="R194">
            <v>450333.92</v>
          </cell>
        </row>
        <row r="195">
          <cell r="N195" t="str">
            <v>31111-0154</v>
          </cell>
          <cell r="O195">
            <v>453210</v>
          </cell>
          <cell r="P195">
            <v>450333.92</v>
          </cell>
          <cell r="Q195">
            <v>389517.3</v>
          </cell>
          <cell r="R195">
            <v>450333.92</v>
          </cell>
        </row>
        <row r="196">
          <cell r="N196" t="str">
            <v>31111-0155</v>
          </cell>
          <cell r="O196">
            <v>453210</v>
          </cell>
          <cell r="P196">
            <v>454466.11</v>
          </cell>
          <cell r="Q196">
            <v>377941.96</v>
          </cell>
          <cell r="R196">
            <v>454466.11</v>
          </cell>
        </row>
        <row r="197">
          <cell r="N197" t="str">
            <v>31111-0156</v>
          </cell>
          <cell r="O197">
            <v>400000</v>
          </cell>
          <cell r="P197">
            <v>400000</v>
          </cell>
          <cell r="Q197">
            <v>273732.46000000002</v>
          </cell>
          <cell r="R197">
            <v>400000</v>
          </cell>
        </row>
        <row r="198">
          <cell r="N198" t="str">
            <v>31111-0157</v>
          </cell>
          <cell r="O198">
            <v>400000</v>
          </cell>
          <cell r="P198">
            <v>400000</v>
          </cell>
          <cell r="Q198">
            <v>399300.28</v>
          </cell>
          <cell r="R198">
            <v>400000</v>
          </cell>
        </row>
        <row r="199">
          <cell r="N199" t="str">
            <v>31111-0158</v>
          </cell>
          <cell r="O199">
            <v>453210</v>
          </cell>
          <cell r="P199">
            <v>450333.92</v>
          </cell>
          <cell r="Q199">
            <v>377844.42000000004</v>
          </cell>
          <cell r="R199">
            <v>450333.92</v>
          </cell>
        </row>
        <row r="200">
          <cell r="N200" t="str">
            <v>31111-0159</v>
          </cell>
          <cell r="O200">
            <v>400000</v>
          </cell>
          <cell r="P200">
            <v>400000</v>
          </cell>
          <cell r="Q200">
            <v>357895.42</v>
          </cell>
          <cell r="R200">
            <v>400000</v>
          </cell>
        </row>
        <row r="201">
          <cell r="N201" t="str">
            <v>31111-0160</v>
          </cell>
          <cell r="O201">
            <v>453210</v>
          </cell>
          <cell r="P201">
            <v>450333.92</v>
          </cell>
          <cell r="Q201">
            <v>394105.58000000007</v>
          </cell>
          <cell r="R201">
            <v>450333.92</v>
          </cell>
        </row>
        <row r="202">
          <cell r="N202" t="str">
            <v>31111-0201</v>
          </cell>
          <cell r="O202">
            <v>12117307.43</v>
          </cell>
          <cell r="P202">
            <v>11201175.609999999</v>
          </cell>
          <cell r="Q202">
            <v>8073174.4800000004</v>
          </cell>
          <cell r="R202">
            <v>11201175.609999999</v>
          </cell>
        </row>
        <row r="203">
          <cell r="N203" t="str">
            <v>31111-0301</v>
          </cell>
          <cell r="O203">
            <v>19725301.259999998</v>
          </cell>
          <cell r="P203">
            <v>21580052.399999999</v>
          </cell>
          <cell r="Q203">
            <v>13890302.979999999</v>
          </cell>
          <cell r="R203">
            <v>21685118.130000003</v>
          </cell>
        </row>
        <row r="204">
          <cell r="N204" t="str">
            <v>31111-0302</v>
          </cell>
          <cell r="O204">
            <v>4076349.7599999993</v>
          </cell>
          <cell r="P204">
            <v>3849777.7899999996</v>
          </cell>
          <cell r="Q204">
            <v>3004202.9799999995</v>
          </cell>
          <cell r="R204">
            <v>3849777.7899999996</v>
          </cell>
        </row>
        <row r="205">
          <cell r="N205" t="str">
            <v>31111-0303</v>
          </cell>
          <cell r="O205">
            <v>16473122.770000001</v>
          </cell>
          <cell r="P205">
            <v>16716449.189999999</v>
          </cell>
          <cell r="Q205">
            <v>12860625.370000001</v>
          </cell>
          <cell r="R205">
            <v>16682231.189999999</v>
          </cell>
        </row>
        <row r="206">
          <cell r="N206" t="str">
            <v>31111-0304</v>
          </cell>
          <cell r="O206">
            <v>7691185.2199999997</v>
          </cell>
          <cell r="P206">
            <v>9363223.9700000007</v>
          </cell>
          <cell r="Q206">
            <v>5226596.34</v>
          </cell>
          <cell r="R206">
            <v>9333223.9700000007</v>
          </cell>
        </row>
        <row r="207">
          <cell r="N207" t="str">
            <v>31111-0305</v>
          </cell>
          <cell r="O207">
            <v>3039998.6799999997</v>
          </cell>
          <cell r="P207">
            <v>2971298.07</v>
          </cell>
          <cell r="Q207">
            <v>2361963.0399999996</v>
          </cell>
          <cell r="R207">
            <v>2971298.07</v>
          </cell>
        </row>
        <row r="208">
          <cell r="N208" t="str">
            <v>31111-0307</v>
          </cell>
          <cell r="O208">
            <v>1784896.7399999998</v>
          </cell>
          <cell r="P208">
            <v>1573006.1099999999</v>
          </cell>
          <cell r="Q208">
            <v>1269173.1399999999</v>
          </cell>
          <cell r="R208">
            <v>1573006.1099999999</v>
          </cell>
        </row>
        <row r="209">
          <cell r="N209" t="str">
            <v>31111-0308</v>
          </cell>
          <cell r="O209">
            <v>11930000</v>
          </cell>
          <cell r="P209">
            <v>9179942.5</v>
          </cell>
          <cell r="Q209">
            <v>1126470.1599999999</v>
          </cell>
          <cell r="R209">
            <v>9179942.5</v>
          </cell>
        </row>
        <row r="210">
          <cell r="N210" t="str">
            <v>31111-0401</v>
          </cell>
          <cell r="O210">
            <v>16046993.960000001</v>
          </cell>
          <cell r="P210">
            <v>15250517.16</v>
          </cell>
          <cell r="Q210">
            <v>7371975.3600000003</v>
          </cell>
          <cell r="R210">
            <v>15250517.16</v>
          </cell>
        </row>
        <row r="211">
          <cell r="N211" t="str">
            <v>31111-0402</v>
          </cell>
          <cell r="O211">
            <v>7243699.8399999999</v>
          </cell>
          <cell r="P211">
            <v>5516039.5300000003</v>
          </cell>
          <cell r="Q211">
            <v>2248351.0599999996</v>
          </cell>
          <cell r="R211">
            <v>5460999.5300000003</v>
          </cell>
        </row>
        <row r="212">
          <cell r="N212" t="str">
            <v>31111-0501</v>
          </cell>
          <cell r="O212">
            <v>34257567.070000008</v>
          </cell>
          <cell r="P212">
            <v>33738772.339999996</v>
          </cell>
          <cell r="Q212">
            <v>27259190.250000004</v>
          </cell>
          <cell r="R212">
            <v>33953812.339999996</v>
          </cell>
        </row>
        <row r="213">
          <cell r="N213" t="str">
            <v>31111-0502</v>
          </cell>
          <cell r="O213">
            <v>16248903.699999999</v>
          </cell>
          <cell r="P213">
            <v>14230074.289999999</v>
          </cell>
          <cell r="Q213">
            <v>8692264.1500000004</v>
          </cell>
          <cell r="R213">
            <v>14230074.289999999</v>
          </cell>
        </row>
        <row r="214">
          <cell r="N214" t="str">
            <v>31111-0503</v>
          </cell>
          <cell r="O214">
            <v>6400257.3299999991</v>
          </cell>
          <cell r="P214">
            <v>5840893.0599999996</v>
          </cell>
          <cell r="Q214">
            <v>4060209.6699999995</v>
          </cell>
          <cell r="R214">
            <v>5840893.0599999996</v>
          </cell>
        </row>
        <row r="215">
          <cell r="N215" t="str">
            <v>31111-0505</v>
          </cell>
          <cell r="O215">
            <v>2181894.75</v>
          </cell>
          <cell r="P215">
            <v>2154771.75</v>
          </cell>
          <cell r="Q215">
            <v>1766808.0999999999</v>
          </cell>
          <cell r="R215">
            <v>2154771.75</v>
          </cell>
        </row>
        <row r="216">
          <cell r="N216" t="str">
            <v>31111-0510</v>
          </cell>
          <cell r="O216">
            <v>10141509.519999998</v>
          </cell>
          <cell r="P216">
            <v>9866944.5199999996</v>
          </cell>
          <cell r="Q216">
            <v>7342965.9399999976</v>
          </cell>
          <cell r="R216">
            <v>9706944.5199999996</v>
          </cell>
        </row>
        <row r="217">
          <cell r="N217" t="str">
            <v>31111-0601</v>
          </cell>
          <cell r="O217">
            <v>59878663.139999993</v>
          </cell>
          <cell r="P217">
            <v>61981482.050000004</v>
          </cell>
          <cell r="Q217">
            <v>43509732.740000002</v>
          </cell>
          <cell r="R217">
            <v>61971482.050000004</v>
          </cell>
        </row>
        <row r="218">
          <cell r="N218" t="str">
            <v>31111-0602</v>
          </cell>
          <cell r="O218">
            <v>6519506.75</v>
          </cell>
          <cell r="P218">
            <v>6617001.7100000009</v>
          </cell>
          <cell r="Q218">
            <v>5058093.7</v>
          </cell>
          <cell r="R218">
            <v>6617001.7100000009</v>
          </cell>
        </row>
        <row r="219">
          <cell r="N219" t="str">
            <v>31111-0603</v>
          </cell>
          <cell r="O219">
            <v>40454235.829999998</v>
          </cell>
          <cell r="P219">
            <v>39011468.460000001</v>
          </cell>
          <cell r="Q219">
            <v>29534896.800000004</v>
          </cell>
          <cell r="R219">
            <v>39011468.460000001</v>
          </cell>
        </row>
        <row r="220">
          <cell r="N220" t="str">
            <v>31111-0604</v>
          </cell>
          <cell r="O220">
            <v>62146965.560000002</v>
          </cell>
          <cell r="P220">
            <v>62684500.560000002</v>
          </cell>
          <cell r="Q220">
            <v>51621902.359999999</v>
          </cell>
          <cell r="R220">
            <v>62684500.560000002</v>
          </cell>
        </row>
        <row r="221">
          <cell r="N221" t="str">
            <v>31111-0605</v>
          </cell>
          <cell r="O221">
            <v>1204657.3999999999</v>
          </cell>
          <cell r="P221">
            <v>1182777.3999999999</v>
          </cell>
          <cell r="Q221">
            <v>775178.29</v>
          </cell>
          <cell r="R221">
            <v>1182777.3999999999</v>
          </cell>
        </row>
        <row r="222">
          <cell r="N222" t="str">
            <v>31111-0606</v>
          </cell>
          <cell r="O222">
            <v>1072049.82</v>
          </cell>
          <cell r="P222">
            <v>1004880.99</v>
          </cell>
          <cell r="Q222">
            <v>792658.95000000007</v>
          </cell>
          <cell r="R222">
            <v>1004880.99</v>
          </cell>
        </row>
        <row r="223">
          <cell r="N223" t="str">
            <v>31111-0701</v>
          </cell>
          <cell r="O223">
            <v>53796176.32</v>
          </cell>
          <cell r="P223">
            <v>50601050.460000001</v>
          </cell>
          <cell r="Q223">
            <v>39331098.060000002</v>
          </cell>
          <cell r="R223">
            <v>50601050.460000001</v>
          </cell>
        </row>
        <row r="224">
          <cell r="N224" t="str">
            <v>31111-0702</v>
          </cell>
          <cell r="O224">
            <v>10697499.25</v>
          </cell>
          <cell r="P224">
            <v>8180541.9700000007</v>
          </cell>
          <cell r="Q224">
            <v>6420110.21</v>
          </cell>
          <cell r="R224">
            <v>8180541.9700000007</v>
          </cell>
        </row>
        <row r="225">
          <cell r="N225" t="str">
            <v>31111-0703</v>
          </cell>
          <cell r="O225">
            <v>21745263.469999999</v>
          </cell>
          <cell r="P225">
            <v>21723682.559999999</v>
          </cell>
          <cell r="Q225">
            <v>16743142.969999995</v>
          </cell>
          <cell r="R225">
            <v>21723682.559999999</v>
          </cell>
        </row>
        <row r="226">
          <cell r="N226" t="str">
            <v>31111-0704</v>
          </cell>
          <cell r="O226">
            <v>14655397.209999999</v>
          </cell>
          <cell r="P226">
            <v>14297591.16</v>
          </cell>
          <cell r="Q226">
            <v>9243089.7000000011</v>
          </cell>
          <cell r="R226">
            <v>14297591.16</v>
          </cell>
        </row>
        <row r="227">
          <cell r="N227" t="str">
            <v>31111-0705</v>
          </cell>
          <cell r="O227">
            <v>13678490.490000002</v>
          </cell>
          <cell r="P227">
            <v>10916659.439999999</v>
          </cell>
          <cell r="Q227">
            <v>7693350.6400000015</v>
          </cell>
          <cell r="R227">
            <v>10916659.439999999</v>
          </cell>
        </row>
        <row r="228">
          <cell r="N228" t="str">
            <v>31111-0706</v>
          </cell>
          <cell r="O228">
            <v>3310564.17</v>
          </cell>
          <cell r="P228">
            <v>3269355.9000000004</v>
          </cell>
          <cell r="Q228">
            <v>2658313.4799999995</v>
          </cell>
          <cell r="R228">
            <v>3269355.9000000004</v>
          </cell>
        </row>
        <row r="229">
          <cell r="N229" t="str">
            <v>31111-0708</v>
          </cell>
          <cell r="O229">
            <v>17200905.02</v>
          </cell>
          <cell r="P229">
            <v>19293573.859999999</v>
          </cell>
          <cell r="Q229">
            <v>9971844.5499999989</v>
          </cell>
          <cell r="R229">
            <v>19293573.859999999</v>
          </cell>
        </row>
        <row r="230">
          <cell r="N230" t="str">
            <v>31111-0709</v>
          </cell>
          <cell r="O230">
            <v>7540828.3399999999</v>
          </cell>
          <cell r="P230">
            <v>6922854.8499999996</v>
          </cell>
          <cell r="Q230">
            <v>5525888.8200000003</v>
          </cell>
          <cell r="R230">
            <v>6922854.8499999996</v>
          </cell>
        </row>
        <row r="231">
          <cell r="N231" t="str">
            <v>31111-0801</v>
          </cell>
          <cell r="O231">
            <v>14722506.279999997</v>
          </cell>
          <cell r="P231">
            <v>14062905.909999996</v>
          </cell>
          <cell r="Q231">
            <v>11409029.810000001</v>
          </cell>
          <cell r="R231">
            <v>14062905.909999996</v>
          </cell>
        </row>
        <row r="232">
          <cell r="N232" t="str">
            <v>31111-0901</v>
          </cell>
          <cell r="O232">
            <v>53691924.909999996</v>
          </cell>
          <cell r="P232">
            <v>52460698.670000009</v>
          </cell>
          <cell r="Q232">
            <v>34185116.509999998</v>
          </cell>
          <cell r="R232">
            <v>52460698.670000009</v>
          </cell>
        </row>
        <row r="233">
          <cell r="N233" t="str">
            <v>31111-1001</v>
          </cell>
          <cell r="O233">
            <v>18090795.439999998</v>
          </cell>
          <cell r="P233">
            <v>17478509.770000003</v>
          </cell>
          <cell r="Q233">
            <v>13951690.429999998</v>
          </cell>
          <cell r="R233">
            <v>17488509.770000003</v>
          </cell>
        </row>
        <row r="234">
          <cell r="N234" t="str">
            <v>31111-1101</v>
          </cell>
          <cell r="O234">
            <v>276027254.35999995</v>
          </cell>
          <cell r="P234">
            <v>278538656.73000002</v>
          </cell>
          <cell r="Q234">
            <v>212038962.56999999</v>
          </cell>
          <cell r="R234">
            <v>278538656.73000002</v>
          </cell>
        </row>
        <row r="235">
          <cell r="N235" t="str">
            <v>31111-1200</v>
          </cell>
          <cell r="O235">
            <v>12022188.370000001</v>
          </cell>
          <cell r="P235">
            <v>11779451.609999999</v>
          </cell>
          <cell r="Q235">
            <v>8222127.3200000003</v>
          </cell>
          <cell r="R235">
            <v>11789051.609999999</v>
          </cell>
        </row>
        <row r="236">
          <cell r="N236" t="str">
            <v>31111-1201</v>
          </cell>
          <cell r="O236">
            <v>319649726.67000002</v>
          </cell>
          <cell r="P236">
            <v>424444643.03000003</v>
          </cell>
          <cell r="Q236">
            <v>377578354.85999995</v>
          </cell>
          <cell r="R236">
            <v>468542051.23000008</v>
          </cell>
        </row>
        <row r="237">
          <cell r="N237" t="str">
            <v>31111-1202</v>
          </cell>
          <cell r="O237">
            <v>89925973.599999994</v>
          </cell>
          <cell r="P237">
            <v>93290501.140000001</v>
          </cell>
          <cell r="Q237">
            <v>66525494.049999997</v>
          </cell>
          <cell r="R237">
            <v>93590501.140000001</v>
          </cell>
        </row>
        <row r="238">
          <cell r="N238" t="str">
            <v>31111-1203</v>
          </cell>
          <cell r="O238">
            <v>11328621.259999998</v>
          </cell>
          <cell r="P238">
            <v>15228339.18</v>
          </cell>
          <cell r="Q238">
            <v>11149964.039999997</v>
          </cell>
          <cell r="R238">
            <v>15228339.18</v>
          </cell>
        </row>
        <row r="239">
          <cell r="N239" t="str">
            <v>31111-1204</v>
          </cell>
          <cell r="O239">
            <v>25264566.579999998</v>
          </cell>
          <cell r="P239">
            <v>31787036.170000002</v>
          </cell>
          <cell r="Q239">
            <v>22738046.16</v>
          </cell>
          <cell r="R239">
            <v>31787036.170000002</v>
          </cell>
        </row>
        <row r="240">
          <cell r="N240" t="str">
            <v>31111-1205</v>
          </cell>
          <cell r="O240">
            <v>9843410.0600000005</v>
          </cell>
          <cell r="P240">
            <v>10929715.460000001</v>
          </cell>
          <cell r="Q240">
            <v>8580352.2899999991</v>
          </cell>
          <cell r="R240">
            <v>10929715.460000001</v>
          </cell>
        </row>
        <row r="241">
          <cell r="N241" t="str">
            <v>31111-1301</v>
          </cell>
          <cell r="O241">
            <v>344924717.43000007</v>
          </cell>
          <cell r="P241">
            <v>557281653.11000013</v>
          </cell>
          <cell r="Q241">
            <v>201991466.56000003</v>
          </cell>
          <cell r="R241">
            <v>606940805.38000011</v>
          </cell>
        </row>
        <row r="242">
          <cell r="N242" t="str">
            <v>31111-1501</v>
          </cell>
          <cell r="O242">
            <v>21719160.719999999</v>
          </cell>
          <cell r="P242">
            <v>21513298.679999996</v>
          </cell>
          <cell r="Q242">
            <v>10334610.740000002</v>
          </cell>
          <cell r="R242">
            <v>21513298.679999996</v>
          </cell>
        </row>
        <row r="243">
          <cell r="N243" t="str">
            <v>31120-8201</v>
          </cell>
          <cell r="O243">
            <v>37202336</v>
          </cell>
          <cell r="P243">
            <v>37202336</v>
          </cell>
          <cell r="Q243">
            <v>27701540.27</v>
          </cell>
          <cell r="R243">
            <v>37202336</v>
          </cell>
        </row>
        <row r="244">
          <cell r="N244" t="str">
            <v>31120-8301</v>
          </cell>
          <cell r="O244">
            <v>17692000</v>
          </cell>
          <cell r="P244">
            <v>17254900</v>
          </cell>
          <cell r="Q244">
            <v>14900000</v>
          </cell>
          <cell r="R244">
            <v>17254900</v>
          </cell>
        </row>
        <row r="245">
          <cell r="N245" t="str">
            <v>31120-8401</v>
          </cell>
          <cell r="O245">
            <v>29858000</v>
          </cell>
          <cell r="P245">
            <v>31142600</v>
          </cell>
          <cell r="Q245">
            <v>26847591</v>
          </cell>
          <cell r="R245">
            <v>31142600</v>
          </cell>
        </row>
        <row r="246">
          <cell r="N246" t="str">
            <v>31120-8501</v>
          </cell>
          <cell r="O246">
            <v>6760615</v>
          </cell>
          <cell r="P246">
            <v>6497135</v>
          </cell>
          <cell r="Q246">
            <v>4664930</v>
          </cell>
          <cell r="R246">
            <v>6497135</v>
          </cell>
        </row>
        <row r="247">
          <cell r="N247" t="str">
            <v>31120-8601</v>
          </cell>
          <cell r="O247">
            <v>3464127</v>
          </cell>
          <cell r="P247">
            <v>3290921</v>
          </cell>
          <cell r="Q247">
            <v>2862512</v>
          </cell>
          <cell r="R247">
            <v>3290921</v>
          </cell>
        </row>
        <row r="248">
          <cell r="N248" t="str">
            <v>31120-8801</v>
          </cell>
          <cell r="O248">
            <v>13954441.119999999</v>
          </cell>
          <cell r="P248">
            <v>13546401.84</v>
          </cell>
          <cell r="Q248">
            <v>11555462.35</v>
          </cell>
          <cell r="R248">
            <v>13546401.84</v>
          </cell>
        </row>
        <row r="249">
          <cell r="N249" t="str">
            <v>31120-8901</v>
          </cell>
          <cell r="O249">
            <v>3787000</v>
          </cell>
          <cell r="P249">
            <v>3662664</v>
          </cell>
          <cell r="Q249">
            <v>2522271</v>
          </cell>
          <cell r="R249">
            <v>3662664</v>
          </cell>
        </row>
        <row r="250">
          <cell r="N250" t="str">
            <v>31120-9001</v>
          </cell>
          <cell r="O250">
            <v>1437967</v>
          </cell>
          <cell r="P250">
            <v>2055005</v>
          </cell>
          <cell r="Q250">
            <v>1875000</v>
          </cell>
          <cell r="R250">
            <v>2055005</v>
          </cell>
        </row>
        <row r="251">
          <cell r="N251" t="str">
            <v>31120-9101</v>
          </cell>
          <cell r="O251">
            <v>5330711</v>
          </cell>
          <cell r="P251">
            <v>5197037</v>
          </cell>
          <cell r="Q251">
            <v>4867737</v>
          </cell>
          <cell r="R251">
            <v>5197037</v>
          </cell>
        </row>
        <row r="252">
          <cell r="N252" t="str">
            <v>31120-9201</v>
          </cell>
          <cell r="O252">
            <v>2742720</v>
          </cell>
          <cell r="P252">
            <v>2674049</v>
          </cell>
          <cell r="Q252">
            <v>1893607.33</v>
          </cell>
          <cell r="R252">
            <v>2674049</v>
          </cell>
        </row>
        <row r="253">
          <cell r="N253" t="str">
            <v>31120-9301</v>
          </cell>
          <cell r="O253">
            <v>5000000</v>
          </cell>
          <cell r="P253">
            <v>11000000</v>
          </cell>
          <cell r="Q253">
            <v>7833275</v>
          </cell>
          <cell r="R253">
            <v>11000000</v>
          </cell>
        </row>
        <row r="254">
          <cell r="N254" t="str">
            <v>31120-9401</v>
          </cell>
          <cell r="O254">
            <v>3280000</v>
          </cell>
          <cell r="P254">
            <v>3200000</v>
          </cell>
          <cell r="Q254">
            <v>2546537.15</v>
          </cell>
          <cell r="R254">
            <v>3200000</v>
          </cell>
        </row>
        <row r="255">
          <cell r="N255" t="str">
            <v>E0008</v>
          </cell>
          <cell r="O255">
            <v>4076349.7599999993</v>
          </cell>
          <cell r="P255">
            <v>3849777.7899999996</v>
          </cell>
          <cell r="Q255">
            <v>3004202.9799999995</v>
          </cell>
          <cell r="R255">
            <v>3849777.7899999996</v>
          </cell>
        </row>
        <row r="256">
          <cell r="N256" t="str">
            <v>E0016</v>
          </cell>
          <cell r="O256">
            <v>2559051.37</v>
          </cell>
          <cell r="P256">
            <v>2468065.6999999997</v>
          </cell>
          <cell r="Q256">
            <v>1946148.59</v>
          </cell>
          <cell r="R256">
            <v>2433847.6999999997</v>
          </cell>
        </row>
        <row r="257">
          <cell r="N257" t="str">
            <v>E0017</v>
          </cell>
          <cell r="O257">
            <v>4550267</v>
          </cell>
          <cell r="P257">
            <v>6423291.2300000004</v>
          </cell>
          <cell r="Q257">
            <v>3007696.18</v>
          </cell>
          <cell r="R257">
            <v>6393291.2300000004</v>
          </cell>
        </row>
        <row r="258">
          <cell r="N258" t="str">
            <v>E0018</v>
          </cell>
          <cell r="O258">
            <v>3140918.2199999997</v>
          </cell>
          <cell r="P258">
            <v>2939932.7399999998</v>
          </cell>
          <cell r="Q258">
            <v>2218900.16</v>
          </cell>
          <cell r="R258">
            <v>2939932.7399999998</v>
          </cell>
        </row>
        <row r="259">
          <cell r="N259" t="str">
            <v>E0019</v>
          </cell>
          <cell r="O259">
            <v>4050936.62</v>
          </cell>
          <cell r="P259">
            <v>3903877.19</v>
          </cell>
          <cell r="Q259">
            <v>3298385.0599999996</v>
          </cell>
          <cell r="R259">
            <v>3903877.19</v>
          </cell>
        </row>
        <row r="260">
          <cell r="N260" t="str">
            <v>E0044</v>
          </cell>
          <cell r="O260">
            <v>4990507.37</v>
          </cell>
          <cell r="P260">
            <v>4597626.4399999995</v>
          </cell>
          <cell r="Q260">
            <v>3597936.23</v>
          </cell>
          <cell r="R260">
            <v>4597626.4399999995</v>
          </cell>
        </row>
        <row r="261">
          <cell r="N261" t="str">
            <v>E0045</v>
          </cell>
          <cell r="O261">
            <v>345788.44</v>
          </cell>
          <cell r="P261">
            <v>72920.5</v>
          </cell>
          <cell r="Q261">
            <v>2259</v>
          </cell>
          <cell r="R261">
            <v>72920.5</v>
          </cell>
        </row>
        <row r="262">
          <cell r="N262" t="str">
            <v>E0046</v>
          </cell>
          <cell r="O262">
            <v>16248903.699999999</v>
          </cell>
          <cell r="P262">
            <v>14230074.289999999</v>
          </cell>
          <cell r="Q262">
            <v>8692264.1500000004</v>
          </cell>
          <cell r="R262">
            <v>14230074.289999999</v>
          </cell>
        </row>
        <row r="263">
          <cell r="N263" t="str">
            <v>E0048</v>
          </cell>
          <cell r="O263">
            <v>6400257.3299999991</v>
          </cell>
          <cell r="P263">
            <v>5840893.0599999996</v>
          </cell>
          <cell r="Q263">
            <v>4060209.6699999995</v>
          </cell>
          <cell r="R263">
            <v>5840893.0599999996</v>
          </cell>
        </row>
        <row r="264">
          <cell r="N264" t="str">
            <v>E0050</v>
          </cell>
          <cell r="O264">
            <v>25264566.579999998</v>
          </cell>
          <cell r="P264">
            <v>31787036.170000002</v>
          </cell>
          <cell r="Q264">
            <v>22738046.16</v>
          </cell>
          <cell r="R264">
            <v>31787036.170000002</v>
          </cell>
        </row>
        <row r="265">
          <cell r="N265" t="str">
            <v>E0052</v>
          </cell>
          <cell r="O265">
            <v>2181894.75</v>
          </cell>
          <cell r="P265">
            <v>2154771.75</v>
          </cell>
          <cell r="Q265">
            <v>1766808.0999999999</v>
          </cell>
          <cell r="R265">
            <v>2154771.75</v>
          </cell>
        </row>
        <row r="266">
          <cell r="N266" t="str">
            <v>E0054</v>
          </cell>
          <cell r="O266">
            <v>9415020.3000000007</v>
          </cell>
          <cell r="P266">
            <v>9193896.370000001</v>
          </cell>
          <cell r="Q266">
            <v>4919337.580000001</v>
          </cell>
          <cell r="R266">
            <v>9193896.370000001</v>
          </cell>
        </row>
        <row r="267">
          <cell r="N267" t="str">
            <v>E0055</v>
          </cell>
          <cell r="O267">
            <v>74598823.640000001</v>
          </cell>
          <cell r="P267">
            <v>77299158.969999999</v>
          </cell>
          <cell r="Q267">
            <v>56071192.850000001</v>
          </cell>
          <cell r="R267">
            <v>77512158.969999999</v>
          </cell>
        </row>
        <row r="268">
          <cell r="N268" t="str">
            <v>E0056</v>
          </cell>
          <cell r="O268">
            <v>5912129.6600000011</v>
          </cell>
          <cell r="P268">
            <v>6797445.8000000017</v>
          </cell>
          <cell r="Q268">
            <v>5534963.6200000001</v>
          </cell>
          <cell r="R268">
            <v>6884445.8000000017</v>
          </cell>
        </row>
        <row r="269">
          <cell r="N269" t="str">
            <v>E0075</v>
          </cell>
          <cell r="O269">
            <v>14655397.209999999</v>
          </cell>
          <cell r="P269">
            <v>14297591.16</v>
          </cell>
          <cell r="Q269">
            <v>9243089.7000000011</v>
          </cell>
          <cell r="R269">
            <v>14297591.16</v>
          </cell>
        </row>
        <row r="270">
          <cell r="N270" t="str">
            <v>E0080</v>
          </cell>
          <cell r="O270">
            <v>2076885.7000000002</v>
          </cell>
          <cell r="P270">
            <v>2174469.1799999997</v>
          </cell>
          <cell r="Q270">
            <v>1743788.6600000001</v>
          </cell>
          <cell r="R270">
            <v>2174469.1799999997</v>
          </cell>
        </row>
        <row r="271">
          <cell r="N271" t="str">
            <v>E0081</v>
          </cell>
          <cell r="O271">
            <v>702503.94000000006</v>
          </cell>
          <cell r="P271">
            <v>852383.01</v>
          </cell>
          <cell r="Q271">
            <v>555733.03</v>
          </cell>
          <cell r="R271">
            <v>852383.01</v>
          </cell>
        </row>
        <row r="272">
          <cell r="N272" t="str">
            <v>E0082</v>
          </cell>
          <cell r="O272">
            <v>2266039.6800000002</v>
          </cell>
          <cell r="P272">
            <v>2652052.06</v>
          </cell>
          <cell r="Q272">
            <v>2101565.83</v>
          </cell>
          <cell r="R272">
            <v>2652052.06</v>
          </cell>
        </row>
        <row r="273">
          <cell r="N273" t="str">
            <v>E0083</v>
          </cell>
          <cell r="O273">
            <v>4797980.74</v>
          </cell>
          <cell r="P273">
            <v>5250811.2100000009</v>
          </cell>
          <cell r="Q273">
            <v>4179264.7699999991</v>
          </cell>
          <cell r="R273">
            <v>5250811.2100000009</v>
          </cell>
        </row>
        <row r="274">
          <cell r="N274" t="str">
            <v>E0095</v>
          </cell>
          <cell r="O274">
            <v>32682962.120000001</v>
          </cell>
          <cell r="P274">
            <v>31137374.470000006</v>
          </cell>
          <cell r="Q274">
            <v>17132494.940000001</v>
          </cell>
          <cell r="R274">
            <v>31137374.470000006</v>
          </cell>
        </row>
        <row r="275">
          <cell r="N275" t="str">
            <v>E0097</v>
          </cell>
          <cell r="O275">
            <v>5122888.5399999991</v>
          </cell>
          <cell r="P275">
            <v>5172438.78</v>
          </cell>
          <cell r="Q275">
            <v>4015673.7099999995</v>
          </cell>
          <cell r="R275">
            <v>5182438.78</v>
          </cell>
        </row>
        <row r="276">
          <cell r="N276" t="str">
            <v>E0098</v>
          </cell>
          <cell r="O276">
            <v>3775208.3699999996</v>
          </cell>
          <cell r="P276">
            <v>4055967.85</v>
          </cell>
          <cell r="Q276">
            <v>3286593.4299999997</v>
          </cell>
          <cell r="R276">
            <v>4055967.85</v>
          </cell>
        </row>
        <row r="277">
          <cell r="N277" t="str">
            <v>E0101</v>
          </cell>
          <cell r="O277">
            <v>9192698.5300000012</v>
          </cell>
          <cell r="P277">
            <v>8250103.1400000006</v>
          </cell>
          <cell r="Q277">
            <v>6649423.2899999991</v>
          </cell>
          <cell r="R277">
            <v>8250103.1400000006</v>
          </cell>
        </row>
        <row r="278">
          <cell r="N278" t="str">
            <v>E0104</v>
          </cell>
          <cell r="O278">
            <v>11267797.149999999</v>
          </cell>
          <cell r="P278">
            <v>9337879.0599999987</v>
          </cell>
          <cell r="Q278">
            <v>6609067.3499999996</v>
          </cell>
          <cell r="R278">
            <v>9337879.0599999987</v>
          </cell>
        </row>
        <row r="279">
          <cell r="N279" t="str">
            <v>E0106</v>
          </cell>
          <cell r="O279">
            <v>49104236.089999996</v>
          </cell>
          <cell r="P279">
            <v>55916241.519999996</v>
          </cell>
          <cell r="Q279">
            <v>42150231.850000001</v>
          </cell>
          <cell r="R279">
            <v>56456352.900000006</v>
          </cell>
        </row>
        <row r="280">
          <cell r="N280" t="str">
            <v>E0107</v>
          </cell>
          <cell r="O280">
            <v>10493071.699999999</v>
          </cell>
          <cell r="P280">
            <v>11547632</v>
          </cell>
          <cell r="Q280">
            <v>9302778.6400000006</v>
          </cell>
          <cell r="R280">
            <v>11547632</v>
          </cell>
        </row>
        <row r="281">
          <cell r="N281" t="str">
            <v>E0108</v>
          </cell>
          <cell r="O281">
            <v>112875129.98</v>
          </cell>
          <cell r="P281">
            <v>105483600.05</v>
          </cell>
          <cell r="Q281">
            <v>77071231.840000004</v>
          </cell>
          <cell r="R281">
            <v>105043488.67</v>
          </cell>
        </row>
        <row r="282">
          <cell r="N282" t="str">
            <v>E0109</v>
          </cell>
          <cell r="O282">
            <v>6147302.0199999996</v>
          </cell>
          <cell r="P282">
            <v>7016742.9699999988</v>
          </cell>
          <cell r="Q282">
            <v>4890123.6999999993</v>
          </cell>
          <cell r="R282">
            <v>7016742.9699999988</v>
          </cell>
        </row>
        <row r="283">
          <cell r="N283" t="str">
            <v>E0110</v>
          </cell>
          <cell r="O283">
            <v>9353894.5699999984</v>
          </cell>
          <cell r="P283">
            <v>9240745.9999999981</v>
          </cell>
          <cell r="Q283">
            <v>7497356.5800000001</v>
          </cell>
          <cell r="R283">
            <v>9240745.9999999981</v>
          </cell>
        </row>
        <row r="284">
          <cell r="N284" t="str">
            <v>E0111</v>
          </cell>
          <cell r="O284">
            <v>70394565.689999998</v>
          </cell>
          <cell r="P284">
            <v>73685466.430000007</v>
          </cell>
          <cell r="Q284">
            <v>60033568.929999992</v>
          </cell>
          <cell r="R284">
            <v>73585466.430000007</v>
          </cell>
        </row>
        <row r="285">
          <cell r="N285" t="str">
            <v>E0113</v>
          </cell>
          <cell r="O285">
            <v>6391257.1600000001</v>
          </cell>
          <cell r="P285">
            <v>6310348.7000000002</v>
          </cell>
          <cell r="Q285">
            <v>4484603.68</v>
          </cell>
          <cell r="R285">
            <v>6310348.7000000002</v>
          </cell>
        </row>
        <row r="286">
          <cell r="N286" t="str">
            <v>E0116</v>
          </cell>
          <cell r="O286">
            <v>233473029.65000001</v>
          </cell>
          <cell r="P286">
            <v>299913025.27000004</v>
          </cell>
          <cell r="Q286">
            <v>282690147.85999995</v>
          </cell>
          <cell r="R286">
            <v>344010433.47000003</v>
          </cell>
        </row>
        <row r="287">
          <cell r="N287" t="str">
            <v>E0118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N288" t="str">
            <v>E0159</v>
          </cell>
          <cell r="O288">
            <v>5127748.2</v>
          </cell>
          <cell r="P288">
            <v>5160698.24</v>
          </cell>
          <cell r="Q288">
            <v>4662351.4499999993</v>
          </cell>
          <cell r="R288">
            <v>5160698.24</v>
          </cell>
        </row>
        <row r="289">
          <cell r="N289" t="str">
            <v>E0274</v>
          </cell>
          <cell r="O289">
            <v>2259196</v>
          </cell>
          <cell r="P289">
            <v>2173900</v>
          </cell>
          <cell r="Q289">
            <v>772805.42999999993</v>
          </cell>
          <cell r="R289">
            <v>2183500</v>
          </cell>
        </row>
        <row r="290">
          <cell r="N290" t="str">
            <v>E0289</v>
          </cell>
          <cell r="O290">
            <v>267771.75</v>
          </cell>
          <cell r="P290">
            <v>284753.56999999995</v>
          </cell>
          <cell r="Q290">
            <v>195791.87</v>
          </cell>
          <cell r="R290">
            <v>284753.56999999995</v>
          </cell>
        </row>
        <row r="291">
          <cell r="N291" t="str">
            <v>E0292</v>
          </cell>
          <cell r="O291">
            <v>400000</v>
          </cell>
          <cell r="P291">
            <v>250000</v>
          </cell>
          <cell r="Q291">
            <v>160985.13999999998</v>
          </cell>
          <cell r="R291">
            <v>250000</v>
          </cell>
        </row>
        <row r="292">
          <cell r="N292" t="str">
            <v>E0305</v>
          </cell>
          <cell r="O292">
            <v>3126426.92</v>
          </cell>
          <cell r="P292">
            <v>3305618.9799999995</v>
          </cell>
          <cell r="Q292">
            <v>2506424.64</v>
          </cell>
          <cell r="R292">
            <v>3440618.9799999995</v>
          </cell>
        </row>
        <row r="293">
          <cell r="N293" t="str">
            <v>E0307</v>
          </cell>
          <cell r="O293">
            <v>5487652.419999999</v>
          </cell>
          <cell r="P293">
            <v>5605820.6799999997</v>
          </cell>
          <cell r="Q293">
            <v>4492561.7500000009</v>
          </cell>
          <cell r="R293">
            <v>5605820.6799999997</v>
          </cell>
        </row>
        <row r="294">
          <cell r="N294" t="str">
            <v>E0308</v>
          </cell>
          <cell r="O294">
            <v>21000</v>
          </cell>
          <cell r="P294">
            <v>21250</v>
          </cell>
          <cell r="Q294">
            <v>7192</v>
          </cell>
          <cell r="R294">
            <v>21250</v>
          </cell>
        </row>
        <row r="295">
          <cell r="N295" t="str">
            <v>E0309</v>
          </cell>
          <cell r="O295">
            <v>1318624.58</v>
          </cell>
          <cell r="P295">
            <v>1445502.2799999998</v>
          </cell>
          <cell r="Q295">
            <v>954800.27999999991</v>
          </cell>
          <cell r="R295">
            <v>1445502.2799999998</v>
          </cell>
        </row>
        <row r="296">
          <cell r="N296" t="str">
            <v>E0310</v>
          </cell>
          <cell r="O296">
            <v>8000000</v>
          </cell>
          <cell r="P296">
            <v>7750257.5</v>
          </cell>
          <cell r="Q296">
            <v>0</v>
          </cell>
          <cell r="R296">
            <v>7750257.5</v>
          </cell>
        </row>
        <row r="297">
          <cell r="N297" t="str">
            <v>E0311</v>
          </cell>
          <cell r="O297">
            <v>140000</v>
          </cell>
          <cell r="P297">
            <v>144510.41</v>
          </cell>
          <cell r="Q297">
            <v>86694.47</v>
          </cell>
          <cell r="R297">
            <v>144510.41</v>
          </cell>
        </row>
        <row r="298">
          <cell r="N298" t="str">
            <v>F0040</v>
          </cell>
          <cell r="O298">
            <v>16046993.960000001</v>
          </cell>
          <cell r="P298">
            <v>15250517.16</v>
          </cell>
          <cell r="Q298">
            <v>7371975.3600000003</v>
          </cell>
          <cell r="R298">
            <v>15250517.16</v>
          </cell>
        </row>
        <row r="299">
          <cell r="N299" t="str">
            <v>F0041</v>
          </cell>
          <cell r="O299">
            <v>7243699.8399999999</v>
          </cell>
          <cell r="P299">
            <v>5516039.5300000003</v>
          </cell>
          <cell r="Q299">
            <v>2248351.0599999996</v>
          </cell>
          <cell r="R299">
            <v>5460999.5300000003</v>
          </cell>
        </row>
        <row r="300">
          <cell r="N300" t="str">
            <v>J0068</v>
          </cell>
          <cell r="O300">
            <v>62146965.560000002</v>
          </cell>
          <cell r="P300">
            <v>62684500.560000002</v>
          </cell>
          <cell r="Q300">
            <v>51621902.359999999</v>
          </cell>
          <cell r="R300">
            <v>62684500.560000002</v>
          </cell>
        </row>
        <row r="301">
          <cell r="N301" t="str">
            <v>K0002</v>
          </cell>
          <cell r="O301">
            <v>6726141.9399999995</v>
          </cell>
          <cell r="P301">
            <v>5961582.7199999988</v>
          </cell>
          <cell r="Q301">
            <v>3912895.6</v>
          </cell>
          <cell r="R301">
            <v>5961582.7199999988</v>
          </cell>
        </row>
        <row r="302">
          <cell r="N302" t="str">
            <v>K0003</v>
          </cell>
          <cell r="O302">
            <v>5391165.4900000002</v>
          </cell>
          <cell r="P302">
            <v>5239592.8899999997</v>
          </cell>
          <cell r="Q302">
            <v>4160278.88</v>
          </cell>
          <cell r="R302">
            <v>5239592.8899999997</v>
          </cell>
        </row>
        <row r="303">
          <cell r="N303" t="str">
            <v>M0073</v>
          </cell>
          <cell r="O303">
            <v>10697499.25</v>
          </cell>
          <cell r="P303">
            <v>8180541.9700000007</v>
          </cell>
          <cell r="Q303">
            <v>6420109.7599999998</v>
          </cell>
          <cell r="R303">
            <v>8180541.9700000007</v>
          </cell>
        </row>
        <row r="304">
          <cell r="N304" t="str">
            <v>O0001</v>
          </cell>
          <cell r="O304">
            <v>25185398.020000003</v>
          </cell>
          <cell r="P304">
            <v>24989436.13000001</v>
          </cell>
          <cell r="Q304">
            <v>20132371.850000009</v>
          </cell>
          <cell r="R304">
            <v>24989436.13000001</v>
          </cell>
        </row>
        <row r="305">
          <cell r="N305" t="str">
            <v>O0005</v>
          </cell>
          <cell r="O305">
            <v>15225301.26</v>
          </cell>
          <cell r="P305">
            <v>17300138.799999997</v>
          </cell>
          <cell r="Q305">
            <v>12585298.989999998</v>
          </cell>
          <cell r="R305">
            <v>17405204.530000001</v>
          </cell>
        </row>
        <row r="306">
          <cell r="N306" t="str">
            <v>O0015</v>
          </cell>
          <cell r="O306">
            <v>7914071.4000000004</v>
          </cell>
          <cell r="P306">
            <v>8295983.4900000002</v>
          </cell>
          <cell r="Q306">
            <v>7653838.6900000004</v>
          </cell>
          <cell r="R306">
            <v>8268283.4900000002</v>
          </cell>
        </row>
        <row r="307">
          <cell r="N307" t="str">
            <v>O0020</v>
          </cell>
          <cell r="O307">
            <v>3039998.6799999997</v>
          </cell>
          <cell r="P307">
            <v>2971298.07</v>
          </cell>
          <cell r="Q307">
            <v>2361963.0399999996</v>
          </cell>
          <cell r="R307">
            <v>2971298.07</v>
          </cell>
        </row>
        <row r="308">
          <cell r="N308" t="str">
            <v>O0035</v>
          </cell>
          <cell r="O308">
            <v>1784896.7399999998</v>
          </cell>
          <cell r="P308">
            <v>1573006.1099999999</v>
          </cell>
          <cell r="Q308">
            <v>1269173.1399999999</v>
          </cell>
          <cell r="R308">
            <v>1573006.1099999999</v>
          </cell>
        </row>
        <row r="309">
          <cell r="N309" t="str">
            <v>O0036</v>
          </cell>
          <cell r="O309">
            <v>5817318.2300000004</v>
          </cell>
          <cell r="P309">
            <v>5840712.5600000005</v>
          </cell>
          <cell r="Q309">
            <v>4750283.87</v>
          </cell>
          <cell r="R309">
            <v>5840712.5600000005</v>
          </cell>
        </row>
        <row r="310">
          <cell r="N310" t="str">
            <v>O0037</v>
          </cell>
          <cell r="O310">
            <v>3671334.96</v>
          </cell>
          <cell r="P310">
            <v>2149675.4300000002</v>
          </cell>
          <cell r="Q310">
            <v>1558239.09</v>
          </cell>
          <cell r="R310">
            <v>2149675.4300000002</v>
          </cell>
        </row>
        <row r="311">
          <cell r="N311" t="str">
            <v>O0038</v>
          </cell>
          <cell r="O311">
            <v>712538.16000000015</v>
          </cell>
          <cell r="P311">
            <v>696378.36000000022</v>
          </cell>
          <cell r="Q311">
            <v>514677.49999999994</v>
          </cell>
          <cell r="R311">
            <v>696378.36000000022</v>
          </cell>
        </row>
        <row r="312">
          <cell r="N312" t="str">
            <v>O0039</v>
          </cell>
          <cell r="O312">
            <v>530862.54</v>
          </cell>
          <cell r="P312">
            <v>25000</v>
          </cell>
          <cell r="Q312">
            <v>4844.08</v>
          </cell>
          <cell r="R312">
            <v>25000</v>
          </cell>
        </row>
        <row r="313">
          <cell r="N313" t="str">
            <v>O0040</v>
          </cell>
          <cell r="O313">
            <v>664158.53</v>
          </cell>
          <cell r="P313">
            <v>572266.83000000007</v>
          </cell>
          <cell r="Q313">
            <v>431702.55000000005</v>
          </cell>
          <cell r="R313">
            <v>572266.83000000007</v>
          </cell>
        </row>
        <row r="314">
          <cell r="N314" t="str">
            <v>O0058</v>
          </cell>
          <cell r="O314">
            <v>2062552.1699999997</v>
          </cell>
          <cell r="P314">
            <v>1719145.53</v>
          </cell>
          <cell r="Q314">
            <v>1253660.2600000002</v>
          </cell>
          <cell r="R314">
            <v>1719145.53</v>
          </cell>
        </row>
        <row r="315">
          <cell r="N315" t="str">
            <v>O0059</v>
          </cell>
          <cell r="O315">
            <v>737262.42</v>
          </cell>
          <cell r="P315">
            <v>737964.73</v>
          </cell>
          <cell r="Q315">
            <v>583912.59000000008</v>
          </cell>
          <cell r="R315">
            <v>737964.73</v>
          </cell>
        </row>
        <row r="316">
          <cell r="N316" t="str">
            <v>O0060</v>
          </cell>
          <cell r="O316">
            <v>45680502.519999996</v>
          </cell>
          <cell r="P316">
            <v>48741249.900000006</v>
          </cell>
          <cell r="Q316">
            <v>33024598.899999999</v>
          </cell>
          <cell r="R316">
            <v>48731249.900000006</v>
          </cell>
        </row>
        <row r="317">
          <cell r="N317" t="str">
            <v>O0062</v>
          </cell>
          <cell r="O317">
            <v>6519506.75</v>
          </cell>
          <cell r="P317">
            <v>6617001.7100000009</v>
          </cell>
          <cell r="Q317">
            <v>5058093.7</v>
          </cell>
          <cell r="R317">
            <v>6617001.7100000009</v>
          </cell>
        </row>
        <row r="318">
          <cell r="N318" t="str">
            <v>O0063</v>
          </cell>
          <cell r="O318">
            <v>40454235.829999998</v>
          </cell>
          <cell r="P318">
            <v>39011468.460000001</v>
          </cell>
          <cell r="Q318">
            <v>29534896.800000004</v>
          </cell>
          <cell r="R318">
            <v>39011468.460000001</v>
          </cell>
        </row>
        <row r="319">
          <cell r="N319" t="str">
            <v>O0069</v>
          </cell>
          <cell r="O319">
            <v>1204657.3999999999</v>
          </cell>
          <cell r="P319">
            <v>1182777.3999999999</v>
          </cell>
          <cell r="Q319">
            <v>775178.29</v>
          </cell>
          <cell r="R319">
            <v>1182777.3999999999</v>
          </cell>
        </row>
        <row r="320">
          <cell r="N320" t="str">
            <v>O0070</v>
          </cell>
          <cell r="O320">
            <v>672049.82000000007</v>
          </cell>
          <cell r="P320">
            <v>754880.99</v>
          </cell>
          <cell r="Q320">
            <v>631673.81000000006</v>
          </cell>
          <cell r="R320">
            <v>754880.99</v>
          </cell>
        </row>
        <row r="321">
          <cell r="N321" t="str">
            <v>O0072</v>
          </cell>
          <cell r="O321">
            <v>7338097.6199999992</v>
          </cell>
          <cell r="P321">
            <v>7133600.6400000006</v>
          </cell>
          <cell r="Q321">
            <v>3903836.810000001</v>
          </cell>
          <cell r="R321">
            <v>7133600.6400000006</v>
          </cell>
        </row>
        <row r="322">
          <cell r="N322" t="str">
            <v>O0074</v>
          </cell>
          <cell r="O322">
            <v>15094983.92</v>
          </cell>
          <cell r="P322">
            <v>15096854.77</v>
          </cell>
          <cell r="Q322">
            <v>12131343.949999996</v>
          </cell>
          <cell r="R322">
            <v>15196854.77</v>
          </cell>
        </row>
        <row r="323">
          <cell r="N323" t="str">
            <v>O0076</v>
          </cell>
          <cell r="O323">
            <v>13678490.490000002</v>
          </cell>
          <cell r="P323">
            <v>10916659.439999999</v>
          </cell>
          <cell r="Q323">
            <v>7693350.6400000015</v>
          </cell>
          <cell r="R323">
            <v>10916659.439999999</v>
          </cell>
        </row>
        <row r="324">
          <cell r="N324" t="str">
            <v>O0078</v>
          </cell>
          <cell r="O324">
            <v>3310564.17</v>
          </cell>
          <cell r="P324">
            <v>3269355.9000000004</v>
          </cell>
          <cell r="Q324">
            <v>2658313.4799999995</v>
          </cell>
          <cell r="R324">
            <v>3269355.9000000004</v>
          </cell>
        </row>
        <row r="325">
          <cell r="N325" t="str">
            <v>O0084</v>
          </cell>
          <cell r="O325">
            <v>4946041.4399999995</v>
          </cell>
          <cell r="P325">
            <v>6373926.870000001</v>
          </cell>
          <cell r="Q325">
            <v>5359620.3099999996</v>
          </cell>
          <cell r="R325">
            <v>6479426.870000001</v>
          </cell>
        </row>
        <row r="326">
          <cell r="N326" t="str">
            <v>O0085</v>
          </cell>
          <cell r="O326">
            <v>12254863.58</v>
          </cell>
          <cell r="P326">
            <v>12919646.99</v>
          </cell>
          <cell r="Q326">
            <v>4612224.2399999993</v>
          </cell>
          <cell r="R326">
            <v>12814146.99</v>
          </cell>
        </row>
        <row r="327">
          <cell r="N327" t="str">
            <v>O0086</v>
          </cell>
          <cell r="O327">
            <v>2609244.7400000002</v>
          </cell>
          <cell r="P327">
            <v>2279127.6599999997</v>
          </cell>
          <cell r="Q327">
            <v>1689549.24</v>
          </cell>
          <cell r="R327">
            <v>2279127.6599999997</v>
          </cell>
        </row>
        <row r="328">
          <cell r="N328" t="str">
            <v>O0087</v>
          </cell>
          <cell r="O328">
            <v>4931583.5999999996</v>
          </cell>
          <cell r="P328">
            <v>4643727.1899999995</v>
          </cell>
          <cell r="Q328">
            <v>3836339.58</v>
          </cell>
          <cell r="R328">
            <v>4643727.1899999995</v>
          </cell>
        </row>
        <row r="329">
          <cell r="N329" t="str">
            <v>O0090</v>
          </cell>
          <cell r="O329">
            <v>5416868.6999999993</v>
          </cell>
          <cell r="P329">
            <v>4826437.6399999987</v>
          </cell>
          <cell r="Q329">
            <v>3754165.2999999989</v>
          </cell>
          <cell r="R329">
            <v>4826437.6399999987</v>
          </cell>
        </row>
        <row r="330">
          <cell r="N330" t="str">
            <v>O0091</v>
          </cell>
          <cell r="O330">
            <v>6972450.3599999994</v>
          </cell>
          <cell r="P330">
            <v>6934977.5499999998</v>
          </cell>
          <cell r="Q330">
            <v>5742855.4600000009</v>
          </cell>
          <cell r="R330">
            <v>6934977.5499999998</v>
          </cell>
        </row>
        <row r="331">
          <cell r="N331" t="str">
            <v>O0092</v>
          </cell>
          <cell r="O331">
            <v>2333187.2199999997</v>
          </cell>
          <cell r="P331">
            <v>2301490.7199999997</v>
          </cell>
          <cell r="Q331">
            <v>1912009.05</v>
          </cell>
          <cell r="R331">
            <v>2301490.7199999997</v>
          </cell>
        </row>
        <row r="332">
          <cell r="N332" t="str">
            <v>O0093</v>
          </cell>
          <cell r="O332">
            <v>16628970.889999999</v>
          </cell>
          <cell r="P332">
            <v>17009282.550000001</v>
          </cell>
          <cell r="Q332">
            <v>13532357.609999998</v>
          </cell>
          <cell r="R332">
            <v>17009282.550000001</v>
          </cell>
        </row>
        <row r="333">
          <cell r="N333" t="str">
            <v>O0094</v>
          </cell>
          <cell r="O333">
            <v>4379991.9000000004</v>
          </cell>
          <cell r="P333">
            <v>4314041.6500000004</v>
          </cell>
          <cell r="Q333">
            <v>3520263.9600000009</v>
          </cell>
          <cell r="R333">
            <v>4314041.6500000004</v>
          </cell>
        </row>
        <row r="334">
          <cell r="N334" t="str">
            <v>O0117</v>
          </cell>
          <cell r="O334">
            <v>67704522.020000011</v>
          </cell>
          <cell r="P334">
            <v>103875353.84</v>
          </cell>
          <cell r="Q334">
            <v>80521202.089999989</v>
          </cell>
          <cell r="R334">
            <v>103875353.84</v>
          </cell>
        </row>
        <row r="335">
          <cell r="N335" t="str">
            <v>O0119</v>
          </cell>
          <cell r="O335">
            <v>18472175</v>
          </cell>
          <cell r="P335">
            <v>20656263.920000002</v>
          </cell>
          <cell r="Q335">
            <v>14367004.909999998</v>
          </cell>
          <cell r="R335">
            <v>20656263.920000002</v>
          </cell>
        </row>
        <row r="336">
          <cell r="N336" t="str">
            <v>O0220</v>
          </cell>
          <cell r="O336">
            <v>3625456.8</v>
          </cell>
          <cell r="P336">
            <v>3240338.8299999996</v>
          </cell>
          <cell r="Q336">
            <v>2286937.6000000006</v>
          </cell>
          <cell r="R336">
            <v>3105338.8299999996</v>
          </cell>
        </row>
        <row r="337">
          <cell r="N337" t="str">
            <v>O0221</v>
          </cell>
          <cell r="O337">
            <v>4772485</v>
          </cell>
          <cell r="P337">
            <v>5007925.17</v>
          </cell>
          <cell r="Q337">
            <v>3851385.66</v>
          </cell>
          <cell r="R337">
            <v>5007925.17</v>
          </cell>
        </row>
        <row r="338">
          <cell r="N338" t="str">
            <v>O0262</v>
          </cell>
          <cell r="O338">
            <v>750000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 t="str">
            <v>O0267</v>
          </cell>
          <cell r="O339">
            <v>6382507.7999999998</v>
          </cell>
          <cell r="P339">
            <v>6342074.2199999997</v>
          </cell>
          <cell r="Q339">
            <v>4416007.5999999996</v>
          </cell>
          <cell r="R339">
            <v>6242074.2199999997</v>
          </cell>
        </row>
        <row r="340">
          <cell r="N340" t="str">
            <v>P0042</v>
          </cell>
          <cell r="O340">
            <v>9053370.5700000003</v>
          </cell>
          <cell r="P340">
            <v>9053963.6099999994</v>
          </cell>
          <cell r="Q340">
            <v>7044592.0500000007</v>
          </cell>
          <cell r="R340">
            <v>9109003.6099999994</v>
          </cell>
        </row>
        <row r="341">
          <cell r="N341" t="str">
            <v>P0287</v>
          </cell>
          <cell r="O341">
            <v>10141509.519999998</v>
          </cell>
          <cell r="P341">
            <v>9866944.5199999996</v>
          </cell>
          <cell r="Q341">
            <v>7342965.9399999976</v>
          </cell>
          <cell r="R341">
            <v>9706944.5199999996</v>
          </cell>
        </row>
        <row r="342">
          <cell r="N342" t="str">
            <v>R0043</v>
          </cell>
          <cell r="O342">
            <v>18993397.440000001</v>
          </cell>
          <cell r="P342">
            <v>18713225.259999998</v>
          </cell>
          <cell r="Q342">
            <v>14966075.160000004</v>
          </cell>
          <cell r="R342">
            <v>18873225.259999998</v>
          </cell>
        </row>
        <row r="343">
          <cell r="N343" t="str">
            <v>R0057</v>
          </cell>
          <cell r="O343">
            <v>11328621.259999998</v>
          </cell>
          <cell r="P343">
            <v>15228339.18</v>
          </cell>
          <cell r="Q343">
            <v>11149964.039999997</v>
          </cell>
          <cell r="R343">
            <v>15228339.18</v>
          </cell>
        </row>
        <row r="344">
          <cell r="N344" t="str">
            <v>R0137</v>
          </cell>
          <cell r="O344">
            <v>44577432.700000003</v>
          </cell>
          <cell r="P344">
            <v>42562248.460000001</v>
          </cell>
          <cell r="Q344">
            <v>34522059.890000001</v>
          </cell>
          <cell r="R344">
            <v>42562248.460000001</v>
          </cell>
        </row>
        <row r="345">
          <cell r="N345" t="str">
            <v>R0138</v>
          </cell>
          <cell r="O345">
            <v>166714747.5</v>
          </cell>
          <cell r="P345">
            <v>218700361.18000001</v>
          </cell>
          <cell r="Q345">
            <v>69537228.950000003</v>
          </cell>
          <cell r="R345">
            <v>268359513.45000002</v>
          </cell>
        </row>
        <row r="346">
          <cell r="N346" t="str">
            <v>R0139</v>
          </cell>
          <cell r="O346">
            <v>93343367.939999998</v>
          </cell>
          <cell r="P346">
            <v>99359118</v>
          </cell>
          <cell r="Q346">
            <v>35926216.840000004</v>
          </cell>
          <cell r="R346">
            <v>99359118</v>
          </cell>
        </row>
        <row r="347">
          <cell r="N347" t="str">
            <v>R0140</v>
          </cell>
          <cell r="O347">
            <v>58460422</v>
          </cell>
          <cell r="P347">
            <v>63890900.039999999</v>
          </cell>
          <cell r="Q347">
            <v>23802058.07</v>
          </cell>
          <cell r="R347">
            <v>63890900.039999999</v>
          </cell>
        </row>
        <row r="348">
          <cell r="N348" t="str">
            <v>R0180</v>
          </cell>
          <cell r="O348">
            <v>0</v>
          </cell>
          <cell r="P348">
            <v>19743436.18</v>
          </cell>
          <cell r="Q348">
            <v>6410938.8800000008</v>
          </cell>
          <cell r="R348">
            <v>19743436.18</v>
          </cell>
        </row>
        <row r="349">
          <cell r="N349" t="str">
            <v>S0012</v>
          </cell>
          <cell r="O349">
            <v>1000000</v>
          </cell>
          <cell r="P349">
            <v>1000000</v>
          </cell>
          <cell r="Q349">
            <v>1000000</v>
          </cell>
          <cell r="R349">
            <v>1000000</v>
          </cell>
        </row>
        <row r="350">
          <cell r="N350" t="str">
            <v>S0025</v>
          </cell>
          <cell r="O350">
            <v>1500000</v>
          </cell>
          <cell r="P350">
            <v>1251000</v>
          </cell>
          <cell r="Q350">
            <v>39432.379999999997</v>
          </cell>
          <cell r="R350">
            <v>1251000</v>
          </cell>
        </row>
        <row r="351">
          <cell r="N351" t="str">
            <v>S0030</v>
          </cell>
          <cell r="O351">
            <v>1229353.22</v>
          </cell>
          <cell r="P351">
            <v>11087580.75</v>
          </cell>
          <cell r="Q351">
            <v>0</v>
          </cell>
          <cell r="R351">
            <v>11087580.75</v>
          </cell>
        </row>
        <row r="352">
          <cell r="N352" t="str">
            <v>S0031</v>
          </cell>
          <cell r="O352">
            <v>569342.97</v>
          </cell>
          <cell r="P352">
            <v>2735260.16</v>
          </cell>
          <cell r="Q352">
            <v>0</v>
          </cell>
          <cell r="R352">
            <v>2735260.16</v>
          </cell>
        </row>
        <row r="353">
          <cell r="N353" t="str">
            <v>S0043</v>
          </cell>
          <cell r="O353">
            <v>0</v>
          </cell>
          <cell r="P353">
            <v>18365564.239999998</v>
          </cell>
          <cell r="Q353">
            <v>12807357.77</v>
          </cell>
          <cell r="R353">
            <v>18365564.239999998</v>
          </cell>
        </row>
        <row r="354">
          <cell r="N354" t="str">
            <v>S0044</v>
          </cell>
          <cell r="O354">
            <v>0</v>
          </cell>
          <cell r="P354">
            <v>300000</v>
          </cell>
          <cell r="Q354">
            <v>0</v>
          </cell>
          <cell r="R354">
            <v>300000</v>
          </cell>
        </row>
        <row r="355">
          <cell r="N355" t="str">
            <v>S0046</v>
          </cell>
          <cell r="O355">
            <v>0</v>
          </cell>
          <cell r="P355">
            <v>2400000</v>
          </cell>
          <cell r="Q355">
            <v>985778.4</v>
          </cell>
          <cell r="R355">
            <v>2400000</v>
          </cell>
        </row>
        <row r="356">
          <cell r="N356" t="str">
            <v>S0055</v>
          </cell>
          <cell r="O356">
            <v>1999999.9999999998</v>
          </cell>
          <cell r="P356">
            <v>2028913.5999999999</v>
          </cell>
          <cell r="Q356">
            <v>265571.61</v>
          </cell>
          <cell r="R356">
            <v>2028913.5999999999</v>
          </cell>
        </row>
        <row r="357">
          <cell r="N357" t="str">
            <v>S0058</v>
          </cell>
          <cell r="O357">
            <v>1000000</v>
          </cell>
          <cell r="P357">
            <v>0</v>
          </cell>
          <cell r="Q357">
            <v>0</v>
          </cell>
          <cell r="R357">
            <v>0</v>
          </cell>
        </row>
        <row r="358">
          <cell r="N358" t="str">
            <v>S0064</v>
          </cell>
          <cell r="O358">
            <v>0</v>
          </cell>
          <cell r="P358">
            <v>10000000</v>
          </cell>
          <cell r="Q358">
            <v>2556850.11</v>
          </cell>
          <cell r="R358">
            <v>10000000</v>
          </cell>
        </row>
        <row r="359">
          <cell r="N359" t="str">
            <v>S0065</v>
          </cell>
          <cell r="O359">
            <v>24374983.799999997</v>
          </cell>
          <cell r="P359">
            <v>0</v>
          </cell>
          <cell r="Q359">
            <v>0</v>
          </cell>
          <cell r="R359">
            <v>0</v>
          </cell>
        </row>
        <row r="360">
          <cell r="N360" t="str">
            <v>S0066</v>
          </cell>
          <cell r="O360">
            <v>0</v>
          </cell>
          <cell r="P360">
            <v>81619675.300000012</v>
          </cell>
          <cell r="Q360">
            <v>40404763.890000001</v>
          </cell>
          <cell r="R360">
            <v>81619675.300000012</v>
          </cell>
        </row>
        <row r="361">
          <cell r="N361" t="str">
            <v>S0067</v>
          </cell>
          <cell r="O361">
            <v>0</v>
          </cell>
          <cell r="P361">
            <v>2585018.34</v>
          </cell>
          <cell r="Q361">
            <v>2585018.33</v>
          </cell>
          <cell r="R361">
            <v>2585018.34</v>
          </cell>
        </row>
        <row r="362">
          <cell r="N362" t="str">
            <v>S0069</v>
          </cell>
          <cell r="O362">
            <v>0</v>
          </cell>
          <cell r="P362">
            <v>846622.92</v>
          </cell>
          <cell r="Q362">
            <v>846622.92</v>
          </cell>
          <cell r="R362">
            <v>846622.92</v>
          </cell>
        </row>
        <row r="363">
          <cell r="N363" t="str">
            <v>S0070</v>
          </cell>
          <cell r="O363">
            <v>0</v>
          </cell>
          <cell r="P363">
            <v>1679257.5</v>
          </cell>
          <cell r="Q363">
            <v>335124</v>
          </cell>
          <cell r="R363">
            <v>1679257.5</v>
          </cell>
        </row>
        <row r="364">
          <cell r="N364" t="str">
            <v>S0071</v>
          </cell>
          <cell r="O364">
            <v>0</v>
          </cell>
          <cell r="P364">
            <v>1250000</v>
          </cell>
          <cell r="Q364">
            <v>0</v>
          </cell>
          <cell r="R364">
            <v>1250000</v>
          </cell>
        </row>
        <row r="365">
          <cell r="N365" t="str">
            <v>S0072</v>
          </cell>
          <cell r="O365">
            <v>0</v>
          </cell>
          <cell r="P365">
            <v>741200</v>
          </cell>
          <cell r="Q365">
            <v>446679.54</v>
          </cell>
          <cell r="R365">
            <v>741200</v>
          </cell>
        </row>
        <row r="366">
          <cell r="N366" t="str">
            <v>S0073</v>
          </cell>
          <cell r="O366">
            <v>1000000</v>
          </cell>
          <cell r="P366">
            <v>0</v>
          </cell>
          <cell r="Q366">
            <v>0</v>
          </cell>
          <cell r="R366">
            <v>0</v>
          </cell>
        </row>
        <row r="367">
          <cell r="N367" t="str">
            <v>S0074</v>
          </cell>
          <cell r="O367">
            <v>400000</v>
          </cell>
          <cell r="P367">
            <v>260000</v>
          </cell>
          <cell r="Q367">
            <v>244666.62</v>
          </cell>
          <cell r="R367">
            <v>260000</v>
          </cell>
        </row>
        <row r="368">
          <cell r="N368" t="str">
            <v>S0075</v>
          </cell>
          <cell r="O368">
            <v>0</v>
          </cell>
          <cell r="P368">
            <v>1545000</v>
          </cell>
          <cell r="Q368">
            <v>843022.59</v>
          </cell>
          <cell r="R368">
            <v>1545000</v>
          </cell>
        </row>
        <row r="369">
          <cell r="N369" t="str">
            <v>S0076</v>
          </cell>
          <cell r="O369">
            <v>0</v>
          </cell>
          <cell r="P369">
            <v>11500000</v>
          </cell>
          <cell r="Q369">
            <v>4579890.55</v>
          </cell>
          <cell r="R369">
            <v>11500000</v>
          </cell>
        </row>
        <row r="370">
          <cell r="N370" t="str">
            <v>S0077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 t="str">
            <v>S0209</v>
          </cell>
          <cell r="O371">
            <v>1000000</v>
          </cell>
          <cell r="P371">
            <v>1000000</v>
          </cell>
          <cell r="Q371">
            <v>0</v>
          </cell>
          <cell r="R371">
            <v>1000000</v>
          </cell>
        </row>
        <row r="372">
          <cell r="N372" t="str">
            <v>S0210</v>
          </cell>
          <cell r="O372">
            <v>2000000</v>
          </cell>
          <cell r="P372">
            <v>1952400</v>
          </cell>
          <cell r="Q372">
            <v>1935600</v>
          </cell>
          <cell r="R372">
            <v>1952400</v>
          </cell>
        </row>
        <row r="373">
          <cell r="N373" t="str">
            <v>S0211</v>
          </cell>
          <cell r="O373">
            <v>1000000</v>
          </cell>
          <cell r="P373">
            <v>1000000</v>
          </cell>
          <cell r="Q373">
            <v>505086.67</v>
          </cell>
          <cell r="R373">
            <v>1027700</v>
          </cell>
        </row>
        <row r="374">
          <cell r="N374" t="str">
            <v>S0212</v>
          </cell>
          <cell r="O374">
            <v>2000000</v>
          </cell>
          <cell r="P374">
            <v>2000000</v>
          </cell>
          <cell r="Q374">
            <v>819951.42</v>
          </cell>
          <cell r="R374">
            <v>2000000</v>
          </cell>
        </row>
        <row r="375">
          <cell r="N375" t="str">
            <v>S0269</v>
          </cell>
          <cell r="O375">
            <v>700000</v>
          </cell>
          <cell r="P375">
            <v>100000</v>
          </cell>
          <cell r="Q375">
            <v>100000</v>
          </cell>
          <cell r="R375">
            <v>100000</v>
          </cell>
        </row>
        <row r="376">
          <cell r="N376" t="str">
            <v>S0299</v>
          </cell>
          <cell r="O376">
            <v>1880646</v>
          </cell>
          <cell r="P376">
            <v>905201.36</v>
          </cell>
          <cell r="Q376">
            <v>905201.36</v>
          </cell>
          <cell r="R376">
            <v>905201.36</v>
          </cell>
        </row>
        <row r="377">
          <cell r="N377" t="str">
            <v>U0127</v>
          </cell>
          <cell r="O377">
            <v>29858000</v>
          </cell>
          <cell r="P377">
            <v>31142600</v>
          </cell>
          <cell r="Q377">
            <v>26847591</v>
          </cell>
          <cell r="R377">
            <v>31142600</v>
          </cell>
        </row>
        <row r="378">
          <cell r="N378" t="str">
            <v>U0129</v>
          </cell>
          <cell r="O378">
            <v>5330711</v>
          </cell>
          <cell r="P378">
            <v>4197037</v>
          </cell>
          <cell r="Q378">
            <v>3867737</v>
          </cell>
          <cell r="R378">
            <v>4197037</v>
          </cell>
        </row>
        <row r="379">
          <cell r="N379" t="str">
            <v>U0130</v>
          </cell>
          <cell r="O379">
            <v>0</v>
          </cell>
          <cell r="P379">
            <v>1000000</v>
          </cell>
          <cell r="Q379">
            <v>1000000</v>
          </cell>
          <cell r="R379">
            <v>1000000</v>
          </cell>
        </row>
        <row r="380">
          <cell r="N380" t="str">
            <v>U0132</v>
          </cell>
          <cell r="O380">
            <v>2742720</v>
          </cell>
          <cell r="P380">
            <v>2674049</v>
          </cell>
          <cell r="Q380">
            <v>1893607.33</v>
          </cell>
          <cell r="R380">
            <v>2674049</v>
          </cell>
        </row>
        <row r="381">
          <cell r="N381" t="str">
            <v>U0134</v>
          </cell>
          <cell r="O381">
            <v>1437967</v>
          </cell>
          <cell r="P381">
            <v>2055005</v>
          </cell>
          <cell r="Q381">
            <v>1875000</v>
          </cell>
          <cell r="R381">
            <v>2055005</v>
          </cell>
        </row>
        <row r="382">
          <cell r="N382" t="str">
            <v>U0135</v>
          </cell>
          <cell r="O382">
            <v>10147224</v>
          </cell>
          <cell r="P382">
            <v>9336354.9600000009</v>
          </cell>
          <cell r="Q382">
            <v>7186748.7799999993</v>
          </cell>
          <cell r="R382">
            <v>9336354.9600000009</v>
          </cell>
        </row>
        <row r="383">
          <cell r="N383" t="str">
            <v>U0140</v>
          </cell>
          <cell r="O383">
            <v>3280000</v>
          </cell>
          <cell r="P383">
            <v>3200000</v>
          </cell>
          <cell r="Q383">
            <v>2546537.15</v>
          </cell>
          <cell r="R383">
            <v>3200000</v>
          </cell>
        </row>
        <row r="384">
          <cell r="N384" t="str">
            <v>U0156</v>
          </cell>
          <cell r="O384">
            <v>7080000</v>
          </cell>
          <cell r="P384">
            <v>1000000</v>
          </cell>
          <cell r="Q384">
            <v>0</v>
          </cell>
          <cell r="R384">
            <v>1000000</v>
          </cell>
        </row>
        <row r="385">
          <cell r="N385" t="str">
            <v>U0189</v>
          </cell>
          <cell r="O385">
            <v>232500</v>
          </cell>
          <cell r="P385">
            <v>4650000</v>
          </cell>
          <cell r="Q385">
            <v>0</v>
          </cell>
          <cell r="R385">
            <v>0</v>
          </cell>
        </row>
        <row r="386">
          <cell r="N386" t="str">
            <v>U0232</v>
          </cell>
          <cell r="O386">
            <v>37202336</v>
          </cell>
          <cell r="P386">
            <v>37202336</v>
          </cell>
          <cell r="Q386">
            <v>27701540.27</v>
          </cell>
          <cell r="R386">
            <v>37202336</v>
          </cell>
        </row>
        <row r="387">
          <cell r="N387" t="str">
            <v>U0236</v>
          </cell>
          <cell r="O387">
            <v>17692000</v>
          </cell>
          <cell r="P387">
            <v>17254900</v>
          </cell>
          <cell r="Q387">
            <v>14900000</v>
          </cell>
          <cell r="R387">
            <v>17254900</v>
          </cell>
        </row>
        <row r="388">
          <cell r="N388" t="str">
            <v>U0241</v>
          </cell>
          <cell r="O388">
            <v>3464127</v>
          </cell>
          <cell r="P388">
            <v>3290921</v>
          </cell>
          <cell r="Q388">
            <v>2862512</v>
          </cell>
          <cell r="R388">
            <v>3290921</v>
          </cell>
        </row>
        <row r="389">
          <cell r="N389" t="str">
            <v>U0249</v>
          </cell>
          <cell r="O389">
            <v>13954441.119999999</v>
          </cell>
          <cell r="P389">
            <v>13546401.84</v>
          </cell>
          <cell r="Q389">
            <v>11555462.35</v>
          </cell>
          <cell r="R389">
            <v>13546401.84</v>
          </cell>
        </row>
        <row r="390">
          <cell r="N390" t="str">
            <v>U0253</v>
          </cell>
          <cell r="O390">
            <v>3787000</v>
          </cell>
          <cell r="P390">
            <v>3662664</v>
          </cell>
          <cell r="Q390">
            <v>2522271</v>
          </cell>
          <cell r="R390">
            <v>3662664</v>
          </cell>
        </row>
        <row r="391">
          <cell r="N391" t="str">
            <v>U0267</v>
          </cell>
          <cell r="O391">
            <v>1000000</v>
          </cell>
          <cell r="P391">
            <v>3499485</v>
          </cell>
          <cell r="Q391">
            <v>0</v>
          </cell>
          <cell r="R391">
            <v>3499485</v>
          </cell>
        </row>
        <row r="392">
          <cell r="N392" t="str">
            <v>U0269</v>
          </cell>
          <cell r="O392">
            <v>0</v>
          </cell>
          <cell r="P392">
            <v>7953116</v>
          </cell>
          <cell r="Q392">
            <v>705719.26</v>
          </cell>
          <cell r="R392">
            <v>7953116</v>
          </cell>
        </row>
        <row r="393">
          <cell r="N393" t="str">
            <v>U0275</v>
          </cell>
          <cell r="O393">
            <v>6760615</v>
          </cell>
          <cell r="P393">
            <v>6497135</v>
          </cell>
          <cell r="Q393">
            <v>4664930</v>
          </cell>
          <cell r="R393">
            <v>6497135</v>
          </cell>
        </row>
        <row r="394">
          <cell r="N394" t="str">
            <v>U0301</v>
          </cell>
          <cell r="O394">
            <v>5000000</v>
          </cell>
          <cell r="P394">
            <v>11000000</v>
          </cell>
          <cell r="Q394">
            <v>7833275</v>
          </cell>
          <cell r="R394">
            <v>11000000</v>
          </cell>
        </row>
        <row r="395">
          <cell r="N395" t="str">
            <v>(en blanco)</v>
          </cell>
          <cell r="O395">
            <v>1849625116.2099996</v>
          </cell>
          <cell r="P395">
            <v>2172231432.8000002</v>
          </cell>
          <cell r="Q395">
            <v>1452855031.9299998</v>
          </cell>
          <cell r="R395">
            <v>2266338441.000001</v>
          </cell>
        </row>
        <row r="396">
          <cell r="N396" t="str">
            <v>U0270</v>
          </cell>
          <cell r="O396">
            <v>0</v>
          </cell>
          <cell r="P396">
            <v>650000</v>
          </cell>
          <cell r="Q396">
            <v>0</v>
          </cell>
          <cell r="R396">
            <v>1475000</v>
          </cell>
        </row>
        <row r="397">
          <cell r="N397" t="str">
            <v>U0271</v>
          </cell>
          <cell r="O397">
            <v>0</v>
          </cell>
          <cell r="P397">
            <v>0</v>
          </cell>
          <cell r="Q397">
            <v>0</v>
          </cell>
          <cell r="R397">
            <v>3825000</v>
          </cell>
        </row>
        <row r="398">
          <cell r="N398" t="str">
            <v>Total general</v>
          </cell>
          <cell r="O398">
            <v>7457279048.0199966</v>
          </cell>
          <cell r="P398">
            <v>8733032739.4000034</v>
          </cell>
          <cell r="Q398">
            <v>5854526515.7399979</v>
          </cell>
          <cell r="R398">
            <v>9065353764.0000038</v>
          </cell>
        </row>
      </sheetData>
      <sheetData sheetId="1"/>
      <sheetData sheetId="2">
        <row r="6">
          <cell r="H6">
            <v>350431001.42000002</v>
          </cell>
        </row>
      </sheetData>
      <sheetData sheetId="3"/>
      <sheetData sheetId="4">
        <row r="1">
          <cell r="D1" t="str">
            <v>CLASIFICACION FUNCIONAL</v>
          </cell>
        </row>
        <row r="2">
          <cell r="D2" t="str">
            <v>E0008</v>
          </cell>
          <cell r="E2" t="str">
            <v>2.7.1</v>
          </cell>
        </row>
        <row r="3">
          <cell r="D3" t="str">
            <v>E0016</v>
          </cell>
          <cell r="E3" t="str">
            <v>2.5.6</v>
          </cell>
        </row>
        <row r="4">
          <cell r="D4" t="str">
            <v>E0017</v>
          </cell>
          <cell r="E4" t="str">
            <v>2.3.1</v>
          </cell>
        </row>
        <row r="5">
          <cell r="D5" t="str">
            <v>E0018</v>
          </cell>
          <cell r="E5" t="str">
            <v>2.3.1</v>
          </cell>
        </row>
        <row r="6">
          <cell r="D6" t="str">
            <v>E0019</v>
          </cell>
          <cell r="E6" t="str">
            <v>2.5.6</v>
          </cell>
        </row>
        <row r="7">
          <cell r="D7" t="str">
            <v>E0044</v>
          </cell>
          <cell r="E7" t="str">
            <v>1.2.2</v>
          </cell>
        </row>
        <row r="8">
          <cell r="D8" t="str">
            <v>E0045</v>
          </cell>
          <cell r="E8" t="str">
            <v>1.7.3</v>
          </cell>
        </row>
        <row r="9">
          <cell r="D9" t="str">
            <v>E0046</v>
          </cell>
          <cell r="E9" t="str">
            <v>1.3.5</v>
          </cell>
        </row>
        <row r="10">
          <cell r="D10" t="str">
            <v>E0048</v>
          </cell>
          <cell r="E10" t="str">
            <v>1.4.1</v>
          </cell>
        </row>
        <row r="11">
          <cell r="D11" t="str">
            <v>E0050</v>
          </cell>
          <cell r="E11" t="str">
            <v>1.7.2</v>
          </cell>
        </row>
        <row r="12">
          <cell r="D12" t="str">
            <v>E0052</v>
          </cell>
          <cell r="E12" t="str">
            <v>1.2.1</v>
          </cell>
        </row>
        <row r="13">
          <cell r="D13" t="str">
            <v>E0054</v>
          </cell>
          <cell r="E13" t="str">
            <v>3.5.6</v>
          </cell>
        </row>
        <row r="14">
          <cell r="D14" t="str">
            <v>E0055</v>
          </cell>
          <cell r="E14" t="str">
            <v>3.5.6</v>
          </cell>
        </row>
        <row r="15">
          <cell r="D15" t="str">
            <v>E0056</v>
          </cell>
          <cell r="E15" t="str">
            <v>3.5.6</v>
          </cell>
        </row>
        <row r="16">
          <cell r="D16" t="str">
            <v>E0075</v>
          </cell>
          <cell r="E16" t="str">
            <v>1.5.2</v>
          </cell>
        </row>
        <row r="17">
          <cell r="D17" t="str">
            <v>E0080</v>
          </cell>
          <cell r="E17" t="str">
            <v>3.1.1</v>
          </cell>
        </row>
        <row r="18">
          <cell r="D18" t="str">
            <v>E0081</v>
          </cell>
          <cell r="E18" t="str">
            <v>3.1.1</v>
          </cell>
        </row>
        <row r="19">
          <cell r="D19" t="str">
            <v>E0082</v>
          </cell>
          <cell r="E19" t="str">
            <v>3.1.1</v>
          </cell>
        </row>
        <row r="20">
          <cell r="D20" t="str">
            <v>E0083</v>
          </cell>
          <cell r="E20" t="str">
            <v>3.1.1</v>
          </cell>
        </row>
        <row r="21">
          <cell r="D21" t="str">
            <v>E0095</v>
          </cell>
          <cell r="E21" t="str">
            <v>2.2.1</v>
          </cell>
        </row>
        <row r="22">
          <cell r="D22" t="str">
            <v>E0097</v>
          </cell>
          <cell r="E22" t="str">
            <v>2.2.1</v>
          </cell>
        </row>
        <row r="23">
          <cell r="D23" t="str">
            <v>E0098</v>
          </cell>
          <cell r="E23" t="str">
            <v>2.2.1</v>
          </cell>
        </row>
        <row r="24">
          <cell r="D24" t="str">
            <v>E0101</v>
          </cell>
          <cell r="E24" t="str">
            <v>2.2.5</v>
          </cell>
        </row>
        <row r="25">
          <cell r="D25" t="str">
            <v>E0104</v>
          </cell>
          <cell r="E25" t="str">
            <v>2.2.6</v>
          </cell>
        </row>
        <row r="26">
          <cell r="D26" t="str">
            <v>E0105</v>
          </cell>
          <cell r="E26" t="str">
            <v>2.2.6</v>
          </cell>
        </row>
        <row r="27">
          <cell r="D27" t="str">
            <v>E0106</v>
          </cell>
          <cell r="E27" t="str">
            <v>2.2.6</v>
          </cell>
        </row>
        <row r="28">
          <cell r="D28" t="str">
            <v>E0107</v>
          </cell>
          <cell r="E28" t="str">
            <v>2.2.6</v>
          </cell>
        </row>
        <row r="29">
          <cell r="D29" t="str">
            <v>E0108</v>
          </cell>
          <cell r="E29" t="str">
            <v>2.2.4</v>
          </cell>
        </row>
        <row r="30">
          <cell r="D30" t="str">
            <v>E0109</v>
          </cell>
          <cell r="E30" t="str">
            <v>2.2.6</v>
          </cell>
        </row>
        <row r="31">
          <cell r="D31" t="str">
            <v>E0110</v>
          </cell>
          <cell r="E31" t="str">
            <v>2.1.1</v>
          </cell>
        </row>
        <row r="32">
          <cell r="D32" t="str">
            <v>E0111</v>
          </cell>
          <cell r="E32" t="str">
            <v>2.1.1</v>
          </cell>
        </row>
        <row r="33">
          <cell r="D33" t="str">
            <v>E0113</v>
          </cell>
          <cell r="E33" t="str">
            <v>2.1.1</v>
          </cell>
        </row>
        <row r="34">
          <cell r="D34" t="str">
            <v>E0116</v>
          </cell>
          <cell r="E34" t="str">
            <v>1.7.1</v>
          </cell>
        </row>
        <row r="35">
          <cell r="D35" t="str">
            <v>E0117</v>
          </cell>
          <cell r="E35" t="str">
            <v>1.7.1</v>
          </cell>
        </row>
        <row r="36">
          <cell r="D36" t="str">
            <v>E0118</v>
          </cell>
          <cell r="E36" t="str">
            <v>1.7.1</v>
          </cell>
        </row>
        <row r="37">
          <cell r="D37" t="str">
            <v>E0159</v>
          </cell>
          <cell r="E37" t="str">
            <v>2.2.3</v>
          </cell>
        </row>
        <row r="38">
          <cell r="D38" t="str">
            <v>E0162</v>
          </cell>
          <cell r="E38" t="str">
            <v>1.5.1</v>
          </cell>
        </row>
        <row r="39">
          <cell r="D39" t="str">
            <v>E0218</v>
          </cell>
          <cell r="E39" t="str">
            <v>3.5.6</v>
          </cell>
        </row>
        <row r="40">
          <cell r="D40" t="str">
            <v>E0274</v>
          </cell>
          <cell r="E40" t="str">
            <v>1.7.1</v>
          </cell>
        </row>
        <row r="41">
          <cell r="D41" t="str">
            <v>E0288</v>
          </cell>
          <cell r="E41" t="str">
            <v>2.4.2</v>
          </cell>
        </row>
        <row r="42">
          <cell r="D42" t="str">
            <v>E0289</v>
          </cell>
          <cell r="E42" t="str">
            <v>3.1.1</v>
          </cell>
        </row>
        <row r="43">
          <cell r="D43" t="str">
            <v>E0292</v>
          </cell>
          <cell r="E43" t="str">
            <v>1.8.5</v>
          </cell>
        </row>
        <row r="44">
          <cell r="D44" t="str">
            <v>E0295</v>
          </cell>
          <cell r="E44" t="str">
            <v>3.5.6</v>
          </cell>
        </row>
        <row r="45">
          <cell r="D45" t="str">
            <v>E0297</v>
          </cell>
          <cell r="E45" t="str">
            <v>1.3.2</v>
          </cell>
        </row>
        <row r="46">
          <cell r="D46" t="str">
            <v>E0305</v>
          </cell>
          <cell r="E46" t="str">
            <v>2.1.6</v>
          </cell>
        </row>
        <row r="47">
          <cell r="D47" t="str">
            <v>E0306</v>
          </cell>
          <cell r="E47" t="str">
            <v>2.1.6</v>
          </cell>
        </row>
        <row r="48">
          <cell r="D48" t="str">
            <v>E0307</v>
          </cell>
          <cell r="E48" t="str">
            <v>2.1.6</v>
          </cell>
        </row>
        <row r="49">
          <cell r="D49" t="str">
            <v>E0308</v>
          </cell>
          <cell r="E49" t="str">
            <v>2.1.6</v>
          </cell>
        </row>
        <row r="50">
          <cell r="D50" t="str">
            <v>E0309</v>
          </cell>
          <cell r="E50" t="str">
            <v>2.1.6</v>
          </cell>
        </row>
        <row r="51">
          <cell r="D51" t="str">
            <v>E0310</v>
          </cell>
          <cell r="E51" t="str">
            <v>2.1.6</v>
          </cell>
        </row>
        <row r="52">
          <cell r="D52" t="str">
            <v>E0311</v>
          </cell>
          <cell r="E52" t="str">
            <v>2.1.6</v>
          </cell>
        </row>
        <row r="53">
          <cell r="D53" t="str">
            <v>F0040</v>
          </cell>
          <cell r="E53" t="str">
            <v>1.8.3</v>
          </cell>
        </row>
        <row r="54">
          <cell r="D54" t="str">
            <v>F0041</v>
          </cell>
          <cell r="E54" t="str">
            <v>1.8.3</v>
          </cell>
        </row>
        <row r="55">
          <cell r="D55" t="str">
            <v>J0068</v>
          </cell>
          <cell r="E55" t="str">
            <v>1.8.5</v>
          </cell>
        </row>
        <row r="56">
          <cell r="D56" t="str">
            <v>K0002</v>
          </cell>
          <cell r="E56" t="str">
            <v>3.1.1</v>
          </cell>
        </row>
        <row r="57">
          <cell r="D57" t="str">
            <v>K0003</v>
          </cell>
          <cell r="E57" t="str">
            <v>3.1.1</v>
          </cell>
        </row>
        <row r="58">
          <cell r="D58" t="str">
            <v>K0280</v>
          </cell>
          <cell r="E58" t="str">
            <v>3.5.6</v>
          </cell>
        </row>
        <row r="59">
          <cell r="D59" t="str">
            <v>K0281</v>
          </cell>
          <cell r="E59" t="str">
            <v>1.8.2</v>
          </cell>
        </row>
        <row r="60">
          <cell r="D60" t="str">
            <v>K0282</v>
          </cell>
          <cell r="E60" t="str">
            <v>2.2.1</v>
          </cell>
        </row>
        <row r="61">
          <cell r="D61" t="str">
            <v>K0283</v>
          </cell>
          <cell r="E61" t="str">
            <v>2.2.1</v>
          </cell>
        </row>
        <row r="62">
          <cell r="D62" t="str">
            <v>K0284</v>
          </cell>
          <cell r="E62" t="str">
            <v>2.2.1</v>
          </cell>
        </row>
        <row r="63">
          <cell r="D63" t="str">
            <v>K0285</v>
          </cell>
          <cell r="E63" t="str">
            <v>2.2.6</v>
          </cell>
        </row>
        <row r="64">
          <cell r="D64" t="str">
            <v>K0298</v>
          </cell>
          <cell r="E64" t="str">
            <v>2.2.1</v>
          </cell>
        </row>
        <row r="65">
          <cell r="D65" t="str">
            <v>M0073</v>
          </cell>
          <cell r="E65" t="str">
            <v>1.5.2</v>
          </cell>
        </row>
        <row r="66">
          <cell r="D66" t="str">
            <v>O0001</v>
          </cell>
          <cell r="E66" t="str">
            <v>1.3.1</v>
          </cell>
        </row>
        <row r="67">
          <cell r="D67" t="str">
            <v>O0005</v>
          </cell>
          <cell r="E67" t="str">
            <v>2.7.1</v>
          </cell>
        </row>
        <row r="68">
          <cell r="D68" t="str">
            <v>O0015</v>
          </cell>
          <cell r="E68" t="str">
            <v>2.5.6</v>
          </cell>
        </row>
        <row r="69">
          <cell r="D69" t="str">
            <v>O0020</v>
          </cell>
          <cell r="E69" t="str">
            <v>2.2.2</v>
          </cell>
        </row>
        <row r="70">
          <cell r="D70" t="str">
            <v>O0033</v>
          </cell>
          <cell r="E70" t="str">
            <v>2.4.1</v>
          </cell>
        </row>
        <row r="71">
          <cell r="D71" t="str">
            <v>O0035</v>
          </cell>
          <cell r="E71" t="str">
            <v>2.7.1</v>
          </cell>
        </row>
        <row r="72">
          <cell r="D72" t="str">
            <v>O0036</v>
          </cell>
          <cell r="E72" t="str">
            <v>1.3.1</v>
          </cell>
        </row>
        <row r="73">
          <cell r="D73" t="str">
            <v>O0037</v>
          </cell>
          <cell r="E73" t="str">
            <v>1.3.1</v>
          </cell>
        </row>
        <row r="74">
          <cell r="D74" t="str">
            <v>O0038</v>
          </cell>
          <cell r="E74" t="str">
            <v>1.3.1</v>
          </cell>
        </row>
        <row r="75">
          <cell r="D75" t="str">
            <v>O0039</v>
          </cell>
          <cell r="E75" t="str">
            <v>1.3.1</v>
          </cell>
        </row>
        <row r="76">
          <cell r="D76" t="str">
            <v>O0040</v>
          </cell>
          <cell r="E76" t="str">
            <v>1.3.1</v>
          </cell>
        </row>
        <row r="77">
          <cell r="D77" t="str">
            <v>O0058</v>
          </cell>
          <cell r="E77" t="str">
            <v>1.8.4</v>
          </cell>
        </row>
        <row r="78">
          <cell r="D78" t="str">
            <v>O0059</v>
          </cell>
          <cell r="E78" t="str">
            <v>1.8.4</v>
          </cell>
        </row>
        <row r="79">
          <cell r="D79" t="str">
            <v>O0060</v>
          </cell>
          <cell r="E79" t="str">
            <v>1.8.5</v>
          </cell>
        </row>
        <row r="80">
          <cell r="D80" t="str">
            <v>O0062</v>
          </cell>
          <cell r="E80" t="str">
            <v>1.3.3</v>
          </cell>
        </row>
        <row r="81">
          <cell r="D81" t="str">
            <v>O0063</v>
          </cell>
          <cell r="E81" t="str">
            <v>1.8.5</v>
          </cell>
        </row>
        <row r="82">
          <cell r="D82" t="str">
            <v>O0069</v>
          </cell>
          <cell r="E82" t="str">
            <v>1.8.5</v>
          </cell>
        </row>
        <row r="83">
          <cell r="D83" t="str">
            <v>O0070</v>
          </cell>
          <cell r="E83" t="str">
            <v>1.8.5</v>
          </cell>
        </row>
        <row r="84">
          <cell r="D84" t="str">
            <v>O0071</v>
          </cell>
          <cell r="E84" t="str">
            <v>1.5.1</v>
          </cell>
        </row>
        <row r="85">
          <cell r="D85" t="str">
            <v>O0072</v>
          </cell>
          <cell r="E85" t="str">
            <v>1.5.2</v>
          </cell>
        </row>
        <row r="86">
          <cell r="D86" t="str">
            <v>O0074</v>
          </cell>
          <cell r="E86" t="str">
            <v>1.5.2</v>
          </cell>
        </row>
        <row r="87">
          <cell r="D87" t="str">
            <v>O0076</v>
          </cell>
          <cell r="E87" t="str">
            <v>1.5.2</v>
          </cell>
        </row>
        <row r="88">
          <cell r="D88" t="str">
            <v>O0078</v>
          </cell>
          <cell r="E88" t="str">
            <v>1.5.2</v>
          </cell>
        </row>
        <row r="89">
          <cell r="D89" t="str">
            <v>O0084</v>
          </cell>
          <cell r="E89" t="str">
            <v>3.6.1</v>
          </cell>
        </row>
        <row r="90">
          <cell r="D90" t="str">
            <v>O0085</v>
          </cell>
          <cell r="E90" t="str">
            <v>3.6.1</v>
          </cell>
        </row>
        <row r="91">
          <cell r="D91" t="str">
            <v>O0086</v>
          </cell>
          <cell r="E91" t="str">
            <v>1.5.2</v>
          </cell>
        </row>
        <row r="92">
          <cell r="D92" t="str">
            <v>O0087</v>
          </cell>
          <cell r="E92" t="str">
            <v>1.3.3</v>
          </cell>
        </row>
        <row r="93">
          <cell r="D93" t="str">
            <v>O0090</v>
          </cell>
          <cell r="E93" t="str">
            <v>1.1.2</v>
          </cell>
        </row>
        <row r="94">
          <cell r="D94" t="str">
            <v>O0091</v>
          </cell>
          <cell r="E94" t="str">
            <v>1.1.2</v>
          </cell>
        </row>
        <row r="95">
          <cell r="D95" t="str">
            <v>O0092</v>
          </cell>
          <cell r="E95" t="str">
            <v>1.1.2</v>
          </cell>
        </row>
        <row r="96">
          <cell r="D96" t="str">
            <v>O0093</v>
          </cell>
          <cell r="E96" t="str">
            <v>2.2.1</v>
          </cell>
        </row>
        <row r="97">
          <cell r="D97" t="str">
            <v>O0094</v>
          </cell>
          <cell r="E97" t="str">
            <v>2.2.1</v>
          </cell>
        </row>
        <row r="98">
          <cell r="D98" t="str">
            <v>O0117</v>
          </cell>
          <cell r="E98" t="str">
            <v>1.7.1</v>
          </cell>
        </row>
        <row r="99">
          <cell r="D99" t="str">
            <v>O0119</v>
          </cell>
          <cell r="E99" t="str">
            <v>1.7.1</v>
          </cell>
        </row>
        <row r="100">
          <cell r="D100" t="str">
            <v>O0158</v>
          </cell>
          <cell r="E100" t="str">
            <v>1.7.1</v>
          </cell>
        </row>
        <row r="101">
          <cell r="D101" t="str">
            <v>O0220</v>
          </cell>
          <cell r="E101" t="str">
            <v>1.3.3</v>
          </cell>
        </row>
        <row r="102">
          <cell r="D102" t="str">
            <v>O0221</v>
          </cell>
          <cell r="E102" t="str">
            <v>1.7.1</v>
          </cell>
        </row>
        <row r="103">
          <cell r="D103" t="str">
            <v>O0222</v>
          </cell>
          <cell r="E103" t="str">
            <v>1.7.1</v>
          </cell>
        </row>
        <row r="104">
          <cell r="D104" t="str">
            <v>O0223</v>
          </cell>
          <cell r="E104" t="str">
            <v>2.2.5</v>
          </cell>
        </row>
        <row r="105">
          <cell r="D105" t="str">
            <v>O0262</v>
          </cell>
          <cell r="E105" t="str">
            <v>2.7.1</v>
          </cell>
        </row>
        <row r="106">
          <cell r="D106" t="str">
            <v>O0267</v>
          </cell>
          <cell r="E106" t="str">
            <v>1.5.2</v>
          </cell>
        </row>
        <row r="107">
          <cell r="D107" t="str">
            <v>P0042</v>
          </cell>
          <cell r="E107" t="str">
            <v>1.3.2</v>
          </cell>
        </row>
        <row r="108">
          <cell r="D108" t="str">
            <v>P0285</v>
          </cell>
          <cell r="E108" t="str">
            <v>3.5.6</v>
          </cell>
        </row>
        <row r="109">
          <cell r="D109" t="str">
            <v>P0286</v>
          </cell>
          <cell r="E109" t="str">
            <v>3.5.6</v>
          </cell>
        </row>
        <row r="110">
          <cell r="D110" t="str">
            <v>P0287</v>
          </cell>
          <cell r="E110" t="str">
            <v>3.5.6</v>
          </cell>
        </row>
        <row r="111">
          <cell r="D111" t="str">
            <v>Q0280</v>
          </cell>
          <cell r="E111" t="str">
            <v>3.5.6</v>
          </cell>
        </row>
        <row r="112">
          <cell r="D112" t="str">
            <v>Q0281</v>
          </cell>
          <cell r="E112" t="str">
            <v>1.8.2</v>
          </cell>
        </row>
        <row r="113">
          <cell r="D113" t="str">
            <v>Q0282</v>
          </cell>
          <cell r="E113" t="str">
            <v>2.2.1</v>
          </cell>
        </row>
        <row r="114">
          <cell r="D114" t="str">
            <v>Q0283</v>
          </cell>
          <cell r="E114" t="str">
            <v>2.2.1</v>
          </cell>
        </row>
        <row r="115">
          <cell r="D115" t="str">
            <v>Q0284</v>
          </cell>
          <cell r="E115" t="str">
            <v>2.2.1</v>
          </cell>
        </row>
        <row r="116">
          <cell r="D116" t="str">
            <v>Q0285</v>
          </cell>
          <cell r="E116" t="str">
            <v>2.2.6</v>
          </cell>
        </row>
        <row r="117">
          <cell r="D117" t="str">
            <v>R0034</v>
          </cell>
          <cell r="E117" t="str">
            <v>2.4.1</v>
          </cell>
        </row>
        <row r="118">
          <cell r="D118" t="str">
            <v>R0043</v>
          </cell>
          <cell r="E118" t="str">
            <v>1.3.2</v>
          </cell>
        </row>
        <row r="119">
          <cell r="D119" t="str">
            <v>R0057</v>
          </cell>
          <cell r="E119" t="str">
            <v>1.7.1</v>
          </cell>
        </row>
        <row r="120">
          <cell r="D120" t="str">
            <v>R0137</v>
          </cell>
          <cell r="E120" t="str">
            <v>4.1.1</v>
          </cell>
        </row>
        <row r="121">
          <cell r="D121" t="str">
            <v>R0138</v>
          </cell>
          <cell r="E121" t="str">
            <v>2.2.1</v>
          </cell>
        </row>
        <row r="122">
          <cell r="D122" t="str">
            <v>R0139</v>
          </cell>
          <cell r="E122" t="str">
            <v>2.2.1</v>
          </cell>
        </row>
        <row r="123">
          <cell r="D123" t="str">
            <v>R0140</v>
          </cell>
          <cell r="E123" t="str">
            <v>2.2.1</v>
          </cell>
        </row>
        <row r="124">
          <cell r="D124" t="str">
            <v>R0157</v>
          </cell>
          <cell r="E124" t="str">
            <v>2.2.1</v>
          </cell>
        </row>
        <row r="125">
          <cell r="D125" t="str">
            <v>R0158</v>
          </cell>
          <cell r="E125" t="str">
            <v>2.2.2</v>
          </cell>
        </row>
        <row r="126">
          <cell r="D126" t="str">
            <v>R0169</v>
          </cell>
          <cell r="E126" t="str">
            <v>2.2.1</v>
          </cell>
        </row>
        <row r="127">
          <cell r="D127" t="str">
            <v>R0170</v>
          </cell>
          <cell r="E127" t="str">
            <v>2.2.1</v>
          </cell>
        </row>
        <row r="128">
          <cell r="D128" t="str">
            <v>R0171</v>
          </cell>
          <cell r="E128" t="str">
            <v>2.2.1</v>
          </cell>
        </row>
        <row r="129">
          <cell r="D129" t="str">
            <v>R0172</v>
          </cell>
          <cell r="E129" t="str">
            <v>2.2.1</v>
          </cell>
        </row>
        <row r="130">
          <cell r="D130" t="str">
            <v>R0173</v>
          </cell>
          <cell r="E130" t="str">
            <v>2.2.1</v>
          </cell>
        </row>
        <row r="131">
          <cell r="D131" t="str">
            <v>R0174</v>
          </cell>
          <cell r="E131" t="str">
            <v>2.2.1</v>
          </cell>
        </row>
        <row r="132">
          <cell r="D132" t="str">
            <v>R0175</v>
          </cell>
          <cell r="E132" t="str">
            <v>2.2.1</v>
          </cell>
        </row>
        <row r="133">
          <cell r="D133" t="str">
            <v>R0176</v>
          </cell>
          <cell r="E133" t="str">
            <v>2.2.1</v>
          </cell>
        </row>
        <row r="134">
          <cell r="D134" t="str">
            <v>R0177</v>
          </cell>
          <cell r="E134" t="str">
            <v>2.2.1</v>
          </cell>
        </row>
        <row r="135">
          <cell r="D135" t="str">
            <v xml:space="preserve">178  </v>
          </cell>
          <cell r="E135" t="str">
            <v>2.2.1</v>
          </cell>
        </row>
        <row r="136">
          <cell r="D136" t="str">
            <v>R0179</v>
          </cell>
          <cell r="E136" t="str">
            <v>2.2.1</v>
          </cell>
        </row>
        <row r="137">
          <cell r="D137" t="str">
            <v xml:space="preserve">180  </v>
          </cell>
          <cell r="E137" t="str">
            <v>2.2.1</v>
          </cell>
        </row>
        <row r="138">
          <cell r="D138" t="str">
            <v>R0186</v>
          </cell>
          <cell r="E138" t="str">
            <v>2.2.1</v>
          </cell>
        </row>
        <row r="139">
          <cell r="D139" t="str">
            <v>R0190</v>
          </cell>
          <cell r="E139" t="str">
            <v>2.1.1</v>
          </cell>
        </row>
        <row r="140">
          <cell r="D140" t="str">
            <v>R0205</v>
          </cell>
          <cell r="E140" t="str">
            <v>2.2.1</v>
          </cell>
        </row>
        <row r="141">
          <cell r="D141" t="str">
            <v>R0272</v>
          </cell>
          <cell r="E141" t="str">
            <v>2.2.1</v>
          </cell>
        </row>
        <row r="142">
          <cell r="D142" t="str">
            <v>R0273</v>
          </cell>
          <cell r="E142" t="str">
            <v>2.2.1</v>
          </cell>
        </row>
        <row r="143">
          <cell r="D143" t="str">
            <v>R0290</v>
          </cell>
          <cell r="E143" t="str">
            <v>2.2.1</v>
          </cell>
        </row>
        <row r="144">
          <cell r="D144" t="str">
            <v>R0291</v>
          </cell>
          <cell r="E144" t="str">
            <v>2.2.1</v>
          </cell>
        </row>
        <row r="145">
          <cell r="D145" t="str">
            <v>R0292</v>
          </cell>
          <cell r="E145" t="str">
            <v>2.2.1</v>
          </cell>
        </row>
        <row r="146">
          <cell r="D146" t="str">
            <v>R0293</v>
          </cell>
          <cell r="E146" t="str">
            <v>2.2.1</v>
          </cell>
        </row>
        <row r="147">
          <cell r="D147" t="str">
            <v>R0302</v>
          </cell>
          <cell r="E147" t="str">
            <v>2.2.1</v>
          </cell>
        </row>
        <row r="148">
          <cell r="D148" t="str">
            <v>R0303</v>
          </cell>
          <cell r="E148" t="str">
            <v>2.2.1</v>
          </cell>
        </row>
        <row r="149">
          <cell r="D149" t="str">
            <v>R0304</v>
          </cell>
          <cell r="E149" t="str">
            <v>2.2.1</v>
          </cell>
        </row>
        <row r="150">
          <cell r="D150" t="str">
            <v>S0012</v>
          </cell>
          <cell r="E150" t="str">
            <v>2.7.1</v>
          </cell>
        </row>
        <row r="151">
          <cell r="D151" t="str">
            <v>S0013</v>
          </cell>
          <cell r="E151" t="str">
            <v>2.4.1</v>
          </cell>
        </row>
        <row r="152">
          <cell r="D152" t="str">
            <v>S0014</v>
          </cell>
          <cell r="E152" t="str">
            <v>2.4.1</v>
          </cell>
        </row>
        <row r="153">
          <cell r="D153" t="str">
            <v>S0022</v>
          </cell>
          <cell r="E153" t="str">
            <v>2.2.2</v>
          </cell>
        </row>
        <row r="154">
          <cell r="D154" t="str">
            <v>S0023</v>
          </cell>
          <cell r="E154" t="str">
            <v>2.2.2</v>
          </cell>
        </row>
        <row r="155">
          <cell r="D155" t="str">
            <v>S0024</v>
          </cell>
          <cell r="E155" t="str">
            <v>2.2.2</v>
          </cell>
        </row>
        <row r="156">
          <cell r="D156" t="str">
            <v>S0025</v>
          </cell>
          <cell r="E156" t="str">
            <v>2.2.2</v>
          </cell>
        </row>
        <row r="157">
          <cell r="D157" t="str">
            <v>S0027</v>
          </cell>
          <cell r="E157" t="str">
            <v>2.2.2</v>
          </cell>
        </row>
        <row r="158">
          <cell r="D158" t="str">
            <v>S0028</v>
          </cell>
          <cell r="E158" t="str">
            <v>2.2.2</v>
          </cell>
        </row>
        <row r="159">
          <cell r="D159" t="str">
            <v>S0029</v>
          </cell>
          <cell r="E159" t="str">
            <v>2.2.2</v>
          </cell>
        </row>
        <row r="160">
          <cell r="D160" t="str">
            <v>S0030</v>
          </cell>
          <cell r="E160" t="str">
            <v>2.2.2</v>
          </cell>
        </row>
        <row r="161">
          <cell r="D161" t="str">
            <v>S0031</v>
          </cell>
          <cell r="E161" t="str">
            <v>2.2.2</v>
          </cell>
        </row>
        <row r="162">
          <cell r="D162" t="str">
            <v>S0032</v>
          </cell>
          <cell r="E162" t="str">
            <v>2.2.2</v>
          </cell>
        </row>
        <row r="163">
          <cell r="D163" t="str">
            <v>S0033</v>
          </cell>
          <cell r="E163" t="str">
            <v>2.2.2</v>
          </cell>
        </row>
        <row r="164">
          <cell r="D164" t="str">
            <v>S0034</v>
          </cell>
          <cell r="E164" t="str">
            <v>2.2.2</v>
          </cell>
        </row>
        <row r="165">
          <cell r="D165" t="str">
            <v>S0035</v>
          </cell>
          <cell r="E165" t="str">
            <v>2.2.2</v>
          </cell>
        </row>
        <row r="166">
          <cell r="D166" t="str">
            <v>S0036</v>
          </cell>
          <cell r="E166" t="str">
            <v>2.7.1</v>
          </cell>
        </row>
        <row r="167">
          <cell r="D167" t="str">
            <v>S0037</v>
          </cell>
          <cell r="E167" t="str">
            <v>2.2.2</v>
          </cell>
        </row>
        <row r="168">
          <cell r="D168" t="str">
            <v xml:space="preserve">0038 </v>
          </cell>
          <cell r="E168" t="str">
            <v>2.2.2</v>
          </cell>
        </row>
        <row r="169">
          <cell r="D169" t="str">
            <v>S0039</v>
          </cell>
          <cell r="E169" t="str">
            <v>2.2.2</v>
          </cell>
        </row>
        <row r="170">
          <cell r="D170" t="str">
            <v>S0040</v>
          </cell>
          <cell r="E170" t="str">
            <v>2.2.2</v>
          </cell>
        </row>
        <row r="171">
          <cell r="D171" t="str">
            <v xml:space="preserve">0041 </v>
          </cell>
          <cell r="E171" t="str">
            <v>2.2.2</v>
          </cell>
        </row>
        <row r="172">
          <cell r="D172" t="str">
            <v xml:space="preserve">0042 </v>
          </cell>
          <cell r="E172" t="str">
            <v>2.2.2</v>
          </cell>
        </row>
        <row r="173">
          <cell r="D173" t="str">
            <v>S0043</v>
          </cell>
          <cell r="E173" t="str">
            <v>2.2.2</v>
          </cell>
        </row>
        <row r="174">
          <cell r="D174" t="str">
            <v>S0044</v>
          </cell>
          <cell r="E174" t="str">
            <v>2.1.1</v>
          </cell>
        </row>
        <row r="175">
          <cell r="D175" t="str">
            <v>S0045</v>
          </cell>
          <cell r="E175" t="str">
            <v>2.2.2</v>
          </cell>
        </row>
        <row r="176">
          <cell r="D176" t="str">
            <v>S0046</v>
          </cell>
          <cell r="E176" t="str">
            <v>2.2.2</v>
          </cell>
        </row>
        <row r="177">
          <cell r="D177" t="str">
            <v>S0047</v>
          </cell>
          <cell r="E177" t="str">
            <v>2.2.2</v>
          </cell>
        </row>
        <row r="178">
          <cell r="D178" t="str">
            <v>S0048</v>
          </cell>
          <cell r="E178" t="str">
            <v>2.2.2</v>
          </cell>
        </row>
        <row r="179">
          <cell r="D179" t="str">
            <v>S0049</v>
          </cell>
          <cell r="E179" t="str">
            <v>2.2.2</v>
          </cell>
        </row>
        <row r="180">
          <cell r="D180" t="str">
            <v>S0050</v>
          </cell>
          <cell r="E180" t="str">
            <v>2.2.2</v>
          </cell>
        </row>
        <row r="181">
          <cell r="D181" t="str">
            <v>S0051</v>
          </cell>
          <cell r="E181" t="str">
            <v>2.2.2</v>
          </cell>
        </row>
        <row r="182">
          <cell r="D182" t="str">
            <v>S0052</v>
          </cell>
          <cell r="E182" t="str">
            <v>2.2.2</v>
          </cell>
        </row>
        <row r="183">
          <cell r="D183" t="str">
            <v>S0053</v>
          </cell>
          <cell r="E183" t="str">
            <v>2.2.2</v>
          </cell>
        </row>
        <row r="184">
          <cell r="D184" t="str">
            <v>S0054</v>
          </cell>
          <cell r="E184" t="str">
            <v>2.2.2</v>
          </cell>
        </row>
        <row r="185">
          <cell r="D185" t="str">
            <v>S0055</v>
          </cell>
          <cell r="E185" t="str">
            <v>2.2.2</v>
          </cell>
        </row>
        <row r="186">
          <cell r="D186" t="str">
            <v>S0056</v>
          </cell>
          <cell r="E186" t="str">
            <v>2.2.2</v>
          </cell>
        </row>
        <row r="187">
          <cell r="D187" t="str">
            <v>S0057</v>
          </cell>
          <cell r="E187" t="str">
            <v>2.2.2</v>
          </cell>
        </row>
        <row r="188">
          <cell r="D188" t="str">
            <v>S0058</v>
          </cell>
          <cell r="E188" t="str">
            <v>2.2.2</v>
          </cell>
        </row>
        <row r="189">
          <cell r="D189" t="str">
            <v>S0059</v>
          </cell>
          <cell r="E189" t="str">
            <v>2.2.2</v>
          </cell>
        </row>
        <row r="190">
          <cell r="D190" t="str">
            <v>S0060</v>
          </cell>
          <cell r="E190" t="str">
            <v>2.2.2</v>
          </cell>
        </row>
        <row r="191">
          <cell r="D191" t="str">
            <v>S0061</v>
          </cell>
          <cell r="E191" t="str">
            <v>2.2.2</v>
          </cell>
        </row>
        <row r="192">
          <cell r="D192" t="str">
            <v>S0062</v>
          </cell>
          <cell r="E192" t="str">
            <v>2.2.2</v>
          </cell>
        </row>
        <row r="193">
          <cell r="D193" t="str">
            <v>S0063</v>
          </cell>
          <cell r="E193" t="str">
            <v>2.2.2</v>
          </cell>
        </row>
        <row r="194">
          <cell r="D194" t="str">
            <v>S0064</v>
          </cell>
          <cell r="E194" t="str">
            <v>2.2.2</v>
          </cell>
        </row>
        <row r="195">
          <cell r="D195" t="str">
            <v>S0065</v>
          </cell>
          <cell r="E195" t="str">
            <v>2.2.2</v>
          </cell>
        </row>
        <row r="196">
          <cell r="D196" t="str">
            <v>S0066</v>
          </cell>
          <cell r="E196" t="str">
            <v>2.2.2</v>
          </cell>
        </row>
        <row r="197">
          <cell r="D197" t="str">
            <v>S0067</v>
          </cell>
          <cell r="E197" t="str">
            <v>2.2.2</v>
          </cell>
        </row>
        <row r="198">
          <cell r="D198" t="str">
            <v>S0068</v>
          </cell>
          <cell r="E198" t="str">
            <v>2.2.2</v>
          </cell>
        </row>
        <row r="199">
          <cell r="D199" t="str">
            <v>S0069</v>
          </cell>
          <cell r="E199" t="str">
            <v>2.2.2</v>
          </cell>
        </row>
        <row r="200">
          <cell r="D200" t="str">
            <v>S0070</v>
          </cell>
          <cell r="E200" t="str">
            <v>2.2.2</v>
          </cell>
        </row>
        <row r="201">
          <cell r="D201" t="str">
            <v>S0071</v>
          </cell>
          <cell r="E201" t="str">
            <v>2.2.2</v>
          </cell>
        </row>
        <row r="202">
          <cell r="D202" t="str">
            <v>S0072</v>
          </cell>
          <cell r="E202" t="str">
            <v>2.2.2</v>
          </cell>
        </row>
        <row r="203">
          <cell r="D203" t="str">
            <v>S0073</v>
          </cell>
          <cell r="E203" t="str">
            <v>2.2.2</v>
          </cell>
        </row>
        <row r="204">
          <cell r="D204" t="str">
            <v>S0074</v>
          </cell>
          <cell r="E204" t="str">
            <v>2.2.2</v>
          </cell>
        </row>
        <row r="205">
          <cell r="D205" t="str">
            <v>S0075</v>
          </cell>
          <cell r="E205" t="str">
            <v>2.2.2</v>
          </cell>
        </row>
        <row r="206">
          <cell r="D206" t="str">
            <v>S0180</v>
          </cell>
          <cell r="E206" t="str">
            <v>2.2.2</v>
          </cell>
        </row>
        <row r="207">
          <cell r="D207" t="str">
            <v>S0208</v>
          </cell>
          <cell r="E207" t="str">
            <v>2.2.2</v>
          </cell>
        </row>
        <row r="208">
          <cell r="D208" t="str">
            <v>S0209</v>
          </cell>
          <cell r="E208" t="str">
            <v>2.2.2</v>
          </cell>
        </row>
        <row r="209">
          <cell r="D209" t="str">
            <v>S0210</v>
          </cell>
          <cell r="E209" t="str">
            <v>2.2.2</v>
          </cell>
        </row>
        <row r="210">
          <cell r="D210" t="str">
            <v>S0211</v>
          </cell>
          <cell r="E210" t="str">
            <v>2.2.2</v>
          </cell>
        </row>
        <row r="211">
          <cell r="D211" t="str">
            <v>S0212</v>
          </cell>
          <cell r="E211" t="str">
            <v>2.2.2</v>
          </cell>
        </row>
        <row r="212">
          <cell r="D212" t="str">
            <v>S0213</v>
          </cell>
          <cell r="E212" t="str">
            <v>2.2.2</v>
          </cell>
        </row>
        <row r="213">
          <cell r="D213" t="str">
            <v>S0216</v>
          </cell>
          <cell r="E213" t="str">
            <v>2.2.2</v>
          </cell>
        </row>
        <row r="214">
          <cell r="D214" t="str">
            <v>S0217</v>
          </cell>
          <cell r="E214" t="str">
            <v>2.2.2</v>
          </cell>
        </row>
        <row r="215">
          <cell r="D215" t="str">
            <v>S0218</v>
          </cell>
          <cell r="E215" t="str">
            <v>2.2.2</v>
          </cell>
        </row>
        <row r="216">
          <cell r="D216" t="str">
            <v>S0259</v>
          </cell>
          <cell r="E216" t="str">
            <v>2.2.2</v>
          </cell>
        </row>
        <row r="217">
          <cell r="D217" t="str">
            <v>S0260</v>
          </cell>
          <cell r="E217" t="str">
            <v>2.2.2</v>
          </cell>
        </row>
        <row r="218">
          <cell r="D218" t="str">
            <v>S0261</v>
          </cell>
          <cell r="E218" t="str">
            <v>2.2.2</v>
          </cell>
        </row>
        <row r="219">
          <cell r="D219" t="str">
            <v>S0269</v>
          </cell>
          <cell r="E219" t="str">
            <v>2.1.4</v>
          </cell>
        </row>
        <row r="220">
          <cell r="D220" t="str">
            <v>S0271</v>
          </cell>
          <cell r="E220" t="str">
            <v>2.2.2</v>
          </cell>
        </row>
        <row r="221">
          <cell r="D221" t="str">
            <v>S0276</v>
          </cell>
          <cell r="E221" t="str">
            <v>2.2.2</v>
          </cell>
        </row>
        <row r="222">
          <cell r="D222" t="str">
            <v>S0277</v>
          </cell>
          <cell r="E222" t="str">
            <v>2.2.2</v>
          </cell>
        </row>
        <row r="223">
          <cell r="D223" t="str">
            <v>S0278</v>
          </cell>
          <cell r="E223" t="str">
            <v>2.2.2</v>
          </cell>
        </row>
        <row r="224">
          <cell r="D224" t="str">
            <v>S0294</v>
          </cell>
          <cell r="E224" t="str">
            <v>2.2.2</v>
          </cell>
        </row>
        <row r="225">
          <cell r="D225" t="str">
            <v>S0295</v>
          </cell>
          <cell r="E225" t="str">
            <v>2.1.6</v>
          </cell>
        </row>
        <row r="226">
          <cell r="D226" t="str">
            <v>S0296</v>
          </cell>
          <cell r="E226" t="str">
            <v>2.5.6</v>
          </cell>
        </row>
        <row r="227">
          <cell r="D227" t="str">
            <v>S0299</v>
          </cell>
          <cell r="E227" t="str">
            <v>1.5.1</v>
          </cell>
        </row>
        <row r="228">
          <cell r="D228" t="str">
            <v>S0300</v>
          </cell>
          <cell r="E228" t="str">
            <v>2.1.4</v>
          </cell>
        </row>
        <row r="229">
          <cell r="D229" t="str">
            <v>S0305</v>
          </cell>
          <cell r="E229" t="str">
            <v>2.4.2</v>
          </cell>
        </row>
        <row r="230">
          <cell r="D230" t="str">
            <v>U0031</v>
          </cell>
          <cell r="E230" t="str">
            <v>2.6.8</v>
          </cell>
        </row>
        <row r="231">
          <cell r="D231" t="str">
            <v>U0122</v>
          </cell>
          <cell r="E231" t="str">
            <v>2.6.9</v>
          </cell>
        </row>
        <row r="232">
          <cell r="D232" t="str">
            <v>U0123</v>
          </cell>
          <cell r="E232" t="str">
            <v>2.4.2</v>
          </cell>
        </row>
        <row r="233">
          <cell r="D233" t="str">
            <v>U0127</v>
          </cell>
          <cell r="E233" t="str">
            <v>2.4.2</v>
          </cell>
        </row>
        <row r="234">
          <cell r="D234" t="str">
            <v>U0128</v>
          </cell>
          <cell r="E234" t="str">
            <v>2.4.2</v>
          </cell>
        </row>
        <row r="235">
          <cell r="D235" t="str">
            <v>U0129</v>
          </cell>
          <cell r="E235" t="str">
            <v>3.7.1</v>
          </cell>
        </row>
        <row r="236">
          <cell r="D236" t="str">
            <v>U0130</v>
          </cell>
          <cell r="E236" t="str">
            <v>3.7.1</v>
          </cell>
        </row>
        <row r="237">
          <cell r="D237" t="str">
            <v>U0131</v>
          </cell>
          <cell r="E237" t="str">
            <v>2.4.2</v>
          </cell>
        </row>
        <row r="238">
          <cell r="D238" t="str">
            <v>U0132</v>
          </cell>
          <cell r="E238" t="str">
            <v>2.4.1</v>
          </cell>
        </row>
        <row r="239">
          <cell r="D239" t="str">
            <v>U0134</v>
          </cell>
          <cell r="E239" t="str">
            <v>2.4.1</v>
          </cell>
        </row>
        <row r="240">
          <cell r="D240" t="str">
            <v>U0135</v>
          </cell>
          <cell r="E240" t="str">
            <v>2.7.1</v>
          </cell>
        </row>
        <row r="241">
          <cell r="D241" t="str">
            <v>U0136</v>
          </cell>
          <cell r="E241" t="str">
            <v>2.7.1</v>
          </cell>
        </row>
        <row r="242">
          <cell r="D242" t="str">
            <v>U0140</v>
          </cell>
          <cell r="E242" t="str">
            <v>2.6.1</v>
          </cell>
        </row>
        <row r="243">
          <cell r="D243" t="str">
            <v>U0156</v>
          </cell>
          <cell r="E243" t="str">
            <v>2.2.2</v>
          </cell>
        </row>
        <row r="244">
          <cell r="D244" t="str">
            <v>U0161</v>
          </cell>
          <cell r="E244" t="str">
            <v>2.7.1</v>
          </cell>
        </row>
        <row r="245">
          <cell r="D245" t="str">
            <v>U0187</v>
          </cell>
          <cell r="E245" t="str">
            <v>2.6.8</v>
          </cell>
        </row>
        <row r="246">
          <cell r="D246" t="str">
            <v>U0213</v>
          </cell>
          <cell r="E246" t="str">
            <v>2.6.8</v>
          </cell>
        </row>
        <row r="247">
          <cell r="D247" t="str">
            <v>U0222</v>
          </cell>
          <cell r="E247" t="str">
            <v>2.6.8</v>
          </cell>
        </row>
        <row r="248">
          <cell r="D248" t="str">
            <v>U0223</v>
          </cell>
          <cell r="E248" t="str">
            <v>2.6.8</v>
          </cell>
        </row>
        <row r="249">
          <cell r="D249" t="str">
            <v>U0224</v>
          </cell>
          <cell r="E249" t="str">
            <v>2.6.8</v>
          </cell>
        </row>
        <row r="250">
          <cell r="D250" t="str">
            <v>U0225</v>
          </cell>
          <cell r="E250" t="str">
            <v>2.6.8</v>
          </cell>
        </row>
        <row r="251">
          <cell r="D251" t="str">
            <v>U0226</v>
          </cell>
          <cell r="E251" t="str">
            <v>2.6.8</v>
          </cell>
        </row>
        <row r="252">
          <cell r="D252" t="str">
            <v>U0227</v>
          </cell>
          <cell r="E252" t="str">
            <v>2.6.8</v>
          </cell>
        </row>
        <row r="253">
          <cell r="D253" t="str">
            <v>U0228</v>
          </cell>
          <cell r="E253" t="str">
            <v>2.6.8</v>
          </cell>
        </row>
        <row r="254">
          <cell r="D254" t="str">
            <v>U0229</v>
          </cell>
          <cell r="E254" t="str">
            <v>2.6.8</v>
          </cell>
        </row>
        <row r="255">
          <cell r="D255" t="str">
            <v>U0230</v>
          </cell>
          <cell r="E255" t="str">
            <v>2.6.8</v>
          </cell>
        </row>
        <row r="256">
          <cell r="D256" t="str">
            <v>U0231</v>
          </cell>
          <cell r="E256" t="str">
            <v>2.6.8</v>
          </cell>
        </row>
        <row r="257">
          <cell r="D257" t="str">
            <v>U0232</v>
          </cell>
          <cell r="E257" t="str">
            <v>2.6.9</v>
          </cell>
        </row>
        <row r="258">
          <cell r="D258" t="str">
            <v>U0233</v>
          </cell>
          <cell r="E258" t="str">
            <v>2.6.8</v>
          </cell>
        </row>
        <row r="259">
          <cell r="D259" t="str">
            <v>U0234</v>
          </cell>
          <cell r="E259" t="str">
            <v>2.6.8</v>
          </cell>
        </row>
        <row r="260">
          <cell r="D260" t="str">
            <v>U0235</v>
          </cell>
          <cell r="E260" t="str">
            <v>2.6.8</v>
          </cell>
        </row>
        <row r="261">
          <cell r="D261" t="str">
            <v>U0236</v>
          </cell>
          <cell r="E261" t="str">
            <v>2.4.1</v>
          </cell>
        </row>
        <row r="262">
          <cell r="D262" t="str">
            <v>U0237</v>
          </cell>
          <cell r="E262" t="str">
            <v>2.4.1</v>
          </cell>
        </row>
        <row r="263">
          <cell r="D263" t="str">
            <v>U0238</v>
          </cell>
          <cell r="E263" t="str">
            <v>2.4.1</v>
          </cell>
        </row>
        <row r="264">
          <cell r="D264" t="str">
            <v>U0239</v>
          </cell>
          <cell r="E264" t="str">
            <v>2.4.1</v>
          </cell>
        </row>
        <row r="265">
          <cell r="D265" t="str">
            <v>U0240</v>
          </cell>
          <cell r="E265" t="str">
            <v>2.4.1</v>
          </cell>
        </row>
        <row r="266">
          <cell r="D266" t="str">
            <v>U0241</v>
          </cell>
          <cell r="E266" t="str">
            <v>2.2.5</v>
          </cell>
        </row>
        <row r="267">
          <cell r="D267" t="str">
            <v>U0242</v>
          </cell>
          <cell r="E267" t="str">
            <v>2.2.5</v>
          </cell>
        </row>
        <row r="268">
          <cell r="D268" t="str">
            <v>U0243</v>
          </cell>
          <cell r="E268" t="str">
            <v>2.1.6</v>
          </cell>
        </row>
        <row r="269">
          <cell r="D269" t="str">
            <v>U0244</v>
          </cell>
          <cell r="E269" t="str">
            <v>2.1.6</v>
          </cell>
        </row>
        <row r="270">
          <cell r="D270" t="str">
            <v>U0245</v>
          </cell>
          <cell r="E270" t="str">
            <v>2.1.6</v>
          </cell>
        </row>
        <row r="271">
          <cell r="D271" t="str">
            <v>U0246</v>
          </cell>
          <cell r="E271" t="str">
            <v>2.1.6</v>
          </cell>
        </row>
        <row r="272">
          <cell r="D272" t="str">
            <v>U0247</v>
          </cell>
          <cell r="E272" t="str">
            <v>2.1.6</v>
          </cell>
        </row>
        <row r="273">
          <cell r="D273" t="str">
            <v>U0248</v>
          </cell>
          <cell r="E273" t="str">
            <v>2.1.6</v>
          </cell>
        </row>
        <row r="274">
          <cell r="D274" t="str">
            <v>U0249</v>
          </cell>
          <cell r="E274" t="str">
            <v>1.8.2</v>
          </cell>
        </row>
        <row r="275">
          <cell r="D275" t="str">
            <v>U0250</v>
          </cell>
          <cell r="E275" t="str">
            <v>1.8.2</v>
          </cell>
        </row>
        <row r="276">
          <cell r="D276" t="str">
            <v>U0251</v>
          </cell>
          <cell r="E276" t="str">
            <v>1.8.2</v>
          </cell>
        </row>
        <row r="277">
          <cell r="D277" t="str">
            <v>U0252</v>
          </cell>
          <cell r="E277" t="str">
            <v>1.8.2</v>
          </cell>
        </row>
        <row r="278">
          <cell r="D278" t="str">
            <v>U0253</v>
          </cell>
          <cell r="E278" t="str">
            <v>2.6.3</v>
          </cell>
        </row>
        <row r="279">
          <cell r="D279" t="str">
            <v>U0254</v>
          </cell>
          <cell r="E279" t="str">
            <v>2.6.3</v>
          </cell>
        </row>
        <row r="280">
          <cell r="D280" t="str">
            <v>U0255</v>
          </cell>
          <cell r="E280" t="str">
            <v>2.6.3</v>
          </cell>
        </row>
        <row r="281">
          <cell r="D281" t="str">
            <v>U0256</v>
          </cell>
          <cell r="E281" t="str">
            <v>2.6.3</v>
          </cell>
        </row>
        <row r="282">
          <cell r="D282" t="str">
            <v>U0257</v>
          </cell>
          <cell r="E282" t="str">
            <v>2.6.3</v>
          </cell>
        </row>
        <row r="283">
          <cell r="D283" t="str">
            <v>U0258</v>
          </cell>
          <cell r="E283" t="str">
            <v>2.6.3</v>
          </cell>
        </row>
        <row r="284">
          <cell r="D284" t="str">
            <v>U0263</v>
          </cell>
          <cell r="E284" t="str">
            <v>2.2.2</v>
          </cell>
        </row>
        <row r="285">
          <cell r="D285" t="str">
            <v>U0264</v>
          </cell>
          <cell r="E285" t="str">
            <v>2.2.2</v>
          </cell>
        </row>
        <row r="286">
          <cell r="D286" t="str">
            <v>U0265</v>
          </cell>
          <cell r="E286" t="str">
            <v>2.6.8</v>
          </cell>
        </row>
        <row r="287">
          <cell r="D287" t="str">
            <v>U0266</v>
          </cell>
          <cell r="E287" t="str">
            <v>2.2.2</v>
          </cell>
        </row>
        <row r="288">
          <cell r="D288" t="str">
            <v>U0267</v>
          </cell>
          <cell r="E288" t="str">
            <v>2.2.2</v>
          </cell>
        </row>
        <row r="289">
          <cell r="D289" t="str">
            <v>U0268</v>
          </cell>
          <cell r="E289" t="str">
            <v>1.8.2</v>
          </cell>
        </row>
        <row r="290">
          <cell r="D290" t="str">
            <v>U0269</v>
          </cell>
          <cell r="E290" t="str">
            <v>2.2.2</v>
          </cell>
        </row>
        <row r="291">
          <cell r="D291" t="str">
            <v>U0270</v>
          </cell>
          <cell r="E291" t="str">
            <v>2.1.6</v>
          </cell>
        </row>
        <row r="292">
          <cell r="D292" t="str">
            <v>U0271</v>
          </cell>
          <cell r="E292" t="str">
            <v>2.4.1</v>
          </cell>
        </row>
        <row r="293">
          <cell r="D293" t="str">
            <v>U0275</v>
          </cell>
          <cell r="E293" t="str">
            <v>2.4.1</v>
          </cell>
        </row>
        <row r="294">
          <cell r="D294" t="str">
            <v>U0279</v>
          </cell>
          <cell r="E294" t="str">
            <v>2.2.5</v>
          </cell>
        </row>
        <row r="295">
          <cell r="D295" t="str">
            <v>U0301</v>
          </cell>
          <cell r="E295" t="str">
            <v>2.1.3</v>
          </cell>
        </row>
        <row r="296">
          <cell r="D296" t="str">
            <v>R0191</v>
          </cell>
          <cell r="E296" t="str">
            <v>2.2.1</v>
          </cell>
        </row>
        <row r="297">
          <cell r="D297" t="str">
            <v>U0188</v>
          </cell>
          <cell r="E297" t="str">
            <v>2.2.2</v>
          </cell>
        </row>
        <row r="298">
          <cell r="D298" t="str">
            <v>U0189</v>
          </cell>
          <cell r="E298" t="str">
            <v>2.2.2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G1" t="str">
            <v>Etiquetas de fila</v>
          </cell>
          <cell r="H1" t="str">
            <v>Suma de TERCERA MODIFICACIÓN</v>
          </cell>
        </row>
        <row r="2">
          <cell r="G2">
            <v>1100116</v>
          </cell>
          <cell r="H2">
            <v>9031075.2699999996</v>
          </cell>
        </row>
        <row r="3">
          <cell r="G3">
            <v>1100117</v>
          </cell>
          <cell r="H3">
            <v>10712360.91</v>
          </cell>
        </row>
        <row r="4">
          <cell r="G4">
            <v>1100118</v>
          </cell>
          <cell r="H4">
            <v>62963181.400000006</v>
          </cell>
        </row>
        <row r="5">
          <cell r="G5">
            <v>1100119</v>
          </cell>
          <cell r="H5">
            <v>182778728.71000007</v>
          </cell>
        </row>
        <row r="6">
          <cell r="G6">
            <v>1100120</v>
          </cell>
          <cell r="H6">
            <v>555967333.74000001</v>
          </cell>
        </row>
        <row r="7">
          <cell r="G7">
            <v>1201019</v>
          </cell>
          <cell r="H7">
            <v>0</v>
          </cell>
        </row>
        <row r="8">
          <cell r="G8">
            <v>1201020</v>
          </cell>
          <cell r="H8">
            <v>50000000</v>
          </cell>
        </row>
        <row r="9">
          <cell r="G9">
            <v>1500520</v>
          </cell>
          <cell r="H9">
            <v>672144158.71000051</v>
          </cell>
        </row>
        <row r="10">
          <cell r="G10">
            <v>1701119</v>
          </cell>
          <cell r="H10">
            <v>0</v>
          </cell>
        </row>
        <row r="11">
          <cell r="G11">
            <v>2510119</v>
          </cell>
          <cell r="H11">
            <v>194696.35</v>
          </cell>
        </row>
        <row r="12">
          <cell r="G12">
            <v>2510120</v>
          </cell>
          <cell r="H12">
            <v>99359118</v>
          </cell>
        </row>
        <row r="13">
          <cell r="G13">
            <v>2510220</v>
          </cell>
          <cell r="H13">
            <v>346004145.19999999</v>
          </cell>
        </row>
        <row r="14">
          <cell r="G14">
            <v>2520319</v>
          </cell>
          <cell r="H14">
            <v>1141842.92</v>
          </cell>
        </row>
        <row r="15">
          <cell r="G15">
            <v>2520320</v>
          </cell>
          <cell r="H15">
            <v>17213553</v>
          </cell>
        </row>
        <row r="16">
          <cell r="G16">
            <v>2610117</v>
          </cell>
          <cell r="H16">
            <v>0</v>
          </cell>
        </row>
        <row r="17">
          <cell r="G17">
            <v>2610118</v>
          </cell>
          <cell r="H17">
            <v>7000000</v>
          </cell>
        </row>
        <row r="18">
          <cell r="G18">
            <v>2610119</v>
          </cell>
          <cell r="H18">
            <v>12114805.550000001</v>
          </cell>
        </row>
        <row r="19">
          <cell r="G19">
            <v>2610120</v>
          </cell>
          <cell r="H19">
            <v>149255259.20999995</v>
          </cell>
        </row>
        <row r="20">
          <cell r="G20">
            <v>2610220</v>
          </cell>
          <cell r="H20">
            <v>90458182.030000001</v>
          </cell>
        </row>
        <row r="21">
          <cell r="G21" t="str">
            <v>1.1.2</v>
          </cell>
          <cell r="H21">
            <v>14062905.909999996</v>
          </cell>
        </row>
        <row r="22">
          <cell r="G22" t="str">
            <v>1.2.1</v>
          </cell>
          <cell r="H22">
            <v>2154771.75</v>
          </cell>
        </row>
        <row r="23">
          <cell r="G23" t="str">
            <v>1.2.2</v>
          </cell>
          <cell r="H23">
            <v>4597626.4399999995</v>
          </cell>
        </row>
        <row r="24">
          <cell r="G24" t="str">
            <v>1.3.1</v>
          </cell>
          <cell r="H24">
            <v>34273469.31000001</v>
          </cell>
        </row>
        <row r="25">
          <cell r="G25" t="str">
            <v>1.3.2</v>
          </cell>
          <cell r="H25">
            <v>27982228.869999997</v>
          </cell>
        </row>
        <row r="26">
          <cell r="G26" t="str">
            <v>1.3.3</v>
          </cell>
          <cell r="H26">
            <v>14366067.73</v>
          </cell>
        </row>
        <row r="27">
          <cell r="G27" t="str">
            <v>1.3.5</v>
          </cell>
          <cell r="H27">
            <v>14230074.289999999</v>
          </cell>
        </row>
        <row r="28">
          <cell r="G28" t="str">
            <v>1.4.1</v>
          </cell>
          <cell r="H28">
            <v>5840893.0599999996</v>
          </cell>
        </row>
        <row r="29">
          <cell r="G29" t="str">
            <v>1.5.1</v>
          </cell>
          <cell r="H29">
            <v>905201.36</v>
          </cell>
        </row>
        <row r="30">
          <cell r="G30" t="str">
            <v>1.5.2</v>
          </cell>
          <cell r="H30">
            <v>67515805.760000005</v>
          </cell>
        </row>
        <row r="31">
          <cell r="G31" t="str">
            <v>1.7.1</v>
          </cell>
          <cell r="H31">
            <v>490961815.58000004</v>
          </cell>
        </row>
        <row r="32">
          <cell r="G32" t="str">
            <v>1.7.2</v>
          </cell>
          <cell r="H32">
            <v>31787036.170000002</v>
          </cell>
        </row>
        <row r="33">
          <cell r="G33" t="str">
            <v>1.7.3</v>
          </cell>
          <cell r="H33">
            <v>72920.5</v>
          </cell>
        </row>
        <row r="34">
          <cell r="G34" t="str">
            <v>1.8.2</v>
          </cell>
          <cell r="H34">
            <v>13546401.84</v>
          </cell>
        </row>
        <row r="35">
          <cell r="G35" t="str">
            <v>1.8.3</v>
          </cell>
          <cell r="H35">
            <v>20711516.690000001</v>
          </cell>
        </row>
        <row r="36">
          <cell r="G36" t="str">
            <v>1.8.4</v>
          </cell>
          <cell r="H36">
            <v>2457110.2599999998</v>
          </cell>
        </row>
        <row r="37">
          <cell r="G37" t="str">
            <v>1.8.5</v>
          </cell>
          <cell r="H37">
            <v>152614877.31000003</v>
          </cell>
        </row>
        <row r="38">
          <cell r="G38" t="str">
            <v>2.1.1</v>
          </cell>
          <cell r="H38">
            <v>89436561.13000001</v>
          </cell>
        </row>
        <row r="39">
          <cell r="G39" t="str">
            <v>2.1.3</v>
          </cell>
          <cell r="H39">
            <v>11000000</v>
          </cell>
        </row>
        <row r="40">
          <cell r="G40" t="str">
            <v>2.1.4</v>
          </cell>
          <cell r="H40">
            <v>100000</v>
          </cell>
        </row>
        <row r="41">
          <cell r="G41" t="str">
            <v>2.1.6</v>
          </cell>
          <cell r="H41">
            <v>19882959.849999998</v>
          </cell>
        </row>
        <row r="42">
          <cell r="G42" t="str">
            <v>2.2.1</v>
          </cell>
          <cell r="H42">
            <v>513052072.97000003</v>
          </cell>
        </row>
        <row r="43">
          <cell r="G43" t="str">
            <v>2.2.2</v>
          </cell>
          <cell r="H43">
            <v>171299091.88</v>
          </cell>
        </row>
        <row r="44">
          <cell r="G44" t="str">
            <v>2.2.3</v>
          </cell>
          <cell r="H44">
            <v>5160698.24</v>
          </cell>
        </row>
        <row r="45">
          <cell r="G45" t="str">
            <v>2.2.4</v>
          </cell>
          <cell r="H45">
            <v>105043488.67</v>
          </cell>
        </row>
        <row r="46">
          <cell r="G46" t="str">
            <v>2.2.5</v>
          </cell>
          <cell r="H46">
            <v>11541024.140000001</v>
          </cell>
        </row>
        <row r="47">
          <cell r="G47" t="str">
            <v>2.2.6</v>
          </cell>
          <cell r="H47">
            <v>84358606.930000007</v>
          </cell>
        </row>
        <row r="48">
          <cell r="G48" t="str">
            <v>2.3.1</v>
          </cell>
          <cell r="H48">
            <v>9333223.9700000007</v>
          </cell>
        </row>
        <row r="49">
          <cell r="G49" t="str">
            <v>2.4.1</v>
          </cell>
          <cell r="H49">
            <v>32306089</v>
          </cell>
        </row>
        <row r="50">
          <cell r="G50" t="str">
            <v>2.4.2</v>
          </cell>
          <cell r="H50">
            <v>31142600</v>
          </cell>
        </row>
        <row r="51">
          <cell r="G51" t="str">
            <v>2.5.6</v>
          </cell>
          <cell r="H51">
            <v>14606008.379999999</v>
          </cell>
        </row>
        <row r="52">
          <cell r="G52" t="str">
            <v>2.6.1</v>
          </cell>
          <cell r="H52">
            <v>3200000</v>
          </cell>
        </row>
        <row r="53">
          <cell r="G53" t="str">
            <v>2.6.3</v>
          </cell>
          <cell r="H53">
            <v>3662664</v>
          </cell>
        </row>
        <row r="54">
          <cell r="G54" t="str">
            <v>2.6.9</v>
          </cell>
          <cell r="H54">
            <v>37202336</v>
          </cell>
        </row>
        <row r="55">
          <cell r="G55" t="str">
            <v>2.7.1</v>
          </cell>
          <cell r="H55">
            <v>33164343.390000001</v>
          </cell>
        </row>
        <row r="56">
          <cell r="G56" t="str">
            <v>3.1.1</v>
          </cell>
          <cell r="H56">
            <v>22415644.640000001</v>
          </cell>
        </row>
        <row r="57">
          <cell r="G57" t="str">
            <v>3.5.6</v>
          </cell>
          <cell r="H57">
            <v>103297445.66</v>
          </cell>
        </row>
        <row r="58">
          <cell r="G58" t="str">
            <v>3.6.1</v>
          </cell>
          <cell r="H58">
            <v>19293573.859999999</v>
          </cell>
        </row>
        <row r="59">
          <cell r="G59" t="str">
            <v>3.7.1</v>
          </cell>
          <cell r="H59">
            <v>5197037</v>
          </cell>
        </row>
        <row r="60">
          <cell r="G60" t="str">
            <v>4.1.1</v>
          </cell>
          <cell r="H60">
            <v>42562248.460000001</v>
          </cell>
        </row>
        <row r="61">
          <cell r="G61" t="str">
            <v>#N/A</v>
          </cell>
          <cell r="H61">
            <v>0</v>
          </cell>
        </row>
        <row r="62">
          <cell r="G62" t="str">
            <v>(en blanco)</v>
          </cell>
          <cell r="H62">
            <v>4532676882.0000019</v>
          </cell>
        </row>
        <row r="63">
          <cell r="G63" t="str">
            <v>Total general</v>
          </cell>
          <cell r="H63">
            <v>9065353764.0000038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2"/>
      <sheetName val="ANALÍTICO INGRESOS"/>
      <sheetName val="remanentes"/>
      <sheetName val="PRESUPUESTO A DICIEMBRE "/>
      <sheetName val="PRESUPUESTADOS 2021"/>
      <sheetName val="Hoja1"/>
    </sheetNames>
    <sheetDataSet>
      <sheetData sheetId="0">
        <row r="3">
          <cell r="M3" t="str">
            <v>Etiquetas de fila</v>
          </cell>
        </row>
      </sheetData>
      <sheetData sheetId="1">
        <row r="3">
          <cell r="A3" t="str">
            <v>Etiquetas de fila</v>
          </cell>
          <cell r="B3" t="str">
            <v>Suma de Cierre de ejercicio 2020</v>
          </cell>
          <cell r="D3" t="str">
            <v>Etiquetas de fila</v>
          </cell>
          <cell r="E3" t="str">
            <v>Suma de PRESUPUESTO AL CIERRE DE EJERCICIO</v>
          </cell>
        </row>
        <row r="4">
          <cell r="A4">
            <v>1100116</v>
          </cell>
          <cell r="B4">
            <v>3937604.88</v>
          </cell>
          <cell r="D4">
            <v>1100116</v>
          </cell>
          <cell r="E4">
            <v>3937604.88</v>
          </cell>
        </row>
        <row r="5">
          <cell r="A5">
            <v>1100117</v>
          </cell>
          <cell r="B5">
            <v>2612751.64</v>
          </cell>
          <cell r="D5">
            <v>1100117</v>
          </cell>
          <cell r="E5">
            <v>2612751.64</v>
          </cell>
        </row>
        <row r="6">
          <cell r="A6">
            <v>1100118</v>
          </cell>
          <cell r="B6">
            <v>45395857.859999999</v>
          </cell>
          <cell r="D6">
            <v>1100118</v>
          </cell>
          <cell r="E6">
            <v>45395857.859999999</v>
          </cell>
        </row>
        <row r="7">
          <cell r="A7">
            <v>1100119</v>
          </cell>
          <cell r="B7">
            <v>111270975.70999999</v>
          </cell>
          <cell r="D7">
            <v>1100119</v>
          </cell>
          <cell r="E7">
            <v>111270975.70999999</v>
          </cell>
        </row>
        <row r="8">
          <cell r="A8">
            <v>1100120</v>
          </cell>
          <cell r="B8">
            <v>587596733.25999987</v>
          </cell>
          <cell r="D8">
            <v>1100120</v>
          </cell>
          <cell r="E8">
            <v>399098398.41000026</v>
          </cell>
        </row>
        <row r="9">
          <cell r="A9">
            <v>1201019</v>
          </cell>
          <cell r="B9">
            <v>0</v>
          </cell>
          <cell r="D9">
            <v>1201019</v>
          </cell>
          <cell r="E9">
            <v>0</v>
          </cell>
        </row>
        <row r="10">
          <cell r="A10">
            <v>1201020</v>
          </cell>
          <cell r="B10">
            <v>0</v>
          </cell>
          <cell r="D10">
            <v>1500520</v>
          </cell>
          <cell r="E10">
            <v>727855309.38000011</v>
          </cell>
        </row>
        <row r="11">
          <cell r="A11">
            <v>1500520</v>
          </cell>
          <cell r="B11">
            <v>727855309.38</v>
          </cell>
          <cell r="D11">
            <v>1701119</v>
          </cell>
          <cell r="E11">
            <v>-384693.64</v>
          </cell>
        </row>
        <row r="12">
          <cell r="A12">
            <v>2510119</v>
          </cell>
          <cell r="B12">
            <v>0</v>
          </cell>
          <cell r="D12">
            <v>2510119</v>
          </cell>
          <cell r="E12">
            <v>0</v>
          </cell>
        </row>
        <row r="13">
          <cell r="A13">
            <v>2510120</v>
          </cell>
          <cell r="B13">
            <v>98783184.75</v>
          </cell>
          <cell r="D13">
            <v>2510120</v>
          </cell>
          <cell r="E13">
            <v>98783184.75</v>
          </cell>
        </row>
        <row r="14">
          <cell r="A14">
            <v>2510220</v>
          </cell>
          <cell r="B14">
            <v>345663542.30000001</v>
          </cell>
          <cell r="D14">
            <v>2510220</v>
          </cell>
          <cell r="E14">
            <v>345663542.30000001</v>
          </cell>
        </row>
        <row r="15">
          <cell r="A15">
            <v>2520319</v>
          </cell>
          <cell r="B15">
            <v>1141747.92</v>
          </cell>
          <cell r="D15">
            <v>2520319</v>
          </cell>
          <cell r="E15">
            <v>1141747.92</v>
          </cell>
        </row>
        <row r="16">
          <cell r="A16">
            <v>2520320</v>
          </cell>
          <cell r="B16">
            <v>17213553</v>
          </cell>
          <cell r="D16">
            <v>2520320</v>
          </cell>
          <cell r="E16">
            <v>17201287.239999998</v>
          </cell>
        </row>
        <row r="17">
          <cell r="A17">
            <v>2610118</v>
          </cell>
          <cell r="B17">
            <v>6999999.8499999996</v>
          </cell>
          <cell r="D17">
            <v>2610117</v>
          </cell>
          <cell r="E17">
            <v>0</v>
          </cell>
        </row>
        <row r="18">
          <cell r="A18">
            <v>2610119</v>
          </cell>
          <cell r="B18">
            <v>12112828.140000001</v>
          </cell>
          <cell r="D18">
            <v>2610118</v>
          </cell>
          <cell r="E18">
            <v>6999999.8499999996</v>
          </cell>
        </row>
        <row r="19">
          <cell r="A19">
            <v>2610120</v>
          </cell>
          <cell r="B19">
            <v>183978787.64000002</v>
          </cell>
          <cell r="D19">
            <v>2610119</v>
          </cell>
          <cell r="E19">
            <v>12112828.140000001</v>
          </cell>
        </row>
        <row r="20">
          <cell r="A20">
            <v>2610220</v>
          </cell>
          <cell r="B20">
            <v>88046233.620000005</v>
          </cell>
          <cell r="D20">
            <v>2610120</v>
          </cell>
          <cell r="E20">
            <v>183213658.18999997</v>
          </cell>
        </row>
        <row r="21">
          <cell r="A21">
            <v>2610717</v>
          </cell>
          <cell r="B21">
            <v>0</v>
          </cell>
          <cell r="D21">
            <v>2610220</v>
          </cell>
          <cell r="E21">
            <v>83729556.640000001</v>
          </cell>
        </row>
        <row r="22">
          <cell r="A22">
            <v>2610718</v>
          </cell>
          <cell r="B22">
            <v>0</v>
          </cell>
          <cell r="D22" t="str">
            <v>(en blanco)</v>
          </cell>
          <cell r="E22">
            <v>6115896027.8099976</v>
          </cell>
        </row>
        <row r="23">
          <cell r="A23">
            <v>2610719</v>
          </cell>
          <cell r="B23">
            <v>0</v>
          </cell>
          <cell r="D23" t="str">
            <v>Total general</v>
          </cell>
          <cell r="E23">
            <v>8154528037.079998</v>
          </cell>
        </row>
        <row r="24">
          <cell r="A24">
            <v>2610720</v>
          </cell>
          <cell r="B24">
            <v>0</v>
          </cell>
        </row>
        <row r="25">
          <cell r="A25" t="str">
            <v>(en blanco)</v>
          </cell>
          <cell r="B25">
            <v>7237283708.8499994</v>
          </cell>
        </row>
        <row r="26">
          <cell r="A26" t="str">
            <v>Total general</v>
          </cell>
          <cell r="B26">
            <v>9469892818.7999992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D4E14A-5392-4AB1-8D9D-A0908393AC58}" name="Tabla2" displayName="Tabla2" ref="A5:C215" totalsRowCount="1" headerRowDxfId="18" dataDxfId="17" totalsRowDxfId="16">
  <autoFilter ref="A5:C214" xr:uid="{82D4E14A-5392-4AB1-8D9D-A0908393AC58}"/>
  <sortState xmlns:xlrd2="http://schemas.microsoft.com/office/spreadsheetml/2017/richdata2" ref="A6:C213">
    <sortCondition ref="A5:A213"/>
  </sortState>
  <tableColumns count="3">
    <tableColumn id="1" xr3:uid="{D96096B6-DBCA-47FA-83EC-1505A12CEB45}" name="PARTIDA" dataDxfId="15" totalsRowDxfId="14"/>
    <tableColumn id="2" xr3:uid="{A1900832-5ED6-40F7-981B-23A51D52353A}" name="DENOMINACIÓN" totalsRowLabel="TOTAL EGRESOS" dataDxfId="13" totalsRowDxfId="12"/>
    <tableColumn id="3" xr3:uid="{0A9736EC-B093-4FFB-BF3C-8574D8337328}" name="PRESUPUESTO" totalsRowFunction="custom" dataDxfId="11" totalsRowDxfId="10">
      <totalsRowFormula>SUBTOTAL(9,$C$6,$C$36,$C$86,$C$156,$C$178,$C$201,$C$209)</totalsRow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14696-C984-4312-B5BC-C97026A2D38C}">
  <sheetPr codeName="Hoja9"/>
  <dimension ref="A1:E215"/>
  <sheetViews>
    <sheetView tabSelected="1" zoomScaleNormal="100" workbookViewId="0">
      <selection activeCell="F15" sqref="F15"/>
    </sheetView>
  </sheetViews>
  <sheetFormatPr baseColWidth="10" defaultRowHeight="14.25" x14ac:dyDescent="0.2"/>
  <cols>
    <col min="1" max="1" width="11" style="331"/>
    <col min="2" max="2" width="61.125" style="333" customWidth="1"/>
    <col min="3" max="3" width="19.25" style="332" bestFit="1" customWidth="1"/>
    <col min="5" max="5" width="12.375" bestFit="1" customWidth="1"/>
  </cols>
  <sheetData>
    <row r="1" spans="1:5" ht="15" x14ac:dyDescent="0.2">
      <c r="A1" s="400" t="s">
        <v>411</v>
      </c>
      <c r="B1" s="400"/>
      <c r="C1" s="400"/>
    </row>
    <row r="2" spans="1:5" ht="15" x14ac:dyDescent="0.2">
      <c r="A2" s="400" t="s">
        <v>1496</v>
      </c>
      <c r="B2" s="400"/>
      <c r="C2" s="400"/>
    </row>
    <row r="3" spans="1:5" ht="15" x14ac:dyDescent="0.2">
      <c r="A3" s="400" t="s">
        <v>1495</v>
      </c>
      <c r="B3" s="400"/>
      <c r="C3" s="400"/>
    </row>
    <row r="4" spans="1:5" ht="15" x14ac:dyDescent="0.2">
      <c r="A4" s="401" t="s">
        <v>1</v>
      </c>
      <c r="B4" s="402"/>
      <c r="C4" s="370">
        <f>SUBTOTAL(9,$C$6,$C$36,$C$86,$C$156,$C$178,$C$201,$C$209)</f>
        <v>2011939329.9997604</v>
      </c>
      <c r="D4" s="369"/>
    </row>
    <row r="5" spans="1:5" x14ac:dyDescent="0.2">
      <c r="A5" s="337" t="s">
        <v>1133</v>
      </c>
      <c r="B5" s="368" t="s">
        <v>0</v>
      </c>
      <c r="C5" s="371" t="s">
        <v>1119</v>
      </c>
    </row>
    <row r="6" spans="1:5" ht="15" x14ac:dyDescent="0.2">
      <c r="A6" s="338">
        <v>1000</v>
      </c>
      <c r="B6" s="339" t="s">
        <v>23</v>
      </c>
      <c r="C6" s="340">
        <v>929480413.54999995</v>
      </c>
    </row>
    <row r="7" spans="1:5" ht="15" x14ac:dyDescent="0.2">
      <c r="A7" s="341">
        <v>1100</v>
      </c>
      <c r="B7" s="342" t="s">
        <v>1134</v>
      </c>
      <c r="C7" s="343">
        <v>298114708.75999999</v>
      </c>
    </row>
    <row r="8" spans="1:5" x14ac:dyDescent="0.2">
      <c r="A8" s="344">
        <v>1131</v>
      </c>
      <c r="B8" s="345" t="s">
        <v>6</v>
      </c>
      <c r="C8" s="346">
        <v>77525774.069999993</v>
      </c>
      <c r="E8" s="327"/>
    </row>
    <row r="9" spans="1:5" x14ac:dyDescent="0.2">
      <c r="A9" s="344">
        <v>1132</v>
      </c>
      <c r="B9" s="345" t="s">
        <v>8</v>
      </c>
      <c r="C9" s="346">
        <v>220588934.69</v>
      </c>
    </row>
    <row r="10" spans="1:5" ht="15" x14ac:dyDescent="0.2">
      <c r="A10" s="341">
        <v>1200</v>
      </c>
      <c r="B10" s="342" t="s">
        <v>1135</v>
      </c>
      <c r="C10" s="343">
        <v>172944963.96000001</v>
      </c>
    </row>
    <row r="11" spans="1:5" x14ac:dyDescent="0.2">
      <c r="A11" s="344">
        <v>1212</v>
      </c>
      <c r="B11" s="345" t="s">
        <v>53</v>
      </c>
      <c r="C11" s="346">
        <v>172692608.96000001</v>
      </c>
    </row>
    <row r="12" spans="1:5" x14ac:dyDescent="0.2">
      <c r="A12" s="344">
        <v>1221</v>
      </c>
      <c r="B12" s="345" t="s">
        <v>232</v>
      </c>
      <c r="C12" s="346">
        <v>252355</v>
      </c>
    </row>
    <row r="13" spans="1:5" ht="15" x14ac:dyDescent="0.2">
      <c r="A13" s="341">
        <v>1300</v>
      </c>
      <c r="B13" s="342" t="s">
        <v>1136</v>
      </c>
      <c r="C13" s="343">
        <v>80031205.189999998</v>
      </c>
    </row>
    <row r="14" spans="1:5" x14ac:dyDescent="0.2">
      <c r="A14" s="344">
        <v>1321</v>
      </c>
      <c r="B14" s="345" t="s">
        <v>9</v>
      </c>
      <c r="C14" s="346">
        <v>17164189.550000001</v>
      </c>
    </row>
    <row r="15" spans="1:5" x14ac:dyDescent="0.2">
      <c r="A15" s="344">
        <v>1322</v>
      </c>
      <c r="B15" s="345" t="s">
        <v>182</v>
      </c>
      <c r="C15" s="346">
        <v>1105882.6900000002</v>
      </c>
    </row>
    <row r="16" spans="1:5" x14ac:dyDescent="0.2">
      <c r="A16" s="344">
        <v>1323</v>
      </c>
      <c r="B16" s="345" t="s">
        <v>11</v>
      </c>
      <c r="C16" s="346">
        <v>58575560.049999982</v>
      </c>
    </row>
    <row r="17" spans="1:3" x14ac:dyDescent="0.2">
      <c r="A17" s="344">
        <v>1331</v>
      </c>
      <c r="B17" s="345" t="s">
        <v>183</v>
      </c>
      <c r="C17" s="346">
        <v>3059639.4</v>
      </c>
    </row>
    <row r="18" spans="1:3" x14ac:dyDescent="0.2">
      <c r="A18" s="344">
        <v>1342</v>
      </c>
      <c r="B18" s="345" t="s">
        <v>215</v>
      </c>
      <c r="C18" s="346">
        <v>125933.5</v>
      </c>
    </row>
    <row r="19" spans="1:3" ht="15" x14ac:dyDescent="0.2">
      <c r="A19" s="341">
        <v>1400</v>
      </c>
      <c r="B19" s="342" t="s">
        <v>1137</v>
      </c>
      <c r="C19" s="343">
        <v>184559928.61999997</v>
      </c>
    </row>
    <row r="20" spans="1:3" x14ac:dyDescent="0.2">
      <c r="A20" s="344">
        <v>1413</v>
      </c>
      <c r="B20" s="345" t="s">
        <v>13</v>
      </c>
      <c r="C20" s="346">
        <v>105013084.23999998</v>
      </c>
    </row>
    <row r="21" spans="1:3" x14ac:dyDescent="0.2">
      <c r="A21" s="344">
        <v>1421</v>
      </c>
      <c r="B21" s="345" t="s">
        <v>15</v>
      </c>
      <c r="C21" s="346">
        <v>34615263.529999994</v>
      </c>
    </row>
    <row r="22" spans="1:3" x14ac:dyDescent="0.2">
      <c r="A22" s="344">
        <v>1431</v>
      </c>
      <c r="B22" s="345" t="s">
        <v>16</v>
      </c>
      <c r="C22" s="346">
        <v>34510802.899999999</v>
      </c>
    </row>
    <row r="23" spans="1:3" x14ac:dyDescent="0.2">
      <c r="A23" s="344">
        <v>1441</v>
      </c>
      <c r="B23" s="345" t="s">
        <v>216</v>
      </c>
      <c r="C23" s="346">
        <v>10420777.949999999</v>
      </c>
    </row>
    <row r="24" spans="1:3" ht="15" x14ac:dyDescent="0.2">
      <c r="A24" s="341">
        <v>1500</v>
      </c>
      <c r="B24" s="342" t="s">
        <v>1138</v>
      </c>
      <c r="C24" s="343">
        <v>170547147.58999994</v>
      </c>
    </row>
    <row r="25" spans="1:3" x14ac:dyDescent="0.2">
      <c r="A25" s="344">
        <v>1511</v>
      </c>
      <c r="B25" s="345" t="s">
        <v>18</v>
      </c>
      <c r="C25" s="346">
        <v>4185073.919999999</v>
      </c>
    </row>
    <row r="26" spans="1:3" x14ac:dyDescent="0.2">
      <c r="A26" s="344">
        <v>1522</v>
      </c>
      <c r="B26" s="345" t="s">
        <v>233</v>
      </c>
      <c r="C26" s="346">
        <v>17800000</v>
      </c>
    </row>
    <row r="27" spans="1:3" x14ac:dyDescent="0.2">
      <c r="A27" s="344">
        <v>1531</v>
      </c>
      <c r="B27" s="345" t="s">
        <v>38</v>
      </c>
      <c r="C27" s="346">
        <v>746105.91</v>
      </c>
    </row>
    <row r="28" spans="1:3" x14ac:dyDescent="0.2">
      <c r="A28" s="344">
        <v>1541</v>
      </c>
      <c r="B28" s="345" t="s">
        <v>19</v>
      </c>
      <c r="C28" s="346">
        <v>45334419.589999989</v>
      </c>
    </row>
    <row r="29" spans="1:3" x14ac:dyDescent="0.2">
      <c r="A29" s="344">
        <v>1591</v>
      </c>
      <c r="B29" s="345" t="s">
        <v>184</v>
      </c>
      <c r="C29" s="346">
        <v>1921773</v>
      </c>
    </row>
    <row r="30" spans="1:3" x14ac:dyDescent="0.2">
      <c r="A30" s="344">
        <v>1592</v>
      </c>
      <c r="B30" s="345" t="s">
        <v>20</v>
      </c>
      <c r="C30" s="346">
        <v>88135912.319999963</v>
      </c>
    </row>
    <row r="31" spans="1:3" x14ac:dyDescent="0.2">
      <c r="A31" s="344">
        <v>1593</v>
      </c>
      <c r="B31" s="345" t="s">
        <v>322</v>
      </c>
      <c r="C31" s="346">
        <v>12423862.85</v>
      </c>
    </row>
    <row r="32" spans="1:3" ht="15" x14ac:dyDescent="0.2">
      <c r="A32" s="341">
        <v>1600</v>
      </c>
      <c r="B32" s="342" t="s">
        <v>1139</v>
      </c>
      <c r="C32" s="343">
        <v>23068811.43</v>
      </c>
    </row>
    <row r="33" spans="1:3" x14ac:dyDescent="0.2">
      <c r="A33" s="344">
        <v>1611</v>
      </c>
      <c r="B33" s="345" t="s">
        <v>217</v>
      </c>
      <c r="C33" s="346">
        <v>23068811.43</v>
      </c>
    </row>
    <row r="34" spans="1:3" ht="15" x14ac:dyDescent="0.2">
      <c r="A34" s="341">
        <v>1700</v>
      </c>
      <c r="B34" s="342" t="s">
        <v>1140</v>
      </c>
      <c r="C34" s="343">
        <v>213648</v>
      </c>
    </row>
    <row r="35" spans="1:3" x14ac:dyDescent="0.2">
      <c r="A35" s="344">
        <v>1711</v>
      </c>
      <c r="B35" s="345" t="s">
        <v>218</v>
      </c>
      <c r="C35" s="346">
        <v>213648</v>
      </c>
    </row>
    <row r="36" spans="1:3" ht="15" x14ac:dyDescent="0.2">
      <c r="A36" s="338">
        <v>2000</v>
      </c>
      <c r="B36" s="339" t="s">
        <v>1334</v>
      </c>
      <c r="C36" s="340">
        <v>151637789.44</v>
      </c>
    </row>
    <row r="37" spans="1:3" ht="30" x14ac:dyDescent="0.2">
      <c r="A37" s="341">
        <v>2100</v>
      </c>
      <c r="B37" s="342" t="s">
        <v>1141</v>
      </c>
      <c r="C37" s="343">
        <v>7446967.29</v>
      </c>
    </row>
    <row r="38" spans="1:3" x14ac:dyDescent="0.2">
      <c r="A38" s="344">
        <v>2111</v>
      </c>
      <c r="B38" s="345" t="s">
        <v>22</v>
      </c>
      <c r="C38" s="346">
        <v>1659869.11</v>
      </c>
    </row>
    <row r="39" spans="1:3" x14ac:dyDescent="0.2">
      <c r="A39" s="344">
        <v>2112</v>
      </c>
      <c r="B39" s="345" t="s">
        <v>39</v>
      </c>
      <c r="C39" s="346">
        <v>976248.25</v>
      </c>
    </row>
    <row r="40" spans="1:3" x14ac:dyDescent="0.2">
      <c r="A40" s="344">
        <v>2121</v>
      </c>
      <c r="B40" s="345" t="s">
        <v>24</v>
      </c>
      <c r="C40" s="346">
        <v>1321083.1299999999</v>
      </c>
    </row>
    <row r="41" spans="1:3" x14ac:dyDescent="0.2">
      <c r="A41" s="344">
        <v>2142</v>
      </c>
      <c r="B41" s="345" t="s">
        <v>170</v>
      </c>
      <c r="C41" s="346">
        <v>12330.8</v>
      </c>
    </row>
    <row r="42" spans="1:3" x14ac:dyDescent="0.2">
      <c r="A42" s="344">
        <v>2151</v>
      </c>
      <c r="B42" s="345" t="s">
        <v>25</v>
      </c>
      <c r="C42" s="346">
        <v>6500</v>
      </c>
    </row>
    <row r="43" spans="1:3" x14ac:dyDescent="0.2">
      <c r="A43" s="344">
        <v>2161</v>
      </c>
      <c r="B43" s="345" t="s">
        <v>59</v>
      </c>
      <c r="C43" s="346">
        <v>1601436</v>
      </c>
    </row>
    <row r="44" spans="1:3" x14ac:dyDescent="0.2">
      <c r="A44" s="344">
        <v>2171</v>
      </c>
      <c r="B44" s="345" t="s">
        <v>174</v>
      </c>
      <c r="C44" s="346">
        <v>330000</v>
      </c>
    </row>
    <row r="45" spans="1:3" x14ac:dyDescent="0.2">
      <c r="A45" s="344">
        <v>2182</v>
      </c>
      <c r="B45" s="345" t="s">
        <v>203</v>
      </c>
      <c r="C45" s="346">
        <v>1539500</v>
      </c>
    </row>
    <row r="46" spans="1:3" ht="15" x14ac:dyDescent="0.2">
      <c r="A46" s="341">
        <v>2200</v>
      </c>
      <c r="B46" s="342" t="s">
        <v>1142</v>
      </c>
      <c r="C46" s="343">
        <v>13433000</v>
      </c>
    </row>
    <row r="47" spans="1:3" ht="28.5" x14ac:dyDescent="0.2">
      <c r="A47" s="344">
        <v>2211</v>
      </c>
      <c r="B47" s="345" t="s">
        <v>323</v>
      </c>
      <c r="C47" s="346">
        <v>8500000</v>
      </c>
    </row>
    <row r="48" spans="1:3" ht="28.5" x14ac:dyDescent="0.2">
      <c r="A48" s="344">
        <v>2212</v>
      </c>
      <c r="B48" s="345" t="s">
        <v>40</v>
      </c>
      <c r="C48" s="346">
        <v>4533000</v>
      </c>
    </row>
    <row r="49" spans="1:3" x14ac:dyDescent="0.2">
      <c r="A49" s="344">
        <v>2221</v>
      </c>
      <c r="B49" s="345" t="s">
        <v>152</v>
      </c>
      <c r="C49" s="346">
        <v>380000</v>
      </c>
    </row>
    <row r="50" spans="1:3" x14ac:dyDescent="0.2">
      <c r="A50" s="344">
        <v>2231</v>
      </c>
      <c r="B50" s="345" t="s">
        <v>114</v>
      </c>
      <c r="C50" s="346">
        <v>20000</v>
      </c>
    </row>
    <row r="51" spans="1:3" ht="30" x14ac:dyDescent="0.2">
      <c r="A51" s="341">
        <v>2300</v>
      </c>
      <c r="B51" s="342" t="s">
        <v>1143</v>
      </c>
      <c r="C51" s="343">
        <v>870000</v>
      </c>
    </row>
    <row r="52" spans="1:3" x14ac:dyDescent="0.2">
      <c r="A52" s="344">
        <v>2312</v>
      </c>
      <c r="B52" s="345" t="s">
        <v>371</v>
      </c>
      <c r="C52" s="346">
        <v>70000</v>
      </c>
    </row>
    <row r="53" spans="1:3" x14ac:dyDescent="0.2">
      <c r="A53" s="344">
        <v>2391</v>
      </c>
      <c r="B53" s="345" t="s">
        <v>110</v>
      </c>
      <c r="C53" s="346">
        <v>800000</v>
      </c>
    </row>
    <row r="54" spans="1:3" ht="30" x14ac:dyDescent="0.2">
      <c r="A54" s="341">
        <v>2400</v>
      </c>
      <c r="B54" s="342" t="s">
        <v>1144</v>
      </c>
      <c r="C54" s="343">
        <v>41286228.149999999</v>
      </c>
    </row>
    <row r="55" spans="1:3" x14ac:dyDescent="0.2">
      <c r="A55" s="344">
        <v>2411</v>
      </c>
      <c r="B55" s="345" t="s">
        <v>130</v>
      </c>
      <c r="C55" s="346">
        <v>110000</v>
      </c>
    </row>
    <row r="56" spans="1:3" x14ac:dyDescent="0.2">
      <c r="A56" s="344">
        <v>2421</v>
      </c>
      <c r="B56" s="345" t="s">
        <v>111</v>
      </c>
      <c r="C56" s="346">
        <v>1387474</v>
      </c>
    </row>
    <row r="57" spans="1:3" x14ac:dyDescent="0.2">
      <c r="A57" s="344">
        <v>2431</v>
      </c>
      <c r="B57" s="345" t="s">
        <v>1130</v>
      </c>
      <c r="C57" s="346">
        <v>20000</v>
      </c>
    </row>
    <row r="58" spans="1:3" x14ac:dyDescent="0.2">
      <c r="A58" s="344">
        <v>2441</v>
      </c>
      <c r="B58" s="345" t="s">
        <v>291</v>
      </c>
      <c r="C58" s="346">
        <v>30000</v>
      </c>
    </row>
    <row r="59" spans="1:3" x14ac:dyDescent="0.2">
      <c r="A59" s="344">
        <v>2461</v>
      </c>
      <c r="B59" s="345" t="s">
        <v>115</v>
      </c>
      <c r="C59" s="346">
        <v>6693916.21</v>
      </c>
    </row>
    <row r="60" spans="1:3" x14ac:dyDescent="0.2">
      <c r="A60" s="344">
        <v>2481</v>
      </c>
      <c r="B60" s="345" t="s">
        <v>292</v>
      </c>
      <c r="C60" s="346">
        <v>17666430</v>
      </c>
    </row>
    <row r="61" spans="1:3" x14ac:dyDescent="0.2">
      <c r="A61" s="344">
        <v>2491</v>
      </c>
      <c r="B61" s="345" t="s">
        <v>41</v>
      </c>
      <c r="C61" s="346">
        <v>8253407.9399999995</v>
      </c>
    </row>
    <row r="62" spans="1:3" x14ac:dyDescent="0.2">
      <c r="A62" s="344">
        <v>2492</v>
      </c>
      <c r="B62" s="345" t="s">
        <v>333</v>
      </c>
      <c r="C62" s="346">
        <v>4000000</v>
      </c>
    </row>
    <row r="63" spans="1:3" x14ac:dyDescent="0.2">
      <c r="A63" s="344">
        <v>2493</v>
      </c>
      <c r="B63" s="345" t="s">
        <v>335</v>
      </c>
      <c r="C63" s="346">
        <v>3124999.9999999995</v>
      </c>
    </row>
    <row r="64" spans="1:3" ht="15" x14ac:dyDescent="0.2">
      <c r="A64" s="341">
        <v>2500</v>
      </c>
      <c r="B64" s="342" t="s">
        <v>1145</v>
      </c>
      <c r="C64" s="343">
        <v>1982000</v>
      </c>
    </row>
    <row r="65" spans="1:3" x14ac:dyDescent="0.2">
      <c r="A65" s="344">
        <v>2521</v>
      </c>
      <c r="B65" s="345" t="s">
        <v>310</v>
      </c>
      <c r="C65" s="346">
        <v>130000</v>
      </c>
    </row>
    <row r="66" spans="1:3" x14ac:dyDescent="0.2">
      <c r="A66" s="344">
        <v>2522</v>
      </c>
      <c r="B66" s="345" t="s">
        <v>147</v>
      </c>
      <c r="C66" s="346">
        <v>920000</v>
      </c>
    </row>
    <row r="67" spans="1:3" x14ac:dyDescent="0.2">
      <c r="A67" s="344">
        <v>2531</v>
      </c>
      <c r="B67" s="345" t="s">
        <v>145</v>
      </c>
      <c r="C67" s="346">
        <v>632000</v>
      </c>
    </row>
    <row r="68" spans="1:3" x14ac:dyDescent="0.2">
      <c r="A68" s="344">
        <v>2541</v>
      </c>
      <c r="B68" s="345" t="s">
        <v>148</v>
      </c>
      <c r="C68" s="346">
        <v>265000</v>
      </c>
    </row>
    <row r="69" spans="1:3" x14ac:dyDescent="0.2">
      <c r="A69" s="344">
        <v>2551</v>
      </c>
      <c r="B69" s="345" t="s">
        <v>369</v>
      </c>
      <c r="C69" s="346">
        <v>35000</v>
      </c>
    </row>
    <row r="70" spans="1:3" ht="15" x14ac:dyDescent="0.2">
      <c r="A70" s="341">
        <v>2600</v>
      </c>
      <c r="B70" s="342" t="s">
        <v>1146</v>
      </c>
      <c r="C70" s="343">
        <v>65300000</v>
      </c>
    </row>
    <row r="71" spans="1:3" ht="28.5" x14ac:dyDescent="0.2">
      <c r="A71" s="344">
        <v>2611</v>
      </c>
      <c r="B71" s="345" t="s">
        <v>324</v>
      </c>
      <c r="C71" s="346">
        <v>23000000</v>
      </c>
    </row>
    <row r="72" spans="1:3" ht="28.5" x14ac:dyDescent="0.2">
      <c r="A72" s="344">
        <v>2612</v>
      </c>
      <c r="B72" s="345" t="s">
        <v>26</v>
      </c>
      <c r="C72" s="346">
        <v>39240000</v>
      </c>
    </row>
    <row r="73" spans="1:3" ht="28.5" x14ac:dyDescent="0.2">
      <c r="A73" s="344">
        <v>2613</v>
      </c>
      <c r="B73" s="345" t="s">
        <v>146</v>
      </c>
      <c r="C73" s="346">
        <v>400000</v>
      </c>
    </row>
    <row r="74" spans="1:3" x14ac:dyDescent="0.2">
      <c r="A74" s="344">
        <v>2614</v>
      </c>
      <c r="B74" s="345" t="s">
        <v>116</v>
      </c>
      <c r="C74" s="346">
        <v>2660000</v>
      </c>
    </row>
    <row r="75" spans="1:3" ht="30" x14ac:dyDescent="0.2">
      <c r="A75" s="341">
        <v>2700</v>
      </c>
      <c r="B75" s="342" t="s">
        <v>1147</v>
      </c>
      <c r="C75" s="343">
        <v>20180800</v>
      </c>
    </row>
    <row r="76" spans="1:3" x14ac:dyDescent="0.2">
      <c r="A76" s="344">
        <v>2711</v>
      </c>
      <c r="B76" s="345" t="s">
        <v>27</v>
      </c>
      <c r="C76" s="346">
        <v>18733000</v>
      </c>
    </row>
    <row r="77" spans="1:3" x14ac:dyDescent="0.2">
      <c r="A77" s="344">
        <v>2721</v>
      </c>
      <c r="B77" s="345" t="s">
        <v>149</v>
      </c>
      <c r="C77" s="346">
        <v>1076000</v>
      </c>
    </row>
    <row r="78" spans="1:3" x14ac:dyDescent="0.2">
      <c r="A78" s="344">
        <v>2722</v>
      </c>
      <c r="B78" s="345" t="s">
        <v>325</v>
      </c>
      <c r="C78" s="346">
        <v>151800</v>
      </c>
    </row>
    <row r="79" spans="1:3" x14ac:dyDescent="0.2">
      <c r="A79" s="344">
        <v>2731</v>
      </c>
      <c r="B79" s="345" t="s">
        <v>330</v>
      </c>
      <c r="C79" s="346">
        <v>20000</v>
      </c>
    </row>
    <row r="80" spans="1:3" x14ac:dyDescent="0.2">
      <c r="A80" s="344">
        <v>2751</v>
      </c>
      <c r="B80" s="345" t="s">
        <v>343</v>
      </c>
      <c r="C80" s="346">
        <v>200000</v>
      </c>
    </row>
    <row r="81" spans="1:3" ht="15" x14ac:dyDescent="0.2">
      <c r="A81" s="341">
        <v>2900</v>
      </c>
      <c r="B81" s="342" t="s">
        <v>1148</v>
      </c>
      <c r="C81" s="343">
        <v>1138794</v>
      </c>
    </row>
    <row r="82" spans="1:3" x14ac:dyDescent="0.2">
      <c r="A82" s="344">
        <v>2911</v>
      </c>
      <c r="B82" s="345" t="s">
        <v>60</v>
      </c>
      <c r="C82" s="346">
        <v>526794</v>
      </c>
    </row>
    <row r="83" spans="1:3" x14ac:dyDescent="0.2">
      <c r="A83" s="344">
        <v>2921</v>
      </c>
      <c r="B83" s="345" t="s">
        <v>1131</v>
      </c>
      <c r="C83" s="346">
        <v>5000</v>
      </c>
    </row>
    <row r="84" spans="1:3" ht="28.5" x14ac:dyDescent="0.2">
      <c r="A84" s="344">
        <v>2941</v>
      </c>
      <c r="B84" s="345" t="s">
        <v>79</v>
      </c>
      <c r="C84" s="346">
        <v>597000</v>
      </c>
    </row>
    <row r="85" spans="1:3" ht="28.5" x14ac:dyDescent="0.2">
      <c r="A85" s="344">
        <v>2951</v>
      </c>
      <c r="B85" s="345" t="s">
        <v>150</v>
      </c>
      <c r="C85" s="346">
        <v>10000</v>
      </c>
    </row>
    <row r="86" spans="1:3" ht="15" x14ac:dyDescent="0.2">
      <c r="A86" s="338">
        <v>3000</v>
      </c>
      <c r="B86" s="339" t="s">
        <v>52</v>
      </c>
      <c r="C86" s="340">
        <v>295981210.37</v>
      </c>
    </row>
    <row r="87" spans="1:3" ht="15" x14ac:dyDescent="0.2">
      <c r="A87" s="341">
        <v>3100</v>
      </c>
      <c r="B87" s="342" t="s">
        <v>1149</v>
      </c>
      <c r="C87" s="343">
        <v>93948217.879999995</v>
      </c>
    </row>
    <row r="88" spans="1:3" x14ac:dyDescent="0.2">
      <c r="A88" s="344">
        <v>3111</v>
      </c>
      <c r="B88" s="345" t="s">
        <v>47</v>
      </c>
      <c r="C88" s="346">
        <v>9262000</v>
      </c>
    </row>
    <row r="89" spans="1:3" x14ac:dyDescent="0.2">
      <c r="A89" s="344">
        <v>3112</v>
      </c>
      <c r="B89" s="345" t="s">
        <v>307</v>
      </c>
      <c r="C89" s="346">
        <v>70692400</v>
      </c>
    </row>
    <row r="90" spans="1:3" x14ac:dyDescent="0.2">
      <c r="A90" s="344">
        <v>3121</v>
      </c>
      <c r="B90" s="345" t="s">
        <v>131</v>
      </c>
      <c r="C90" s="346">
        <v>285000</v>
      </c>
    </row>
    <row r="91" spans="1:3" x14ac:dyDescent="0.2">
      <c r="A91" s="344">
        <v>3131</v>
      </c>
      <c r="B91" s="345" t="s">
        <v>61</v>
      </c>
      <c r="C91" s="346">
        <v>3742500</v>
      </c>
    </row>
    <row r="92" spans="1:3" x14ac:dyDescent="0.2">
      <c r="A92" s="344">
        <v>3141</v>
      </c>
      <c r="B92" s="345" t="s">
        <v>48</v>
      </c>
      <c r="C92" s="346">
        <v>3927800</v>
      </c>
    </row>
    <row r="93" spans="1:3" x14ac:dyDescent="0.2">
      <c r="A93" s="344">
        <v>3151</v>
      </c>
      <c r="B93" s="345" t="s">
        <v>28</v>
      </c>
      <c r="C93" s="346">
        <v>1062850</v>
      </c>
    </row>
    <row r="94" spans="1:3" x14ac:dyDescent="0.2">
      <c r="A94" s="344">
        <v>3161</v>
      </c>
      <c r="B94" s="345" t="s">
        <v>157</v>
      </c>
      <c r="C94" s="346">
        <v>1350000</v>
      </c>
    </row>
    <row r="95" spans="1:3" x14ac:dyDescent="0.2">
      <c r="A95" s="344">
        <v>3171</v>
      </c>
      <c r="B95" s="345" t="s">
        <v>278</v>
      </c>
      <c r="C95" s="346">
        <v>528960</v>
      </c>
    </row>
    <row r="96" spans="1:3" x14ac:dyDescent="0.2">
      <c r="A96" s="344">
        <v>3172</v>
      </c>
      <c r="B96" s="345" t="s">
        <v>98</v>
      </c>
      <c r="C96" s="346">
        <v>160424.88</v>
      </c>
    </row>
    <row r="97" spans="1:3" x14ac:dyDescent="0.2">
      <c r="A97" s="344">
        <v>3173</v>
      </c>
      <c r="B97" s="345" t="s">
        <v>257</v>
      </c>
      <c r="C97" s="346">
        <v>1480000</v>
      </c>
    </row>
    <row r="98" spans="1:3" x14ac:dyDescent="0.2">
      <c r="A98" s="344">
        <v>3181</v>
      </c>
      <c r="B98" s="345" t="s">
        <v>62</v>
      </c>
      <c r="C98" s="346">
        <v>1456283</v>
      </c>
    </row>
    <row r="99" spans="1:3" ht="15" x14ac:dyDescent="0.2">
      <c r="A99" s="341">
        <v>3200</v>
      </c>
      <c r="B99" s="342" t="s">
        <v>1150</v>
      </c>
      <c r="C99" s="343">
        <v>14037136</v>
      </c>
    </row>
    <row r="100" spans="1:3" x14ac:dyDescent="0.2">
      <c r="A100" s="344">
        <v>3221</v>
      </c>
      <c r="B100" s="345" t="s">
        <v>99</v>
      </c>
      <c r="C100" s="346">
        <v>6232356</v>
      </c>
    </row>
    <row r="101" spans="1:3" x14ac:dyDescent="0.2">
      <c r="A101" s="344">
        <v>3231</v>
      </c>
      <c r="B101" s="345" t="s">
        <v>204</v>
      </c>
      <c r="C101" s="346">
        <v>2500000</v>
      </c>
    </row>
    <row r="102" spans="1:3" x14ac:dyDescent="0.2">
      <c r="A102" s="344">
        <v>3261</v>
      </c>
      <c r="B102" s="345" t="s">
        <v>293</v>
      </c>
      <c r="C102" s="346">
        <v>4530000</v>
      </c>
    </row>
    <row r="103" spans="1:3" x14ac:dyDescent="0.2">
      <c r="A103" s="344">
        <v>3271</v>
      </c>
      <c r="B103" s="345" t="s">
        <v>276</v>
      </c>
      <c r="C103" s="346">
        <v>774780</v>
      </c>
    </row>
    <row r="104" spans="1:3" ht="30" x14ac:dyDescent="0.2">
      <c r="A104" s="341">
        <v>3300</v>
      </c>
      <c r="B104" s="342" t="s">
        <v>1151</v>
      </c>
      <c r="C104" s="343">
        <v>29176342.539999999</v>
      </c>
    </row>
    <row r="105" spans="1:3" x14ac:dyDescent="0.2">
      <c r="A105" s="344">
        <v>3311</v>
      </c>
      <c r="B105" s="345" t="s">
        <v>117</v>
      </c>
      <c r="C105" s="346">
        <v>744000</v>
      </c>
    </row>
    <row r="106" spans="1:3" x14ac:dyDescent="0.2">
      <c r="A106" s="344">
        <v>3314</v>
      </c>
      <c r="B106" s="345" t="s">
        <v>197</v>
      </c>
      <c r="C106" s="346">
        <v>100000</v>
      </c>
    </row>
    <row r="107" spans="1:3" x14ac:dyDescent="0.2">
      <c r="A107" s="344">
        <v>3321</v>
      </c>
      <c r="B107" s="345" t="s">
        <v>190</v>
      </c>
      <c r="C107" s="346">
        <v>8702090.870000001</v>
      </c>
    </row>
    <row r="108" spans="1:3" x14ac:dyDescent="0.2">
      <c r="A108" s="344">
        <v>3331</v>
      </c>
      <c r="B108" s="345" t="s">
        <v>171</v>
      </c>
      <c r="C108" s="346">
        <v>2051000</v>
      </c>
    </row>
    <row r="109" spans="1:3" x14ac:dyDescent="0.2">
      <c r="A109" s="344">
        <v>3332</v>
      </c>
      <c r="B109" s="345" t="s">
        <v>63</v>
      </c>
      <c r="C109" s="346">
        <v>3768800</v>
      </c>
    </row>
    <row r="110" spans="1:3" x14ac:dyDescent="0.2">
      <c r="A110" s="344">
        <v>3341</v>
      </c>
      <c r="B110" s="345" t="s">
        <v>219</v>
      </c>
      <c r="C110" s="346">
        <v>2030000</v>
      </c>
    </row>
    <row r="111" spans="1:3" ht="42.75" x14ac:dyDescent="0.2">
      <c r="A111" s="344">
        <v>3361</v>
      </c>
      <c r="B111" s="345" t="s">
        <v>29</v>
      </c>
      <c r="C111" s="346">
        <v>1393703</v>
      </c>
    </row>
    <row r="112" spans="1:3" x14ac:dyDescent="0.2">
      <c r="A112" s="344">
        <v>3381</v>
      </c>
      <c r="B112" s="345" t="s">
        <v>64</v>
      </c>
      <c r="C112" s="346">
        <v>396000</v>
      </c>
    </row>
    <row r="113" spans="1:3" x14ac:dyDescent="0.2">
      <c r="A113" s="344">
        <v>3391</v>
      </c>
      <c r="B113" s="345" t="s">
        <v>118</v>
      </c>
      <c r="C113" s="346">
        <v>9990748.6699999999</v>
      </c>
    </row>
    <row r="114" spans="1:3" ht="15" x14ac:dyDescent="0.2">
      <c r="A114" s="341">
        <v>3400</v>
      </c>
      <c r="B114" s="342" t="s">
        <v>1152</v>
      </c>
      <c r="C114" s="343">
        <v>26013600</v>
      </c>
    </row>
    <row r="115" spans="1:3" x14ac:dyDescent="0.2">
      <c r="A115" s="344">
        <v>3411</v>
      </c>
      <c r="B115" s="345" t="s">
        <v>252</v>
      </c>
      <c r="C115" s="346">
        <v>2350000</v>
      </c>
    </row>
    <row r="116" spans="1:3" x14ac:dyDescent="0.2">
      <c r="A116" s="344">
        <v>3421</v>
      </c>
      <c r="B116" s="345" t="s">
        <v>261</v>
      </c>
      <c r="C116" s="346">
        <v>8770000</v>
      </c>
    </row>
    <row r="117" spans="1:3" x14ac:dyDescent="0.2">
      <c r="A117" s="344">
        <v>3431</v>
      </c>
      <c r="B117" s="345" t="s">
        <v>205</v>
      </c>
      <c r="C117" s="346">
        <v>460000</v>
      </c>
    </row>
    <row r="118" spans="1:3" x14ac:dyDescent="0.2">
      <c r="A118" s="344">
        <v>3441</v>
      </c>
      <c r="B118" s="345" t="s">
        <v>220</v>
      </c>
      <c r="C118" s="346">
        <v>1603800</v>
      </c>
    </row>
    <row r="119" spans="1:3" x14ac:dyDescent="0.2">
      <c r="A119" s="344">
        <v>3451</v>
      </c>
      <c r="B119" s="345" t="s">
        <v>221</v>
      </c>
      <c r="C119" s="346">
        <v>12539000</v>
      </c>
    </row>
    <row r="120" spans="1:3" x14ac:dyDescent="0.2">
      <c r="A120" s="344">
        <v>3461</v>
      </c>
      <c r="B120" s="345" t="s">
        <v>119</v>
      </c>
      <c r="C120" s="346">
        <v>190800</v>
      </c>
    </row>
    <row r="121" spans="1:3" x14ac:dyDescent="0.2">
      <c r="A121" s="344">
        <v>3471</v>
      </c>
      <c r="B121" s="345" t="s">
        <v>100</v>
      </c>
      <c r="C121" s="346">
        <v>100000</v>
      </c>
    </row>
    <row r="122" spans="1:3" ht="30" x14ac:dyDescent="0.2">
      <c r="A122" s="341">
        <v>3500</v>
      </c>
      <c r="B122" s="342" t="s">
        <v>1153</v>
      </c>
      <c r="C122" s="343">
        <v>63083279.640000001</v>
      </c>
    </row>
    <row r="123" spans="1:3" x14ac:dyDescent="0.2">
      <c r="A123" s="344">
        <v>3511</v>
      </c>
      <c r="B123" s="345" t="s">
        <v>49</v>
      </c>
      <c r="C123" s="346">
        <v>11523499.640000001</v>
      </c>
    </row>
    <row r="124" spans="1:3" x14ac:dyDescent="0.2">
      <c r="A124" s="344">
        <v>3513</v>
      </c>
      <c r="B124" s="345" t="s">
        <v>194</v>
      </c>
      <c r="C124" s="346">
        <v>1500000</v>
      </c>
    </row>
    <row r="125" spans="1:3" ht="28.5" x14ac:dyDescent="0.2">
      <c r="A125" s="344">
        <v>3521</v>
      </c>
      <c r="B125" s="345" t="s">
        <v>120</v>
      </c>
      <c r="C125" s="346">
        <v>45000</v>
      </c>
    </row>
    <row r="126" spans="1:3" x14ac:dyDescent="0.2">
      <c r="A126" s="344">
        <v>3531</v>
      </c>
      <c r="B126" s="345" t="s">
        <v>121</v>
      </c>
      <c r="C126" s="346">
        <v>130000</v>
      </c>
    </row>
    <row r="127" spans="1:3" ht="28.5" x14ac:dyDescent="0.2">
      <c r="A127" s="344">
        <v>3551</v>
      </c>
      <c r="B127" s="345" t="s">
        <v>30</v>
      </c>
      <c r="C127" s="346">
        <v>45710000</v>
      </c>
    </row>
    <row r="128" spans="1:3" x14ac:dyDescent="0.2">
      <c r="A128" s="344">
        <v>3561</v>
      </c>
      <c r="B128" s="345" t="s">
        <v>326</v>
      </c>
      <c r="C128" s="346">
        <v>50000</v>
      </c>
    </row>
    <row r="129" spans="1:3" ht="28.5" x14ac:dyDescent="0.2">
      <c r="A129" s="344">
        <v>3571</v>
      </c>
      <c r="B129" s="345" t="s">
        <v>65</v>
      </c>
      <c r="C129" s="346">
        <v>2486230</v>
      </c>
    </row>
    <row r="130" spans="1:3" x14ac:dyDescent="0.2">
      <c r="A130" s="344">
        <v>3581</v>
      </c>
      <c r="B130" s="345" t="s">
        <v>153</v>
      </c>
      <c r="C130" s="346">
        <v>1500000</v>
      </c>
    </row>
    <row r="131" spans="1:3" x14ac:dyDescent="0.2">
      <c r="A131" s="344">
        <v>3591</v>
      </c>
      <c r="B131" s="345" t="s">
        <v>140</v>
      </c>
      <c r="C131" s="346">
        <v>138550</v>
      </c>
    </row>
    <row r="132" spans="1:3" ht="15" x14ac:dyDescent="0.2">
      <c r="A132" s="341">
        <v>3600</v>
      </c>
      <c r="B132" s="342" t="s">
        <v>1154</v>
      </c>
      <c r="C132" s="343">
        <v>20803691.310000002</v>
      </c>
    </row>
    <row r="133" spans="1:3" x14ac:dyDescent="0.2">
      <c r="A133" s="344">
        <v>3611</v>
      </c>
      <c r="B133" s="345" t="s">
        <v>66</v>
      </c>
      <c r="C133" s="346">
        <v>15675058.41</v>
      </c>
    </row>
    <row r="134" spans="1:3" ht="28.5" x14ac:dyDescent="0.2">
      <c r="A134" s="344">
        <v>3612</v>
      </c>
      <c r="B134" s="345" t="s">
        <v>188</v>
      </c>
      <c r="C134" s="346">
        <v>663032.5</v>
      </c>
    </row>
    <row r="135" spans="1:3" ht="28.5" x14ac:dyDescent="0.2">
      <c r="A135" s="344">
        <v>3661</v>
      </c>
      <c r="B135" s="345" t="s">
        <v>178</v>
      </c>
      <c r="C135" s="346">
        <v>4434550.4000000004</v>
      </c>
    </row>
    <row r="136" spans="1:3" x14ac:dyDescent="0.2">
      <c r="A136" s="344">
        <v>3691</v>
      </c>
      <c r="B136" s="345" t="s">
        <v>72</v>
      </c>
      <c r="C136" s="346">
        <v>31050</v>
      </c>
    </row>
    <row r="137" spans="1:3" ht="15" x14ac:dyDescent="0.2">
      <c r="A137" s="341">
        <v>3700</v>
      </c>
      <c r="B137" s="342" t="s">
        <v>1155</v>
      </c>
      <c r="C137" s="343">
        <v>1202525</v>
      </c>
    </row>
    <row r="138" spans="1:3" ht="28.5" x14ac:dyDescent="0.2">
      <c r="A138" s="344">
        <v>3711</v>
      </c>
      <c r="B138" s="345" t="s">
        <v>42</v>
      </c>
      <c r="C138" s="346">
        <v>70000</v>
      </c>
    </row>
    <row r="139" spans="1:3" ht="28.5" x14ac:dyDescent="0.2">
      <c r="A139" s="344">
        <v>3712</v>
      </c>
      <c r="B139" s="345" t="s">
        <v>43</v>
      </c>
      <c r="C139" s="346">
        <v>170000</v>
      </c>
    </row>
    <row r="140" spans="1:3" ht="28.5" x14ac:dyDescent="0.2">
      <c r="A140" s="344">
        <v>3721</v>
      </c>
      <c r="B140" s="345" t="s">
        <v>50</v>
      </c>
      <c r="C140" s="346">
        <v>15000</v>
      </c>
    </row>
    <row r="141" spans="1:3" ht="28.5" x14ac:dyDescent="0.2">
      <c r="A141" s="344">
        <v>3751</v>
      </c>
      <c r="B141" s="345" t="s">
        <v>44</v>
      </c>
      <c r="C141" s="346">
        <v>456600</v>
      </c>
    </row>
    <row r="142" spans="1:3" ht="28.5" x14ac:dyDescent="0.2">
      <c r="A142" s="344">
        <v>3761</v>
      </c>
      <c r="B142" s="345" t="s">
        <v>80</v>
      </c>
      <c r="C142" s="346">
        <v>150000</v>
      </c>
    </row>
    <row r="143" spans="1:3" x14ac:dyDescent="0.2">
      <c r="A143" s="344">
        <v>3791</v>
      </c>
      <c r="B143" s="345" t="s">
        <v>45</v>
      </c>
      <c r="C143" s="346">
        <v>340925</v>
      </c>
    </row>
    <row r="144" spans="1:3" ht="15" x14ac:dyDescent="0.2">
      <c r="A144" s="341">
        <v>3800</v>
      </c>
      <c r="B144" s="342" t="s">
        <v>1156</v>
      </c>
      <c r="C144" s="343">
        <v>19264600</v>
      </c>
    </row>
    <row r="145" spans="1:3" x14ac:dyDescent="0.2">
      <c r="A145" s="344">
        <v>3821</v>
      </c>
      <c r="B145" s="345" t="s">
        <v>31</v>
      </c>
      <c r="C145" s="346">
        <v>10774100</v>
      </c>
    </row>
    <row r="146" spans="1:3" x14ac:dyDescent="0.2">
      <c r="A146" s="344">
        <v>3831</v>
      </c>
      <c r="B146" s="345" t="s">
        <v>101</v>
      </c>
      <c r="C146" s="346">
        <v>400000</v>
      </c>
    </row>
    <row r="147" spans="1:3" ht="28.5" x14ac:dyDescent="0.2">
      <c r="A147" s="344">
        <v>3852</v>
      </c>
      <c r="B147" s="345" t="s">
        <v>32</v>
      </c>
      <c r="C147" s="346">
        <v>7090500</v>
      </c>
    </row>
    <row r="148" spans="1:3" x14ac:dyDescent="0.2">
      <c r="A148" s="344">
        <v>3854</v>
      </c>
      <c r="B148" s="345" t="s">
        <v>327</v>
      </c>
      <c r="C148" s="346">
        <v>1000000</v>
      </c>
    </row>
    <row r="149" spans="1:3" x14ac:dyDescent="0.2">
      <c r="A149" s="344">
        <v>3881</v>
      </c>
      <c r="B149" s="345" t="s">
        <v>62</v>
      </c>
      <c r="C149" s="346">
        <v>0</v>
      </c>
    </row>
    <row r="150" spans="1:3" ht="15" x14ac:dyDescent="0.2">
      <c r="A150" s="341">
        <v>3900</v>
      </c>
      <c r="B150" s="342" t="s">
        <v>1157</v>
      </c>
      <c r="C150" s="343">
        <v>28451818</v>
      </c>
    </row>
    <row r="151" spans="1:3" x14ac:dyDescent="0.2">
      <c r="A151" s="344">
        <v>3921</v>
      </c>
      <c r="B151" s="345" t="s">
        <v>33</v>
      </c>
      <c r="C151" s="346">
        <v>4018534</v>
      </c>
    </row>
    <row r="152" spans="1:3" x14ac:dyDescent="0.2">
      <c r="A152" s="344">
        <v>3941</v>
      </c>
      <c r="B152" s="345" t="s">
        <v>328</v>
      </c>
      <c r="C152" s="346">
        <v>550000</v>
      </c>
    </row>
    <row r="153" spans="1:3" x14ac:dyDescent="0.2">
      <c r="A153" s="344">
        <v>3951</v>
      </c>
      <c r="B153" s="345" t="s">
        <v>198</v>
      </c>
      <c r="C153" s="346">
        <v>350000</v>
      </c>
    </row>
    <row r="154" spans="1:3" x14ac:dyDescent="0.2">
      <c r="A154" s="344">
        <v>3961</v>
      </c>
      <c r="B154" s="345" t="s">
        <v>122</v>
      </c>
      <c r="C154" s="346">
        <v>11220000</v>
      </c>
    </row>
    <row r="155" spans="1:3" x14ac:dyDescent="0.2">
      <c r="A155" s="344">
        <v>3981</v>
      </c>
      <c r="B155" s="345" t="s">
        <v>234</v>
      </c>
      <c r="C155" s="346">
        <v>12313284</v>
      </c>
    </row>
    <row r="156" spans="1:3" ht="30" x14ac:dyDescent="0.2">
      <c r="A156" s="338">
        <v>4000</v>
      </c>
      <c r="B156" s="339" t="s">
        <v>67</v>
      </c>
      <c r="C156" s="340">
        <v>275236816.88975996</v>
      </c>
    </row>
    <row r="157" spans="1:3" ht="30" x14ac:dyDescent="0.2">
      <c r="A157" s="341">
        <v>4100</v>
      </c>
      <c r="B157" s="342" t="s">
        <v>1158</v>
      </c>
      <c r="C157" s="343">
        <v>141808901.29975998</v>
      </c>
    </row>
    <row r="158" spans="1:3" x14ac:dyDescent="0.2">
      <c r="A158" s="344">
        <v>4151</v>
      </c>
      <c r="B158" s="345" t="s">
        <v>377</v>
      </c>
      <c r="C158" s="346">
        <v>122521145.06975999</v>
      </c>
    </row>
    <row r="159" spans="1:3" x14ac:dyDescent="0.2">
      <c r="A159" s="344">
        <v>4152</v>
      </c>
      <c r="B159" s="345" t="s">
        <v>378</v>
      </c>
      <c r="C159" s="346">
        <v>1051045.6000000001</v>
      </c>
    </row>
    <row r="160" spans="1:3" x14ac:dyDescent="0.2">
      <c r="A160" s="344">
        <v>4153</v>
      </c>
      <c r="B160" s="345" t="s">
        <v>379</v>
      </c>
      <c r="C160" s="346">
        <v>5711015.5600000005</v>
      </c>
    </row>
    <row r="161" spans="1:3" x14ac:dyDescent="0.2">
      <c r="A161" s="344">
        <v>4154</v>
      </c>
      <c r="B161" s="345" t="s">
        <v>126</v>
      </c>
      <c r="C161" s="346">
        <v>1000000</v>
      </c>
    </row>
    <row r="162" spans="1:3" x14ac:dyDescent="0.2">
      <c r="A162" s="344">
        <v>4155</v>
      </c>
      <c r="B162" s="345" t="s">
        <v>344</v>
      </c>
      <c r="C162" s="346">
        <v>1100000</v>
      </c>
    </row>
    <row r="163" spans="1:3" x14ac:dyDescent="0.2">
      <c r="A163" s="344">
        <v>4156</v>
      </c>
      <c r="B163" s="345" t="s">
        <v>1132</v>
      </c>
      <c r="C163" s="346">
        <v>10425695.07</v>
      </c>
    </row>
    <row r="164" spans="1:3" ht="15" x14ac:dyDescent="0.2">
      <c r="A164" s="341">
        <v>4300</v>
      </c>
      <c r="B164" s="342" t="s">
        <v>1159</v>
      </c>
      <c r="C164" s="343">
        <v>13381420.48</v>
      </c>
    </row>
    <row r="165" spans="1:3" x14ac:dyDescent="0.2">
      <c r="A165" s="344">
        <v>4321</v>
      </c>
      <c r="B165" s="345" t="s">
        <v>102</v>
      </c>
      <c r="C165" s="346">
        <v>977100</v>
      </c>
    </row>
    <row r="166" spans="1:3" x14ac:dyDescent="0.2">
      <c r="A166" s="344">
        <v>4331</v>
      </c>
      <c r="B166" s="345" t="s">
        <v>103</v>
      </c>
      <c r="C166" s="346">
        <v>3180000</v>
      </c>
    </row>
    <row r="167" spans="1:3" x14ac:dyDescent="0.2">
      <c r="A167" s="344">
        <v>4341</v>
      </c>
      <c r="B167" s="345" t="s">
        <v>212</v>
      </c>
      <c r="C167" s="346">
        <v>1268796.48</v>
      </c>
    </row>
    <row r="168" spans="1:3" x14ac:dyDescent="0.2">
      <c r="A168" s="344">
        <v>4391</v>
      </c>
      <c r="B168" s="345" t="s">
        <v>235</v>
      </c>
      <c r="C168" s="346">
        <v>7955524</v>
      </c>
    </row>
    <row r="169" spans="1:3" ht="15" x14ac:dyDescent="0.2">
      <c r="A169" s="341">
        <v>4400</v>
      </c>
      <c r="B169" s="342" t="s">
        <v>1160</v>
      </c>
      <c r="C169" s="343">
        <v>47081380.409999996</v>
      </c>
    </row>
    <row r="170" spans="1:3" ht="28.5" x14ac:dyDescent="0.2">
      <c r="A170" s="344">
        <v>4411</v>
      </c>
      <c r="B170" s="345" t="s">
        <v>34</v>
      </c>
      <c r="C170" s="346">
        <v>23640182.050000001</v>
      </c>
    </row>
    <row r="171" spans="1:3" ht="28.5" x14ac:dyDescent="0.2">
      <c r="A171" s="344">
        <v>4413</v>
      </c>
      <c r="B171" s="345" t="s">
        <v>243</v>
      </c>
      <c r="C171" s="346">
        <v>672000</v>
      </c>
    </row>
    <row r="172" spans="1:3" x14ac:dyDescent="0.2">
      <c r="A172" s="344">
        <v>4421</v>
      </c>
      <c r="B172" s="345" t="s">
        <v>136</v>
      </c>
      <c r="C172" s="346">
        <v>9500000</v>
      </c>
    </row>
    <row r="173" spans="1:3" x14ac:dyDescent="0.2">
      <c r="A173" s="344">
        <v>4431</v>
      </c>
      <c r="B173" s="345" t="s">
        <v>134</v>
      </c>
      <c r="C173" s="346">
        <v>4655200</v>
      </c>
    </row>
    <row r="174" spans="1:3" x14ac:dyDescent="0.2">
      <c r="A174" s="344">
        <v>4451</v>
      </c>
      <c r="B174" s="345" t="s">
        <v>225</v>
      </c>
      <c r="C174" s="346">
        <v>7113998.3600000003</v>
      </c>
    </row>
    <row r="175" spans="1:3" x14ac:dyDescent="0.2">
      <c r="A175" s="344">
        <v>4481</v>
      </c>
      <c r="B175" s="345" t="s">
        <v>345</v>
      </c>
      <c r="C175" s="346">
        <v>1500000</v>
      </c>
    </row>
    <row r="176" spans="1:3" ht="15" x14ac:dyDescent="0.2">
      <c r="A176" s="341">
        <v>4500</v>
      </c>
      <c r="B176" s="342" t="s">
        <v>1161</v>
      </c>
      <c r="C176" s="343">
        <v>72965114.700000003</v>
      </c>
    </row>
    <row r="177" spans="1:3" x14ac:dyDescent="0.2">
      <c r="A177" s="344">
        <v>4511</v>
      </c>
      <c r="B177" s="345" t="s">
        <v>240</v>
      </c>
      <c r="C177" s="346">
        <v>72965114.700000003</v>
      </c>
    </row>
    <row r="178" spans="1:3" ht="15" x14ac:dyDescent="0.2">
      <c r="A178" s="338">
        <v>5000</v>
      </c>
      <c r="B178" s="339" t="s">
        <v>70</v>
      </c>
      <c r="C178" s="340">
        <v>20845048.140000001</v>
      </c>
    </row>
    <row r="179" spans="1:3" ht="15" x14ac:dyDescent="0.2">
      <c r="A179" s="341">
        <v>5100</v>
      </c>
      <c r="B179" s="342" t="s">
        <v>1162</v>
      </c>
      <c r="C179" s="343">
        <v>4439586.24</v>
      </c>
    </row>
    <row r="180" spans="1:3" x14ac:dyDescent="0.2">
      <c r="A180" s="344">
        <v>5111</v>
      </c>
      <c r="B180" s="345" t="s">
        <v>35</v>
      </c>
      <c r="C180" s="346">
        <v>734000</v>
      </c>
    </row>
    <row r="181" spans="1:3" x14ac:dyDescent="0.2">
      <c r="A181" s="344">
        <v>5151</v>
      </c>
      <c r="B181" s="345" t="s">
        <v>36</v>
      </c>
      <c r="C181" s="346">
        <v>3647786.24</v>
      </c>
    </row>
    <row r="182" spans="1:3" x14ac:dyDescent="0.2">
      <c r="A182" s="344">
        <v>5191</v>
      </c>
      <c r="B182" s="345" t="s">
        <v>69</v>
      </c>
      <c r="C182" s="346">
        <v>57800</v>
      </c>
    </row>
    <row r="183" spans="1:3" ht="15" x14ac:dyDescent="0.2">
      <c r="A183" s="341">
        <v>5200</v>
      </c>
      <c r="B183" s="342" t="s">
        <v>1163</v>
      </c>
      <c r="C183" s="343">
        <v>605352.4</v>
      </c>
    </row>
    <row r="184" spans="1:3" x14ac:dyDescent="0.2">
      <c r="A184" s="344">
        <v>5211</v>
      </c>
      <c r="B184" s="345" t="s">
        <v>71</v>
      </c>
      <c r="C184" s="346">
        <v>437000</v>
      </c>
    </row>
    <row r="185" spans="1:3" x14ac:dyDescent="0.2">
      <c r="A185" s="344">
        <v>5231</v>
      </c>
      <c r="B185" s="345" t="s">
        <v>81</v>
      </c>
      <c r="C185" s="346">
        <v>168352.4</v>
      </c>
    </row>
    <row r="186" spans="1:3" ht="15" x14ac:dyDescent="0.2">
      <c r="A186" s="341">
        <v>5300</v>
      </c>
      <c r="B186" s="342" t="s">
        <v>1164</v>
      </c>
      <c r="C186" s="343">
        <v>10000</v>
      </c>
    </row>
    <row r="187" spans="1:3" x14ac:dyDescent="0.2">
      <c r="A187" s="344">
        <v>5321</v>
      </c>
      <c r="B187" s="345" t="s">
        <v>236</v>
      </c>
      <c r="C187" s="346">
        <v>10000</v>
      </c>
    </row>
    <row r="188" spans="1:3" ht="15" x14ac:dyDescent="0.2">
      <c r="A188" s="341">
        <v>5400</v>
      </c>
      <c r="B188" s="342" t="s">
        <v>1165</v>
      </c>
      <c r="C188" s="343">
        <v>7700000</v>
      </c>
    </row>
    <row r="189" spans="1:3" x14ac:dyDescent="0.2">
      <c r="A189" s="344">
        <v>5411</v>
      </c>
      <c r="B189" s="345" t="s">
        <v>123</v>
      </c>
      <c r="C189" s="346">
        <v>7700000</v>
      </c>
    </row>
    <row r="190" spans="1:3" ht="15" x14ac:dyDescent="0.2">
      <c r="A190" s="341">
        <v>5600</v>
      </c>
      <c r="B190" s="342" t="s">
        <v>1166</v>
      </c>
      <c r="C190" s="343">
        <v>5260088</v>
      </c>
    </row>
    <row r="191" spans="1:3" x14ac:dyDescent="0.2">
      <c r="A191" s="344">
        <v>5611</v>
      </c>
      <c r="B191" s="345" t="s">
        <v>311</v>
      </c>
      <c r="C191" s="346">
        <v>100000</v>
      </c>
    </row>
    <row r="192" spans="1:3" ht="28.5" x14ac:dyDescent="0.2">
      <c r="A192" s="344">
        <v>5641</v>
      </c>
      <c r="B192" s="345" t="s">
        <v>124</v>
      </c>
      <c r="C192" s="346">
        <v>210000</v>
      </c>
    </row>
    <row r="193" spans="1:3" x14ac:dyDescent="0.2">
      <c r="A193" s="344">
        <v>5651</v>
      </c>
      <c r="B193" s="345" t="s">
        <v>105</v>
      </c>
      <c r="C193" s="346">
        <v>408158</v>
      </c>
    </row>
    <row r="194" spans="1:3" x14ac:dyDescent="0.2">
      <c r="A194" s="344">
        <v>5663</v>
      </c>
      <c r="B194" s="345" t="s">
        <v>279</v>
      </c>
      <c r="C194" s="346">
        <v>850000</v>
      </c>
    </row>
    <row r="195" spans="1:3" x14ac:dyDescent="0.2">
      <c r="A195" s="344">
        <v>5691</v>
      </c>
      <c r="B195" s="345" t="s">
        <v>112</v>
      </c>
      <c r="C195" s="346">
        <v>3691930</v>
      </c>
    </row>
    <row r="196" spans="1:3" ht="15" x14ac:dyDescent="0.2">
      <c r="A196" s="341">
        <v>5800</v>
      </c>
      <c r="B196" s="342" t="s">
        <v>1167</v>
      </c>
      <c r="C196" s="343">
        <v>2000000</v>
      </c>
    </row>
    <row r="197" spans="1:3" x14ac:dyDescent="0.2">
      <c r="A197" s="344">
        <v>5811</v>
      </c>
      <c r="B197" s="345" t="s">
        <v>199</v>
      </c>
      <c r="C197" s="346">
        <v>2000000</v>
      </c>
    </row>
    <row r="198" spans="1:3" ht="15" x14ac:dyDescent="0.2">
      <c r="A198" s="341">
        <v>5900</v>
      </c>
      <c r="B198" s="342" t="s">
        <v>1168</v>
      </c>
      <c r="C198" s="343">
        <v>830021.5</v>
      </c>
    </row>
    <row r="199" spans="1:3" x14ac:dyDescent="0.2">
      <c r="A199" s="344">
        <v>5911</v>
      </c>
      <c r="B199" s="345" t="s">
        <v>68</v>
      </c>
      <c r="C199" s="346">
        <v>17500</v>
      </c>
    </row>
    <row r="200" spans="1:3" x14ac:dyDescent="0.2">
      <c r="A200" s="344">
        <v>5971</v>
      </c>
      <c r="B200" s="345" t="s">
        <v>250</v>
      </c>
      <c r="C200" s="346">
        <v>812521.5</v>
      </c>
    </row>
    <row r="201" spans="1:3" ht="15" x14ac:dyDescent="0.2">
      <c r="A201" s="338">
        <v>6000</v>
      </c>
      <c r="B201" s="339" t="s">
        <v>73</v>
      </c>
      <c r="C201" s="340">
        <v>301755043.69</v>
      </c>
    </row>
    <row r="202" spans="1:3" ht="15" x14ac:dyDescent="0.2">
      <c r="A202" s="341">
        <v>6100</v>
      </c>
      <c r="B202" s="342" t="s">
        <v>1169</v>
      </c>
      <c r="C202" s="343">
        <v>294994149.66000003</v>
      </c>
    </row>
    <row r="203" spans="1:3" x14ac:dyDescent="0.2">
      <c r="A203" s="344">
        <v>6111</v>
      </c>
      <c r="B203" s="345" t="s">
        <v>355</v>
      </c>
      <c r="C203" s="346">
        <v>10685340.120000001</v>
      </c>
    </row>
    <row r="204" spans="1:3" x14ac:dyDescent="0.2">
      <c r="A204" s="344">
        <v>6121</v>
      </c>
      <c r="B204" s="345" t="s">
        <v>353</v>
      </c>
      <c r="C204" s="346">
        <v>17509977.809999999</v>
      </c>
    </row>
    <row r="205" spans="1:3" ht="28.5" x14ac:dyDescent="0.2">
      <c r="A205" s="344">
        <v>6131</v>
      </c>
      <c r="B205" s="345" t="s">
        <v>1335</v>
      </c>
      <c r="C205" s="346">
        <v>187032535.82000002</v>
      </c>
    </row>
    <row r="206" spans="1:3" x14ac:dyDescent="0.2">
      <c r="A206" s="344">
        <v>6141</v>
      </c>
      <c r="B206" s="345" t="s">
        <v>356</v>
      </c>
      <c r="C206" s="346">
        <v>79766295.910000011</v>
      </c>
    </row>
    <row r="207" spans="1:3" ht="15" x14ac:dyDescent="0.2">
      <c r="A207" s="341">
        <v>6200</v>
      </c>
      <c r="B207" s="342" t="s">
        <v>1170</v>
      </c>
      <c r="C207" s="343">
        <v>6760894.0300000003</v>
      </c>
    </row>
    <row r="208" spans="1:3" x14ac:dyDescent="0.2">
      <c r="A208" s="344">
        <v>6221</v>
      </c>
      <c r="B208" s="345" t="s">
        <v>353</v>
      </c>
      <c r="C208" s="346">
        <v>6760894.0300000003</v>
      </c>
    </row>
    <row r="209" spans="1:3" ht="15" x14ac:dyDescent="0.2">
      <c r="A209" s="338">
        <v>9000</v>
      </c>
      <c r="B209" s="339" t="s">
        <v>74</v>
      </c>
      <c r="C209" s="340">
        <v>37003007.920000002</v>
      </c>
    </row>
    <row r="210" spans="1:3" ht="15" x14ac:dyDescent="0.2">
      <c r="A210" s="341">
        <v>9100</v>
      </c>
      <c r="B210" s="342" t="s">
        <v>1171</v>
      </c>
      <c r="C210" s="343">
        <v>23536625.920000002</v>
      </c>
    </row>
    <row r="211" spans="1:3" x14ac:dyDescent="0.2">
      <c r="A211" s="344">
        <v>9111</v>
      </c>
      <c r="B211" s="345" t="s">
        <v>75</v>
      </c>
      <c r="C211" s="346">
        <v>23536625.920000002</v>
      </c>
    </row>
    <row r="212" spans="1:3" ht="15" x14ac:dyDescent="0.2">
      <c r="A212" s="341">
        <v>9200</v>
      </c>
      <c r="B212" s="342" t="s">
        <v>1172</v>
      </c>
      <c r="C212" s="343">
        <v>13466382</v>
      </c>
    </row>
    <row r="213" spans="1:3" x14ac:dyDescent="0.2">
      <c r="A213" s="344">
        <v>9211</v>
      </c>
      <c r="B213" s="345" t="s">
        <v>76</v>
      </c>
      <c r="C213" s="346">
        <v>13466382</v>
      </c>
    </row>
    <row r="214" spans="1:3" x14ac:dyDescent="0.2">
      <c r="A214" s="398"/>
      <c r="B214" s="354"/>
      <c r="C214" s="399">
        <v>2011939329.9997604</v>
      </c>
    </row>
    <row r="215" spans="1:3" x14ac:dyDescent="0.2">
      <c r="A215" s="334"/>
      <c r="B215" s="335" t="s">
        <v>77</v>
      </c>
      <c r="C215" s="336">
        <f>SUBTOTAL(9,$C$6,$C$36,$C$86,$C$156,$C$178,$C$201,$C$209)</f>
        <v>2011939329.9997604</v>
      </c>
    </row>
  </sheetData>
  <mergeCells count="4">
    <mergeCell ref="A1:C1"/>
    <mergeCell ref="A2:C2"/>
    <mergeCell ref="A3:C3"/>
    <mergeCell ref="A4:B4"/>
  </mergeCells>
  <phoneticPr fontId="47" type="noConversion"/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BAAF-19B4-4EEE-915A-E112EC10EC07}">
  <dimension ref="A1:V3806"/>
  <sheetViews>
    <sheetView workbookViewId="0">
      <selection activeCell="X10" sqref="X10"/>
    </sheetView>
  </sheetViews>
  <sheetFormatPr baseColWidth="10" defaultRowHeight="14.25" x14ac:dyDescent="0.2"/>
  <cols>
    <col min="1" max="1" width="15.875" customWidth="1"/>
    <col min="2" max="2" width="88.25" customWidth="1"/>
    <col min="3" max="3" width="15" hidden="1" customWidth="1"/>
    <col min="4" max="20" width="0" hidden="1" customWidth="1"/>
    <col min="21" max="21" width="19.75" customWidth="1"/>
    <col min="22" max="22" width="11" customWidth="1"/>
  </cols>
  <sheetData>
    <row r="1" spans="1:22" ht="15" x14ac:dyDescent="0.2">
      <c r="A1" s="710" t="s">
        <v>1652</v>
      </c>
      <c r="B1" s="710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0"/>
      <c r="V1" s="712"/>
    </row>
    <row r="2" spans="1:22" ht="15" x14ac:dyDescent="0.2">
      <c r="A2" s="710" t="s">
        <v>1641</v>
      </c>
      <c r="B2" s="710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711"/>
      <c r="U2" s="710"/>
      <c r="V2" s="712"/>
    </row>
    <row r="3" spans="1:22" ht="15" x14ac:dyDescent="0.2">
      <c r="A3" s="710" t="s">
        <v>1657</v>
      </c>
      <c r="B3" s="710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0"/>
      <c r="V3" s="712"/>
    </row>
    <row r="4" spans="1:22" ht="19.5" customHeight="1" x14ac:dyDescent="0.2">
      <c r="A4" s="713" t="s">
        <v>1658</v>
      </c>
      <c r="B4" s="713" t="s">
        <v>0</v>
      </c>
      <c r="C4" s="714" t="s">
        <v>1659</v>
      </c>
      <c r="D4" s="714" t="s">
        <v>1643</v>
      </c>
      <c r="E4" s="714" t="s">
        <v>1660</v>
      </c>
      <c r="F4" s="714" t="s">
        <v>1661</v>
      </c>
      <c r="G4" s="714" t="s">
        <v>1662</v>
      </c>
      <c r="H4" s="714" t="s">
        <v>1663</v>
      </c>
      <c r="I4" s="714" t="s">
        <v>1664</v>
      </c>
      <c r="J4" s="714" t="s">
        <v>1665</v>
      </c>
      <c r="K4" s="714" t="s">
        <v>1663</v>
      </c>
      <c r="L4" s="714" t="s">
        <v>1664</v>
      </c>
      <c r="M4" s="714" t="s">
        <v>1666</v>
      </c>
      <c r="N4" s="714" t="s">
        <v>1663</v>
      </c>
      <c r="O4" s="714" t="s">
        <v>1664</v>
      </c>
      <c r="P4" s="714" t="s">
        <v>78</v>
      </c>
      <c r="Q4" s="714" t="s">
        <v>1667</v>
      </c>
      <c r="R4" s="715" t="s">
        <v>1668</v>
      </c>
      <c r="S4" s="716" t="s">
        <v>1669</v>
      </c>
      <c r="T4" s="717" t="s">
        <v>419</v>
      </c>
      <c r="U4" s="718" t="s">
        <v>1119</v>
      </c>
      <c r="V4" s="713"/>
    </row>
    <row r="5" spans="1:22" ht="15" x14ac:dyDescent="0.2">
      <c r="A5" s="719"/>
      <c r="B5" s="720" t="s">
        <v>1</v>
      </c>
      <c r="C5" s="721">
        <f>C6+C115+C129+C173+C188+C198+C213+C226+C237+C255+C262+C274+C288+C297+C304+C317+C321+C389+C469+C561+C616+C677+C781+C865+C886+C941+C989+C1025+C1159+C1214+C1261+C1291+C1343+C1464+C1497+C1535+C1540+C1557+C1588+C1635+C1673+C1763+C1799+C1847+C1887+C1981+C2042+C2121+C2254+C2344+C2679+C2793+C2961+C3084+C3144+C3210+C3308+C3496+C3714+C3723+C3731+C3741+C3750+C3755+C3763+C3768+C3775+C3786+C3802</f>
        <v>1713593362.1299996</v>
      </c>
      <c r="D5" s="721">
        <f>D6+D115+D129+D173+D188+D198+D213+D226+D237+D255+D262+D274+D288+D297+D304+D317+D321+D389+D469+D561+D616+D677+D781+D865+D886+D941+D989+D1025+D1159+D1214+D1261+D1291+D1343+D1464+D1497+D1535+D1540+D1557+D1588+D1635+D1673+D1763+D1799+D1847+D1887+D1981+D2042+D2121+D2254+D2344+D2679+D2793+D2961+D3084+D3144+D3210+D3308+D3496+D3714+D3723+D3731+D3741+D3750+D3755+D3763+D3768+D3775+D3786+D3793+D3802</f>
        <v>1907603699.3899996</v>
      </c>
      <c r="E5" s="721">
        <f>E6+E115+E129+E173+E188+E198+E213+E226+E237+E255+E262+E274+E288+E297+E304+E317+E321+E389+E469+E561+E616+E677+E781+E865+E886+E941+E989+E1025+E1159+E1214+E1261+E1291+E1343+E1464+E1497++E1535+E1540+E1557+E1588+E1635+E1673+E1763+E1799+E1847+E1887+E1981+E2042+E2121+E2254+E2344+E2679+E2793+E2961+E3084+E3144+E3210+E3308+E3496+E3714+E3723+E3731+E3741+E3750+E3755+E3763+E3768+E3775+E3786+E3793+E3802</f>
        <v>2265592242.000001</v>
      </c>
      <c r="F5" s="721">
        <f>F6+F115+F129+F173+F188+F198+F213+F226+F237+F255+F262+F274+F288+F297+F304+F317+F321+F389+F469+F561+F616+F677+F781+F865+F886+F941+F989+F1025+F1159+F1214+F1261+F1291+F1343+F1464+F1497+F1535+F1540+F1557+F1588+F1635+F1673+F1763+F1799+F1847+F1887+F1981+F2042+F2121+F2254+F2344+F2679+F2793+F2961+F3084+F3144+F3210+F3308+F3496+F3714+F3723+F3731+F3741+F3750+F3755+F3763+F3768+F3775+F3786+F3793+F3802</f>
        <v>2034504534.9199996</v>
      </c>
      <c r="G5" s="721">
        <f>G6+G115+G129+G173+G188+G198+G213+G226+G237+G255+G262+G274+G288+G297+G304+G317+G321+G389+G469+G561+G616+G677+G781+G865+G941+G989+G1025+G1159+G1214+G1261+G1291+G1343+G1464+G1497+G1535+G1540+G1557+G1588+G1635+G1673+G1763+G1799+G1847+G1887+G1981+G2042+G2121+G2254+G2344+G2679+G2793+G2961+G3084+G3144+G3210+G3308+G3496+G3714+G3723+G3731+G3741+G3750+G3755+G3763+G3768+G3775+G3786+G3793+G3802</f>
        <v>2035202120.0799997</v>
      </c>
      <c r="H5" s="721" t="e">
        <f>H389+H469+H561+H677+H865+H941+H1025+#REF!+H1159+H1214+H1291+H1343+H1464+H1497+H1557+H1635+H1673+H1763+H1799+H1887+H2042+H2121+H2254+H2344+H2679+H2793+H2961+H3084+H3144+H3210+H3308+H3496+H3793</f>
        <v>#REF!</v>
      </c>
      <c r="I5" s="721">
        <f>I6+I115+I129+I173+I188+I198+I213+I226+I237+I255+I262+I274+I288+I297+I304+I317+I321+I389+I469+I561+I616+I677+I781+I865+I886+I941+I989+I1025+I1159+I1214+I1261+I1291+I1343+I1464+I1497+I1535+I1540+I1557+I1588+I1635+I1673+I1763+I1763+I1799+I1847+I1887+I1981+I2042+I2121+I2254+I2344+I2793+I2961+I3084+I3144+I3210+I3308+I3496+I3714+I3723+I3731+I3741+I3750+I3755+I3763+I3768+I3775+I3786+I3793+I3802</f>
        <v>138614276.25999996</v>
      </c>
      <c r="J5" s="721" t="e">
        <f>G5+H5-I5</f>
        <v>#REF!</v>
      </c>
      <c r="K5" s="721">
        <f>K6+K115+K129+K198+K297+K389+K469+K561+K616+K677+K781+K865+K941+K989+K1025+K1159+K1214+K1261+K1291+K1343+K1464+K1497+K1540+K1557+K1588+K1635+K1673+K1763+K1799+K1847+K1887+K1981+K2042+K2121+K2254+K2344+K2679+K2793+K2961+K3084+K3144+K3210+K3308+K3496+K3723+K3731+K3768</f>
        <v>359092277.65631992</v>
      </c>
      <c r="L5" s="721" t="e">
        <f>L6+L129+L198+L297+L389+L469+L561+L677+L941+L989+L1025+L1159+L1214+L1261+L1291+L1343+L1464+L1497+L1635+L1673+L1763+L1799+L1847+L1887+L1981+L2042+L2121+L2254+L2344+L2679+L2793+L2961+L3084+L3144+L3210+L3308+L3496</f>
        <v>#REF!</v>
      </c>
      <c r="M5" s="721" t="e">
        <f>J5+K5-L5</f>
        <v>#REF!</v>
      </c>
      <c r="N5" s="721">
        <f>N173+N198+N226+N304+N389+N469+N561+N616+N677+N781+N865+N941+N1025+N1159+N1214+N1261+N1291+N1343+N1464+N1497+N1588+N1635+N1673+N1763+N1799+N1847+N1887+N1981+N2042+N2121+N2254+N2344+N2679+N2793+N2961+N3084+N3144+N3210+N3308+N3496+N3714+N3723+N3731+N3755+N3768+N3793+N3802</f>
        <v>121196947.38000008</v>
      </c>
      <c r="O5" s="721">
        <f>O6+O115+O198+O226+O304+O389+O469+O561+O677+O781+O865+O941+O989+O1025+O1159+O1214+O1261+O1291+O1343+O1497+O1588+O1635+O1673+O1763+O1799+O1847+O1887+O1981+O2042+O2121+O2254+O2344+O2679+O2793+O2961+O3084+O3144+O3210+O3308+O3496+O3755</f>
        <v>91015721.270000055</v>
      </c>
      <c r="P5" s="721" t="e">
        <f>M5+N5-O5</f>
        <v>#REF!</v>
      </c>
      <c r="Q5" s="721">
        <f>Q6+Q115+Q129+Q173+Q188+Q198+Q213+Q226+Q237+Q255+Q262+Q274+Q288+Q297+Q304+Q317+Q321+Q333+Q337+Q341+Q345+Q349+Q353+Q357+Q361+Q365+Q369+Q373+Q377+Q381+Q385+Q389+Q469+Q561+Q616+Q677+Q781+Q865+Q941+Q989+Q1025+Q1159+Q1214+Q1261+Q1291+Q1343+Q1464+Q1497+Q1535+Q1540+Q1557+Q1588+Q1635+Q1673+Q1763+Q1799+Q1847+Q1887+Q1981+Q2042+Q2121+Q2254+Q2344+Q2679+Q2793+Q2961+Q3084+Q3144+Q3210+Q3308+Q3496+Q3714+Q3723+Q3731+Q3741+Q3750+Q3755+Q3763+Q3768+Q3775+Q3786+Q3793+Q3802</f>
        <v>2258969211.71</v>
      </c>
      <c r="R5" s="721">
        <f>R6+R115+R129+R173+R188+R198+R213+R226+R237+R255+R262+R274+R288+R297+R304+R317+R321+R389+R469+R561+R616+R677+R781+R865+R941+R989+R1025+R1159+R1214+R1261+R1291+R1343+R1464+R1497+R1535+R1540+R1557+R1588+R1635+R1673+R1763+R1799+R1847+R1887+R1981+R2042+R2121+R2254+R2344+R2679+R2793+R2961+R3084+R3144+R3210+R3308+R3496+R3714+R3723+R3731+R3741+R3750+R3755+R3763+R3768+R3775+R3786+R3793+R3802</f>
        <v>906946881.7700001</v>
      </c>
      <c r="S5" s="721">
        <f>S6+S115+S129+S173+S188+S198+S213+S226+S237+S255+S262+S274+S288+S297+S304+S317+S321+S389+S469+S561+S616+S677+S781+S865+S941+S989+S1025+S1159+S1214+S1261+S1291+S1343+S1464+S1497+S1535+S1540+S1557+S1588+S1635+S1673+S1763+S1799+S1847+S1887+S1981+S2042+S2121+S2254+S2344+S2679+S2793+S2961+S3084+S3144+S3210+S3308+S3496+S3714+S3723+S3731+S3741+S3750+S3755+S3763+S3768+S3775+S3786+S3793+S3802+S333+S337+S341+S345+S349+S353+S357+S361+S365+S369+S373+S377+S381+S385</f>
        <v>1852341148.2400014</v>
      </c>
      <c r="T5" s="721">
        <f>T6+T115+T129+T173+T188+T198+T213+T226+T237+T255+T262+T274+T288+T297+T304+T317+T321+T389+T469+T561+T616+T677+T781+T865+T886+T941+T989+T1025+T1159+T1214+T1261+T1291+T1343+T1464+T1497+T1535+T1540+T1557+T1588+T1635+T1673+T1763+T1763+T1799+T1847+T1887+T1981+T2042+T2121+T2254+T2344+T2793+T2961+T3084+T3144+T3210+T3308+T3496+T3714+T3723+T3731+T3741+T3750+T3755+T3763+T3768+T3775+T3786+T3793+T3802</f>
        <v>0</v>
      </c>
      <c r="U5" s="722">
        <f>U6+U115+U129+U173+U188+U198+U213+U226+U237+U255+U262+U274+U288+U297+U304+U317+U321+U389+U469+U561+U616+U677+U781+U865+U941+U989+U1025+U1159+U1214+U1261+U1291+U1343+U1464+U1497+U1535+U1540+U1557+U1588+U1635+U1673+U1763+U1799+U1847+U1887+U1981+U2042+U2121+U2254+U2344+U2679+U2793+U2961+U3084+U3144+U3210+U3308+U3496+U3714+U3723+U3731+U3741+U3750+U3755+U3763+U3768+U3775+U3786+U3793+U3802+U333+U337+U341+U345+U349+U353+U357+U361+U365+U369+U373+U377+U381+U385</f>
        <v>2011939329.9997599</v>
      </c>
      <c r="V5" s="723">
        <f>V6+V115+V129+V173+V188+V198+V213+V226+V237+V255+V262+V274+V288+V297+V304+V317+V321+V389+V469+V561+V616+V677+V781+V865+V886+V941+V989+V1025+V1159+V1214+V1261+V1291+V1343+V1464+V1497+V1535+V1540+V1557+V1588+V1635+V1673+V1763+V1763+V1799+V1847+V1887+V1981+V2042+V2121+V2254+V2344+V2793+V2961+V3084+V3144+V3210+V3308+V3496+V3714+V3723+V3731+V3741+V3750+V3755+V3763+V3768+V3775+V3786+V3793+V3802</f>
        <v>0</v>
      </c>
    </row>
    <row r="6" spans="1:22" ht="15" x14ac:dyDescent="0.2">
      <c r="A6" s="724" t="s">
        <v>2</v>
      </c>
      <c r="B6" s="725" t="s">
        <v>3</v>
      </c>
      <c r="C6" s="721">
        <f t="shared" ref="C6:S6" si="0">C7+C35+C57+C72+C95</f>
        <v>9619946.3000000007</v>
      </c>
      <c r="D6" s="721">
        <f t="shared" si="0"/>
        <v>11396212.42</v>
      </c>
      <c r="E6" s="721">
        <f t="shared" si="0"/>
        <v>9284033.1799999997</v>
      </c>
      <c r="F6" s="721">
        <f t="shared" si="0"/>
        <v>8970898.5399999991</v>
      </c>
      <c r="G6" s="721">
        <f t="shared" si="0"/>
        <v>10399352.41</v>
      </c>
      <c r="H6" s="721">
        <f t="shared" si="0"/>
        <v>0</v>
      </c>
      <c r="I6" s="721">
        <f t="shared" si="0"/>
        <v>0</v>
      </c>
      <c r="J6" s="721">
        <f t="shared" si="0"/>
        <v>10399352.41</v>
      </c>
      <c r="K6" s="721">
        <f t="shared" si="0"/>
        <v>662036.47000000009</v>
      </c>
      <c r="L6" s="721">
        <f t="shared" si="0"/>
        <v>9135.2000000000007</v>
      </c>
      <c r="M6" s="721">
        <f t="shared" si="0"/>
        <v>11052253.68</v>
      </c>
      <c r="N6" s="721">
        <f t="shared" si="0"/>
        <v>0</v>
      </c>
      <c r="O6" s="721">
        <f t="shared" si="0"/>
        <v>50000</v>
      </c>
      <c r="P6" s="721">
        <f t="shared" si="0"/>
        <v>11002253.68</v>
      </c>
      <c r="Q6" s="721">
        <f t="shared" si="0"/>
        <v>11914099.91</v>
      </c>
      <c r="R6" s="721">
        <f t="shared" si="0"/>
        <v>3218834.9699999997</v>
      </c>
      <c r="S6" s="721">
        <f t="shared" si="0"/>
        <v>13204138.029999999</v>
      </c>
      <c r="T6" s="724"/>
      <c r="U6" s="726">
        <f>U7+U35+U57+U72+U95</f>
        <v>11838615.83</v>
      </c>
      <c r="V6" s="727"/>
    </row>
    <row r="7" spans="1:22" ht="15" x14ac:dyDescent="0.2">
      <c r="A7" s="728" t="s">
        <v>5</v>
      </c>
      <c r="B7" s="729" t="s">
        <v>1615</v>
      </c>
      <c r="C7" s="730">
        <f t="shared" ref="C7:P7" si="1">SUM(C8:C34)</f>
        <v>5647244.0200000005</v>
      </c>
      <c r="D7" s="730">
        <f t="shared" si="1"/>
        <v>5817318.2300000004</v>
      </c>
      <c r="E7" s="730">
        <f t="shared" si="1"/>
        <v>5840712.5600000005</v>
      </c>
      <c r="F7" s="730">
        <f t="shared" si="1"/>
        <v>5777979.96</v>
      </c>
      <c r="G7" s="730">
        <f t="shared" si="1"/>
        <v>6455465.3100000005</v>
      </c>
      <c r="H7" s="730">
        <f t="shared" si="1"/>
        <v>0</v>
      </c>
      <c r="I7" s="730">
        <f t="shared" si="1"/>
        <v>0</v>
      </c>
      <c r="J7" s="730">
        <f t="shared" si="1"/>
        <v>6455465.3100000005</v>
      </c>
      <c r="K7" s="730">
        <f t="shared" si="1"/>
        <v>65484.19000000001</v>
      </c>
      <c r="L7" s="730">
        <f t="shared" si="1"/>
        <v>0</v>
      </c>
      <c r="M7" s="730">
        <f t="shared" si="1"/>
        <v>6520949.5</v>
      </c>
      <c r="N7" s="730">
        <f t="shared" si="1"/>
        <v>0</v>
      </c>
      <c r="O7" s="730">
        <f t="shared" si="1"/>
        <v>50000</v>
      </c>
      <c r="P7" s="730">
        <f t="shared" si="1"/>
        <v>6470949.5</v>
      </c>
      <c r="Q7" s="730">
        <f>SUM(Q8:Q34)</f>
        <v>7091399.040000001</v>
      </c>
      <c r="R7" s="730">
        <f t="shared" ref="R7:S7" si="2">SUM(R8:R34)</f>
        <v>2755887.48</v>
      </c>
      <c r="S7" s="730">
        <f t="shared" si="2"/>
        <v>7192662.1200000001</v>
      </c>
      <c r="T7" s="731"/>
      <c r="U7" s="732">
        <f>SUM(U8:U34)</f>
        <v>6460424.7800000012</v>
      </c>
      <c r="V7" s="733"/>
    </row>
    <row r="8" spans="1:22" ht="15" x14ac:dyDescent="0.2">
      <c r="A8" s="734">
        <v>1131</v>
      </c>
      <c r="B8" s="735" t="s">
        <v>6</v>
      </c>
      <c r="C8" s="736">
        <v>127778.52</v>
      </c>
      <c r="D8" s="736">
        <v>131148.81</v>
      </c>
      <c r="E8" s="736">
        <v>131148.82</v>
      </c>
      <c r="F8" s="736">
        <v>146249.35999999999</v>
      </c>
      <c r="G8" s="736">
        <v>137785</v>
      </c>
      <c r="H8" s="736"/>
      <c r="I8" s="736"/>
      <c r="J8" s="736">
        <f t="shared" ref="J8:J29" si="3">G8+H8-I8</f>
        <v>137785</v>
      </c>
      <c r="K8" s="737">
        <v>5566.77</v>
      </c>
      <c r="L8" s="736"/>
      <c r="M8" s="736">
        <f t="shared" ref="M8:M29" si="4">J8+K8-L8</f>
        <v>143351.76999999999</v>
      </c>
      <c r="N8" s="736"/>
      <c r="O8" s="736"/>
      <c r="P8" s="736">
        <f t="shared" ref="P8:P29" si="5">M8+N8-O8</f>
        <v>143351.76999999999</v>
      </c>
      <c r="Q8" s="738">
        <v>143351.76999999999</v>
      </c>
      <c r="R8" s="738"/>
      <c r="S8" s="738">
        <v>148246.28</v>
      </c>
      <c r="T8" s="739">
        <v>1500521</v>
      </c>
      <c r="U8" s="740">
        <v>155278.23000000001</v>
      </c>
      <c r="V8" s="741">
        <v>1500522</v>
      </c>
    </row>
    <row r="9" spans="1:22" ht="15" x14ac:dyDescent="0.2">
      <c r="A9" s="734">
        <v>1132</v>
      </c>
      <c r="B9" s="735" t="s">
        <v>8</v>
      </c>
      <c r="C9" s="736">
        <v>1720700.72</v>
      </c>
      <c r="D9" s="736">
        <v>1819909</v>
      </c>
      <c r="E9" s="736">
        <v>1819909</v>
      </c>
      <c r="F9" s="736">
        <v>1887786.81</v>
      </c>
      <c r="G9" s="736">
        <v>1896494.6</v>
      </c>
      <c r="H9" s="736"/>
      <c r="I9" s="736"/>
      <c r="J9" s="736">
        <f t="shared" si="3"/>
        <v>1896494.6</v>
      </c>
      <c r="K9" s="737">
        <v>30962.05</v>
      </c>
      <c r="L9" s="736"/>
      <c r="M9" s="736">
        <f t="shared" si="4"/>
        <v>1927456.6500000001</v>
      </c>
      <c r="N9" s="736"/>
      <c r="O9" s="736"/>
      <c r="P9" s="736">
        <f t="shared" si="5"/>
        <v>1927456.6500000001</v>
      </c>
      <c r="Q9" s="738">
        <v>1906663.7</v>
      </c>
      <c r="R9" s="738"/>
      <c r="S9" s="738">
        <v>2090932.48</v>
      </c>
      <c r="T9" s="739">
        <v>1500521</v>
      </c>
      <c r="U9" s="740">
        <v>2047924.55</v>
      </c>
      <c r="V9" s="741">
        <v>1500522</v>
      </c>
    </row>
    <row r="10" spans="1:22" ht="15" x14ac:dyDescent="0.2">
      <c r="A10" s="734">
        <v>1321</v>
      </c>
      <c r="B10" s="735" t="s">
        <v>9</v>
      </c>
      <c r="C10" s="736">
        <v>86942.57</v>
      </c>
      <c r="D10" s="736">
        <v>92640.9</v>
      </c>
      <c r="E10" s="736">
        <v>92640.9</v>
      </c>
      <c r="F10" s="736">
        <v>92640.9</v>
      </c>
      <c r="G10" s="736">
        <v>97204.3</v>
      </c>
      <c r="H10" s="736"/>
      <c r="I10" s="736"/>
      <c r="J10" s="736">
        <f t="shared" si="3"/>
        <v>97204.3</v>
      </c>
      <c r="K10" s="736">
        <v>2158.58</v>
      </c>
      <c r="L10" s="736"/>
      <c r="M10" s="736">
        <f t="shared" si="4"/>
        <v>99362.880000000005</v>
      </c>
      <c r="N10" s="736"/>
      <c r="O10" s="736"/>
      <c r="P10" s="736">
        <f t="shared" si="5"/>
        <v>99362.880000000005</v>
      </c>
      <c r="Q10" s="738">
        <v>99362.880000000005</v>
      </c>
      <c r="R10" s="738"/>
      <c r="S10" s="738">
        <v>103604.04</v>
      </c>
      <c r="T10" s="739">
        <v>1500521</v>
      </c>
      <c r="U10" s="740">
        <v>91388.59</v>
      </c>
      <c r="V10" s="741">
        <v>1500522</v>
      </c>
    </row>
    <row r="11" spans="1:22" ht="15" x14ac:dyDescent="0.2">
      <c r="A11" s="734">
        <v>1323</v>
      </c>
      <c r="B11" s="735" t="s">
        <v>11</v>
      </c>
      <c r="C11" s="736">
        <v>306233</v>
      </c>
      <c r="D11" s="736">
        <v>315015.5</v>
      </c>
      <c r="E11" s="736">
        <v>315015.5</v>
      </c>
      <c r="F11" s="736">
        <v>317472</v>
      </c>
      <c r="G11" s="736">
        <v>328573</v>
      </c>
      <c r="H11" s="736"/>
      <c r="I11" s="736"/>
      <c r="J11" s="736">
        <f t="shared" si="3"/>
        <v>328573</v>
      </c>
      <c r="K11" s="736">
        <v>5515.53</v>
      </c>
      <c r="L11" s="736"/>
      <c r="M11" s="736">
        <f t="shared" si="4"/>
        <v>334088.53000000003</v>
      </c>
      <c r="N11" s="736"/>
      <c r="O11" s="736"/>
      <c r="P11" s="736">
        <f t="shared" si="5"/>
        <v>334088.53000000003</v>
      </c>
      <c r="Q11" s="738">
        <v>334088.53000000003</v>
      </c>
      <c r="R11" s="738"/>
      <c r="S11" s="738">
        <v>364864</v>
      </c>
      <c r="T11" s="739">
        <v>1500521</v>
      </c>
      <c r="U11" s="742">
        <v>345168.04</v>
      </c>
      <c r="V11" s="741">
        <v>1500522</v>
      </c>
    </row>
    <row r="12" spans="1:22" ht="15" x14ac:dyDescent="0.2">
      <c r="A12" s="734">
        <v>1413</v>
      </c>
      <c r="B12" s="735" t="s">
        <v>13</v>
      </c>
      <c r="C12" s="736">
        <v>225610.33</v>
      </c>
      <c r="D12" s="736">
        <v>275858.90000000002</v>
      </c>
      <c r="E12" s="736">
        <v>272949.90000000002</v>
      </c>
      <c r="F12" s="736">
        <v>269981.34000000003</v>
      </c>
      <c r="G12" s="736">
        <v>323503.59999999998</v>
      </c>
      <c r="H12" s="736"/>
      <c r="I12" s="736"/>
      <c r="J12" s="736">
        <f t="shared" si="3"/>
        <v>323503.59999999998</v>
      </c>
      <c r="K12" s="736">
        <v>5681.73</v>
      </c>
      <c r="L12" s="736"/>
      <c r="M12" s="736">
        <f t="shared" si="4"/>
        <v>329185.32999999996</v>
      </c>
      <c r="N12" s="736"/>
      <c r="O12" s="736"/>
      <c r="P12" s="736">
        <f t="shared" si="5"/>
        <v>329185.32999999996</v>
      </c>
      <c r="Q12" s="738">
        <v>346497.04</v>
      </c>
      <c r="R12" s="738"/>
      <c r="S12" s="738">
        <v>401205.96</v>
      </c>
      <c r="T12" s="739">
        <v>1500521</v>
      </c>
      <c r="U12" s="742">
        <v>329484.65000000002</v>
      </c>
      <c r="V12" s="741">
        <v>1500522</v>
      </c>
    </row>
    <row r="13" spans="1:22" ht="15" x14ac:dyDescent="0.2">
      <c r="A13" s="734">
        <v>1421</v>
      </c>
      <c r="B13" s="735" t="s">
        <v>15</v>
      </c>
      <c r="C13" s="736">
        <v>82597.149999999994</v>
      </c>
      <c r="D13" s="736">
        <v>92372.02</v>
      </c>
      <c r="E13" s="736">
        <v>83678.02</v>
      </c>
      <c r="F13" s="736">
        <v>90019.93</v>
      </c>
      <c r="G13" s="736">
        <v>101438.1</v>
      </c>
      <c r="H13" s="736"/>
      <c r="I13" s="736"/>
      <c r="J13" s="736">
        <f t="shared" si="3"/>
        <v>101438.1</v>
      </c>
      <c r="K13" s="736">
        <v>1572.51</v>
      </c>
      <c r="L13" s="736"/>
      <c r="M13" s="736">
        <f t="shared" si="4"/>
        <v>103010.61</v>
      </c>
      <c r="N13" s="736"/>
      <c r="O13" s="736"/>
      <c r="P13" s="736">
        <f t="shared" si="5"/>
        <v>103010.61</v>
      </c>
      <c r="Q13" s="738">
        <v>103010.61</v>
      </c>
      <c r="R13" s="738"/>
      <c r="S13" s="738">
        <v>117930.24000000001</v>
      </c>
      <c r="T13" s="739">
        <v>1500521</v>
      </c>
      <c r="U13" s="742">
        <v>121435.49</v>
      </c>
      <c r="V13" s="741">
        <v>1500522</v>
      </c>
    </row>
    <row r="14" spans="1:22" ht="15" x14ac:dyDescent="0.2">
      <c r="A14" s="734">
        <v>1431</v>
      </c>
      <c r="B14" s="735" t="s">
        <v>16</v>
      </c>
      <c r="C14" s="736">
        <v>88247.49</v>
      </c>
      <c r="D14" s="736">
        <v>95143.22</v>
      </c>
      <c r="E14" s="736">
        <v>87787.22</v>
      </c>
      <c r="F14" s="736">
        <v>95226.559999999998</v>
      </c>
      <c r="G14" s="736">
        <v>104481</v>
      </c>
      <c r="H14" s="736"/>
      <c r="I14" s="736"/>
      <c r="J14" s="736">
        <f t="shared" si="3"/>
        <v>104481</v>
      </c>
      <c r="K14" s="736">
        <v>1598.91</v>
      </c>
      <c r="L14" s="736"/>
      <c r="M14" s="736">
        <f t="shared" si="4"/>
        <v>106079.91</v>
      </c>
      <c r="N14" s="736"/>
      <c r="O14" s="736"/>
      <c r="P14" s="736">
        <f t="shared" si="5"/>
        <v>106079.91</v>
      </c>
      <c r="Q14" s="738">
        <v>106079.91</v>
      </c>
      <c r="R14" s="738"/>
      <c r="S14" s="738">
        <v>121468.2</v>
      </c>
      <c r="T14" s="739">
        <v>1500521</v>
      </c>
      <c r="U14" s="742">
        <v>144966.6</v>
      </c>
      <c r="V14" s="741">
        <v>1500522</v>
      </c>
    </row>
    <row r="15" spans="1:22" ht="15" x14ac:dyDescent="0.2">
      <c r="A15" s="734">
        <v>1511</v>
      </c>
      <c r="B15" s="735" t="s">
        <v>18</v>
      </c>
      <c r="C15" s="736">
        <v>21617.54</v>
      </c>
      <c r="D15" s="736">
        <v>23747.360000000001</v>
      </c>
      <c r="E15" s="736">
        <v>23747.360000000001</v>
      </c>
      <c r="F15" s="736">
        <v>24615.22</v>
      </c>
      <c r="G15" s="736">
        <v>24948.6</v>
      </c>
      <c r="H15" s="736"/>
      <c r="I15" s="736"/>
      <c r="J15" s="736">
        <f t="shared" si="3"/>
        <v>24948.6</v>
      </c>
      <c r="K15" s="736">
        <v>835.92</v>
      </c>
      <c r="L15" s="736"/>
      <c r="M15" s="736">
        <f t="shared" si="4"/>
        <v>25784.519999999997</v>
      </c>
      <c r="N15" s="736"/>
      <c r="O15" s="736"/>
      <c r="P15" s="736">
        <f t="shared" si="5"/>
        <v>25784.519999999997</v>
      </c>
      <c r="Q15" s="738">
        <v>25784.52</v>
      </c>
      <c r="R15" s="738"/>
      <c r="S15" s="738">
        <v>29676.92</v>
      </c>
      <c r="T15" s="739">
        <v>1500521</v>
      </c>
      <c r="U15" s="742">
        <v>27136.69</v>
      </c>
      <c r="V15" s="741">
        <v>1500522</v>
      </c>
    </row>
    <row r="16" spans="1:22" ht="15" x14ac:dyDescent="0.2">
      <c r="A16" s="734">
        <v>1541</v>
      </c>
      <c r="B16" s="735" t="s">
        <v>19</v>
      </c>
      <c r="C16" s="736">
        <v>70858.539999999994</v>
      </c>
      <c r="D16" s="736">
        <v>78087.88</v>
      </c>
      <c r="E16" s="736">
        <v>77841.2</v>
      </c>
      <c r="F16" s="736">
        <v>79807.31</v>
      </c>
      <c r="G16" s="736">
        <v>99252.7</v>
      </c>
      <c r="H16" s="736"/>
      <c r="I16" s="736"/>
      <c r="J16" s="736">
        <f t="shared" si="3"/>
        <v>99252.7</v>
      </c>
      <c r="K16" s="736">
        <v>3777.59</v>
      </c>
      <c r="L16" s="736"/>
      <c r="M16" s="736">
        <f t="shared" si="4"/>
        <v>103030.29</v>
      </c>
      <c r="N16" s="736"/>
      <c r="O16" s="736"/>
      <c r="P16" s="736">
        <f t="shared" si="5"/>
        <v>103030.29</v>
      </c>
      <c r="Q16" s="738">
        <v>103030.29</v>
      </c>
      <c r="R16" s="738"/>
      <c r="S16" s="738">
        <v>83702.84</v>
      </c>
      <c r="T16" s="739">
        <v>1500521</v>
      </c>
      <c r="U16" s="742">
        <v>93123.74</v>
      </c>
      <c r="V16" s="741">
        <v>1500522</v>
      </c>
    </row>
    <row r="17" spans="1:22" ht="15" x14ac:dyDescent="0.2">
      <c r="A17" s="734">
        <v>1592</v>
      </c>
      <c r="B17" s="735" t="s">
        <v>20</v>
      </c>
      <c r="C17" s="736">
        <v>317443.3</v>
      </c>
      <c r="D17" s="736">
        <v>342254.64</v>
      </c>
      <c r="E17" s="736">
        <v>342254.64</v>
      </c>
      <c r="F17" s="736">
        <v>354661.61</v>
      </c>
      <c r="G17" s="736">
        <v>357732</v>
      </c>
      <c r="H17" s="736"/>
      <c r="I17" s="736"/>
      <c r="J17" s="736">
        <f t="shared" si="3"/>
        <v>357732</v>
      </c>
      <c r="K17" s="736">
        <v>7814.6</v>
      </c>
      <c r="L17" s="736"/>
      <c r="M17" s="736">
        <f t="shared" si="4"/>
        <v>365546.6</v>
      </c>
      <c r="N17" s="736"/>
      <c r="O17" s="736"/>
      <c r="P17" s="736">
        <f t="shared" si="5"/>
        <v>365546.6</v>
      </c>
      <c r="Q17" s="738">
        <v>392742.71</v>
      </c>
      <c r="R17" s="738"/>
      <c r="S17" s="738">
        <v>417031.16</v>
      </c>
      <c r="T17" s="739">
        <v>1500521</v>
      </c>
      <c r="U17" s="740">
        <v>386860.2</v>
      </c>
      <c r="V17" s="741">
        <v>1500522</v>
      </c>
    </row>
    <row r="18" spans="1:22" ht="15" x14ac:dyDescent="0.2">
      <c r="A18" s="734">
        <v>2111</v>
      </c>
      <c r="B18" s="735" t="s">
        <v>22</v>
      </c>
      <c r="C18" s="736">
        <v>45869</v>
      </c>
      <c r="D18" s="736">
        <v>10000</v>
      </c>
      <c r="E18" s="736">
        <v>10000</v>
      </c>
      <c r="F18" s="736">
        <v>7637.42</v>
      </c>
      <c r="G18" s="736">
        <v>10000.01</v>
      </c>
      <c r="H18" s="736"/>
      <c r="I18" s="736"/>
      <c r="J18" s="736">
        <f t="shared" si="3"/>
        <v>10000.01</v>
      </c>
      <c r="K18" s="736"/>
      <c r="L18" s="736"/>
      <c r="M18" s="736">
        <f t="shared" si="4"/>
        <v>10000.01</v>
      </c>
      <c r="N18" s="736"/>
      <c r="O18" s="736"/>
      <c r="P18" s="736">
        <f t="shared" si="5"/>
        <v>10000.01</v>
      </c>
      <c r="Q18" s="738">
        <v>8486</v>
      </c>
      <c r="R18" s="738">
        <v>7213.04</v>
      </c>
      <c r="S18" s="738">
        <v>10000</v>
      </c>
      <c r="T18" s="739">
        <v>1100121</v>
      </c>
      <c r="U18" s="740">
        <v>20000</v>
      </c>
      <c r="V18" s="741">
        <v>1100122</v>
      </c>
    </row>
    <row r="19" spans="1:22" ht="15" x14ac:dyDescent="0.2">
      <c r="A19" s="739">
        <v>2112</v>
      </c>
      <c r="B19" s="743" t="s">
        <v>39</v>
      </c>
      <c r="C19" s="736">
        <v>2000</v>
      </c>
      <c r="D19" s="736">
        <v>5000</v>
      </c>
      <c r="E19" s="736">
        <v>5000</v>
      </c>
      <c r="F19" s="736">
        <v>4007.4</v>
      </c>
      <c r="G19" s="736"/>
      <c r="H19" s="736"/>
      <c r="I19" s="736"/>
      <c r="J19" s="736">
        <f t="shared" si="3"/>
        <v>0</v>
      </c>
      <c r="K19" s="736"/>
      <c r="L19" s="736"/>
      <c r="M19" s="736">
        <f t="shared" si="4"/>
        <v>0</v>
      </c>
      <c r="N19" s="736"/>
      <c r="O19" s="736"/>
      <c r="P19" s="738">
        <f t="shared" si="5"/>
        <v>0</v>
      </c>
      <c r="Q19" s="738"/>
      <c r="R19" s="738"/>
      <c r="S19" s="738"/>
      <c r="T19" s="739">
        <v>1100121</v>
      </c>
      <c r="U19" s="744"/>
      <c r="V19" s="739">
        <v>1100122</v>
      </c>
    </row>
    <row r="20" spans="1:22" ht="15" x14ac:dyDescent="0.2">
      <c r="A20" s="734">
        <v>2121</v>
      </c>
      <c r="B20" s="735" t="s">
        <v>24</v>
      </c>
      <c r="C20" s="736">
        <v>6323</v>
      </c>
      <c r="D20" s="736">
        <v>10000</v>
      </c>
      <c r="E20" s="736">
        <v>10000</v>
      </c>
      <c r="F20" s="736">
        <v>9500</v>
      </c>
      <c r="G20" s="736">
        <v>10000</v>
      </c>
      <c r="H20" s="736"/>
      <c r="I20" s="736"/>
      <c r="J20" s="736">
        <f t="shared" si="3"/>
        <v>10000</v>
      </c>
      <c r="K20" s="736"/>
      <c r="L20" s="736"/>
      <c r="M20" s="736">
        <f t="shared" si="4"/>
        <v>10000</v>
      </c>
      <c r="N20" s="736"/>
      <c r="O20" s="736"/>
      <c r="P20" s="736">
        <f t="shared" si="5"/>
        <v>10000</v>
      </c>
      <c r="Q20" s="738">
        <v>8248.68</v>
      </c>
      <c r="R20" s="738">
        <v>7487.68</v>
      </c>
      <c r="S20" s="738">
        <v>10000</v>
      </c>
      <c r="T20" s="739">
        <v>1100121</v>
      </c>
      <c r="U20" s="740">
        <v>10000</v>
      </c>
      <c r="V20" s="741">
        <v>1100122</v>
      </c>
    </row>
    <row r="21" spans="1:22" ht="15" x14ac:dyDescent="0.2">
      <c r="A21" s="739">
        <v>2151</v>
      </c>
      <c r="B21" s="743" t="s">
        <v>25</v>
      </c>
      <c r="C21" s="736"/>
      <c r="D21" s="736">
        <v>2500</v>
      </c>
      <c r="E21" s="736">
        <v>2500</v>
      </c>
      <c r="F21" s="736">
        <v>0</v>
      </c>
      <c r="G21" s="736"/>
      <c r="H21" s="736"/>
      <c r="I21" s="736"/>
      <c r="J21" s="736">
        <f t="shared" si="3"/>
        <v>0</v>
      </c>
      <c r="K21" s="736"/>
      <c r="L21" s="736"/>
      <c r="M21" s="736">
        <f t="shared" si="4"/>
        <v>0</v>
      </c>
      <c r="N21" s="736"/>
      <c r="O21" s="736"/>
      <c r="P21" s="738">
        <f t="shared" si="5"/>
        <v>0</v>
      </c>
      <c r="Q21" s="738"/>
      <c r="R21" s="738"/>
      <c r="S21" s="738"/>
      <c r="T21" s="739">
        <v>1100121</v>
      </c>
      <c r="U21" s="745"/>
      <c r="V21" s="739">
        <v>1100122</v>
      </c>
    </row>
    <row r="22" spans="1:22" ht="30" x14ac:dyDescent="0.2">
      <c r="A22" s="734">
        <v>2612</v>
      </c>
      <c r="B22" s="735" t="s">
        <v>26</v>
      </c>
      <c r="C22" s="736">
        <v>744940.95</v>
      </c>
      <c r="D22" s="736">
        <v>750000</v>
      </c>
      <c r="E22" s="736">
        <v>750000</v>
      </c>
      <c r="F22" s="736">
        <v>741545.78</v>
      </c>
      <c r="G22" s="736">
        <v>900000</v>
      </c>
      <c r="H22" s="736"/>
      <c r="I22" s="736"/>
      <c r="J22" s="736">
        <f t="shared" si="3"/>
        <v>900000</v>
      </c>
      <c r="K22" s="736"/>
      <c r="L22" s="736"/>
      <c r="M22" s="736">
        <f t="shared" si="4"/>
        <v>900000</v>
      </c>
      <c r="N22" s="736"/>
      <c r="O22" s="736"/>
      <c r="P22" s="736">
        <f t="shared" si="5"/>
        <v>900000</v>
      </c>
      <c r="Q22" s="738">
        <v>750000</v>
      </c>
      <c r="R22" s="738">
        <v>332593.55</v>
      </c>
      <c r="S22" s="738">
        <f>Q22</f>
        <v>750000</v>
      </c>
      <c r="T22" s="739">
        <v>1100121</v>
      </c>
      <c r="U22" s="746">
        <v>650000</v>
      </c>
      <c r="V22" s="741">
        <v>1100122</v>
      </c>
    </row>
    <row r="23" spans="1:22" ht="15" x14ac:dyDescent="0.2">
      <c r="A23" s="739">
        <v>2711</v>
      </c>
      <c r="B23" s="743" t="s">
        <v>27</v>
      </c>
      <c r="C23" s="736"/>
      <c r="D23" s="736">
        <v>15000</v>
      </c>
      <c r="E23" s="736">
        <v>15000</v>
      </c>
      <c r="F23" s="736">
        <v>0</v>
      </c>
      <c r="G23" s="736"/>
      <c r="H23" s="736"/>
      <c r="I23" s="736"/>
      <c r="J23" s="736">
        <f t="shared" si="3"/>
        <v>0</v>
      </c>
      <c r="K23" s="736"/>
      <c r="L23" s="736"/>
      <c r="M23" s="736">
        <f t="shared" si="4"/>
        <v>0</v>
      </c>
      <c r="N23" s="736"/>
      <c r="O23" s="736"/>
      <c r="P23" s="738">
        <f t="shared" si="5"/>
        <v>0</v>
      </c>
      <c r="Q23" s="738"/>
      <c r="R23" s="738"/>
      <c r="S23" s="738"/>
      <c r="T23" s="739">
        <v>1100121</v>
      </c>
      <c r="U23" s="744"/>
      <c r="V23" s="739">
        <v>1100122</v>
      </c>
    </row>
    <row r="24" spans="1:22" ht="15" x14ac:dyDescent="0.2">
      <c r="A24" s="734">
        <v>3151</v>
      </c>
      <c r="B24" s="735" t="s">
        <v>28</v>
      </c>
      <c r="C24" s="736">
        <v>43695.88</v>
      </c>
      <c r="D24" s="736">
        <v>65000</v>
      </c>
      <c r="E24" s="736">
        <v>82600</v>
      </c>
      <c r="F24" s="736">
        <v>80772.679999999993</v>
      </c>
      <c r="G24" s="736">
        <v>80000</v>
      </c>
      <c r="H24" s="736"/>
      <c r="I24" s="736"/>
      <c r="J24" s="736">
        <f t="shared" si="3"/>
        <v>80000</v>
      </c>
      <c r="K24" s="736"/>
      <c r="L24" s="736"/>
      <c r="M24" s="736">
        <f t="shared" si="4"/>
        <v>80000</v>
      </c>
      <c r="N24" s="736"/>
      <c r="O24" s="736"/>
      <c r="P24" s="736">
        <f t="shared" si="5"/>
        <v>80000</v>
      </c>
      <c r="Q24" s="738">
        <v>80000</v>
      </c>
      <c r="R24" s="738">
        <v>59999.98</v>
      </c>
      <c r="S24" s="738">
        <v>80000</v>
      </c>
      <c r="T24" s="739">
        <v>1100121</v>
      </c>
      <c r="U24" s="746">
        <v>96750</v>
      </c>
      <c r="V24" s="741">
        <v>1100122</v>
      </c>
    </row>
    <row r="25" spans="1:22" ht="30" x14ac:dyDescent="0.2">
      <c r="A25" s="734">
        <v>3361</v>
      </c>
      <c r="B25" s="735" t="s">
        <v>29</v>
      </c>
      <c r="C25" s="736">
        <v>301.60000000000002</v>
      </c>
      <c r="D25" s="736">
        <v>10000</v>
      </c>
      <c r="E25" s="736">
        <v>10000</v>
      </c>
      <c r="F25" s="736">
        <v>0</v>
      </c>
      <c r="G25" s="736"/>
      <c r="H25" s="736"/>
      <c r="I25" s="736"/>
      <c r="J25" s="736">
        <f t="shared" si="3"/>
        <v>0</v>
      </c>
      <c r="K25" s="736"/>
      <c r="L25" s="736"/>
      <c r="M25" s="736">
        <f t="shared" si="4"/>
        <v>0</v>
      </c>
      <c r="N25" s="736"/>
      <c r="O25" s="736"/>
      <c r="P25" s="738">
        <f t="shared" si="5"/>
        <v>0</v>
      </c>
      <c r="Q25" s="738"/>
      <c r="R25" s="738"/>
      <c r="S25" s="738">
        <v>15000</v>
      </c>
      <c r="T25" s="739">
        <v>1100121</v>
      </c>
      <c r="U25" s="746">
        <v>10000</v>
      </c>
      <c r="V25" s="741">
        <v>1100122</v>
      </c>
    </row>
    <row r="26" spans="1:22" ht="15" x14ac:dyDescent="0.2">
      <c r="A26" s="734">
        <v>3551</v>
      </c>
      <c r="B26" s="735" t="s">
        <v>30</v>
      </c>
      <c r="C26" s="736">
        <v>165334.47</v>
      </c>
      <c r="D26" s="736">
        <v>250000</v>
      </c>
      <c r="E26" s="736">
        <v>250000</v>
      </c>
      <c r="F26" s="736">
        <v>122000.81</v>
      </c>
      <c r="G26" s="736">
        <v>300000</v>
      </c>
      <c r="H26" s="736"/>
      <c r="I26" s="736"/>
      <c r="J26" s="736">
        <f t="shared" si="3"/>
        <v>300000</v>
      </c>
      <c r="K26" s="736"/>
      <c r="L26" s="736"/>
      <c r="M26" s="736">
        <f t="shared" si="4"/>
        <v>300000</v>
      </c>
      <c r="N26" s="736"/>
      <c r="O26" s="736"/>
      <c r="P26" s="736">
        <f t="shared" si="5"/>
        <v>300000</v>
      </c>
      <c r="Q26" s="738">
        <v>220000</v>
      </c>
      <c r="R26" s="738">
        <v>129805.03</v>
      </c>
      <c r="S26" s="738">
        <f>Q26</f>
        <v>220000</v>
      </c>
      <c r="T26" s="739">
        <v>1100121</v>
      </c>
      <c r="U26" s="746">
        <v>250000</v>
      </c>
      <c r="V26" s="741">
        <v>1100122</v>
      </c>
    </row>
    <row r="27" spans="1:22" ht="15" x14ac:dyDescent="0.2">
      <c r="A27" s="734">
        <v>3821</v>
      </c>
      <c r="B27" s="735" t="s">
        <v>31</v>
      </c>
      <c r="C27" s="736">
        <v>80609.94</v>
      </c>
      <c r="D27" s="736">
        <v>50000</v>
      </c>
      <c r="E27" s="736">
        <v>50000</v>
      </c>
      <c r="F27" s="736">
        <v>35230.370000000003</v>
      </c>
      <c r="G27" s="736">
        <v>50000</v>
      </c>
      <c r="H27" s="736"/>
      <c r="I27" s="736"/>
      <c r="J27" s="736">
        <f t="shared" si="3"/>
        <v>50000</v>
      </c>
      <c r="K27" s="736"/>
      <c r="L27" s="736"/>
      <c r="M27" s="736">
        <f t="shared" si="4"/>
        <v>50000</v>
      </c>
      <c r="N27" s="736"/>
      <c r="O27" s="736"/>
      <c r="P27" s="736">
        <f t="shared" si="5"/>
        <v>50000</v>
      </c>
      <c r="Q27" s="738">
        <v>32000</v>
      </c>
      <c r="R27" s="738">
        <v>6784.1</v>
      </c>
      <c r="S27" s="738">
        <v>50000</v>
      </c>
      <c r="T27" s="739">
        <v>1100121</v>
      </c>
      <c r="U27" s="740">
        <v>50000</v>
      </c>
      <c r="V27" s="741">
        <v>1100122</v>
      </c>
    </row>
    <row r="28" spans="1:22" ht="15" x14ac:dyDescent="0.2">
      <c r="A28" s="734">
        <v>3852</v>
      </c>
      <c r="B28" s="735" t="s">
        <v>32</v>
      </c>
      <c r="C28" s="736">
        <v>105406.86</v>
      </c>
      <c r="D28" s="736">
        <v>80000</v>
      </c>
      <c r="E28" s="736">
        <v>105000</v>
      </c>
      <c r="F28" s="736">
        <v>86812.19</v>
      </c>
      <c r="G28" s="736">
        <v>80000</v>
      </c>
      <c r="H28" s="736"/>
      <c r="I28" s="736"/>
      <c r="J28" s="736">
        <f t="shared" si="3"/>
        <v>80000</v>
      </c>
      <c r="K28" s="736"/>
      <c r="L28" s="736"/>
      <c r="M28" s="736">
        <f t="shared" si="4"/>
        <v>80000</v>
      </c>
      <c r="N28" s="736"/>
      <c r="O28" s="736"/>
      <c r="P28" s="736">
        <f t="shared" si="5"/>
        <v>80000</v>
      </c>
      <c r="Q28" s="738">
        <v>80000</v>
      </c>
      <c r="R28" s="738">
        <v>67590.14</v>
      </c>
      <c r="S28" s="738">
        <v>80000</v>
      </c>
      <c r="T28" s="739">
        <v>1100121</v>
      </c>
      <c r="U28" s="740">
        <v>80000</v>
      </c>
      <c r="V28" s="741">
        <v>1100122</v>
      </c>
    </row>
    <row r="29" spans="1:22" ht="15" x14ac:dyDescent="0.2">
      <c r="A29" s="734">
        <v>3921</v>
      </c>
      <c r="B29" s="735" t="s">
        <v>33</v>
      </c>
      <c r="C29" s="736">
        <v>2642.03</v>
      </c>
      <c r="D29" s="736">
        <v>3640</v>
      </c>
      <c r="E29" s="736">
        <v>3640</v>
      </c>
      <c r="F29" s="736">
        <v>3159.99</v>
      </c>
      <c r="G29" s="736">
        <v>4052.4</v>
      </c>
      <c r="H29" s="736"/>
      <c r="I29" s="736"/>
      <c r="J29" s="736">
        <f t="shared" si="3"/>
        <v>4052.4</v>
      </c>
      <c r="K29" s="736"/>
      <c r="L29" s="736"/>
      <c r="M29" s="736">
        <f t="shared" si="4"/>
        <v>4052.4</v>
      </c>
      <c r="N29" s="736"/>
      <c r="O29" s="736"/>
      <c r="P29" s="736">
        <f t="shared" si="5"/>
        <v>4052.4</v>
      </c>
      <c r="Q29" s="738">
        <v>4052.4</v>
      </c>
      <c r="R29" s="738">
        <v>3945.95</v>
      </c>
      <c r="S29" s="738">
        <v>4000</v>
      </c>
      <c r="T29" s="739">
        <v>1100121</v>
      </c>
      <c r="U29" s="746">
        <v>5908</v>
      </c>
      <c r="V29" s="741">
        <v>1100122</v>
      </c>
    </row>
    <row r="30" spans="1:22" ht="15" x14ac:dyDescent="0.2">
      <c r="A30" s="739">
        <v>3921</v>
      </c>
      <c r="B30" s="743" t="s">
        <v>33</v>
      </c>
      <c r="C30" s="736"/>
      <c r="D30" s="736"/>
      <c r="E30" s="736"/>
      <c r="F30" s="736"/>
      <c r="G30" s="736"/>
      <c r="H30" s="736"/>
      <c r="I30" s="736"/>
      <c r="J30" s="736"/>
      <c r="K30" s="736"/>
      <c r="L30" s="736"/>
      <c r="M30" s="736"/>
      <c r="N30" s="736"/>
      <c r="O30" s="736"/>
      <c r="P30" s="736"/>
      <c r="Q30" s="738"/>
      <c r="R30" s="738"/>
      <c r="S30" s="738"/>
      <c r="T30" s="739"/>
      <c r="U30" s="744"/>
      <c r="V30" s="739"/>
    </row>
    <row r="31" spans="1:22" ht="15" x14ac:dyDescent="0.2">
      <c r="A31" s="734">
        <v>4411</v>
      </c>
      <c r="B31" s="735" t="s">
        <v>34</v>
      </c>
      <c r="C31" s="736">
        <v>1402091.13</v>
      </c>
      <c r="D31" s="736">
        <v>1300000</v>
      </c>
      <c r="E31" s="736">
        <v>1300000</v>
      </c>
      <c r="F31" s="736">
        <v>1328852.28</v>
      </c>
      <c r="G31" s="736">
        <v>1500000</v>
      </c>
      <c r="H31" s="736"/>
      <c r="I31" s="736"/>
      <c r="J31" s="736">
        <f t="shared" ref="J31:J34" si="6">G31+H31-I31</f>
        <v>1500000</v>
      </c>
      <c r="K31" s="736"/>
      <c r="L31" s="736"/>
      <c r="M31" s="736">
        <f t="shared" ref="M31:M34" si="7">J31+K31-L31</f>
        <v>1500000</v>
      </c>
      <c r="N31" s="736"/>
      <c r="O31" s="736"/>
      <c r="P31" s="736">
        <f t="shared" ref="P31:P34" si="8">M31+N31-O31</f>
        <v>1500000</v>
      </c>
      <c r="Q31" s="738">
        <v>2045156</v>
      </c>
      <c r="R31" s="738">
        <v>2037624.01</v>
      </c>
      <c r="S31" s="747">
        <v>2000000</v>
      </c>
      <c r="T31" s="739">
        <v>1100121</v>
      </c>
      <c r="U31" s="746">
        <v>1500000</v>
      </c>
      <c r="V31" s="741">
        <v>1100122</v>
      </c>
    </row>
    <row r="32" spans="1:22" ht="15" x14ac:dyDescent="0.2">
      <c r="A32" s="739">
        <v>4411</v>
      </c>
      <c r="B32" s="743" t="s">
        <v>34</v>
      </c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8">
        <v>302844</v>
      </c>
      <c r="R32" s="738">
        <v>102844</v>
      </c>
      <c r="S32" s="738"/>
      <c r="T32" s="739">
        <v>1100120</v>
      </c>
      <c r="U32" s="745"/>
      <c r="V32" s="739">
        <v>1100120</v>
      </c>
    </row>
    <row r="33" spans="1:22" ht="15" x14ac:dyDescent="0.2">
      <c r="A33" s="734">
        <v>5111</v>
      </c>
      <c r="B33" s="735" t="s">
        <v>35</v>
      </c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8"/>
      <c r="R33" s="738"/>
      <c r="S33" s="738">
        <v>45000</v>
      </c>
      <c r="T33" s="739"/>
      <c r="U33" s="746">
        <v>45000</v>
      </c>
      <c r="V33" s="741">
        <v>1100122</v>
      </c>
    </row>
    <row r="34" spans="1:22" ht="15" x14ac:dyDescent="0.2">
      <c r="A34" s="739">
        <v>5151</v>
      </c>
      <c r="B34" s="743" t="s">
        <v>36</v>
      </c>
      <c r="C34" s="736"/>
      <c r="D34" s="736"/>
      <c r="E34" s="736"/>
      <c r="F34" s="736"/>
      <c r="G34" s="736">
        <v>50000</v>
      </c>
      <c r="H34" s="736"/>
      <c r="I34" s="736"/>
      <c r="J34" s="736">
        <f t="shared" si="6"/>
        <v>50000</v>
      </c>
      <c r="K34" s="736"/>
      <c r="L34" s="736"/>
      <c r="M34" s="736">
        <f t="shared" si="7"/>
        <v>50000</v>
      </c>
      <c r="N34" s="736"/>
      <c r="O34" s="736">
        <v>50000</v>
      </c>
      <c r="P34" s="738">
        <f t="shared" si="8"/>
        <v>0</v>
      </c>
      <c r="Q34" s="738"/>
      <c r="R34" s="738"/>
      <c r="S34" s="738">
        <v>50000</v>
      </c>
      <c r="T34" s="739">
        <v>1500521</v>
      </c>
      <c r="U34" s="744"/>
      <c r="V34" s="739">
        <v>1500522</v>
      </c>
    </row>
    <row r="35" spans="1:22" ht="15" x14ac:dyDescent="0.2">
      <c r="A35" s="728" t="s">
        <v>37</v>
      </c>
      <c r="B35" s="729" t="s">
        <v>1616</v>
      </c>
      <c r="C35" s="730">
        <f t="shared" ref="C35:S35" si="9">SUM(C36:C56)</f>
        <v>2607877</v>
      </c>
      <c r="D35" s="730">
        <f t="shared" si="9"/>
        <v>3671334.96</v>
      </c>
      <c r="E35" s="730">
        <f t="shared" si="9"/>
        <v>2149675.4300000002</v>
      </c>
      <c r="F35" s="730">
        <f t="shared" si="9"/>
        <v>1923769.23</v>
      </c>
      <c r="G35" s="730">
        <f t="shared" si="9"/>
        <v>2058184.1</v>
      </c>
      <c r="H35" s="730">
        <f t="shared" si="9"/>
        <v>0</v>
      </c>
      <c r="I35" s="730">
        <f t="shared" si="9"/>
        <v>0</v>
      </c>
      <c r="J35" s="730">
        <f t="shared" si="9"/>
        <v>2058184.1</v>
      </c>
      <c r="K35" s="730">
        <f t="shared" si="9"/>
        <v>210474.78000000006</v>
      </c>
      <c r="L35" s="730">
        <f t="shared" si="9"/>
        <v>7861.97</v>
      </c>
      <c r="M35" s="730">
        <f t="shared" si="9"/>
        <v>2260796.91</v>
      </c>
      <c r="N35" s="730">
        <f t="shared" si="9"/>
        <v>0</v>
      </c>
      <c r="O35" s="730">
        <f t="shared" si="9"/>
        <v>0</v>
      </c>
      <c r="P35" s="730">
        <f t="shared" si="9"/>
        <v>2260796.91</v>
      </c>
      <c r="Q35" s="748">
        <f t="shared" si="9"/>
        <v>2485585.6999999997</v>
      </c>
      <c r="R35" s="748">
        <f t="shared" si="9"/>
        <v>456432.84</v>
      </c>
      <c r="S35" s="748">
        <f t="shared" si="9"/>
        <v>2844378.74</v>
      </c>
      <c r="T35" s="731"/>
      <c r="U35" s="732">
        <f>SUM(U36:U56)</f>
        <v>2774193.5</v>
      </c>
      <c r="V35" s="733"/>
    </row>
    <row r="36" spans="1:22" ht="15" x14ac:dyDescent="0.2">
      <c r="A36" s="739">
        <v>1131</v>
      </c>
      <c r="B36" s="743" t="s">
        <v>6</v>
      </c>
      <c r="C36" s="736">
        <v>145435.1</v>
      </c>
      <c r="D36" s="736">
        <v>545803.43999999994</v>
      </c>
      <c r="E36" s="749">
        <v>0</v>
      </c>
      <c r="F36" s="736">
        <v>0</v>
      </c>
      <c r="G36" s="736"/>
      <c r="H36" s="736"/>
      <c r="I36" s="736"/>
      <c r="J36" s="736">
        <f t="shared" ref="J36:J56" si="10">G36+H36-I36</f>
        <v>0</v>
      </c>
      <c r="K36" s="736"/>
      <c r="L36" s="736"/>
      <c r="M36" s="736">
        <f t="shared" ref="M36:M56" si="11">J36+K36-L36</f>
        <v>0</v>
      </c>
      <c r="N36" s="736"/>
      <c r="O36" s="736"/>
      <c r="P36" s="738">
        <f t="shared" ref="P36:P56" si="12">M36+N36-O36</f>
        <v>0</v>
      </c>
      <c r="Q36" s="738"/>
      <c r="R36" s="738"/>
      <c r="S36" s="738">
        <v>160280.12</v>
      </c>
      <c r="T36" s="739">
        <v>1500521</v>
      </c>
      <c r="U36" s="750" t="s">
        <v>1670</v>
      </c>
      <c r="V36" s="739">
        <v>1500522</v>
      </c>
    </row>
    <row r="37" spans="1:22" ht="15" x14ac:dyDescent="0.2">
      <c r="A37" s="734">
        <v>1132</v>
      </c>
      <c r="B37" s="735" t="s">
        <v>8</v>
      </c>
      <c r="C37" s="736">
        <v>1010499.13</v>
      </c>
      <c r="D37" s="736">
        <v>1037156.12</v>
      </c>
      <c r="E37" s="749">
        <v>770470.55</v>
      </c>
      <c r="F37" s="736">
        <v>796318.64</v>
      </c>
      <c r="G37" s="736">
        <v>792701</v>
      </c>
      <c r="H37" s="736"/>
      <c r="I37" s="736"/>
      <c r="J37" s="736">
        <f t="shared" si="10"/>
        <v>792701</v>
      </c>
      <c r="K37" s="736">
        <v>203757.54</v>
      </c>
      <c r="L37" s="736"/>
      <c r="M37" s="736">
        <f t="shared" si="11"/>
        <v>996458.54</v>
      </c>
      <c r="N37" s="736"/>
      <c r="O37" s="736"/>
      <c r="P37" s="736">
        <f t="shared" si="12"/>
        <v>996458.54</v>
      </c>
      <c r="Q37" s="738">
        <v>974509.35</v>
      </c>
      <c r="R37" s="738"/>
      <c r="S37" s="751">
        <v>1025846.64</v>
      </c>
      <c r="T37" s="739">
        <v>1500521</v>
      </c>
      <c r="U37" s="742">
        <v>1100895.26</v>
      </c>
      <c r="V37" s="741">
        <v>1500522</v>
      </c>
    </row>
    <row r="38" spans="1:22" ht="15" x14ac:dyDescent="0.2">
      <c r="A38" s="734">
        <v>1321</v>
      </c>
      <c r="B38" s="735" t="s">
        <v>9</v>
      </c>
      <c r="C38" s="736">
        <v>41032.25</v>
      </c>
      <c r="D38" s="736">
        <v>53116.1</v>
      </c>
      <c r="E38" s="749">
        <v>25530.1</v>
      </c>
      <c r="F38" s="736">
        <v>25530.1</v>
      </c>
      <c r="G38" s="736">
        <v>28157.899999999998</v>
      </c>
      <c r="H38" s="736"/>
      <c r="I38" s="736"/>
      <c r="J38" s="736">
        <f t="shared" si="10"/>
        <v>28157.899999999998</v>
      </c>
      <c r="K38" s="736">
        <v>419.39</v>
      </c>
      <c r="L38" s="736"/>
      <c r="M38" s="736">
        <f t="shared" si="11"/>
        <v>28577.289999999997</v>
      </c>
      <c r="N38" s="736"/>
      <c r="O38" s="736"/>
      <c r="P38" s="736">
        <f t="shared" si="12"/>
        <v>28577.289999999997</v>
      </c>
      <c r="Q38" s="738">
        <v>34303.81</v>
      </c>
      <c r="R38" s="738"/>
      <c r="S38" s="751">
        <v>48966.66</v>
      </c>
      <c r="T38" s="739">
        <v>1500521</v>
      </c>
      <c r="U38" s="742">
        <v>39125.360000000001</v>
      </c>
      <c r="V38" s="741">
        <v>1500522</v>
      </c>
    </row>
    <row r="39" spans="1:22" ht="15" x14ac:dyDescent="0.2">
      <c r="A39" s="734">
        <v>1323</v>
      </c>
      <c r="B39" s="735" t="s">
        <v>11</v>
      </c>
      <c r="C39" s="736">
        <v>195402</v>
      </c>
      <c r="D39" s="736">
        <v>265580.5</v>
      </c>
      <c r="E39" s="749">
        <v>159331.70000000001</v>
      </c>
      <c r="F39" s="736">
        <v>127512</v>
      </c>
      <c r="G39" s="736">
        <v>131977</v>
      </c>
      <c r="H39" s="736"/>
      <c r="I39" s="736"/>
      <c r="J39" s="736">
        <f t="shared" si="10"/>
        <v>131977</v>
      </c>
      <c r="K39" s="736">
        <v>1801.76</v>
      </c>
      <c r="L39" s="736"/>
      <c r="M39" s="736">
        <f t="shared" si="11"/>
        <v>133778.76</v>
      </c>
      <c r="N39" s="736"/>
      <c r="O39" s="736"/>
      <c r="P39" s="736">
        <f t="shared" si="12"/>
        <v>133778.76</v>
      </c>
      <c r="Q39" s="738">
        <v>156419.42000000001</v>
      </c>
      <c r="R39" s="738"/>
      <c r="S39" s="751">
        <v>197519.5</v>
      </c>
      <c r="T39" s="739">
        <v>1500521</v>
      </c>
      <c r="U39" s="742">
        <v>163286.87</v>
      </c>
      <c r="V39" s="741">
        <v>1500522</v>
      </c>
    </row>
    <row r="40" spans="1:22" ht="15" x14ac:dyDescent="0.2">
      <c r="A40" s="734">
        <v>1413</v>
      </c>
      <c r="B40" s="735" t="s">
        <v>13</v>
      </c>
      <c r="C40" s="736">
        <v>185561.96</v>
      </c>
      <c r="D40" s="736">
        <v>311530.12</v>
      </c>
      <c r="E40" s="749">
        <v>131545.56</v>
      </c>
      <c r="F40" s="736">
        <v>130186.73</v>
      </c>
      <c r="G40" s="736">
        <v>160498.79999999999</v>
      </c>
      <c r="H40" s="736"/>
      <c r="I40" s="736"/>
      <c r="J40" s="736">
        <f t="shared" si="10"/>
        <v>160498.79999999999</v>
      </c>
      <c r="K40" s="736">
        <v>2705.39</v>
      </c>
      <c r="L40" s="736"/>
      <c r="M40" s="736">
        <f t="shared" si="11"/>
        <v>163204.19</v>
      </c>
      <c r="N40" s="736"/>
      <c r="O40" s="736"/>
      <c r="P40" s="736">
        <f t="shared" si="12"/>
        <v>163204.19</v>
      </c>
      <c r="Q40" s="738">
        <v>163204.19</v>
      </c>
      <c r="R40" s="738"/>
      <c r="S40" s="751">
        <v>275465.52</v>
      </c>
      <c r="T40" s="739">
        <v>1500521</v>
      </c>
      <c r="U40" s="742">
        <v>197150.66</v>
      </c>
      <c r="V40" s="741">
        <v>1500522</v>
      </c>
    </row>
    <row r="41" spans="1:22" ht="15" x14ac:dyDescent="0.2">
      <c r="A41" s="734">
        <v>1421</v>
      </c>
      <c r="B41" s="735" t="s">
        <v>15</v>
      </c>
      <c r="C41" s="736">
        <v>68097.509999999995</v>
      </c>
      <c r="D41" s="736">
        <v>103833.84</v>
      </c>
      <c r="E41" s="749">
        <v>40126.519999999997</v>
      </c>
      <c r="F41" s="736">
        <v>43184.24</v>
      </c>
      <c r="G41" s="736">
        <v>50279.799999999996</v>
      </c>
      <c r="H41" s="736"/>
      <c r="I41" s="736"/>
      <c r="J41" s="736">
        <f t="shared" si="10"/>
        <v>50279.799999999996</v>
      </c>
      <c r="K41" s="736">
        <v>738.63</v>
      </c>
      <c r="L41" s="736"/>
      <c r="M41" s="736">
        <f t="shared" si="11"/>
        <v>51018.429999999993</v>
      </c>
      <c r="N41" s="736"/>
      <c r="O41" s="736"/>
      <c r="P41" s="736">
        <f t="shared" si="12"/>
        <v>51018.429999999993</v>
      </c>
      <c r="Q41" s="738">
        <v>51018.43</v>
      </c>
      <c r="R41" s="738"/>
      <c r="S41" s="751">
        <v>80596.800000000003</v>
      </c>
      <c r="T41" s="739">
        <v>1500521</v>
      </c>
      <c r="U41" s="742">
        <v>61732.3</v>
      </c>
      <c r="V41" s="741">
        <v>1500522</v>
      </c>
    </row>
    <row r="42" spans="1:22" ht="15" x14ac:dyDescent="0.2">
      <c r="A42" s="734">
        <v>1431</v>
      </c>
      <c r="B42" s="735" t="s">
        <v>16</v>
      </c>
      <c r="C42" s="736">
        <v>72304.570000000007</v>
      </c>
      <c r="D42" s="736">
        <v>106948.82</v>
      </c>
      <c r="E42" s="749">
        <v>42097.59</v>
      </c>
      <c r="F42" s="736">
        <v>45679</v>
      </c>
      <c r="G42" s="736">
        <v>51788.2</v>
      </c>
      <c r="H42" s="736"/>
      <c r="I42" s="736"/>
      <c r="J42" s="736">
        <f t="shared" si="10"/>
        <v>51788.2</v>
      </c>
      <c r="K42" s="736">
        <v>750.4</v>
      </c>
      <c r="L42" s="736"/>
      <c r="M42" s="736">
        <f t="shared" si="11"/>
        <v>52538.6</v>
      </c>
      <c r="N42" s="736"/>
      <c r="O42" s="736"/>
      <c r="P42" s="736">
        <f t="shared" si="12"/>
        <v>52538.6</v>
      </c>
      <c r="Q42" s="738">
        <v>52538.6</v>
      </c>
      <c r="R42" s="738"/>
      <c r="S42" s="751">
        <v>83014.679999999993</v>
      </c>
      <c r="T42" s="739">
        <v>1500521</v>
      </c>
      <c r="U42" s="742">
        <v>73894.289999999994</v>
      </c>
      <c r="V42" s="741">
        <v>1500522</v>
      </c>
    </row>
    <row r="43" spans="1:22" ht="15" x14ac:dyDescent="0.2">
      <c r="A43" s="734">
        <v>1511</v>
      </c>
      <c r="B43" s="735" t="s">
        <v>18</v>
      </c>
      <c r="C43" s="736">
        <v>27090.46</v>
      </c>
      <c r="D43" s="736">
        <v>38664.080000000002</v>
      </c>
      <c r="E43" s="749">
        <v>18695.18</v>
      </c>
      <c r="F43" s="736">
        <v>19317.5</v>
      </c>
      <c r="G43" s="736">
        <v>19215.599999999999</v>
      </c>
      <c r="H43" s="736"/>
      <c r="I43" s="736"/>
      <c r="J43" s="736">
        <f t="shared" si="10"/>
        <v>19215.599999999999</v>
      </c>
      <c r="K43" s="736">
        <v>260.10000000000002</v>
      </c>
      <c r="L43" s="736"/>
      <c r="M43" s="736">
        <f t="shared" si="11"/>
        <v>19475.699999999997</v>
      </c>
      <c r="N43" s="736"/>
      <c r="O43" s="736"/>
      <c r="P43" s="736">
        <f t="shared" si="12"/>
        <v>19475.699999999997</v>
      </c>
      <c r="Q43" s="738">
        <v>19475.7</v>
      </c>
      <c r="R43" s="738"/>
      <c r="S43" s="751">
        <v>28756</v>
      </c>
      <c r="T43" s="739">
        <v>1500521</v>
      </c>
      <c r="U43" s="742">
        <v>23222.7</v>
      </c>
      <c r="V43" s="741">
        <v>1500522</v>
      </c>
    </row>
    <row r="44" spans="1:22" ht="15" x14ac:dyDescent="0.2">
      <c r="A44" s="734">
        <v>1531</v>
      </c>
      <c r="B44" s="735" t="s">
        <v>38</v>
      </c>
      <c r="C44" s="736">
        <v>87571.72</v>
      </c>
      <c r="D44" s="736">
        <v>118243</v>
      </c>
      <c r="E44" s="749">
        <v>94649.26</v>
      </c>
      <c r="F44" s="736">
        <v>95417.35</v>
      </c>
      <c r="G44" s="736">
        <v>99381.8</v>
      </c>
      <c r="H44" s="736"/>
      <c r="I44" s="736"/>
      <c r="J44" s="736">
        <f t="shared" si="10"/>
        <v>99381.8</v>
      </c>
      <c r="K44" s="736"/>
      <c r="L44" s="736">
        <v>0.08</v>
      </c>
      <c r="M44" s="736">
        <f t="shared" si="11"/>
        <v>99381.72</v>
      </c>
      <c r="N44" s="736"/>
      <c r="O44" s="736"/>
      <c r="P44" s="736">
        <f t="shared" si="12"/>
        <v>99381.72</v>
      </c>
      <c r="Q44" s="738">
        <v>99381.72</v>
      </c>
      <c r="R44" s="738"/>
      <c r="S44" s="751">
        <v>105344.62</v>
      </c>
      <c r="T44" s="739">
        <v>1500521</v>
      </c>
      <c r="U44" s="742">
        <v>92160.45</v>
      </c>
      <c r="V44" s="741">
        <v>1500522</v>
      </c>
    </row>
    <row r="45" spans="1:22" ht="15" x14ac:dyDescent="0.2">
      <c r="A45" s="734">
        <v>1541</v>
      </c>
      <c r="B45" s="735" t="s">
        <v>19</v>
      </c>
      <c r="C45" s="736">
        <v>37314.9</v>
      </c>
      <c r="D45" s="736">
        <v>11822.46</v>
      </c>
      <c r="E45" s="749">
        <v>901.02</v>
      </c>
      <c r="F45" s="736">
        <v>916.38</v>
      </c>
      <c r="G45" s="736">
        <v>1092.3999999999999</v>
      </c>
      <c r="H45" s="736"/>
      <c r="I45" s="736"/>
      <c r="J45" s="736">
        <f t="shared" si="10"/>
        <v>1092.3999999999999</v>
      </c>
      <c r="K45" s="736">
        <v>41.57</v>
      </c>
      <c r="L45" s="736"/>
      <c r="M45" s="736">
        <f t="shared" si="11"/>
        <v>1133.9699999999998</v>
      </c>
      <c r="N45" s="736"/>
      <c r="O45" s="736"/>
      <c r="P45" s="736">
        <f t="shared" si="12"/>
        <v>1133.9699999999998</v>
      </c>
      <c r="Q45" s="738">
        <v>1133.97</v>
      </c>
      <c r="R45" s="738"/>
      <c r="S45" s="751">
        <v>6773</v>
      </c>
      <c r="T45" s="739">
        <v>1500521</v>
      </c>
      <c r="U45" s="742">
        <v>930.63</v>
      </c>
      <c r="V45" s="741">
        <v>1500522</v>
      </c>
    </row>
    <row r="46" spans="1:22" ht="15" x14ac:dyDescent="0.2">
      <c r="A46" s="734">
        <v>1592</v>
      </c>
      <c r="B46" s="735" t="s">
        <v>20</v>
      </c>
      <c r="C46" s="736">
        <v>237415.03</v>
      </c>
      <c r="D46" s="736">
        <v>350466.48</v>
      </c>
      <c r="E46" s="749">
        <v>163157.95000000001</v>
      </c>
      <c r="F46" s="736">
        <v>168637.33</v>
      </c>
      <c r="G46" s="736">
        <v>168091.6</v>
      </c>
      <c r="H46" s="736"/>
      <c r="I46" s="736"/>
      <c r="J46" s="736">
        <f t="shared" si="10"/>
        <v>168091.6</v>
      </c>
      <c r="K46" s="736"/>
      <c r="L46" s="736">
        <v>7861.89</v>
      </c>
      <c r="M46" s="736">
        <f t="shared" si="11"/>
        <v>160229.71</v>
      </c>
      <c r="N46" s="736"/>
      <c r="O46" s="736"/>
      <c r="P46" s="736">
        <f t="shared" si="12"/>
        <v>160229.71</v>
      </c>
      <c r="Q46" s="738">
        <v>212377.32</v>
      </c>
      <c r="R46" s="738"/>
      <c r="S46" s="751">
        <v>251815.2</v>
      </c>
      <c r="T46" s="739">
        <v>1500521</v>
      </c>
      <c r="U46" s="742">
        <v>196794.98</v>
      </c>
      <c r="V46" s="741">
        <v>1500522</v>
      </c>
    </row>
    <row r="47" spans="1:22" ht="15" x14ac:dyDescent="0.2">
      <c r="A47" s="734">
        <v>2111</v>
      </c>
      <c r="B47" s="735" t="s">
        <v>22</v>
      </c>
      <c r="C47" s="736">
        <v>8296</v>
      </c>
      <c r="D47" s="736">
        <v>13000</v>
      </c>
      <c r="E47" s="749">
        <v>13000</v>
      </c>
      <c r="F47" s="736">
        <v>10509.46</v>
      </c>
      <c r="G47" s="752">
        <v>13000</v>
      </c>
      <c r="H47" s="752"/>
      <c r="I47" s="752"/>
      <c r="J47" s="736">
        <f t="shared" si="10"/>
        <v>13000</v>
      </c>
      <c r="K47" s="752"/>
      <c r="L47" s="752"/>
      <c r="M47" s="736">
        <f t="shared" si="11"/>
        <v>13000</v>
      </c>
      <c r="N47" s="736"/>
      <c r="O47" s="736"/>
      <c r="P47" s="736">
        <f t="shared" si="12"/>
        <v>13000</v>
      </c>
      <c r="Q47" s="753">
        <v>11223.19</v>
      </c>
      <c r="R47" s="738">
        <v>9940.83</v>
      </c>
      <c r="S47" s="753">
        <v>15000</v>
      </c>
      <c r="T47" s="739">
        <v>1100121</v>
      </c>
      <c r="U47" s="746">
        <v>15000</v>
      </c>
      <c r="V47" s="741">
        <v>1100122</v>
      </c>
    </row>
    <row r="48" spans="1:22" ht="15" x14ac:dyDescent="0.2">
      <c r="A48" s="739">
        <v>2112</v>
      </c>
      <c r="B48" s="743" t="s">
        <v>39</v>
      </c>
      <c r="C48" s="736"/>
      <c r="D48" s="736">
        <v>0</v>
      </c>
      <c r="E48" s="749">
        <v>30000</v>
      </c>
      <c r="F48" s="736">
        <v>29738</v>
      </c>
      <c r="G48" s="736"/>
      <c r="H48" s="736"/>
      <c r="I48" s="736"/>
      <c r="J48" s="736">
        <f t="shared" si="10"/>
        <v>0</v>
      </c>
      <c r="K48" s="736"/>
      <c r="L48" s="736"/>
      <c r="M48" s="736">
        <f t="shared" si="11"/>
        <v>0</v>
      </c>
      <c r="N48" s="736"/>
      <c r="O48" s="736"/>
      <c r="P48" s="738">
        <f t="shared" si="12"/>
        <v>0</v>
      </c>
      <c r="Q48" s="738"/>
      <c r="R48" s="738"/>
      <c r="S48" s="738"/>
      <c r="T48" s="739">
        <v>1100121</v>
      </c>
      <c r="U48" s="744"/>
      <c r="V48" s="739">
        <v>1100122</v>
      </c>
    </row>
    <row r="49" spans="1:22" ht="15" x14ac:dyDescent="0.2">
      <c r="A49" s="734">
        <v>2121</v>
      </c>
      <c r="B49" s="735" t="s">
        <v>24</v>
      </c>
      <c r="C49" s="736">
        <v>1043.46</v>
      </c>
      <c r="D49" s="736">
        <v>8170</v>
      </c>
      <c r="E49" s="749">
        <v>8170</v>
      </c>
      <c r="F49" s="736">
        <v>7584.2</v>
      </c>
      <c r="G49" s="752">
        <v>15000</v>
      </c>
      <c r="H49" s="752"/>
      <c r="I49" s="752"/>
      <c r="J49" s="736">
        <f t="shared" si="10"/>
        <v>15000</v>
      </c>
      <c r="K49" s="752"/>
      <c r="L49" s="752"/>
      <c r="M49" s="736">
        <f t="shared" si="11"/>
        <v>15000</v>
      </c>
      <c r="N49" s="736"/>
      <c r="O49" s="736"/>
      <c r="P49" s="736">
        <f t="shared" si="12"/>
        <v>15000</v>
      </c>
      <c r="Q49" s="753">
        <v>15000</v>
      </c>
      <c r="R49" s="738">
        <v>13765.08</v>
      </c>
      <c r="S49" s="753">
        <v>15000</v>
      </c>
      <c r="T49" s="739">
        <v>1100121</v>
      </c>
      <c r="U49" s="746">
        <v>15000</v>
      </c>
      <c r="V49" s="741">
        <v>1100122</v>
      </c>
    </row>
    <row r="50" spans="1:22" ht="15" x14ac:dyDescent="0.2">
      <c r="A50" s="734">
        <v>2212</v>
      </c>
      <c r="B50" s="735" t="s">
        <v>40</v>
      </c>
      <c r="C50" s="736">
        <v>437904.76</v>
      </c>
      <c r="D50" s="736">
        <v>350000</v>
      </c>
      <c r="E50" s="749">
        <v>350000</v>
      </c>
      <c r="F50" s="736">
        <v>377924.3</v>
      </c>
      <c r="G50" s="752">
        <v>350000</v>
      </c>
      <c r="H50" s="752"/>
      <c r="I50" s="752"/>
      <c r="J50" s="736">
        <f t="shared" si="10"/>
        <v>350000</v>
      </c>
      <c r="K50" s="752"/>
      <c r="L50" s="752"/>
      <c r="M50" s="736">
        <f t="shared" si="11"/>
        <v>350000</v>
      </c>
      <c r="N50" s="736"/>
      <c r="O50" s="736"/>
      <c r="P50" s="736">
        <f t="shared" si="12"/>
        <v>350000</v>
      </c>
      <c r="Q50" s="753">
        <f>150000+423000</f>
        <v>573000</v>
      </c>
      <c r="R50" s="738">
        <v>404382.3</v>
      </c>
      <c r="S50" s="753">
        <v>350000</v>
      </c>
      <c r="T50" s="739">
        <v>1100121</v>
      </c>
      <c r="U50" s="746">
        <v>500000</v>
      </c>
      <c r="V50" s="741">
        <v>1100122</v>
      </c>
    </row>
    <row r="51" spans="1:22" ht="15" x14ac:dyDescent="0.2">
      <c r="A51" s="734">
        <v>2491</v>
      </c>
      <c r="B51" s="735" t="s">
        <v>41</v>
      </c>
      <c r="C51" s="736"/>
      <c r="D51" s="736">
        <v>5000</v>
      </c>
      <c r="E51" s="749">
        <v>5000</v>
      </c>
      <c r="F51" s="736">
        <v>0</v>
      </c>
      <c r="G51" s="752">
        <v>5000</v>
      </c>
      <c r="H51" s="752"/>
      <c r="I51" s="752"/>
      <c r="J51" s="736">
        <f t="shared" si="10"/>
        <v>5000</v>
      </c>
      <c r="K51" s="752"/>
      <c r="L51" s="752"/>
      <c r="M51" s="736">
        <f t="shared" si="11"/>
        <v>5000</v>
      </c>
      <c r="N51" s="736"/>
      <c r="O51" s="736"/>
      <c r="P51" s="736">
        <f t="shared" si="12"/>
        <v>5000</v>
      </c>
      <c r="Q51" s="753">
        <v>5000</v>
      </c>
      <c r="R51" s="738">
        <v>2918.84</v>
      </c>
      <c r="S51" s="753">
        <v>5000</v>
      </c>
      <c r="T51" s="739">
        <v>1100121</v>
      </c>
      <c r="U51" s="746">
        <v>5000</v>
      </c>
      <c r="V51" s="741">
        <v>1100122</v>
      </c>
    </row>
    <row r="52" spans="1:22" ht="15" x14ac:dyDescent="0.2">
      <c r="A52" s="734">
        <v>3711</v>
      </c>
      <c r="B52" s="735" t="s">
        <v>42</v>
      </c>
      <c r="C52" s="736">
        <v>5622.39</v>
      </c>
      <c r="D52" s="736">
        <v>30000</v>
      </c>
      <c r="E52" s="749">
        <v>30000</v>
      </c>
      <c r="F52" s="736">
        <v>0</v>
      </c>
      <c r="G52" s="752">
        <v>30000</v>
      </c>
      <c r="H52" s="752"/>
      <c r="I52" s="752"/>
      <c r="J52" s="736">
        <f t="shared" si="10"/>
        <v>30000</v>
      </c>
      <c r="K52" s="752"/>
      <c r="L52" s="752"/>
      <c r="M52" s="736">
        <f t="shared" si="11"/>
        <v>30000</v>
      </c>
      <c r="N52" s="736"/>
      <c r="O52" s="736"/>
      <c r="P52" s="736">
        <f t="shared" si="12"/>
        <v>30000</v>
      </c>
      <c r="Q52" s="753">
        <v>0</v>
      </c>
      <c r="R52" s="738"/>
      <c r="S52" s="753">
        <v>30000</v>
      </c>
      <c r="T52" s="739">
        <v>1100121</v>
      </c>
      <c r="U52" s="746">
        <v>70000</v>
      </c>
      <c r="V52" s="741">
        <v>1100122</v>
      </c>
    </row>
    <row r="53" spans="1:22" ht="15" x14ac:dyDescent="0.2">
      <c r="A53" s="734">
        <v>3712</v>
      </c>
      <c r="B53" s="735" t="s">
        <v>43</v>
      </c>
      <c r="C53" s="736"/>
      <c r="D53" s="736">
        <v>25000</v>
      </c>
      <c r="E53" s="749">
        <v>0</v>
      </c>
      <c r="F53" s="736">
        <v>0</v>
      </c>
      <c r="G53" s="752">
        <v>25000</v>
      </c>
      <c r="H53" s="752"/>
      <c r="I53" s="752"/>
      <c r="J53" s="736">
        <f t="shared" si="10"/>
        <v>25000</v>
      </c>
      <c r="K53" s="752"/>
      <c r="L53" s="752"/>
      <c r="M53" s="736">
        <f t="shared" si="11"/>
        <v>25000</v>
      </c>
      <c r="N53" s="736"/>
      <c r="O53" s="736"/>
      <c r="P53" s="736">
        <f t="shared" si="12"/>
        <v>25000</v>
      </c>
      <c r="Q53" s="753">
        <v>0</v>
      </c>
      <c r="R53" s="738"/>
      <c r="S53" s="753">
        <v>25000</v>
      </c>
      <c r="T53" s="739">
        <v>1100121</v>
      </c>
      <c r="U53" s="746">
        <v>70000</v>
      </c>
      <c r="V53" s="741">
        <v>1100122</v>
      </c>
    </row>
    <row r="54" spans="1:22" ht="15" x14ac:dyDescent="0.2">
      <c r="A54" s="734">
        <v>3751</v>
      </c>
      <c r="B54" s="735" t="s">
        <v>44</v>
      </c>
      <c r="C54" s="736">
        <v>17255.830000000002</v>
      </c>
      <c r="D54" s="736">
        <v>67000</v>
      </c>
      <c r="E54" s="749">
        <v>67000</v>
      </c>
      <c r="F54" s="736">
        <v>14261</v>
      </c>
      <c r="G54" s="752">
        <v>67000</v>
      </c>
      <c r="H54" s="752"/>
      <c r="I54" s="752"/>
      <c r="J54" s="736">
        <f t="shared" si="10"/>
        <v>67000</v>
      </c>
      <c r="K54" s="752"/>
      <c r="L54" s="752"/>
      <c r="M54" s="736">
        <f t="shared" si="11"/>
        <v>67000</v>
      </c>
      <c r="N54" s="736"/>
      <c r="O54" s="736"/>
      <c r="P54" s="736">
        <f t="shared" si="12"/>
        <v>67000</v>
      </c>
      <c r="Q54" s="753">
        <v>67000</v>
      </c>
      <c r="R54" s="738">
        <v>13798.78</v>
      </c>
      <c r="S54" s="753">
        <v>70000</v>
      </c>
      <c r="T54" s="739">
        <v>1100121</v>
      </c>
      <c r="U54" s="746">
        <v>100000</v>
      </c>
      <c r="V54" s="741">
        <v>1100122</v>
      </c>
    </row>
    <row r="55" spans="1:22" ht="15" x14ac:dyDescent="0.2">
      <c r="A55" s="734">
        <v>3791</v>
      </c>
      <c r="B55" s="735" t="s">
        <v>45</v>
      </c>
      <c r="C55" s="736">
        <v>30029.93</v>
      </c>
      <c r="D55" s="736">
        <v>50000</v>
      </c>
      <c r="E55" s="749">
        <v>50000</v>
      </c>
      <c r="F55" s="736">
        <v>18953</v>
      </c>
      <c r="G55" s="752">
        <v>50000</v>
      </c>
      <c r="H55" s="752"/>
      <c r="I55" s="752"/>
      <c r="J55" s="736">
        <f t="shared" si="10"/>
        <v>50000</v>
      </c>
      <c r="K55" s="752"/>
      <c r="L55" s="752"/>
      <c r="M55" s="736">
        <f t="shared" si="11"/>
        <v>50000</v>
      </c>
      <c r="N55" s="736"/>
      <c r="O55" s="736"/>
      <c r="P55" s="736">
        <f t="shared" si="12"/>
        <v>50000</v>
      </c>
      <c r="Q55" s="753">
        <v>50000</v>
      </c>
      <c r="R55" s="738">
        <v>11627.01</v>
      </c>
      <c r="S55" s="753">
        <v>50000</v>
      </c>
      <c r="T55" s="739">
        <v>1100121</v>
      </c>
      <c r="U55" s="754">
        <v>50000</v>
      </c>
      <c r="V55" s="741">
        <v>1100122</v>
      </c>
    </row>
    <row r="56" spans="1:22" ht="15" x14ac:dyDescent="0.2">
      <c r="A56" s="739">
        <v>5111</v>
      </c>
      <c r="B56" s="743" t="s">
        <v>35</v>
      </c>
      <c r="C56" s="736"/>
      <c r="D56" s="736">
        <v>180000</v>
      </c>
      <c r="E56" s="749">
        <v>150000</v>
      </c>
      <c r="F56" s="736">
        <v>12100</v>
      </c>
      <c r="G56" s="736"/>
      <c r="H56" s="736"/>
      <c r="I56" s="736"/>
      <c r="J56" s="736">
        <f t="shared" si="10"/>
        <v>0</v>
      </c>
      <c r="K56" s="736"/>
      <c r="L56" s="736"/>
      <c r="M56" s="736">
        <f t="shared" si="11"/>
        <v>0</v>
      </c>
      <c r="N56" s="736"/>
      <c r="O56" s="736"/>
      <c r="P56" s="738">
        <f t="shared" si="12"/>
        <v>0</v>
      </c>
      <c r="Q56" s="738"/>
      <c r="R56" s="738"/>
      <c r="S56" s="738">
        <v>20000</v>
      </c>
      <c r="T56" s="739">
        <v>1100121</v>
      </c>
      <c r="U56" s="744"/>
      <c r="V56" s="739">
        <v>1100122</v>
      </c>
    </row>
    <row r="57" spans="1:22" ht="15" x14ac:dyDescent="0.2">
      <c r="A57" s="728" t="s">
        <v>46</v>
      </c>
      <c r="B57" s="729" t="s">
        <v>1617</v>
      </c>
      <c r="C57" s="730">
        <f t="shared" ref="C57:P57" si="13">SUM(C58:C70)</f>
        <v>501123.71</v>
      </c>
      <c r="D57" s="730">
        <f t="shared" si="13"/>
        <v>712538.16000000015</v>
      </c>
      <c r="E57" s="730">
        <f t="shared" si="13"/>
        <v>696378.36000000022</v>
      </c>
      <c r="F57" s="730">
        <f t="shared" si="13"/>
        <v>709096.27</v>
      </c>
      <c r="G57" s="730">
        <f t="shared" si="13"/>
        <v>1061142.4000000001</v>
      </c>
      <c r="H57" s="730">
        <f t="shared" si="13"/>
        <v>0</v>
      </c>
      <c r="I57" s="730">
        <f t="shared" si="13"/>
        <v>0</v>
      </c>
      <c r="J57" s="730">
        <f t="shared" si="13"/>
        <v>1061142.4000000001</v>
      </c>
      <c r="K57" s="730">
        <f t="shared" si="13"/>
        <v>366325.68</v>
      </c>
      <c r="L57" s="730">
        <f t="shared" si="13"/>
        <v>0</v>
      </c>
      <c r="M57" s="730">
        <f t="shared" si="13"/>
        <v>1427468.08</v>
      </c>
      <c r="N57" s="730">
        <f t="shared" si="13"/>
        <v>0</v>
      </c>
      <c r="O57" s="730">
        <f t="shared" si="13"/>
        <v>0</v>
      </c>
      <c r="P57" s="730">
        <f t="shared" si="13"/>
        <v>1427468.08</v>
      </c>
      <c r="Q57" s="748">
        <f>SUM(Q58:Q71)</f>
        <v>1520414.6300000001</v>
      </c>
      <c r="R57" s="748">
        <f t="shared" ref="R57:S57" si="14">SUM(R58:R71)</f>
        <v>0</v>
      </c>
      <c r="S57" s="748">
        <f t="shared" si="14"/>
        <v>2156238.1399999997</v>
      </c>
      <c r="T57" s="731"/>
      <c r="U57" s="732">
        <f>SUM(U58:U71)</f>
        <v>1797223.3699999999</v>
      </c>
      <c r="V57" s="733"/>
    </row>
    <row r="58" spans="1:22" ht="15" x14ac:dyDescent="0.2">
      <c r="A58" s="734">
        <v>1131</v>
      </c>
      <c r="B58" s="735" t="s">
        <v>6</v>
      </c>
      <c r="C58" s="736">
        <v>96179.78</v>
      </c>
      <c r="D58" s="736">
        <v>198663.92</v>
      </c>
      <c r="E58" s="749">
        <v>99627.08</v>
      </c>
      <c r="F58" s="736">
        <v>108175.13</v>
      </c>
      <c r="G58" s="736">
        <v>108073.1</v>
      </c>
      <c r="H58" s="736"/>
      <c r="I58" s="736"/>
      <c r="J58" s="736">
        <f t="shared" ref="J58:J70" si="15">G58+H58-I58</f>
        <v>108073.1</v>
      </c>
      <c r="K58" s="736">
        <v>487.83</v>
      </c>
      <c r="L58" s="736"/>
      <c r="M58" s="736">
        <f t="shared" ref="M58:M70" si="16">J58+K58-L58</f>
        <v>108560.93000000001</v>
      </c>
      <c r="N58" s="736"/>
      <c r="O58" s="736"/>
      <c r="P58" s="736">
        <f t="shared" ref="P58:P70" si="17">M58+N58-O58</f>
        <v>108560.93000000001</v>
      </c>
      <c r="Q58" s="738">
        <v>108560.93</v>
      </c>
      <c r="R58" s="738"/>
      <c r="S58" s="751">
        <v>224537.04</v>
      </c>
      <c r="T58" s="739">
        <v>1500521</v>
      </c>
      <c r="U58" s="742">
        <v>116584.85</v>
      </c>
      <c r="V58" s="741">
        <v>1500522</v>
      </c>
    </row>
    <row r="59" spans="1:22" ht="15" x14ac:dyDescent="0.2">
      <c r="A59" s="734">
        <v>1132</v>
      </c>
      <c r="B59" s="735" t="s">
        <v>8</v>
      </c>
      <c r="C59" s="736">
        <v>136501.63</v>
      </c>
      <c r="D59" s="736">
        <v>146371.68</v>
      </c>
      <c r="E59" s="749">
        <v>236177.68</v>
      </c>
      <c r="F59" s="736">
        <v>245531.99</v>
      </c>
      <c r="G59" s="736">
        <v>423572.3</v>
      </c>
      <c r="H59" s="736"/>
      <c r="I59" s="736"/>
      <c r="J59" s="736">
        <f t="shared" si="15"/>
        <v>423572.3</v>
      </c>
      <c r="K59" s="736">
        <v>245823.75</v>
      </c>
      <c r="L59" s="736"/>
      <c r="M59" s="736">
        <f t="shared" si="16"/>
        <v>669396.05000000005</v>
      </c>
      <c r="N59" s="736"/>
      <c r="O59" s="736"/>
      <c r="P59" s="736">
        <f t="shared" si="17"/>
        <v>669396.05000000005</v>
      </c>
      <c r="Q59" s="738">
        <v>696636.41</v>
      </c>
      <c r="R59" s="738"/>
      <c r="S59" s="751">
        <v>790032.88</v>
      </c>
      <c r="T59" s="739">
        <v>1500521</v>
      </c>
      <c r="U59" s="742">
        <v>774331.29</v>
      </c>
      <c r="V59" s="741">
        <v>1500522</v>
      </c>
    </row>
    <row r="60" spans="1:22" ht="15" x14ac:dyDescent="0.2">
      <c r="A60" s="734">
        <v>1321</v>
      </c>
      <c r="B60" s="735" t="s">
        <v>9</v>
      </c>
      <c r="C60" s="736">
        <v>8341.59</v>
      </c>
      <c r="D60" s="736">
        <v>13815.08</v>
      </c>
      <c r="E60" s="749">
        <v>14798.08</v>
      </c>
      <c r="F60" s="736">
        <v>14797.71</v>
      </c>
      <c r="G60" s="736">
        <v>20121</v>
      </c>
      <c r="H60" s="736"/>
      <c r="I60" s="736"/>
      <c r="J60" s="736">
        <f t="shared" si="15"/>
        <v>20121</v>
      </c>
      <c r="K60" s="736">
        <v>674.14</v>
      </c>
      <c r="L60" s="736"/>
      <c r="M60" s="736">
        <f t="shared" si="16"/>
        <v>20795.14</v>
      </c>
      <c r="N60" s="736"/>
      <c r="O60" s="736"/>
      <c r="P60" s="736">
        <f t="shared" si="17"/>
        <v>20795.14</v>
      </c>
      <c r="Q60" s="738">
        <v>33792.15</v>
      </c>
      <c r="R60" s="738"/>
      <c r="S60" s="751">
        <v>48996.76</v>
      </c>
      <c r="T60" s="739">
        <v>1500521</v>
      </c>
      <c r="U60" s="742">
        <v>40942.78</v>
      </c>
      <c r="V60" s="741">
        <v>1500522</v>
      </c>
    </row>
    <row r="61" spans="1:22" ht="15" x14ac:dyDescent="0.2">
      <c r="A61" s="734">
        <v>1323</v>
      </c>
      <c r="B61" s="735" t="s">
        <v>11</v>
      </c>
      <c r="C61" s="736">
        <v>44694</v>
      </c>
      <c r="D61" s="736">
        <v>61755</v>
      </c>
      <c r="E61" s="749">
        <v>73051.94</v>
      </c>
      <c r="F61" s="736">
        <v>61006</v>
      </c>
      <c r="G61" s="736">
        <v>92914.5</v>
      </c>
      <c r="H61" s="736"/>
      <c r="I61" s="736"/>
      <c r="J61" s="736">
        <f t="shared" si="15"/>
        <v>92914.5</v>
      </c>
      <c r="K61" s="736">
        <v>3113.33</v>
      </c>
      <c r="L61" s="736"/>
      <c r="M61" s="736">
        <f t="shared" si="16"/>
        <v>96027.83</v>
      </c>
      <c r="N61" s="736"/>
      <c r="O61" s="736"/>
      <c r="P61" s="736">
        <f t="shared" si="17"/>
        <v>96027.83</v>
      </c>
      <c r="Q61" s="738">
        <v>141809.79</v>
      </c>
      <c r="R61" s="738"/>
      <c r="S61" s="751">
        <v>178264</v>
      </c>
      <c r="T61" s="739">
        <v>1500521</v>
      </c>
      <c r="U61" s="742">
        <v>148589.34</v>
      </c>
      <c r="V61" s="741">
        <v>1500522</v>
      </c>
    </row>
    <row r="62" spans="1:22" ht="15" x14ac:dyDescent="0.2">
      <c r="A62" s="734">
        <v>1413</v>
      </c>
      <c r="B62" s="735" t="s">
        <v>13</v>
      </c>
      <c r="C62" s="736">
        <v>50498.45</v>
      </c>
      <c r="D62" s="736">
        <v>86608.24</v>
      </c>
      <c r="E62" s="749">
        <v>84543.24</v>
      </c>
      <c r="F62" s="736">
        <v>83097.460000000006</v>
      </c>
      <c r="G62" s="736">
        <v>137779.20000000001</v>
      </c>
      <c r="H62" s="736"/>
      <c r="I62" s="736"/>
      <c r="J62" s="736">
        <f t="shared" si="15"/>
        <v>137779.20000000001</v>
      </c>
      <c r="K62" s="736">
        <v>6482.16</v>
      </c>
      <c r="L62" s="736"/>
      <c r="M62" s="736">
        <f t="shared" si="16"/>
        <v>144261.36000000002</v>
      </c>
      <c r="N62" s="736"/>
      <c r="O62" s="736"/>
      <c r="P62" s="736">
        <f t="shared" si="17"/>
        <v>144261.36000000002</v>
      </c>
      <c r="Q62" s="738">
        <v>144261.35999999999</v>
      </c>
      <c r="R62" s="738"/>
      <c r="S62" s="751">
        <v>277161.48</v>
      </c>
      <c r="T62" s="739">
        <v>1500521</v>
      </c>
      <c r="U62" s="742">
        <v>174267.72</v>
      </c>
      <c r="V62" s="741">
        <v>1500522</v>
      </c>
    </row>
    <row r="63" spans="1:22" ht="15" x14ac:dyDescent="0.2">
      <c r="A63" s="734">
        <v>1421</v>
      </c>
      <c r="B63" s="735" t="s">
        <v>15</v>
      </c>
      <c r="C63" s="736">
        <v>18992.419999999998</v>
      </c>
      <c r="D63" s="736">
        <v>26598.799999999999</v>
      </c>
      <c r="E63" s="749">
        <v>24546.799999999999</v>
      </c>
      <c r="F63" s="736">
        <v>27092.42</v>
      </c>
      <c r="G63" s="736">
        <v>40324.5</v>
      </c>
      <c r="H63" s="736"/>
      <c r="I63" s="736"/>
      <c r="J63" s="736">
        <f t="shared" si="15"/>
        <v>40324.5</v>
      </c>
      <c r="K63" s="736">
        <v>1987.67</v>
      </c>
      <c r="L63" s="736"/>
      <c r="M63" s="736">
        <f t="shared" si="16"/>
        <v>42312.17</v>
      </c>
      <c r="N63" s="736"/>
      <c r="O63" s="736"/>
      <c r="P63" s="736">
        <f t="shared" si="17"/>
        <v>42312.17</v>
      </c>
      <c r="Q63" s="738">
        <v>42312.17</v>
      </c>
      <c r="R63" s="738"/>
      <c r="S63" s="751">
        <v>77300.039999999994</v>
      </c>
      <c r="T63" s="739">
        <v>1500521</v>
      </c>
      <c r="U63" s="742">
        <v>53846.47</v>
      </c>
      <c r="V63" s="741">
        <v>1500522</v>
      </c>
    </row>
    <row r="64" spans="1:22" ht="15" x14ac:dyDescent="0.2">
      <c r="A64" s="734">
        <v>1431</v>
      </c>
      <c r="B64" s="735" t="s">
        <v>16</v>
      </c>
      <c r="C64" s="736">
        <v>19929.52</v>
      </c>
      <c r="D64" s="736">
        <v>27396.799999999999</v>
      </c>
      <c r="E64" s="749">
        <v>25767.8</v>
      </c>
      <c r="F64" s="736">
        <v>28764.71</v>
      </c>
      <c r="G64" s="736">
        <v>41534.299999999996</v>
      </c>
      <c r="H64" s="736"/>
      <c r="I64" s="736"/>
      <c r="J64" s="736">
        <f t="shared" si="15"/>
        <v>41534.299999999996</v>
      </c>
      <c r="K64" s="736">
        <v>2038.46</v>
      </c>
      <c r="L64" s="736"/>
      <c r="M64" s="736">
        <f t="shared" si="16"/>
        <v>43572.759999999995</v>
      </c>
      <c r="N64" s="736"/>
      <c r="O64" s="736"/>
      <c r="P64" s="736">
        <f t="shared" si="17"/>
        <v>43572.759999999995</v>
      </c>
      <c r="Q64" s="738">
        <v>43572.76</v>
      </c>
      <c r="R64" s="738"/>
      <c r="S64" s="751">
        <v>79619.16</v>
      </c>
      <c r="T64" s="739">
        <v>1500521</v>
      </c>
      <c r="U64" s="742">
        <v>65149.99</v>
      </c>
      <c r="V64" s="741">
        <v>1500522</v>
      </c>
    </row>
    <row r="65" spans="1:22" ht="15" x14ac:dyDescent="0.2">
      <c r="A65" s="734">
        <v>1511</v>
      </c>
      <c r="B65" s="735" t="s">
        <v>18</v>
      </c>
      <c r="C65" s="736">
        <v>5800.95</v>
      </c>
      <c r="D65" s="736">
        <v>8990.7999999999993</v>
      </c>
      <c r="E65" s="749">
        <v>8620.7999999999993</v>
      </c>
      <c r="F65" s="736">
        <v>8945.84</v>
      </c>
      <c r="G65" s="736">
        <v>13526.300000000001</v>
      </c>
      <c r="H65" s="736"/>
      <c r="I65" s="736"/>
      <c r="J65" s="736">
        <f t="shared" si="15"/>
        <v>13526.300000000001</v>
      </c>
      <c r="K65" s="736">
        <v>453.17</v>
      </c>
      <c r="L65" s="736"/>
      <c r="M65" s="736">
        <f t="shared" si="16"/>
        <v>13979.470000000001</v>
      </c>
      <c r="N65" s="736"/>
      <c r="O65" s="736"/>
      <c r="P65" s="736">
        <f t="shared" si="17"/>
        <v>13979.470000000001</v>
      </c>
      <c r="Q65" s="738">
        <v>20906.689999999999</v>
      </c>
      <c r="R65" s="738"/>
      <c r="S65" s="751">
        <v>25949.56</v>
      </c>
      <c r="T65" s="739">
        <v>1500521</v>
      </c>
      <c r="U65" s="742">
        <v>22048.74</v>
      </c>
      <c r="V65" s="741">
        <v>1500522</v>
      </c>
    </row>
    <row r="66" spans="1:22" ht="15" x14ac:dyDescent="0.2">
      <c r="A66" s="734">
        <v>1541</v>
      </c>
      <c r="B66" s="735" t="s">
        <v>19</v>
      </c>
      <c r="C66" s="736">
        <v>21324.83</v>
      </c>
      <c r="D66" s="736">
        <v>29797.040000000001</v>
      </c>
      <c r="E66" s="749">
        <v>25447.040000000001</v>
      </c>
      <c r="F66" s="736">
        <v>26210.240000000002</v>
      </c>
      <c r="G66" s="736">
        <v>34799.699999999997</v>
      </c>
      <c r="H66" s="736"/>
      <c r="I66" s="736"/>
      <c r="J66" s="736">
        <f t="shared" si="15"/>
        <v>34799.699999999997</v>
      </c>
      <c r="K66" s="736">
        <v>1324.61</v>
      </c>
      <c r="L66" s="736"/>
      <c r="M66" s="736">
        <f t="shared" si="16"/>
        <v>36124.31</v>
      </c>
      <c r="N66" s="736"/>
      <c r="O66" s="736"/>
      <c r="P66" s="736">
        <f t="shared" si="17"/>
        <v>36124.31</v>
      </c>
      <c r="Q66" s="738">
        <v>36124.31</v>
      </c>
      <c r="R66" s="738"/>
      <c r="S66" s="751">
        <v>43185.22</v>
      </c>
      <c r="T66" s="739">
        <v>1500521</v>
      </c>
      <c r="U66" s="742">
        <v>37297</v>
      </c>
      <c r="V66" s="741">
        <v>1500522</v>
      </c>
    </row>
    <row r="67" spans="1:22" ht="15" x14ac:dyDescent="0.2">
      <c r="A67" s="734">
        <v>1592</v>
      </c>
      <c r="B67" s="735" t="s">
        <v>20</v>
      </c>
      <c r="C67" s="736">
        <v>64693.37</v>
      </c>
      <c r="D67" s="736">
        <v>104540.8</v>
      </c>
      <c r="E67" s="749">
        <v>95797.9</v>
      </c>
      <c r="F67" s="736">
        <v>99437.9</v>
      </c>
      <c r="G67" s="736">
        <v>148497.5</v>
      </c>
      <c r="H67" s="736"/>
      <c r="I67" s="736"/>
      <c r="J67" s="736">
        <f t="shared" si="15"/>
        <v>148497.5</v>
      </c>
      <c r="K67" s="736">
        <v>103940.56</v>
      </c>
      <c r="L67" s="736"/>
      <c r="M67" s="736">
        <f t="shared" si="16"/>
        <v>252438.06</v>
      </c>
      <c r="N67" s="736"/>
      <c r="O67" s="736"/>
      <c r="P67" s="736">
        <f t="shared" si="17"/>
        <v>252438.06</v>
      </c>
      <c r="Q67" s="738">
        <v>252438.06</v>
      </c>
      <c r="R67" s="738"/>
      <c r="S67" s="751">
        <v>283192</v>
      </c>
      <c r="T67" s="739">
        <v>1500521</v>
      </c>
      <c r="U67" s="742">
        <v>236165.19</v>
      </c>
      <c r="V67" s="741">
        <v>1500522</v>
      </c>
    </row>
    <row r="68" spans="1:22" ht="15" x14ac:dyDescent="0.2">
      <c r="A68" s="734">
        <v>2111</v>
      </c>
      <c r="B68" s="735" t="s">
        <v>22</v>
      </c>
      <c r="C68" s="736">
        <v>2781.23</v>
      </c>
      <c r="D68" s="736">
        <v>3000</v>
      </c>
      <c r="E68" s="749">
        <v>3000</v>
      </c>
      <c r="F68" s="736">
        <v>2441.87</v>
      </c>
      <c r="G68" s="736"/>
      <c r="H68" s="736"/>
      <c r="I68" s="736"/>
      <c r="J68" s="736">
        <f t="shared" si="15"/>
        <v>0</v>
      </c>
      <c r="K68" s="736"/>
      <c r="L68" s="736"/>
      <c r="M68" s="736">
        <f t="shared" si="16"/>
        <v>0</v>
      </c>
      <c r="N68" s="736"/>
      <c r="O68" s="736"/>
      <c r="P68" s="738">
        <f t="shared" si="17"/>
        <v>0</v>
      </c>
      <c r="Q68" s="738"/>
      <c r="R68" s="738"/>
      <c r="S68" s="738">
        <v>3000</v>
      </c>
      <c r="T68" s="739">
        <v>1100121</v>
      </c>
      <c r="U68" s="746">
        <v>3000</v>
      </c>
      <c r="V68" s="741">
        <v>1100122</v>
      </c>
    </row>
    <row r="69" spans="1:22" ht="15" x14ac:dyDescent="0.2">
      <c r="A69" s="734">
        <v>2121</v>
      </c>
      <c r="B69" s="735" t="s">
        <v>24</v>
      </c>
      <c r="C69" s="736">
        <v>4685.9399999999996</v>
      </c>
      <c r="D69" s="736">
        <v>5000</v>
      </c>
      <c r="E69" s="749">
        <v>5000</v>
      </c>
      <c r="F69" s="736">
        <v>3595</v>
      </c>
      <c r="G69" s="736"/>
      <c r="H69" s="736"/>
      <c r="I69" s="736"/>
      <c r="J69" s="736">
        <f t="shared" si="15"/>
        <v>0</v>
      </c>
      <c r="K69" s="736"/>
      <c r="L69" s="736"/>
      <c r="M69" s="736">
        <f t="shared" si="16"/>
        <v>0</v>
      </c>
      <c r="N69" s="736"/>
      <c r="O69" s="736"/>
      <c r="P69" s="738">
        <f t="shared" si="17"/>
        <v>0</v>
      </c>
      <c r="Q69" s="738"/>
      <c r="R69" s="738"/>
      <c r="S69" s="738">
        <v>5000</v>
      </c>
      <c r="T69" s="739">
        <v>1100121</v>
      </c>
      <c r="U69" s="746">
        <v>5000</v>
      </c>
      <c r="V69" s="741">
        <v>1100122</v>
      </c>
    </row>
    <row r="70" spans="1:22" ht="15" x14ac:dyDescent="0.2">
      <c r="A70" s="739">
        <v>5151</v>
      </c>
      <c r="B70" s="743" t="s">
        <v>36</v>
      </c>
      <c r="C70" s="736">
        <v>26700</v>
      </c>
      <c r="D70" s="736"/>
      <c r="E70" s="736"/>
      <c r="F70" s="736"/>
      <c r="G70" s="736"/>
      <c r="H70" s="736"/>
      <c r="I70" s="736"/>
      <c r="J70" s="736">
        <f t="shared" si="15"/>
        <v>0</v>
      </c>
      <c r="K70" s="736"/>
      <c r="L70" s="736"/>
      <c r="M70" s="736">
        <f t="shared" si="16"/>
        <v>0</v>
      </c>
      <c r="N70" s="736"/>
      <c r="O70" s="736"/>
      <c r="P70" s="738">
        <f t="shared" si="17"/>
        <v>0</v>
      </c>
      <c r="Q70" s="738"/>
      <c r="R70" s="738"/>
      <c r="S70" s="738"/>
      <c r="T70" s="739"/>
      <c r="U70" s="744"/>
      <c r="V70" s="739"/>
    </row>
    <row r="71" spans="1:22" ht="15" x14ac:dyDescent="0.2">
      <c r="A71" s="734">
        <v>3331</v>
      </c>
      <c r="B71" s="735" t="s">
        <v>171</v>
      </c>
      <c r="C71" s="736"/>
      <c r="D71" s="736"/>
      <c r="E71" s="736"/>
      <c r="F71" s="736"/>
      <c r="G71" s="736"/>
      <c r="H71" s="736"/>
      <c r="I71" s="736"/>
      <c r="J71" s="736"/>
      <c r="K71" s="736"/>
      <c r="L71" s="736"/>
      <c r="M71" s="736"/>
      <c r="N71" s="736"/>
      <c r="O71" s="736"/>
      <c r="P71" s="738"/>
      <c r="Q71" s="738"/>
      <c r="R71" s="738"/>
      <c r="S71" s="738">
        <v>120000</v>
      </c>
      <c r="T71" s="739"/>
      <c r="U71" s="746">
        <v>120000</v>
      </c>
      <c r="V71" s="741">
        <v>1100122</v>
      </c>
    </row>
    <row r="72" spans="1:22" ht="15" x14ac:dyDescent="0.2">
      <c r="A72" s="728" t="s">
        <v>1671</v>
      </c>
      <c r="B72" s="729" t="s">
        <v>1672</v>
      </c>
      <c r="C72" s="730">
        <f>SUM(C73:C94)</f>
        <v>334352.13999999996</v>
      </c>
      <c r="D72" s="730">
        <f t="shared" ref="D72:F72" si="18">SUM(D73:D91)</f>
        <v>530862.54</v>
      </c>
      <c r="E72" s="730">
        <f t="shared" si="18"/>
        <v>25000</v>
      </c>
      <c r="F72" s="730">
        <f t="shared" si="18"/>
        <v>7375.9</v>
      </c>
      <c r="G72" s="730">
        <f t="shared" ref="G72:S72" si="19">SUM(G73:G94)</f>
        <v>0</v>
      </c>
      <c r="H72" s="730">
        <f t="shared" si="19"/>
        <v>0</v>
      </c>
      <c r="I72" s="730">
        <f t="shared" si="19"/>
        <v>0</v>
      </c>
      <c r="J72" s="730">
        <f t="shared" si="19"/>
        <v>0</v>
      </c>
      <c r="K72" s="730">
        <f t="shared" si="19"/>
        <v>0</v>
      </c>
      <c r="L72" s="730">
        <f t="shared" si="19"/>
        <v>0</v>
      </c>
      <c r="M72" s="730">
        <f t="shared" si="19"/>
        <v>0</v>
      </c>
      <c r="N72" s="730">
        <f t="shared" si="19"/>
        <v>0</v>
      </c>
      <c r="O72" s="730">
        <f t="shared" si="19"/>
        <v>0</v>
      </c>
      <c r="P72" s="748">
        <f t="shared" si="19"/>
        <v>0</v>
      </c>
      <c r="Q72" s="748">
        <f t="shared" si="19"/>
        <v>0</v>
      </c>
      <c r="R72" s="748">
        <f t="shared" si="19"/>
        <v>0</v>
      </c>
      <c r="S72" s="748">
        <f t="shared" si="19"/>
        <v>0</v>
      </c>
      <c r="T72" s="731"/>
      <c r="U72" s="732">
        <f t="shared" ref="U72" si="20">SUM(U73:U94)</f>
        <v>0</v>
      </c>
      <c r="V72" s="728"/>
    </row>
    <row r="73" spans="1:22" ht="15" x14ac:dyDescent="0.2">
      <c r="A73" s="739">
        <v>1132</v>
      </c>
      <c r="B73" s="743" t="s">
        <v>8</v>
      </c>
      <c r="C73" s="736">
        <v>158110.6</v>
      </c>
      <c r="D73" s="736">
        <v>252808.64</v>
      </c>
      <c r="E73" s="736"/>
      <c r="F73" s="736">
        <v>0</v>
      </c>
      <c r="G73" s="736"/>
      <c r="H73" s="736"/>
      <c r="I73" s="736"/>
      <c r="J73" s="736">
        <f t="shared" ref="J73:J94" si="21">G73+H73-I73</f>
        <v>0</v>
      </c>
      <c r="K73" s="736"/>
      <c r="L73" s="736"/>
      <c r="M73" s="736">
        <f t="shared" ref="M73:M94" si="22">J73+K73-L73</f>
        <v>0</v>
      </c>
      <c r="N73" s="736"/>
      <c r="O73" s="736"/>
      <c r="P73" s="738">
        <f t="shared" ref="P73:P94" si="23">M73+N73-O73</f>
        <v>0</v>
      </c>
      <c r="Q73" s="738"/>
      <c r="R73" s="738"/>
      <c r="S73" s="738"/>
      <c r="T73" s="739">
        <v>1500521</v>
      </c>
      <c r="U73" s="750"/>
      <c r="V73" s="739">
        <v>1500522</v>
      </c>
    </row>
    <row r="74" spans="1:22" ht="15" x14ac:dyDescent="0.2">
      <c r="A74" s="739">
        <v>1321</v>
      </c>
      <c r="B74" s="743" t="s">
        <v>9</v>
      </c>
      <c r="C74" s="736">
        <v>9254.19</v>
      </c>
      <c r="D74" s="736">
        <v>11978.3</v>
      </c>
      <c r="E74" s="736"/>
      <c r="F74" s="736">
        <v>0</v>
      </c>
      <c r="G74" s="736"/>
      <c r="H74" s="736"/>
      <c r="I74" s="736"/>
      <c r="J74" s="736">
        <f t="shared" si="21"/>
        <v>0</v>
      </c>
      <c r="K74" s="736"/>
      <c r="L74" s="736"/>
      <c r="M74" s="736">
        <f t="shared" si="22"/>
        <v>0</v>
      </c>
      <c r="N74" s="736"/>
      <c r="O74" s="736"/>
      <c r="P74" s="738">
        <f t="shared" si="23"/>
        <v>0</v>
      </c>
      <c r="Q74" s="738"/>
      <c r="R74" s="738"/>
      <c r="S74" s="738"/>
      <c r="T74" s="739">
        <v>1500521</v>
      </c>
      <c r="U74" s="750"/>
      <c r="V74" s="739">
        <v>1500522</v>
      </c>
    </row>
    <row r="75" spans="1:22" ht="15" x14ac:dyDescent="0.2">
      <c r="A75" s="739">
        <v>1323</v>
      </c>
      <c r="B75" s="743" t="s">
        <v>11</v>
      </c>
      <c r="C75" s="736">
        <v>23009</v>
      </c>
      <c r="D75" s="736">
        <v>59891.5</v>
      </c>
      <c r="E75" s="736"/>
      <c r="F75" s="736">
        <v>0</v>
      </c>
      <c r="G75" s="736"/>
      <c r="H75" s="736"/>
      <c r="I75" s="736"/>
      <c r="J75" s="736">
        <f t="shared" si="21"/>
        <v>0</v>
      </c>
      <c r="K75" s="736"/>
      <c r="L75" s="736"/>
      <c r="M75" s="736">
        <f t="shared" si="22"/>
        <v>0</v>
      </c>
      <c r="N75" s="736"/>
      <c r="O75" s="736"/>
      <c r="P75" s="738">
        <f t="shared" si="23"/>
        <v>0</v>
      </c>
      <c r="Q75" s="738"/>
      <c r="R75" s="738"/>
      <c r="S75" s="738"/>
      <c r="T75" s="739">
        <v>1500521</v>
      </c>
      <c r="U75" s="750"/>
      <c r="V75" s="739">
        <v>1500522</v>
      </c>
    </row>
    <row r="76" spans="1:22" ht="15" x14ac:dyDescent="0.2">
      <c r="A76" s="739">
        <v>1413</v>
      </c>
      <c r="B76" s="743" t="s">
        <v>13</v>
      </c>
      <c r="C76" s="736">
        <v>29012.12</v>
      </c>
      <c r="D76" s="736">
        <v>59792.9</v>
      </c>
      <c r="E76" s="736"/>
      <c r="F76" s="736">
        <v>0</v>
      </c>
      <c r="G76" s="736"/>
      <c r="H76" s="736"/>
      <c r="I76" s="736"/>
      <c r="J76" s="736">
        <f t="shared" si="21"/>
        <v>0</v>
      </c>
      <c r="K76" s="736"/>
      <c r="L76" s="736"/>
      <c r="M76" s="736">
        <f t="shared" si="22"/>
        <v>0</v>
      </c>
      <c r="N76" s="736"/>
      <c r="O76" s="736"/>
      <c r="P76" s="738">
        <f t="shared" si="23"/>
        <v>0</v>
      </c>
      <c r="Q76" s="738"/>
      <c r="R76" s="738"/>
      <c r="S76" s="738"/>
      <c r="T76" s="739">
        <v>1500521</v>
      </c>
      <c r="U76" s="750"/>
      <c r="V76" s="739">
        <v>1500522</v>
      </c>
    </row>
    <row r="77" spans="1:22" ht="15" x14ac:dyDescent="0.2">
      <c r="A77" s="739">
        <v>1421</v>
      </c>
      <c r="B77" s="743" t="s">
        <v>15</v>
      </c>
      <c r="C77" s="736">
        <v>11376.66</v>
      </c>
      <c r="D77" s="736">
        <v>20673.72</v>
      </c>
      <c r="E77" s="736"/>
      <c r="F77" s="736">
        <v>0</v>
      </c>
      <c r="G77" s="736"/>
      <c r="H77" s="736"/>
      <c r="I77" s="736"/>
      <c r="J77" s="736">
        <f t="shared" si="21"/>
        <v>0</v>
      </c>
      <c r="K77" s="736"/>
      <c r="L77" s="736"/>
      <c r="M77" s="736">
        <f t="shared" si="22"/>
        <v>0</v>
      </c>
      <c r="N77" s="736"/>
      <c r="O77" s="736"/>
      <c r="P77" s="738">
        <f t="shared" si="23"/>
        <v>0</v>
      </c>
      <c r="Q77" s="738"/>
      <c r="R77" s="738"/>
      <c r="S77" s="738"/>
      <c r="T77" s="739">
        <v>1500521</v>
      </c>
      <c r="U77" s="750"/>
      <c r="V77" s="739">
        <v>1500522</v>
      </c>
    </row>
    <row r="78" spans="1:22" ht="15" x14ac:dyDescent="0.2">
      <c r="A78" s="739">
        <v>1431</v>
      </c>
      <c r="B78" s="743" t="s">
        <v>16</v>
      </c>
      <c r="C78" s="736">
        <v>11717.92</v>
      </c>
      <c r="D78" s="736">
        <v>21293.88</v>
      </c>
      <c r="E78" s="736"/>
      <c r="F78" s="736">
        <v>0</v>
      </c>
      <c r="G78" s="736"/>
      <c r="H78" s="736"/>
      <c r="I78" s="736"/>
      <c r="J78" s="736">
        <f t="shared" si="21"/>
        <v>0</v>
      </c>
      <c r="K78" s="736"/>
      <c r="L78" s="736"/>
      <c r="M78" s="736">
        <f t="shared" si="22"/>
        <v>0</v>
      </c>
      <c r="N78" s="736"/>
      <c r="O78" s="736"/>
      <c r="P78" s="738">
        <f t="shared" si="23"/>
        <v>0</v>
      </c>
      <c r="Q78" s="738"/>
      <c r="R78" s="738"/>
      <c r="S78" s="738"/>
      <c r="T78" s="739">
        <v>1500521</v>
      </c>
      <c r="U78" s="750"/>
      <c r="V78" s="739">
        <v>1500522</v>
      </c>
    </row>
    <row r="79" spans="1:22" ht="15" x14ac:dyDescent="0.2">
      <c r="A79" s="739">
        <v>1511</v>
      </c>
      <c r="B79" s="743" t="s">
        <v>18</v>
      </c>
      <c r="C79" s="736">
        <v>3920.92</v>
      </c>
      <c r="D79" s="736">
        <v>8721.44</v>
      </c>
      <c r="E79" s="736"/>
      <c r="F79" s="736">
        <v>0</v>
      </c>
      <c r="G79" s="736"/>
      <c r="H79" s="736"/>
      <c r="I79" s="736"/>
      <c r="J79" s="736">
        <f t="shared" si="21"/>
        <v>0</v>
      </c>
      <c r="K79" s="736"/>
      <c r="L79" s="736"/>
      <c r="M79" s="736">
        <f t="shared" si="22"/>
        <v>0</v>
      </c>
      <c r="N79" s="736"/>
      <c r="O79" s="736"/>
      <c r="P79" s="738">
        <f t="shared" si="23"/>
        <v>0</v>
      </c>
      <c r="Q79" s="738"/>
      <c r="R79" s="738"/>
      <c r="S79" s="738"/>
      <c r="T79" s="739">
        <v>1500521</v>
      </c>
      <c r="U79" s="750"/>
      <c r="V79" s="739">
        <v>1500522</v>
      </c>
    </row>
    <row r="80" spans="1:22" ht="15" x14ac:dyDescent="0.2">
      <c r="A80" s="739">
        <v>1541</v>
      </c>
      <c r="B80" s="743" t="s">
        <v>19</v>
      </c>
      <c r="C80" s="736">
        <v>1723.71</v>
      </c>
      <c r="D80" s="736">
        <v>15800.54</v>
      </c>
      <c r="E80" s="736"/>
      <c r="F80" s="736">
        <v>0</v>
      </c>
      <c r="G80" s="736"/>
      <c r="H80" s="736"/>
      <c r="I80" s="736"/>
      <c r="J80" s="736">
        <f t="shared" si="21"/>
        <v>0</v>
      </c>
      <c r="K80" s="736"/>
      <c r="L80" s="736"/>
      <c r="M80" s="736">
        <f t="shared" si="22"/>
        <v>0</v>
      </c>
      <c r="N80" s="736"/>
      <c r="O80" s="736"/>
      <c r="P80" s="738">
        <f t="shared" si="23"/>
        <v>0</v>
      </c>
      <c r="Q80" s="738"/>
      <c r="R80" s="738"/>
      <c r="S80" s="738"/>
      <c r="T80" s="739">
        <v>1500521</v>
      </c>
      <c r="U80" s="750"/>
      <c r="V80" s="739">
        <v>1500522</v>
      </c>
    </row>
    <row r="81" spans="1:22" ht="15" x14ac:dyDescent="0.2">
      <c r="A81" s="739">
        <v>1592</v>
      </c>
      <c r="B81" s="743" t="s">
        <v>20</v>
      </c>
      <c r="C81" s="736">
        <v>37915.86</v>
      </c>
      <c r="D81" s="736">
        <v>47401.62</v>
      </c>
      <c r="E81" s="736"/>
      <c r="F81" s="736">
        <v>0</v>
      </c>
      <c r="G81" s="736"/>
      <c r="H81" s="736"/>
      <c r="I81" s="736"/>
      <c r="J81" s="736">
        <f t="shared" si="21"/>
        <v>0</v>
      </c>
      <c r="K81" s="736"/>
      <c r="L81" s="736"/>
      <c r="M81" s="736">
        <f t="shared" si="22"/>
        <v>0</v>
      </c>
      <c r="N81" s="736"/>
      <c r="O81" s="736"/>
      <c r="P81" s="738">
        <f t="shared" si="23"/>
        <v>0</v>
      </c>
      <c r="Q81" s="738"/>
      <c r="R81" s="738"/>
      <c r="S81" s="738"/>
      <c r="T81" s="739">
        <v>1500521</v>
      </c>
      <c r="U81" s="750"/>
      <c r="V81" s="739">
        <v>1500522</v>
      </c>
    </row>
    <row r="82" spans="1:22" ht="15" x14ac:dyDescent="0.2">
      <c r="A82" s="739">
        <v>2111</v>
      </c>
      <c r="B82" s="743" t="s">
        <v>22</v>
      </c>
      <c r="C82" s="736">
        <v>1623.12</v>
      </c>
      <c r="D82" s="736">
        <v>5000</v>
      </c>
      <c r="E82" s="749">
        <v>5000</v>
      </c>
      <c r="F82" s="736">
        <v>350.9</v>
      </c>
      <c r="G82" s="736"/>
      <c r="H82" s="736"/>
      <c r="I82" s="736"/>
      <c r="J82" s="736">
        <f t="shared" si="21"/>
        <v>0</v>
      </c>
      <c r="K82" s="736"/>
      <c r="L82" s="736"/>
      <c r="M82" s="736">
        <f t="shared" si="22"/>
        <v>0</v>
      </c>
      <c r="N82" s="736"/>
      <c r="O82" s="736"/>
      <c r="P82" s="738">
        <f t="shared" si="23"/>
        <v>0</v>
      </c>
      <c r="Q82" s="738"/>
      <c r="R82" s="738"/>
      <c r="S82" s="738"/>
      <c r="T82" s="739">
        <v>1100121</v>
      </c>
      <c r="U82" s="745"/>
      <c r="V82" s="739">
        <v>1100122</v>
      </c>
    </row>
    <row r="83" spans="1:22" ht="15" x14ac:dyDescent="0.2">
      <c r="A83" s="739">
        <v>2112</v>
      </c>
      <c r="B83" s="743" t="s">
        <v>39</v>
      </c>
      <c r="C83" s="736">
        <v>839.93</v>
      </c>
      <c r="D83" s="736">
        <v>2000</v>
      </c>
      <c r="E83" s="749">
        <v>2000</v>
      </c>
      <c r="F83" s="736">
        <v>0</v>
      </c>
      <c r="G83" s="736"/>
      <c r="H83" s="736"/>
      <c r="I83" s="736"/>
      <c r="J83" s="736">
        <f t="shared" si="21"/>
        <v>0</v>
      </c>
      <c r="K83" s="736"/>
      <c r="L83" s="736"/>
      <c r="M83" s="736">
        <f t="shared" si="22"/>
        <v>0</v>
      </c>
      <c r="N83" s="736"/>
      <c r="O83" s="736"/>
      <c r="P83" s="738">
        <f t="shared" si="23"/>
        <v>0</v>
      </c>
      <c r="Q83" s="738"/>
      <c r="R83" s="738"/>
      <c r="S83" s="738"/>
      <c r="T83" s="739">
        <v>1100121</v>
      </c>
      <c r="U83" s="745"/>
      <c r="V83" s="739">
        <v>1100122</v>
      </c>
    </row>
    <row r="84" spans="1:22" ht="15" x14ac:dyDescent="0.2">
      <c r="A84" s="739">
        <v>2121</v>
      </c>
      <c r="B84" s="743" t="s">
        <v>24</v>
      </c>
      <c r="C84" s="736">
        <v>3402.86</v>
      </c>
      <c r="D84" s="736">
        <v>3500</v>
      </c>
      <c r="E84" s="749">
        <v>3500</v>
      </c>
      <c r="F84" s="736">
        <v>1492.64</v>
      </c>
      <c r="G84" s="736"/>
      <c r="H84" s="736"/>
      <c r="I84" s="736"/>
      <c r="J84" s="736">
        <f t="shared" si="21"/>
        <v>0</v>
      </c>
      <c r="K84" s="736"/>
      <c r="L84" s="736"/>
      <c r="M84" s="736">
        <f t="shared" si="22"/>
        <v>0</v>
      </c>
      <c r="N84" s="736"/>
      <c r="O84" s="736"/>
      <c r="P84" s="738">
        <f t="shared" si="23"/>
        <v>0</v>
      </c>
      <c r="Q84" s="738"/>
      <c r="R84" s="738"/>
      <c r="S84" s="738"/>
      <c r="T84" s="739">
        <v>1100121</v>
      </c>
      <c r="U84" s="745"/>
      <c r="V84" s="739">
        <v>1100122</v>
      </c>
    </row>
    <row r="85" spans="1:22" ht="15" x14ac:dyDescent="0.2">
      <c r="A85" s="739">
        <v>2491</v>
      </c>
      <c r="B85" s="743" t="s">
        <v>41</v>
      </c>
      <c r="C85" s="736">
        <v>2516.85</v>
      </c>
      <c r="D85" s="736"/>
      <c r="E85" s="736"/>
      <c r="F85" s="736"/>
      <c r="G85" s="736"/>
      <c r="H85" s="736"/>
      <c r="I85" s="736"/>
      <c r="J85" s="736">
        <f t="shared" si="21"/>
        <v>0</v>
      </c>
      <c r="K85" s="736"/>
      <c r="L85" s="736"/>
      <c r="M85" s="736">
        <f t="shared" si="22"/>
        <v>0</v>
      </c>
      <c r="N85" s="736"/>
      <c r="O85" s="736"/>
      <c r="P85" s="738">
        <f t="shared" si="23"/>
        <v>0</v>
      </c>
      <c r="Q85" s="738"/>
      <c r="R85" s="738"/>
      <c r="S85" s="738"/>
      <c r="T85" s="739"/>
      <c r="U85" s="745"/>
      <c r="V85" s="739"/>
    </row>
    <row r="86" spans="1:22" ht="30" x14ac:dyDescent="0.2">
      <c r="A86" s="739">
        <v>2612</v>
      </c>
      <c r="B86" s="743" t="s">
        <v>26</v>
      </c>
      <c r="C86" s="736">
        <v>17550.05</v>
      </c>
      <c r="D86" s="736"/>
      <c r="E86" s="736"/>
      <c r="F86" s="736"/>
      <c r="G86" s="736"/>
      <c r="H86" s="736"/>
      <c r="I86" s="736"/>
      <c r="J86" s="736">
        <f t="shared" si="21"/>
        <v>0</v>
      </c>
      <c r="K86" s="736"/>
      <c r="L86" s="736"/>
      <c r="M86" s="736">
        <f t="shared" si="22"/>
        <v>0</v>
      </c>
      <c r="N86" s="736"/>
      <c r="O86" s="736"/>
      <c r="P86" s="738">
        <f t="shared" si="23"/>
        <v>0</v>
      </c>
      <c r="Q86" s="738"/>
      <c r="R86" s="738"/>
      <c r="S86" s="738">
        <f>Q86</f>
        <v>0</v>
      </c>
      <c r="T86" s="739"/>
      <c r="U86" s="745"/>
      <c r="V86" s="739"/>
    </row>
    <row r="87" spans="1:22" ht="15" x14ac:dyDescent="0.2">
      <c r="A87" s="739">
        <v>3111</v>
      </c>
      <c r="B87" s="743" t="s">
        <v>47</v>
      </c>
      <c r="C87" s="736"/>
      <c r="D87" s="736">
        <v>7500</v>
      </c>
      <c r="E87" s="736"/>
      <c r="F87" s="736">
        <v>0</v>
      </c>
      <c r="G87" s="736"/>
      <c r="H87" s="736"/>
      <c r="I87" s="736"/>
      <c r="J87" s="736">
        <f t="shared" si="21"/>
        <v>0</v>
      </c>
      <c r="K87" s="736"/>
      <c r="L87" s="736"/>
      <c r="M87" s="736">
        <f t="shared" si="22"/>
        <v>0</v>
      </c>
      <c r="N87" s="736"/>
      <c r="O87" s="736"/>
      <c r="P87" s="738">
        <f t="shared" si="23"/>
        <v>0</v>
      </c>
      <c r="Q87" s="738"/>
      <c r="R87" s="738"/>
      <c r="S87" s="738"/>
      <c r="T87" s="739">
        <v>1100121</v>
      </c>
      <c r="U87" s="745"/>
      <c r="V87" s="739">
        <v>1100122</v>
      </c>
    </row>
    <row r="88" spans="1:22" ht="15" x14ac:dyDescent="0.2">
      <c r="A88" s="739">
        <v>3141</v>
      </c>
      <c r="B88" s="743" t="s">
        <v>48</v>
      </c>
      <c r="C88" s="736">
        <v>5464.98</v>
      </c>
      <c r="D88" s="736">
        <v>8500</v>
      </c>
      <c r="E88" s="749">
        <v>8500</v>
      </c>
      <c r="F88" s="736">
        <v>5532.36</v>
      </c>
      <c r="G88" s="736"/>
      <c r="H88" s="736"/>
      <c r="I88" s="736"/>
      <c r="J88" s="736">
        <f t="shared" si="21"/>
        <v>0</v>
      </c>
      <c r="K88" s="736"/>
      <c r="L88" s="736"/>
      <c r="M88" s="736">
        <f t="shared" si="22"/>
        <v>0</v>
      </c>
      <c r="N88" s="736"/>
      <c r="O88" s="736"/>
      <c r="P88" s="738">
        <f t="shared" si="23"/>
        <v>0</v>
      </c>
      <c r="Q88" s="738"/>
      <c r="R88" s="738"/>
      <c r="S88" s="738"/>
      <c r="T88" s="739">
        <v>1100121</v>
      </c>
      <c r="U88" s="745"/>
      <c r="V88" s="739">
        <v>1100122</v>
      </c>
    </row>
    <row r="89" spans="1:22" ht="15" x14ac:dyDescent="0.2">
      <c r="A89" s="739">
        <v>3511</v>
      </c>
      <c r="B89" s="743" t="s">
        <v>49</v>
      </c>
      <c r="C89" s="736"/>
      <c r="D89" s="736">
        <v>5000</v>
      </c>
      <c r="E89" s="749">
        <v>5000</v>
      </c>
      <c r="F89" s="736">
        <v>0</v>
      </c>
      <c r="G89" s="736"/>
      <c r="H89" s="736"/>
      <c r="I89" s="736"/>
      <c r="J89" s="736">
        <f t="shared" si="21"/>
        <v>0</v>
      </c>
      <c r="K89" s="736"/>
      <c r="L89" s="736"/>
      <c r="M89" s="736">
        <f t="shared" si="22"/>
        <v>0</v>
      </c>
      <c r="N89" s="736"/>
      <c r="O89" s="736"/>
      <c r="P89" s="738">
        <f t="shared" si="23"/>
        <v>0</v>
      </c>
      <c r="Q89" s="738"/>
      <c r="R89" s="738"/>
      <c r="S89" s="738"/>
      <c r="T89" s="739">
        <v>1100121</v>
      </c>
      <c r="U89" s="745"/>
      <c r="V89" s="739">
        <v>1100122</v>
      </c>
    </row>
    <row r="90" spans="1:22" ht="15" x14ac:dyDescent="0.2">
      <c r="A90" s="739">
        <v>3551</v>
      </c>
      <c r="B90" s="743" t="s">
        <v>30</v>
      </c>
      <c r="C90" s="736">
        <v>8495.44</v>
      </c>
      <c r="D90" s="736"/>
      <c r="E90" s="736"/>
      <c r="F90" s="736"/>
      <c r="G90" s="736"/>
      <c r="H90" s="736"/>
      <c r="I90" s="736"/>
      <c r="J90" s="736">
        <f t="shared" si="21"/>
        <v>0</v>
      </c>
      <c r="K90" s="736"/>
      <c r="L90" s="736"/>
      <c r="M90" s="736">
        <f t="shared" si="22"/>
        <v>0</v>
      </c>
      <c r="N90" s="736"/>
      <c r="O90" s="736"/>
      <c r="P90" s="738">
        <f t="shared" si="23"/>
        <v>0</v>
      </c>
      <c r="Q90" s="738"/>
      <c r="R90" s="738"/>
      <c r="S90" s="738">
        <f>Q90</f>
        <v>0</v>
      </c>
      <c r="T90" s="739"/>
      <c r="U90" s="745"/>
      <c r="V90" s="739"/>
    </row>
    <row r="91" spans="1:22" ht="15" x14ac:dyDescent="0.2">
      <c r="A91" s="739">
        <v>3721</v>
      </c>
      <c r="B91" s="743" t="s">
        <v>50</v>
      </c>
      <c r="C91" s="736"/>
      <c r="D91" s="736">
        <v>1000</v>
      </c>
      <c r="E91" s="749">
        <v>1000</v>
      </c>
      <c r="F91" s="736">
        <v>0</v>
      </c>
      <c r="G91" s="736"/>
      <c r="H91" s="736"/>
      <c r="I91" s="736"/>
      <c r="J91" s="736">
        <f t="shared" si="21"/>
        <v>0</v>
      </c>
      <c r="K91" s="736"/>
      <c r="L91" s="736"/>
      <c r="M91" s="736">
        <f t="shared" si="22"/>
        <v>0</v>
      </c>
      <c r="N91" s="736"/>
      <c r="O91" s="736"/>
      <c r="P91" s="738">
        <f t="shared" si="23"/>
        <v>0</v>
      </c>
      <c r="Q91" s="738"/>
      <c r="R91" s="738"/>
      <c r="S91" s="738"/>
      <c r="T91" s="739">
        <v>1100121</v>
      </c>
      <c r="U91" s="745"/>
      <c r="V91" s="739">
        <v>1100122</v>
      </c>
    </row>
    <row r="92" spans="1:22" ht="15" x14ac:dyDescent="0.2">
      <c r="A92" s="739">
        <v>3791</v>
      </c>
      <c r="B92" s="743" t="s">
        <v>45</v>
      </c>
      <c r="C92" s="736">
        <v>288</v>
      </c>
      <c r="D92" s="736"/>
      <c r="E92" s="736"/>
      <c r="F92" s="736"/>
      <c r="G92" s="736"/>
      <c r="H92" s="736"/>
      <c r="I92" s="736"/>
      <c r="J92" s="736">
        <f t="shared" si="21"/>
        <v>0</v>
      </c>
      <c r="K92" s="736"/>
      <c r="L92" s="736"/>
      <c r="M92" s="736">
        <f t="shared" si="22"/>
        <v>0</v>
      </c>
      <c r="N92" s="736"/>
      <c r="O92" s="736"/>
      <c r="P92" s="738">
        <f t="shared" si="23"/>
        <v>0</v>
      </c>
      <c r="Q92" s="738"/>
      <c r="R92" s="738"/>
      <c r="S92" s="738"/>
      <c r="T92" s="739"/>
      <c r="U92" s="745"/>
      <c r="V92" s="739"/>
    </row>
    <row r="93" spans="1:22" ht="15" x14ac:dyDescent="0.2">
      <c r="A93" s="739">
        <v>3852</v>
      </c>
      <c r="B93" s="743" t="s">
        <v>32</v>
      </c>
      <c r="C93" s="736">
        <v>7894.93</v>
      </c>
      <c r="D93" s="736"/>
      <c r="E93" s="736"/>
      <c r="F93" s="736"/>
      <c r="G93" s="736"/>
      <c r="H93" s="736"/>
      <c r="I93" s="736"/>
      <c r="J93" s="736">
        <f t="shared" si="21"/>
        <v>0</v>
      </c>
      <c r="K93" s="736"/>
      <c r="L93" s="736"/>
      <c r="M93" s="736">
        <f t="shared" si="22"/>
        <v>0</v>
      </c>
      <c r="N93" s="736"/>
      <c r="O93" s="736"/>
      <c r="P93" s="738">
        <f t="shared" si="23"/>
        <v>0</v>
      </c>
      <c r="Q93" s="738"/>
      <c r="R93" s="738"/>
      <c r="S93" s="738"/>
      <c r="T93" s="739"/>
      <c r="U93" s="745"/>
      <c r="V93" s="739"/>
    </row>
    <row r="94" spans="1:22" ht="15" x14ac:dyDescent="0.2">
      <c r="A94" s="739">
        <v>3921</v>
      </c>
      <c r="B94" s="743" t="s">
        <v>33</v>
      </c>
      <c r="C94" s="736">
        <v>235</v>
      </c>
      <c r="D94" s="736"/>
      <c r="E94" s="736"/>
      <c r="F94" s="736"/>
      <c r="G94" s="736"/>
      <c r="H94" s="736"/>
      <c r="I94" s="736"/>
      <c r="J94" s="736">
        <f t="shared" si="21"/>
        <v>0</v>
      </c>
      <c r="K94" s="736"/>
      <c r="L94" s="736"/>
      <c r="M94" s="736">
        <f t="shared" si="22"/>
        <v>0</v>
      </c>
      <c r="N94" s="736"/>
      <c r="O94" s="736"/>
      <c r="P94" s="738">
        <f t="shared" si="23"/>
        <v>0</v>
      </c>
      <c r="Q94" s="738"/>
      <c r="R94" s="738"/>
      <c r="S94" s="738"/>
      <c r="T94" s="739"/>
      <c r="U94" s="745"/>
      <c r="V94" s="739"/>
    </row>
    <row r="95" spans="1:22" ht="15" x14ac:dyDescent="0.2">
      <c r="A95" s="728" t="s">
        <v>51</v>
      </c>
      <c r="B95" s="729" t="s">
        <v>1618</v>
      </c>
      <c r="C95" s="730">
        <f t="shared" ref="C95:P95" si="24">SUM(C96:C113)</f>
        <v>529349.43000000005</v>
      </c>
      <c r="D95" s="730">
        <f t="shared" si="24"/>
        <v>664158.53</v>
      </c>
      <c r="E95" s="730">
        <f t="shared" si="24"/>
        <v>572266.83000000007</v>
      </c>
      <c r="F95" s="730">
        <f t="shared" si="24"/>
        <v>552677.17999999993</v>
      </c>
      <c r="G95" s="730">
        <f t="shared" si="24"/>
        <v>824560.59999999986</v>
      </c>
      <c r="H95" s="730">
        <f t="shared" si="24"/>
        <v>0</v>
      </c>
      <c r="I95" s="730">
        <f t="shared" si="24"/>
        <v>0</v>
      </c>
      <c r="J95" s="730">
        <f t="shared" si="24"/>
        <v>824560.59999999986</v>
      </c>
      <c r="K95" s="730">
        <f t="shared" si="24"/>
        <v>19751.82</v>
      </c>
      <c r="L95" s="730">
        <f t="shared" si="24"/>
        <v>1273.23</v>
      </c>
      <c r="M95" s="730">
        <f t="shared" si="24"/>
        <v>843039.19000000006</v>
      </c>
      <c r="N95" s="730">
        <f t="shared" si="24"/>
        <v>0</v>
      </c>
      <c r="O95" s="730">
        <f t="shared" si="24"/>
        <v>0</v>
      </c>
      <c r="P95" s="730">
        <f t="shared" si="24"/>
        <v>843039.19000000006</v>
      </c>
      <c r="Q95" s="748">
        <f>SUM(Q96:Q114)</f>
        <v>816700.54</v>
      </c>
      <c r="R95" s="748">
        <f t="shared" ref="R95:S95" si="25">SUM(R96:R114)</f>
        <v>6514.65</v>
      </c>
      <c r="S95" s="748">
        <f t="shared" si="25"/>
        <v>1010859.0299999999</v>
      </c>
      <c r="T95" s="731"/>
      <c r="U95" s="732">
        <f>SUM(U96:U114)</f>
        <v>806774.18</v>
      </c>
      <c r="V95" s="733"/>
    </row>
    <row r="96" spans="1:22" ht="15" x14ac:dyDescent="0.2">
      <c r="A96" s="734">
        <v>1132</v>
      </c>
      <c r="B96" s="735" t="s">
        <v>8</v>
      </c>
      <c r="C96" s="736">
        <v>229908.48000000001</v>
      </c>
      <c r="D96" s="736">
        <v>257533.64</v>
      </c>
      <c r="E96" s="749">
        <v>257533.64</v>
      </c>
      <c r="F96" s="736">
        <v>267612.81</v>
      </c>
      <c r="G96" s="736">
        <v>270539.39999999997</v>
      </c>
      <c r="H96" s="736"/>
      <c r="I96" s="736"/>
      <c r="J96" s="736">
        <f t="shared" ref="J96:J113" si="26">G96+H96-I96</f>
        <v>270539.39999999997</v>
      </c>
      <c r="K96" s="736">
        <v>9544.01</v>
      </c>
      <c r="L96" s="736"/>
      <c r="M96" s="736">
        <f t="shared" ref="M96:M113" si="27">J96+K96-L96</f>
        <v>280083.40999999997</v>
      </c>
      <c r="N96" s="736"/>
      <c r="O96" s="736"/>
      <c r="P96" s="736">
        <f t="shared" ref="P96:P113" si="28">M96+N96-O96</f>
        <v>280083.40999999997</v>
      </c>
      <c r="Q96" s="738">
        <v>280083.40999999997</v>
      </c>
      <c r="R96" s="738"/>
      <c r="S96" s="751">
        <v>291087.15999999997</v>
      </c>
      <c r="T96" s="739">
        <v>1500521</v>
      </c>
      <c r="U96" s="742">
        <v>300664.83</v>
      </c>
      <c r="V96" s="741">
        <v>1500522</v>
      </c>
    </row>
    <row r="97" spans="1:22" ht="15" x14ac:dyDescent="0.2">
      <c r="A97" s="734">
        <v>1212</v>
      </c>
      <c r="B97" s="735" t="s">
        <v>53</v>
      </c>
      <c r="C97" s="736">
        <v>121372.55</v>
      </c>
      <c r="D97" s="736">
        <v>127490.4</v>
      </c>
      <c r="E97" s="749">
        <v>119586.4</v>
      </c>
      <c r="F97" s="736">
        <v>117514.77</v>
      </c>
      <c r="G97" s="736">
        <v>131947.20000000001</v>
      </c>
      <c r="H97" s="736"/>
      <c r="I97" s="736"/>
      <c r="J97" s="736">
        <f t="shared" si="26"/>
        <v>131947.20000000001</v>
      </c>
      <c r="K97" s="736"/>
      <c r="L97" s="736">
        <v>1273.23</v>
      </c>
      <c r="M97" s="736">
        <f t="shared" si="27"/>
        <v>130673.97000000002</v>
      </c>
      <c r="N97" s="736"/>
      <c r="O97" s="736"/>
      <c r="P97" s="736">
        <f t="shared" si="28"/>
        <v>130673.97000000002</v>
      </c>
      <c r="Q97" s="738">
        <v>112192.2</v>
      </c>
      <c r="R97" s="738"/>
      <c r="S97" s="751">
        <v>140594.4</v>
      </c>
      <c r="T97" s="739">
        <v>1500521</v>
      </c>
      <c r="U97" s="742">
        <v>132573.69</v>
      </c>
      <c r="V97" s="741">
        <v>1500522</v>
      </c>
    </row>
    <row r="98" spans="1:22" ht="15" x14ac:dyDescent="0.2">
      <c r="A98" s="734">
        <v>1321</v>
      </c>
      <c r="B98" s="735" t="s">
        <v>9</v>
      </c>
      <c r="C98" s="736">
        <v>8722.7999999999993</v>
      </c>
      <c r="D98" s="736">
        <v>9080.41</v>
      </c>
      <c r="E98" s="749">
        <v>9080.41</v>
      </c>
      <c r="F98" s="736">
        <v>9076.66</v>
      </c>
      <c r="G98" s="736">
        <v>12573.6</v>
      </c>
      <c r="H98" s="736"/>
      <c r="I98" s="736"/>
      <c r="J98" s="736">
        <f t="shared" si="26"/>
        <v>12573.6</v>
      </c>
      <c r="K98" s="736">
        <v>970.54</v>
      </c>
      <c r="L98" s="736"/>
      <c r="M98" s="736">
        <f t="shared" si="27"/>
        <v>13544.14</v>
      </c>
      <c r="N98" s="736"/>
      <c r="O98" s="736"/>
      <c r="P98" s="736">
        <f t="shared" si="28"/>
        <v>13544.14</v>
      </c>
      <c r="Q98" s="738">
        <v>13544.14</v>
      </c>
      <c r="R98" s="738"/>
      <c r="S98" s="751">
        <v>14114.01</v>
      </c>
      <c r="T98" s="739">
        <v>1500521</v>
      </c>
      <c r="U98" s="742">
        <v>13544.14</v>
      </c>
      <c r="V98" s="741">
        <v>1500522</v>
      </c>
    </row>
    <row r="99" spans="1:22" ht="15" x14ac:dyDescent="0.2">
      <c r="A99" s="734">
        <v>1323</v>
      </c>
      <c r="B99" s="735" t="s">
        <v>11</v>
      </c>
      <c r="C99" s="736">
        <v>43191.4</v>
      </c>
      <c r="D99" s="736">
        <v>48058.1</v>
      </c>
      <c r="E99" s="749">
        <v>59409.1</v>
      </c>
      <c r="F99" s="736">
        <v>48223.69</v>
      </c>
      <c r="G99" s="736">
        <v>50403.3</v>
      </c>
      <c r="H99" s="736"/>
      <c r="I99" s="736"/>
      <c r="J99" s="736">
        <f t="shared" si="26"/>
        <v>50403.3</v>
      </c>
      <c r="K99" s="736">
        <v>1497.84</v>
      </c>
      <c r="L99" s="736"/>
      <c r="M99" s="736">
        <f t="shared" si="27"/>
        <v>51901.14</v>
      </c>
      <c r="N99" s="736"/>
      <c r="O99" s="736"/>
      <c r="P99" s="736">
        <f t="shared" si="28"/>
        <v>51901.14</v>
      </c>
      <c r="Q99" s="738">
        <v>51901.14</v>
      </c>
      <c r="R99" s="738"/>
      <c r="S99" s="751">
        <v>54173.1</v>
      </c>
      <c r="T99" s="739">
        <v>1500521</v>
      </c>
      <c r="U99" s="742">
        <v>51082.6</v>
      </c>
      <c r="V99" s="741">
        <v>1500522</v>
      </c>
    </row>
    <row r="100" spans="1:22" ht="15" x14ac:dyDescent="0.2">
      <c r="A100" s="734">
        <v>1413</v>
      </c>
      <c r="B100" s="735" t="s">
        <v>13</v>
      </c>
      <c r="C100" s="736">
        <v>31140.31</v>
      </c>
      <c r="D100" s="736">
        <v>77505.539999999994</v>
      </c>
      <c r="E100" s="749">
        <v>25958.57</v>
      </c>
      <c r="F100" s="736">
        <v>21952.82</v>
      </c>
      <c r="G100" s="736">
        <v>87217</v>
      </c>
      <c r="H100" s="736"/>
      <c r="I100" s="736"/>
      <c r="J100" s="736">
        <f t="shared" si="26"/>
        <v>87217</v>
      </c>
      <c r="K100" s="736">
        <v>3460.88</v>
      </c>
      <c r="L100" s="736"/>
      <c r="M100" s="736">
        <f t="shared" si="27"/>
        <v>90677.88</v>
      </c>
      <c r="N100" s="736"/>
      <c r="O100" s="736"/>
      <c r="P100" s="736">
        <f t="shared" si="28"/>
        <v>90677.88</v>
      </c>
      <c r="Q100" s="738">
        <v>83504.66</v>
      </c>
      <c r="R100" s="738"/>
      <c r="S100" s="751">
        <v>99414.24</v>
      </c>
      <c r="T100" s="739">
        <v>1500521</v>
      </c>
      <c r="U100" s="742">
        <v>93725.94</v>
      </c>
      <c r="V100" s="741">
        <v>1500522</v>
      </c>
    </row>
    <row r="101" spans="1:22" ht="15" x14ac:dyDescent="0.2">
      <c r="A101" s="734">
        <v>1421</v>
      </c>
      <c r="B101" s="735" t="s">
        <v>15</v>
      </c>
      <c r="C101" s="736">
        <v>13179.43</v>
      </c>
      <c r="D101" s="736">
        <v>25275.26</v>
      </c>
      <c r="E101" s="749">
        <v>6560.14</v>
      </c>
      <c r="F101" s="736">
        <v>8189.74</v>
      </c>
      <c r="G101" s="736">
        <v>26586.199999999997</v>
      </c>
      <c r="H101" s="736"/>
      <c r="I101" s="736"/>
      <c r="J101" s="736">
        <f t="shared" si="26"/>
        <v>26586.199999999997</v>
      </c>
      <c r="K101" s="736">
        <v>1072.0999999999999</v>
      </c>
      <c r="L101" s="736"/>
      <c r="M101" s="736">
        <f t="shared" si="27"/>
        <v>27658.299999999996</v>
      </c>
      <c r="N101" s="736"/>
      <c r="O101" s="736"/>
      <c r="P101" s="736">
        <f t="shared" si="28"/>
        <v>27658.299999999996</v>
      </c>
      <c r="Q101" s="738">
        <v>27658.3</v>
      </c>
      <c r="R101" s="738"/>
      <c r="S101" s="751">
        <v>28716.240000000002</v>
      </c>
      <c r="T101" s="739">
        <v>1500521</v>
      </c>
      <c r="U101" s="742">
        <v>27078.01</v>
      </c>
      <c r="V101" s="741">
        <v>1500522</v>
      </c>
    </row>
    <row r="102" spans="1:22" ht="15" x14ac:dyDescent="0.2">
      <c r="A102" s="734">
        <v>1431</v>
      </c>
      <c r="B102" s="735" t="s">
        <v>16</v>
      </c>
      <c r="C102" s="736">
        <v>14146.76</v>
      </c>
      <c r="D102" s="736">
        <v>26033.54</v>
      </c>
      <c r="E102" s="749">
        <v>6756.93</v>
      </c>
      <c r="F102" s="736">
        <v>8681.81</v>
      </c>
      <c r="G102" s="736">
        <v>27383.699999999997</v>
      </c>
      <c r="H102" s="736"/>
      <c r="I102" s="736"/>
      <c r="J102" s="736">
        <f t="shared" si="26"/>
        <v>27383.699999999997</v>
      </c>
      <c r="K102" s="736">
        <v>1098.57</v>
      </c>
      <c r="L102" s="736"/>
      <c r="M102" s="736">
        <f t="shared" si="27"/>
        <v>28482.269999999997</v>
      </c>
      <c r="N102" s="736"/>
      <c r="O102" s="736"/>
      <c r="P102" s="736">
        <f t="shared" si="28"/>
        <v>28482.269999999997</v>
      </c>
      <c r="Q102" s="738">
        <v>28482.27</v>
      </c>
      <c r="R102" s="738"/>
      <c r="S102" s="751">
        <v>29577.72</v>
      </c>
      <c r="T102" s="739">
        <v>1500521</v>
      </c>
      <c r="U102" s="742">
        <v>27397.279999999999</v>
      </c>
      <c r="V102" s="741">
        <v>1500522</v>
      </c>
    </row>
    <row r="103" spans="1:22" ht="15" x14ac:dyDescent="0.2">
      <c r="A103" s="734">
        <v>1511</v>
      </c>
      <c r="B103" s="735" t="s">
        <v>18</v>
      </c>
      <c r="C103" s="736">
        <v>5497.8</v>
      </c>
      <c r="D103" s="736">
        <v>6224.4</v>
      </c>
      <c r="E103" s="749">
        <v>6224.4</v>
      </c>
      <c r="F103" s="736">
        <v>6451.21</v>
      </c>
      <c r="G103" s="736">
        <v>6537.5</v>
      </c>
      <c r="H103" s="736"/>
      <c r="I103" s="736"/>
      <c r="J103" s="736">
        <f t="shared" si="26"/>
        <v>6537.5</v>
      </c>
      <c r="K103" s="736">
        <v>218.99</v>
      </c>
      <c r="L103" s="736"/>
      <c r="M103" s="736">
        <f t="shared" si="27"/>
        <v>6756.49</v>
      </c>
      <c r="N103" s="736"/>
      <c r="O103" s="736"/>
      <c r="P103" s="736">
        <f t="shared" si="28"/>
        <v>6756.49</v>
      </c>
      <c r="Q103" s="738">
        <v>6756.49</v>
      </c>
      <c r="R103" s="738"/>
      <c r="S103" s="751">
        <v>7036.12</v>
      </c>
      <c r="T103" s="739">
        <v>1500521</v>
      </c>
      <c r="U103" s="742">
        <v>6880.15</v>
      </c>
      <c r="V103" s="741">
        <v>1500522</v>
      </c>
    </row>
    <row r="104" spans="1:22" ht="15" x14ac:dyDescent="0.2">
      <c r="A104" s="734">
        <v>1592</v>
      </c>
      <c r="B104" s="735" t="s">
        <v>20</v>
      </c>
      <c r="C104" s="736">
        <v>47400.78</v>
      </c>
      <c r="D104" s="736">
        <v>53657.24</v>
      </c>
      <c r="E104" s="749">
        <v>53657.24</v>
      </c>
      <c r="F104" s="736">
        <v>55617.56</v>
      </c>
      <c r="G104" s="736">
        <v>56372.7</v>
      </c>
      <c r="H104" s="736"/>
      <c r="I104" s="736"/>
      <c r="J104" s="736">
        <f t="shared" si="26"/>
        <v>56372.7</v>
      </c>
      <c r="K104" s="736">
        <v>1888.89</v>
      </c>
      <c r="L104" s="736"/>
      <c r="M104" s="736">
        <f t="shared" si="27"/>
        <v>58261.59</v>
      </c>
      <c r="N104" s="736"/>
      <c r="O104" s="736"/>
      <c r="P104" s="736">
        <f t="shared" si="28"/>
        <v>58261.59</v>
      </c>
      <c r="Q104" s="738">
        <v>58261.59</v>
      </c>
      <c r="R104" s="738"/>
      <c r="S104" s="751">
        <v>60646.04</v>
      </c>
      <c r="T104" s="739">
        <v>1500521</v>
      </c>
      <c r="U104" s="742">
        <v>59327.54</v>
      </c>
      <c r="V104" s="741">
        <v>1500522</v>
      </c>
    </row>
    <row r="105" spans="1:22" ht="15" x14ac:dyDescent="0.2">
      <c r="A105" s="734">
        <v>2111</v>
      </c>
      <c r="B105" s="735" t="s">
        <v>22</v>
      </c>
      <c r="C105" s="736">
        <v>2375</v>
      </c>
      <c r="D105" s="736">
        <v>2500</v>
      </c>
      <c r="E105" s="749">
        <v>2500</v>
      </c>
      <c r="F105" s="736">
        <v>1169.19</v>
      </c>
      <c r="G105" s="752">
        <v>2500</v>
      </c>
      <c r="H105" s="752"/>
      <c r="I105" s="752"/>
      <c r="J105" s="736">
        <f t="shared" si="26"/>
        <v>2500</v>
      </c>
      <c r="K105" s="752"/>
      <c r="L105" s="752"/>
      <c r="M105" s="736">
        <f t="shared" si="27"/>
        <v>2500</v>
      </c>
      <c r="N105" s="736"/>
      <c r="O105" s="736"/>
      <c r="P105" s="736">
        <f t="shared" si="28"/>
        <v>2500</v>
      </c>
      <c r="Q105" s="753">
        <v>2500</v>
      </c>
      <c r="R105" s="738">
        <v>1824.4</v>
      </c>
      <c r="S105" s="753">
        <v>2500</v>
      </c>
      <c r="T105" s="739">
        <v>1100121</v>
      </c>
      <c r="U105" s="740">
        <v>2500</v>
      </c>
      <c r="V105" s="741">
        <v>1100122</v>
      </c>
    </row>
    <row r="106" spans="1:22" ht="15" x14ac:dyDescent="0.2">
      <c r="A106" s="734">
        <v>2121</v>
      </c>
      <c r="B106" s="735" t="s">
        <v>24</v>
      </c>
      <c r="C106" s="736">
        <v>450</v>
      </c>
      <c r="D106" s="736">
        <v>1500</v>
      </c>
      <c r="E106" s="749">
        <v>1500</v>
      </c>
      <c r="F106" s="736">
        <v>817</v>
      </c>
      <c r="G106" s="752">
        <v>1500</v>
      </c>
      <c r="H106" s="752"/>
      <c r="I106" s="752"/>
      <c r="J106" s="736">
        <f t="shared" si="26"/>
        <v>1500</v>
      </c>
      <c r="K106" s="752"/>
      <c r="L106" s="752"/>
      <c r="M106" s="736">
        <f t="shared" si="27"/>
        <v>1500</v>
      </c>
      <c r="N106" s="736"/>
      <c r="O106" s="736"/>
      <c r="P106" s="736">
        <f t="shared" si="28"/>
        <v>1500</v>
      </c>
      <c r="Q106" s="753">
        <v>816.34</v>
      </c>
      <c r="R106" s="738">
        <v>741.34</v>
      </c>
      <c r="S106" s="753">
        <v>12000</v>
      </c>
      <c r="T106" s="739">
        <v>1100121</v>
      </c>
      <c r="U106" s="746">
        <v>5000</v>
      </c>
      <c r="V106" s="741">
        <v>1100122</v>
      </c>
    </row>
    <row r="107" spans="1:22" ht="15" x14ac:dyDescent="0.2">
      <c r="A107" s="734">
        <v>2212</v>
      </c>
      <c r="B107" s="735" t="s">
        <v>40</v>
      </c>
      <c r="C107" s="736"/>
      <c r="D107" s="736">
        <v>3000</v>
      </c>
      <c r="E107" s="749">
        <v>3000</v>
      </c>
      <c r="F107" s="736">
        <v>0</v>
      </c>
      <c r="G107" s="752">
        <v>3000</v>
      </c>
      <c r="H107" s="752"/>
      <c r="I107" s="752"/>
      <c r="J107" s="736">
        <f t="shared" si="26"/>
        <v>3000</v>
      </c>
      <c r="K107" s="752"/>
      <c r="L107" s="752"/>
      <c r="M107" s="736">
        <f t="shared" si="27"/>
        <v>3000</v>
      </c>
      <c r="N107" s="736"/>
      <c r="O107" s="736"/>
      <c r="P107" s="736">
        <f t="shared" si="28"/>
        <v>3000</v>
      </c>
      <c r="Q107" s="753">
        <v>3000</v>
      </c>
      <c r="R107" s="738"/>
      <c r="S107" s="753">
        <v>8000</v>
      </c>
      <c r="T107" s="739">
        <v>1100121</v>
      </c>
      <c r="U107" s="740">
        <v>8000</v>
      </c>
      <c r="V107" s="741">
        <v>1100122</v>
      </c>
    </row>
    <row r="108" spans="1:22" ht="15" x14ac:dyDescent="0.2">
      <c r="A108" s="734">
        <v>3141</v>
      </c>
      <c r="B108" s="735" t="s">
        <v>48</v>
      </c>
      <c r="C108" s="736">
        <v>5214.1099999999997</v>
      </c>
      <c r="D108" s="736">
        <v>6500</v>
      </c>
      <c r="E108" s="749">
        <v>6500</v>
      </c>
      <c r="F108" s="736">
        <v>5899.94</v>
      </c>
      <c r="G108" s="752">
        <v>7000</v>
      </c>
      <c r="H108" s="752"/>
      <c r="I108" s="752"/>
      <c r="J108" s="736">
        <f t="shared" si="26"/>
        <v>7000</v>
      </c>
      <c r="K108" s="752"/>
      <c r="L108" s="752"/>
      <c r="M108" s="736">
        <f t="shared" si="27"/>
        <v>7000</v>
      </c>
      <c r="N108" s="736"/>
      <c r="O108" s="736"/>
      <c r="P108" s="736">
        <f t="shared" si="28"/>
        <v>7000</v>
      </c>
      <c r="Q108" s="753">
        <v>7000</v>
      </c>
      <c r="R108" s="738">
        <v>3948.91</v>
      </c>
      <c r="S108" s="753">
        <v>7000</v>
      </c>
      <c r="T108" s="739">
        <v>1100121</v>
      </c>
      <c r="U108" s="746">
        <v>7000</v>
      </c>
      <c r="V108" s="741">
        <v>1100122</v>
      </c>
    </row>
    <row r="109" spans="1:22" ht="15" x14ac:dyDescent="0.2">
      <c r="A109" s="739">
        <v>3151</v>
      </c>
      <c r="B109" s="743" t="s">
        <v>28</v>
      </c>
      <c r="C109" s="736">
        <v>793.01</v>
      </c>
      <c r="D109" s="736">
        <v>1800</v>
      </c>
      <c r="E109" s="749">
        <v>0</v>
      </c>
      <c r="F109" s="736">
        <v>0</v>
      </c>
      <c r="G109" s="736"/>
      <c r="H109" s="736"/>
      <c r="I109" s="736"/>
      <c r="J109" s="736">
        <f t="shared" si="26"/>
        <v>0</v>
      </c>
      <c r="K109" s="736"/>
      <c r="L109" s="736"/>
      <c r="M109" s="736">
        <f t="shared" si="27"/>
        <v>0</v>
      </c>
      <c r="N109" s="736"/>
      <c r="O109" s="736"/>
      <c r="P109" s="738">
        <f t="shared" si="28"/>
        <v>0</v>
      </c>
      <c r="Q109" s="738"/>
      <c r="R109" s="738"/>
      <c r="S109" s="738"/>
      <c r="T109" s="739">
        <v>1100121</v>
      </c>
      <c r="U109" s="745"/>
      <c r="V109" s="739">
        <v>1100122</v>
      </c>
    </row>
    <row r="110" spans="1:22" ht="30" x14ac:dyDescent="0.2">
      <c r="A110" s="734">
        <v>3361</v>
      </c>
      <c r="B110" s="755" t="s">
        <v>29</v>
      </c>
      <c r="C110" s="736"/>
      <c r="D110" s="736"/>
      <c r="E110" s="749"/>
      <c r="F110" s="736"/>
      <c r="G110" s="752">
        <v>125000</v>
      </c>
      <c r="H110" s="752"/>
      <c r="I110" s="752"/>
      <c r="J110" s="736">
        <f t="shared" si="26"/>
        <v>125000</v>
      </c>
      <c r="K110" s="752"/>
      <c r="L110" s="752"/>
      <c r="M110" s="736">
        <f t="shared" si="27"/>
        <v>125000</v>
      </c>
      <c r="N110" s="736"/>
      <c r="O110" s="736"/>
      <c r="P110" s="736">
        <f t="shared" si="28"/>
        <v>125000</v>
      </c>
      <c r="Q110" s="753">
        <v>125000</v>
      </c>
      <c r="R110" s="738"/>
      <c r="S110" s="753">
        <v>200000</v>
      </c>
      <c r="T110" s="739">
        <v>1100121</v>
      </c>
      <c r="U110" s="740">
        <v>40000</v>
      </c>
      <c r="V110" s="741">
        <v>1100122</v>
      </c>
    </row>
    <row r="111" spans="1:22" ht="15" x14ac:dyDescent="0.2">
      <c r="A111" s="734">
        <v>3751</v>
      </c>
      <c r="B111" s="735" t="s">
        <v>44</v>
      </c>
      <c r="C111" s="736">
        <v>1828</v>
      </c>
      <c r="D111" s="736">
        <v>8000</v>
      </c>
      <c r="E111" s="749">
        <v>6000</v>
      </c>
      <c r="F111" s="736">
        <v>0</v>
      </c>
      <c r="G111" s="752">
        <v>8000</v>
      </c>
      <c r="H111" s="752"/>
      <c r="I111" s="752"/>
      <c r="J111" s="736">
        <f t="shared" si="26"/>
        <v>8000</v>
      </c>
      <c r="K111" s="752"/>
      <c r="L111" s="752"/>
      <c r="M111" s="736">
        <f t="shared" si="27"/>
        <v>8000</v>
      </c>
      <c r="N111" s="736"/>
      <c r="O111" s="736"/>
      <c r="P111" s="736">
        <f t="shared" si="28"/>
        <v>8000</v>
      </c>
      <c r="Q111" s="753">
        <v>8000</v>
      </c>
      <c r="R111" s="738"/>
      <c r="S111" s="753">
        <v>12000</v>
      </c>
      <c r="T111" s="739">
        <v>1100121</v>
      </c>
      <c r="U111" s="740">
        <v>8000</v>
      </c>
      <c r="V111" s="741">
        <v>1100122</v>
      </c>
    </row>
    <row r="112" spans="1:22" ht="15" x14ac:dyDescent="0.2">
      <c r="A112" s="734">
        <v>3791</v>
      </c>
      <c r="B112" s="735" t="s">
        <v>45</v>
      </c>
      <c r="C112" s="736">
        <v>4129</v>
      </c>
      <c r="D112" s="736">
        <v>8000</v>
      </c>
      <c r="E112" s="749">
        <v>6000</v>
      </c>
      <c r="F112" s="736">
        <v>0</v>
      </c>
      <c r="G112" s="752">
        <v>8000</v>
      </c>
      <c r="H112" s="752"/>
      <c r="I112" s="752"/>
      <c r="J112" s="736">
        <f t="shared" si="26"/>
        <v>8000</v>
      </c>
      <c r="K112" s="752"/>
      <c r="L112" s="752"/>
      <c r="M112" s="736">
        <f t="shared" si="27"/>
        <v>8000</v>
      </c>
      <c r="N112" s="736"/>
      <c r="O112" s="736"/>
      <c r="P112" s="736">
        <f t="shared" si="28"/>
        <v>8000</v>
      </c>
      <c r="Q112" s="753">
        <v>8000</v>
      </c>
      <c r="R112" s="738"/>
      <c r="S112" s="753">
        <v>12000</v>
      </c>
      <c r="T112" s="739">
        <v>1100121</v>
      </c>
      <c r="U112" s="740">
        <v>12000</v>
      </c>
      <c r="V112" s="741">
        <v>1100122</v>
      </c>
    </row>
    <row r="113" spans="1:22" ht="15" x14ac:dyDescent="0.2">
      <c r="A113" s="734">
        <v>3852</v>
      </c>
      <c r="B113" s="735" t="s">
        <v>32</v>
      </c>
      <c r="C113" s="736"/>
      <c r="D113" s="736">
        <v>2000</v>
      </c>
      <c r="E113" s="749">
        <v>2000</v>
      </c>
      <c r="F113" s="736">
        <v>1469.98</v>
      </c>
      <c r="G113" s="736"/>
      <c r="H113" s="736"/>
      <c r="I113" s="736"/>
      <c r="J113" s="736">
        <f t="shared" si="26"/>
        <v>0</v>
      </c>
      <c r="K113" s="736"/>
      <c r="L113" s="736"/>
      <c r="M113" s="736">
        <f t="shared" si="27"/>
        <v>0</v>
      </c>
      <c r="N113" s="736"/>
      <c r="O113" s="736"/>
      <c r="P113" s="738">
        <f t="shared" si="28"/>
        <v>0</v>
      </c>
      <c r="Q113" s="738"/>
      <c r="R113" s="738"/>
      <c r="S113" s="738">
        <v>12000</v>
      </c>
      <c r="T113" s="739">
        <v>1100121</v>
      </c>
      <c r="U113" s="740">
        <v>12000</v>
      </c>
      <c r="V113" s="741">
        <v>1100122</v>
      </c>
    </row>
    <row r="114" spans="1:22" ht="15" x14ac:dyDescent="0.2">
      <c r="A114" s="739">
        <v>5151</v>
      </c>
      <c r="B114" s="743" t="s">
        <v>1673</v>
      </c>
      <c r="C114" s="736"/>
      <c r="D114" s="736"/>
      <c r="E114" s="749"/>
      <c r="F114" s="736"/>
      <c r="G114" s="736"/>
      <c r="H114" s="736"/>
      <c r="I114" s="736"/>
      <c r="J114" s="736"/>
      <c r="K114" s="736"/>
      <c r="L114" s="736"/>
      <c r="M114" s="736"/>
      <c r="N114" s="736"/>
      <c r="O114" s="736"/>
      <c r="P114" s="738"/>
      <c r="Q114" s="738"/>
      <c r="R114" s="738"/>
      <c r="S114" s="738">
        <v>20000</v>
      </c>
      <c r="T114" s="739"/>
      <c r="U114" s="744"/>
      <c r="V114" s="739"/>
    </row>
    <row r="115" spans="1:22" ht="15" x14ac:dyDescent="0.2">
      <c r="A115" s="724" t="s">
        <v>54</v>
      </c>
      <c r="B115" s="725" t="s">
        <v>1128</v>
      </c>
      <c r="C115" s="721">
        <f t="shared" ref="C115:S115" si="29">SUM(C116)</f>
        <v>17447572.919999998</v>
      </c>
      <c r="D115" s="721">
        <f t="shared" si="29"/>
        <v>18988266.020000003</v>
      </c>
      <c r="E115" s="721">
        <f t="shared" si="29"/>
        <v>18820456.619999997</v>
      </c>
      <c r="F115" s="721">
        <f t="shared" si="29"/>
        <v>19070235.980000004</v>
      </c>
      <c r="G115" s="721">
        <f t="shared" si="29"/>
        <v>20244636.600000001</v>
      </c>
      <c r="H115" s="721">
        <f t="shared" si="29"/>
        <v>0</v>
      </c>
      <c r="I115" s="721">
        <f t="shared" si="29"/>
        <v>0</v>
      </c>
      <c r="J115" s="721">
        <f t="shared" si="29"/>
        <v>20244636.600000001</v>
      </c>
      <c r="K115" s="721">
        <f t="shared" si="29"/>
        <v>163990.37999999998</v>
      </c>
      <c r="L115" s="721">
        <f t="shared" si="29"/>
        <v>0</v>
      </c>
      <c r="M115" s="721">
        <f t="shared" si="29"/>
        <v>20408626.979999997</v>
      </c>
      <c r="N115" s="721">
        <f t="shared" si="29"/>
        <v>0</v>
      </c>
      <c r="O115" s="721">
        <f t="shared" si="29"/>
        <v>37000</v>
      </c>
      <c r="P115" s="721">
        <f t="shared" si="29"/>
        <v>20371626.979999997</v>
      </c>
      <c r="Q115" s="756">
        <f t="shared" si="29"/>
        <v>20364847.039999999</v>
      </c>
      <c r="R115" s="756">
        <f t="shared" si="29"/>
        <v>0</v>
      </c>
      <c r="S115" s="756">
        <f t="shared" si="29"/>
        <v>21200850.110000003</v>
      </c>
      <c r="T115" s="724"/>
      <c r="U115" s="726">
        <f>SUM(U116)</f>
        <v>21623656.830000006</v>
      </c>
      <c r="V115" s="727"/>
    </row>
    <row r="116" spans="1:22" ht="15" x14ac:dyDescent="0.2">
      <c r="A116" s="728" t="s">
        <v>55</v>
      </c>
      <c r="B116" s="729" t="s">
        <v>1578</v>
      </c>
      <c r="C116" s="730">
        <f t="shared" ref="C116:S116" si="30">SUM(C117:C128)</f>
        <v>17447572.919999998</v>
      </c>
      <c r="D116" s="730">
        <f t="shared" si="30"/>
        <v>18988266.020000003</v>
      </c>
      <c r="E116" s="730">
        <f t="shared" si="30"/>
        <v>18820456.619999997</v>
      </c>
      <c r="F116" s="730">
        <f t="shared" si="30"/>
        <v>19070235.980000004</v>
      </c>
      <c r="G116" s="730">
        <f t="shared" si="30"/>
        <v>20244636.600000001</v>
      </c>
      <c r="H116" s="730">
        <f t="shared" si="30"/>
        <v>0</v>
      </c>
      <c r="I116" s="730">
        <f t="shared" si="30"/>
        <v>0</v>
      </c>
      <c r="J116" s="730">
        <f t="shared" si="30"/>
        <v>20244636.600000001</v>
      </c>
      <c r="K116" s="730">
        <f t="shared" si="30"/>
        <v>163990.37999999998</v>
      </c>
      <c r="L116" s="730">
        <f t="shared" si="30"/>
        <v>0</v>
      </c>
      <c r="M116" s="730">
        <f t="shared" si="30"/>
        <v>20408626.979999997</v>
      </c>
      <c r="N116" s="730">
        <f t="shared" si="30"/>
        <v>0</v>
      </c>
      <c r="O116" s="730">
        <f t="shared" si="30"/>
        <v>37000</v>
      </c>
      <c r="P116" s="730">
        <f t="shared" si="30"/>
        <v>20371626.979999997</v>
      </c>
      <c r="Q116" s="748">
        <f t="shared" si="30"/>
        <v>20364847.039999999</v>
      </c>
      <c r="R116" s="748">
        <f t="shared" si="30"/>
        <v>0</v>
      </c>
      <c r="S116" s="748">
        <f t="shared" si="30"/>
        <v>21200850.110000003</v>
      </c>
      <c r="T116" s="731"/>
      <c r="U116" s="732">
        <f>SUM(U117:U128)</f>
        <v>21623656.830000006</v>
      </c>
      <c r="V116" s="733"/>
    </row>
    <row r="117" spans="1:22" ht="15" x14ac:dyDescent="0.2">
      <c r="A117" s="734">
        <v>1131</v>
      </c>
      <c r="B117" s="735" t="s">
        <v>6</v>
      </c>
      <c r="C117" s="736">
        <v>1606791.7</v>
      </c>
      <c r="D117" s="736">
        <v>1709842.68</v>
      </c>
      <c r="E117" s="749">
        <v>1539581.93</v>
      </c>
      <c r="F117" s="736">
        <v>1668913.32</v>
      </c>
      <c r="G117" s="736">
        <v>1670822.2000000002</v>
      </c>
      <c r="H117" s="736"/>
      <c r="I117" s="736"/>
      <c r="J117" s="736">
        <f t="shared" ref="J117:J128" si="31">G117+H117-I117</f>
        <v>1670822.2000000002</v>
      </c>
      <c r="K117" s="736">
        <v>7511.46</v>
      </c>
      <c r="L117" s="736"/>
      <c r="M117" s="736">
        <f t="shared" ref="M117:M128" si="32">J117+K117-L117</f>
        <v>1678333.6600000001</v>
      </c>
      <c r="N117" s="736"/>
      <c r="O117" s="736"/>
      <c r="P117" s="736">
        <f t="shared" ref="P117:P128" si="33">M117+N117-O117</f>
        <v>1678333.6600000001</v>
      </c>
      <c r="Q117" s="738">
        <v>1678333.66</v>
      </c>
      <c r="R117" s="738"/>
      <c r="S117" s="751">
        <v>1932468.72</v>
      </c>
      <c r="T117" s="739">
        <v>1500521</v>
      </c>
      <c r="U117" s="742">
        <v>1812400.14</v>
      </c>
      <c r="V117" s="741">
        <v>1500522</v>
      </c>
    </row>
    <row r="118" spans="1:22" ht="15" x14ac:dyDescent="0.2">
      <c r="A118" s="734">
        <v>1132</v>
      </c>
      <c r="B118" s="735" t="s">
        <v>8</v>
      </c>
      <c r="C118" s="736">
        <v>8619917.6500000004</v>
      </c>
      <c r="D118" s="736">
        <v>8914385.4800000004</v>
      </c>
      <c r="E118" s="749">
        <v>8914385.4800000004</v>
      </c>
      <c r="F118" s="736">
        <v>9238027.6699999999</v>
      </c>
      <c r="G118" s="736">
        <v>9250248.2999999989</v>
      </c>
      <c r="H118" s="736"/>
      <c r="I118" s="736"/>
      <c r="J118" s="736">
        <f t="shared" si="31"/>
        <v>9250248.2999999989</v>
      </c>
      <c r="K118" s="736">
        <v>46183.77</v>
      </c>
      <c r="L118" s="736"/>
      <c r="M118" s="736">
        <f t="shared" si="32"/>
        <v>9296432.0699999984</v>
      </c>
      <c r="N118" s="736"/>
      <c r="O118" s="736"/>
      <c r="P118" s="736">
        <f t="shared" si="33"/>
        <v>9296432.0699999984</v>
      </c>
      <c r="Q118" s="738">
        <v>9183642.1500000004</v>
      </c>
      <c r="R118" s="738"/>
      <c r="S118" s="751">
        <v>9538630.9199999999</v>
      </c>
      <c r="T118" s="739">
        <v>1500521</v>
      </c>
      <c r="U118" s="742">
        <v>9844577.1600000001</v>
      </c>
      <c r="V118" s="741">
        <v>1500722</v>
      </c>
    </row>
    <row r="119" spans="1:22" ht="15" x14ac:dyDescent="0.2">
      <c r="A119" s="734">
        <v>1212</v>
      </c>
      <c r="B119" s="735" t="s">
        <v>53</v>
      </c>
      <c r="C119" s="736">
        <v>268871.87</v>
      </c>
      <c r="D119" s="736">
        <v>528652.80000000005</v>
      </c>
      <c r="E119" s="749">
        <v>603111.06000000006</v>
      </c>
      <c r="F119" s="736">
        <v>626392.52</v>
      </c>
      <c r="G119" s="736">
        <v>679086</v>
      </c>
      <c r="H119" s="736"/>
      <c r="I119" s="736"/>
      <c r="J119" s="736">
        <f t="shared" si="31"/>
        <v>679086</v>
      </c>
      <c r="K119" s="736">
        <v>10279.799999999999</v>
      </c>
      <c r="L119" s="736"/>
      <c r="M119" s="736">
        <f t="shared" si="32"/>
        <v>689365.8</v>
      </c>
      <c r="N119" s="736"/>
      <c r="O119" s="736"/>
      <c r="P119" s="736">
        <f t="shared" si="33"/>
        <v>689365.8</v>
      </c>
      <c r="Q119" s="738">
        <v>689365.8</v>
      </c>
      <c r="R119" s="738"/>
      <c r="S119" s="751">
        <v>723592.8</v>
      </c>
      <c r="T119" s="739">
        <v>1500521</v>
      </c>
      <c r="U119" s="742">
        <v>791091.1</v>
      </c>
      <c r="V119" s="741">
        <v>1500722</v>
      </c>
    </row>
    <row r="120" spans="1:22" ht="15" x14ac:dyDescent="0.2">
      <c r="A120" s="734">
        <v>1321</v>
      </c>
      <c r="B120" s="735" t="s">
        <v>9</v>
      </c>
      <c r="C120" s="736">
        <v>426860.1</v>
      </c>
      <c r="D120" s="736">
        <v>438445.36</v>
      </c>
      <c r="E120" s="749">
        <v>438445.36</v>
      </c>
      <c r="F120" s="736">
        <v>434818.72</v>
      </c>
      <c r="G120" s="736">
        <v>458067.8</v>
      </c>
      <c r="H120" s="736"/>
      <c r="I120" s="736"/>
      <c r="J120" s="736">
        <f t="shared" si="31"/>
        <v>458067.8</v>
      </c>
      <c r="K120" s="736">
        <v>6598.58</v>
      </c>
      <c r="L120" s="736"/>
      <c r="M120" s="736">
        <f t="shared" si="32"/>
        <v>464666.38</v>
      </c>
      <c r="N120" s="736"/>
      <c r="O120" s="736"/>
      <c r="P120" s="736">
        <f t="shared" si="33"/>
        <v>464666.38</v>
      </c>
      <c r="Q120" s="738">
        <v>464666.38</v>
      </c>
      <c r="R120" s="738"/>
      <c r="S120" s="751">
        <v>492072.21</v>
      </c>
      <c r="T120" s="739">
        <v>1500521</v>
      </c>
      <c r="U120" s="742">
        <v>464666.38</v>
      </c>
      <c r="V120" s="741">
        <v>1500522</v>
      </c>
    </row>
    <row r="121" spans="1:22" ht="15" x14ac:dyDescent="0.2">
      <c r="A121" s="734">
        <v>1323</v>
      </c>
      <c r="B121" s="735" t="s">
        <v>11</v>
      </c>
      <c r="C121" s="736">
        <v>1699367.96</v>
      </c>
      <c r="D121" s="736">
        <v>1728789.2</v>
      </c>
      <c r="E121" s="749">
        <v>1744447.33</v>
      </c>
      <c r="F121" s="736">
        <v>1711811.91</v>
      </c>
      <c r="G121" s="736">
        <v>1772895.8</v>
      </c>
      <c r="H121" s="736"/>
      <c r="I121" s="736"/>
      <c r="J121" s="736">
        <f t="shared" si="31"/>
        <v>1772895.8</v>
      </c>
      <c r="K121" s="736">
        <v>15131.6</v>
      </c>
      <c r="L121" s="736"/>
      <c r="M121" s="736">
        <f t="shared" si="32"/>
        <v>1788027.4000000001</v>
      </c>
      <c r="N121" s="736"/>
      <c r="O121" s="736"/>
      <c r="P121" s="736">
        <f t="shared" si="33"/>
        <v>1788027.4000000001</v>
      </c>
      <c r="Q121" s="738">
        <v>1788027.4</v>
      </c>
      <c r="R121" s="738"/>
      <c r="S121" s="751">
        <v>1874734.2</v>
      </c>
      <c r="T121" s="739">
        <v>1500521</v>
      </c>
      <c r="U121" s="742">
        <v>1917969.9</v>
      </c>
      <c r="V121" s="741">
        <v>1500522</v>
      </c>
    </row>
    <row r="122" spans="1:22" ht="15" x14ac:dyDescent="0.2">
      <c r="A122" s="734">
        <v>1413</v>
      </c>
      <c r="B122" s="735" t="s">
        <v>13</v>
      </c>
      <c r="C122" s="736">
        <v>1235793.8400000001</v>
      </c>
      <c r="D122" s="736">
        <v>1651092.74</v>
      </c>
      <c r="E122" s="749">
        <v>1577936.58</v>
      </c>
      <c r="F122" s="736">
        <v>1549911.79</v>
      </c>
      <c r="G122" s="736">
        <v>2015307.2000000002</v>
      </c>
      <c r="H122" s="736"/>
      <c r="I122" s="736"/>
      <c r="J122" s="736">
        <f t="shared" si="31"/>
        <v>2015307.2000000002</v>
      </c>
      <c r="K122" s="736">
        <v>17654.060000000001</v>
      </c>
      <c r="L122" s="736"/>
      <c r="M122" s="736">
        <f t="shared" si="32"/>
        <v>2032961.2600000002</v>
      </c>
      <c r="N122" s="736"/>
      <c r="O122" s="736"/>
      <c r="P122" s="736">
        <f t="shared" si="33"/>
        <v>2032961.2600000002</v>
      </c>
      <c r="Q122" s="738">
        <v>2032961.26</v>
      </c>
      <c r="R122" s="738"/>
      <c r="S122" s="751">
        <v>2369767.44</v>
      </c>
      <c r="T122" s="739">
        <v>1500521</v>
      </c>
      <c r="U122" s="742">
        <v>2237186.7599999998</v>
      </c>
      <c r="V122" s="741">
        <v>1500522</v>
      </c>
    </row>
    <row r="123" spans="1:22" ht="15" x14ac:dyDescent="0.2">
      <c r="A123" s="734">
        <v>1421</v>
      </c>
      <c r="B123" s="735" t="s">
        <v>15</v>
      </c>
      <c r="C123" s="736">
        <v>449452.79999999999</v>
      </c>
      <c r="D123" s="736">
        <v>554900.04</v>
      </c>
      <c r="E123" s="749">
        <v>485479.89</v>
      </c>
      <c r="F123" s="736">
        <v>517981.63</v>
      </c>
      <c r="G123" s="736">
        <v>636657.29999999993</v>
      </c>
      <c r="H123" s="736"/>
      <c r="I123" s="736"/>
      <c r="J123" s="736">
        <f t="shared" si="31"/>
        <v>636657.29999999993</v>
      </c>
      <c r="K123" s="736">
        <v>3752.03</v>
      </c>
      <c r="L123" s="736"/>
      <c r="M123" s="736">
        <f t="shared" si="32"/>
        <v>640409.32999999996</v>
      </c>
      <c r="N123" s="736"/>
      <c r="O123" s="736"/>
      <c r="P123" s="736">
        <f t="shared" si="33"/>
        <v>640409.32999999996</v>
      </c>
      <c r="Q123" s="738">
        <v>640409.32999999996</v>
      </c>
      <c r="R123" s="738"/>
      <c r="S123" s="751">
        <v>706894.68</v>
      </c>
      <c r="T123" s="739">
        <v>1500521</v>
      </c>
      <c r="U123" s="742">
        <v>649585.17000000004</v>
      </c>
      <c r="V123" s="741">
        <v>1500522</v>
      </c>
    </row>
    <row r="124" spans="1:22" ht="15" x14ac:dyDescent="0.2">
      <c r="A124" s="734">
        <v>1431</v>
      </c>
      <c r="B124" s="735" t="s">
        <v>16</v>
      </c>
      <c r="C124" s="736">
        <v>477437.32</v>
      </c>
      <c r="D124" s="736">
        <v>571546.22</v>
      </c>
      <c r="E124" s="749">
        <v>509051.43</v>
      </c>
      <c r="F124" s="736">
        <v>547728.55000000005</v>
      </c>
      <c r="G124" s="736">
        <v>655756</v>
      </c>
      <c r="H124" s="736"/>
      <c r="I124" s="736"/>
      <c r="J124" s="736">
        <f t="shared" si="31"/>
        <v>655756</v>
      </c>
      <c r="K124" s="736">
        <v>3734.56</v>
      </c>
      <c r="L124" s="736"/>
      <c r="M124" s="736">
        <f t="shared" si="32"/>
        <v>659490.56000000006</v>
      </c>
      <c r="N124" s="736"/>
      <c r="O124" s="736"/>
      <c r="P124" s="736">
        <f t="shared" si="33"/>
        <v>659490.56000000006</v>
      </c>
      <c r="Q124" s="738">
        <v>659490.56000000006</v>
      </c>
      <c r="R124" s="738"/>
      <c r="S124" s="751">
        <v>728101.8</v>
      </c>
      <c r="T124" s="739">
        <v>1500521</v>
      </c>
      <c r="U124" s="742">
        <v>779889.05</v>
      </c>
      <c r="V124" s="741">
        <v>1500522</v>
      </c>
    </row>
    <row r="125" spans="1:22" ht="15" x14ac:dyDescent="0.2">
      <c r="A125" s="734">
        <v>1511</v>
      </c>
      <c r="B125" s="735" t="s">
        <v>18</v>
      </c>
      <c r="C125" s="736">
        <v>72192.13</v>
      </c>
      <c r="D125" s="736">
        <v>79675.960000000006</v>
      </c>
      <c r="E125" s="749">
        <v>75278.2</v>
      </c>
      <c r="F125" s="736">
        <v>77969.259999999995</v>
      </c>
      <c r="G125" s="736">
        <v>79264.700000000012</v>
      </c>
      <c r="H125" s="736"/>
      <c r="I125" s="736"/>
      <c r="J125" s="736">
        <f t="shared" si="31"/>
        <v>79264.700000000012</v>
      </c>
      <c r="K125" s="736">
        <v>2358.6999999999998</v>
      </c>
      <c r="L125" s="736"/>
      <c r="M125" s="736">
        <f t="shared" si="32"/>
        <v>81623.400000000009</v>
      </c>
      <c r="N125" s="736"/>
      <c r="O125" s="736"/>
      <c r="P125" s="736">
        <f t="shared" si="33"/>
        <v>81623.400000000009</v>
      </c>
      <c r="Q125" s="738">
        <v>81623.399999999994</v>
      </c>
      <c r="R125" s="738"/>
      <c r="S125" s="751">
        <v>89605.88</v>
      </c>
      <c r="T125" s="739">
        <v>1500521</v>
      </c>
      <c r="U125" s="742">
        <v>87291.44</v>
      </c>
      <c r="V125" s="741">
        <v>1500522</v>
      </c>
    </row>
    <row r="126" spans="1:22" ht="15" x14ac:dyDescent="0.2">
      <c r="A126" s="734">
        <v>1541</v>
      </c>
      <c r="B126" s="735" t="s">
        <v>19</v>
      </c>
      <c r="C126" s="736">
        <v>570073.67000000004</v>
      </c>
      <c r="D126" s="736">
        <v>609936.34</v>
      </c>
      <c r="E126" s="749">
        <v>606681.46</v>
      </c>
      <c r="F126" s="736">
        <v>625232.01</v>
      </c>
      <c r="G126" s="736">
        <v>789317.7</v>
      </c>
      <c r="H126" s="736"/>
      <c r="I126" s="736"/>
      <c r="J126" s="736">
        <f t="shared" si="31"/>
        <v>789317.7</v>
      </c>
      <c r="K126" s="736">
        <v>30042.77</v>
      </c>
      <c r="L126" s="736"/>
      <c r="M126" s="736">
        <f t="shared" si="32"/>
        <v>819360.47</v>
      </c>
      <c r="N126" s="736"/>
      <c r="O126" s="736"/>
      <c r="P126" s="736">
        <f t="shared" si="33"/>
        <v>819360.47</v>
      </c>
      <c r="Q126" s="738">
        <v>819360.47</v>
      </c>
      <c r="R126" s="738"/>
      <c r="S126" s="751">
        <v>787505.94</v>
      </c>
      <c r="T126" s="739">
        <v>1500521</v>
      </c>
      <c r="U126" s="742">
        <v>781617.72</v>
      </c>
      <c r="V126" s="741">
        <v>1500522</v>
      </c>
    </row>
    <row r="127" spans="1:22" ht="15" x14ac:dyDescent="0.2">
      <c r="A127" s="734">
        <v>1592</v>
      </c>
      <c r="B127" s="735" t="s">
        <v>20</v>
      </c>
      <c r="C127" s="736">
        <v>1701313.88</v>
      </c>
      <c r="D127" s="736">
        <v>1800999.2</v>
      </c>
      <c r="E127" s="749">
        <v>1762557.9</v>
      </c>
      <c r="F127" s="736">
        <v>1825548.6</v>
      </c>
      <c r="G127" s="736">
        <v>1837213.6</v>
      </c>
      <c r="H127" s="736"/>
      <c r="I127" s="736"/>
      <c r="J127" s="736">
        <f t="shared" si="31"/>
        <v>1837213.6</v>
      </c>
      <c r="K127" s="736">
        <v>20743.05</v>
      </c>
      <c r="L127" s="736"/>
      <c r="M127" s="736">
        <f t="shared" si="32"/>
        <v>1857956.6500000001</v>
      </c>
      <c r="N127" s="736"/>
      <c r="O127" s="736"/>
      <c r="P127" s="736">
        <f t="shared" si="33"/>
        <v>1857956.6500000001</v>
      </c>
      <c r="Q127" s="738">
        <v>1963966.63</v>
      </c>
      <c r="R127" s="738"/>
      <c r="S127" s="751">
        <v>1957475.52</v>
      </c>
      <c r="T127" s="739">
        <v>1500521</v>
      </c>
      <c r="U127" s="742">
        <v>1857382.01</v>
      </c>
      <c r="V127" s="741">
        <v>1500522</v>
      </c>
    </row>
    <row r="128" spans="1:22" ht="15" x14ac:dyDescent="0.2">
      <c r="A128" s="734">
        <v>4411</v>
      </c>
      <c r="B128" s="735" t="s">
        <v>34</v>
      </c>
      <c r="C128" s="736">
        <v>319500</v>
      </c>
      <c r="D128" s="736">
        <v>400000</v>
      </c>
      <c r="E128" s="749">
        <v>563500</v>
      </c>
      <c r="F128" s="736">
        <v>245900</v>
      </c>
      <c r="G128" s="752">
        <v>400000</v>
      </c>
      <c r="H128" s="752"/>
      <c r="I128" s="752"/>
      <c r="J128" s="736">
        <f t="shared" si="31"/>
        <v>400000</v>
      </c>
      <c r="K128" s="752"/>
      <c r="L128" s="752"/>
      <c r="M128" s="736">
        <f t="shared" si="32"/>
        <v>400000</v>
      </c>
      <c r="N128" s="736"/>
      <c r="O128" s="736">
        <v>37000</v>
      </c>
      <c r="P128" s="736">
        <f t="shared" si="33"/>
        <v>363000</v>
      </c>
      <c r="Q128" s="753">
        <v>363000</v>
      </c>
      <c r="R128" s="738"/>
      <c r="S128" s="753"/>
      <c r="T128" s="739">
        <v>1100121</v>
      </c>
      <c r="U128" s="740">
        <v>400000</v>
      </c>
      <c r="V128" s="741">
        <v>1100122</v>
      </c>
    </row>
    <row r="129" spans="1:22" ht="15" x14ac:dyDescent="0.2">
      <c r="A129" s="724" t="s">
        <v>56</v>
      </c>
      <c r="B129" s="725" t="s">
        <v>57</v>
      </c>
      <c r="C129" s="721">
        <f t="shared" ref="C129:S129" si="34">SUM(C130)</f>
        <v>1634935.58</v>
      </c>
      <c r="D129" s="721">
        <f t="shared" si="34"/>
        <v>2062552.1699999997</v>
      </c>
      <c r="E129" s="721">
        <f t="shared" si="34"/>
        <v>1719145.53</v>
      </c>
      <c r="F129" s="721">
        <f t="shared" si="34"/>
        <v>1546278.7899999996</v>
      </c>
      <c r="G129" s="721">
        <f t="shared" si="34"/>
        <v>1678750.1000000003</v>
      </c>
      <c r="H129" s="721">
        <f t="shared" si="34"/>
        <v>0</v>
      </c>
      <c r="I129" s="721">
        <f t="shared" si="34"/>
        <v>0</v>
      </c>
      <c r="J129" s="721">
        <f t="shared" si="34"/>
        <v>1678750.1000000003</v>
      </c>
      <c r="K129" s="721">
        <f t="shared" si="34"/>
        <v>45412.020000000004</v>
      </c>
      <c r="L129" s="721">
        <f t="shared" si="34"/>
        <v>23104.440000000002</v>
      </c>
      <c r="M129" s="721">
        <f t="shared" si="34"/>
        <v>1701057.6799999997</v>
      </c>
      <c r="N129" s="721">
        <f t="shared" si="34"/>
        <v>0</v>
      </c>
      <c r="O129" s="721">
        <f t="shared" si="34"/>
        <v>0</v>
      </c>
      <c r="P129" s="721">
        <f t="shared" si="34"/>
        <v>1701057.6799999997</v>
      </c>
      <c r="Q129" s="756">
        <f t="shared" si="34"/>
        <v>1708191.19</v>
      </c>
      <c r="R129" s="756">
        <f t="shared" si="34"/>
        <v>109213.19</v>
      </c>
      <c r="S129" s="756">
        <f t="shared" si="34"/>
        <v>2039833.3199999998</v>
      </c>
      <c r="T129" s="724"/>
      <c r="U129" s="726">
        <f t="shared" ref="U129" si="35">SUM(U130)</f>
        <v>1909652.2200000004</v>
      </c>
      <c r="V129" s="727"/>
    </row>
    <row r="130" spans="1:22" ht="15" x14ac:dyDescent="0.2">
      <c r="A130" s="728" t="s">
        <v>58</v>
      </c>
      <c r="B130" s="729" t="s">
        <v>1619</v>
      </c>
      <c r="C130" s="730">
        <f t="shared" ref="C130:P130" si="36">SUM(C131:C171)</f>
        <v>1634935.58</v>
      </c>
      <c r="D130" s="730">
        <f t="shared" si="36"/>
        <v>2062552.1699999997</v>
      </c>
      <c r="E130" s="730">
        <f t="shared" si="36"/>
        <v>1719145.53</v>
      </c>
      <c r="F130" s="730">
        <f t="shared" si="36"/>
        <v>1546278.7899999996</v>
      </c>
      <c r="G130" s="730">
        <f t="shared" si="36"/>
        <v>1678750.1000000003</v>
      </c>
      <c r="H130" s="730">
        <f t="shared" si="36"/>
        <v>0</v>
      </c>
      <c r="I130" s="730">
        <f t="shared" si="36"/>
        <v>0</v>
      </c>
      <c r="J130" s="730">
        <f t="shared" si="36"/>
        <v>1678750.1000000003</v>
      </c>
      <c r="K130" s="730">
        <f t="shared" si="36"/>
        <v>45412.020000000004</v>
      </c>
      <c r="L130" s="730">
        <f t="shared" si="36"/>
        <v>23104.440000000002</v>
      </c>
      <c r="M130" s="730">
        <f t="shared" si="36"/>
        <v>1701057.6799999997</v>
      </c>
      <c r="N130" s="730">
        <f t="shared" si="36"/>
        <v>0</v>
      </c>
      <c r="O130" s="730">
        <f t="shared" si="36"/>
        <v>0</v>
      </c>
      <c r="P130" s="730">
        <f t="shared" si="36"/>
        <v>1701057.6799999997</v>
      </c>
      <c r="Q130" s="748">
        <f>SUM(Q131:Q172)</f>
        <v>1708191.19</v>
      </c>
      <c r="R130" s="748">
        <f t="shared" ref="R130:S130" si="37">SUM(R131:R172)</f>
        <v>109213.19</v>
      </c>
      <c r="S130" s="748">
        <f t="shared" si="37"/>
        <v>2039833.3199999998</v>
      </c>
      <c r="T130" s="731"/>
      <c r="U130" s="732">
        <f>SUM(U131:U172)</f>
        <v>1909652.2200000004</v>
      </c>
      <c r="V130" s="733"/>
    </row>
    <row r="131" spans="1:22" ht="15" x14ac:dyDescent="0.2">
      <c r="A131" s="739">
        <v>1131</v>
      </c>
      <c r="B131" s="743" t="s">
        <v>6</v>
      </c>
      <c r="C131" s="736">
        <v>87131.02</v>
      </c>
      <c r="D131" s="736">
        <v>185836.56</v>
      </c>
      <c r="E131" s="749">
        <v>43013.05</v>
      </c>
      <c r="F131" s="736">
        <v>0</v>
      </c>
      <c r="G131" s="736"/>
      <c r="H131" s="736"/>
      <c r="I131" s="736"/>
      <c r="J131" s="736">
        <f t="shared" ref="J131:J168" si="38">G131+H131-I131</f>
        <v>0</v>
      </c>
      <c r="K131" s="736"/>
      <c r="L131" s="736"/>
      <c r="M131" s="736">
        <f t="shared" ref="M131:M168" si="39">J131+K131-L131</f>
        <v>0</v>
      </c>
      <c r="N131" s="736"/>
      <c r="O131" s="736"/>
      <c r="P131" s="738">
        <f t="shared" ref="P131:P168" si="40">M131+N131-O131</f>
        <v>0</v>
      </c>
      <c r="Q131" s="738"/>
      <c r="R131" s="738"/>
      <c r="S131" s="738"/>
      <c r="T131" s="739">
        <v>1500521</v>
      </c>
      <c r="U131" s="750"/>
      <c r="V131" s="739">
        <v>1500522</v>
      </c>
    </row>
    <row r="132" spans="1:22" ht="15" x14ac:dyDescent="0.25">
      <c r="A132" s="734">
        <v>1132</v>
      </c>
      <c r="B132" s="735" t="s">
        <v>8</v>
      </c>
      <c r="C132" s="736">
        <v>711653.77</v>
      </c>
      <c r="D132" s="736">
        <v>746163.6</v>
      </c>
      <c r="E132" s="749">
        <v>748243.6</v>
      </c>
      <c r="F132" s="736">
        <v>775426.28</v>
      </c>
      <c r="G132" s="757">
        <v>783874</v>
      </c>
      <c r="H132" s="736"/>
      <c r="I132" s="736"/>
      <c r="J132" s="736">
        <f t="shared" si="38"/>
        <v>783874</v>
      </c>
      <c r="K132" s="736">
        <v>30487.94</v>
      </c>
      <c r="L132" s="736"/>
      <c r="M132" s="736">
        <f t="shared" si="39"/>
        <v>814361.94</v>
      </c>
      <c r="N132" s="736"/>
      <c r="O132" s="736"/>
      <c r="P132" s="736">
        <f t="shared" si="40"/>
        <v>814361.94</v>
      </c>
      <c r="Q132" s="758">
        <v>806856.99</v>
      </c>
      <c r="R132" s="738"/>
      <c r="S132" s="758">
        <v>974023.96</v>
      </c>
      <c r="T132" s="739">
        <v>1500521</v>
      </c>
      <c r="U132" s="742">
        <v>916415.53</v>
      </c>
      <c r="V132" s="741">
        <v>1500522</v>
      </c>
    </row>
    <row r="133" spans="1:22" ht="15" x14ac:dyDescent="0.25">
      <c r="A133" s="734">
        <v>1321</v>
      </c>
      <c r="B133" s="735" t="s">
        <v>9</v>
      </c>
      <c r="C133" s="736">
        <v>42706.21</v>
      </c>
      <c r="D133" s="736">
        <v>47339.22</v>
      </c>
      <c r="E133" s="749">
        <v>40002.22</v>
      </c>
      <c r="F133" s="736">
        <v>40002.22</v>
      </c>
      <c r="G133" s="757">
        <v>43037.3</v>
      </c>
      <c r="H133" s="736"/>
      <c r="I133" s="736"/>
      <c r="J133" s="736">
        <f t="shared" si="38"/>
        <v>43037.3</v>
      </c>
      <c r="K133" s="736">
        <v>606.79</v>
      </c>
      <c r="L133" s="736"/>
      <c r="M133" s="736">
        <f t="shared" si="39"/>
        <v>43644.090000000004</v>
      </c>
      <c r="N133" s="736"/>
      <c r="O133" s="736"/>
      <c r="P133" s="736">
        <f t="shared" si="40"/>
        <v>43644.090000000004</v>
      </c>
      <c r="Q133" s="758">
        <v>43644.09</v>
      </c>
      <c r="R133" s="738"/>
      <c r="S133" s="758">
        <v>51457.599999999999</v>
      </c>
      <c r="T133" s="739">
        <v>1500521</v>
      </c>
      <c r="U133" s="742">
        <v>42920.91</v>
      </c>
      <c r="V133" s="741">
        <v>1500522</v>
      </c>
    </row>
    <row r="134" spans="1:22" ht="15" x14ac:dyDescent="0.25">
      <c r="A134" s="734">
        <v>1323</v>
      </c>
      <c r="B134" s="735" t="s">
        <v>11</v>
      </c>
      <c r="C134" s="736">
        <v>141731</v>
      </c>
      <c r="D134" s="736">
        <v>156781.5</v>
      </c>
      <c r="E134" s="749">
        <v>126315.76</v>
      </c>
      <c r="F134" s="736">
        <v>126792</v>
      </c>
      <c r="G134" s="757">
        <v>131234</v>
      </c>
      <c r="H134" s="736"/>
      <c r="I134" s="736"/>
      <c r="J134" s="736">
        <f t="shared" si="38"/>
        <v>131234</v>
      </c>
      <c r="K134" s="736">
        <v>2199.5700000000002</v>
      </c>
      <c r="L134" s="736"/>
      <c r="M134" s="736">
        <f t="shared" si="39"/>
        <v>133433.57</v>
      </c>
      <c r="N134" s="736"/>
      <c r="O134" s="736"/>
      <c r="P134" s="736">
        <f t="shared" si="40"/>
        <v>133433.57</v>
      </c>
      <c r="Q134" s="758">
        <v>133433.57</v>
      </c>
      <c r="R134" s="738"/>
      <c r="S134" s="758">
        <v>161643</v>
      </c>
      <c r="T134" s="739">
        <v>1500521</v>
      </c>
      <c r="U134" s="742">
        <v>132452.49</v>
      </c>
      <c r="V134" s="741">
        <v>1500522</v>
      </c>
    </row>
    <row r="135" spans="1:22" ht="15" x14ac:dyDescent="0.25">
      <c r="A135" s="734">
        <v>1413</v>
      </c>
      <c r="B135" s="735" t="s">
        <v>13</v>
      </c>
      <c r="C135" s="736">
        <v>146331.49</v>
      </c>
      <c r="D135" s="736">
        <v>187555.04</v>
      </c>
      <c r="E135" s="749">
        <v>145098.99</v>
      </c>
      <c r="F135" s="736">
        <v>143604.13</v>
      </c>
      <c r="G135" s="757">
        <v>176900.6</v>
      </c>
      <c r="H135" s="736"/>
      <c r="I135" s="736"/>
      <c r="J135" s="736">
        <f t="shared" si="38"/>
        <v>176900.6</v>
      </c>
      <c r="K135" s="736">
        <v>1240.9100000000001</v>
      </c>
      <c r="L135" s="736"/>
      <c r="M135" s="736">
        <f t="shared" si="39"/>
        <v>178141.51</v>
      </c>
      <c r="N135" s="736"/>
      <c r="O135" s="736"/>
      <c r="P135" s="736">
        <f t="shared" si="40"/>
        <v>178141.51</v>
      </c>
      <c r="Q135" s="758">
        <v>178141.51</v>
      </c>
      <c r="R135" s="738"/>
      <c r="S135" s="758">
        <v>239994.36</v>
      </c>
      <c r="T135" s="739">
        <v>1500521</v>
      </c>
      <c r="U135" s="742">
        <v>191150.33</v>
      </c>
      <c r="V135" s="741">
        <v>1500522</v>
      </c>
    </row>
    <row r="136" spans="1:22" ht="15" x14ac:dyDescent="0.25">
      <c r="A136" s="734">
        <v>1421</v>
      </c>
      <c r="B136" s="735" t="s">
        <v>15</v>
      </c>
      <c r="C136" s="736">
        <v>57704.63</v>
      </c>
      <c r="D136" s="736">
        <v>62976.480000000003</v>
      </c>
      <c r="E136" s="749">
        <v>44835.48</v>
      </c>
      <c r="F136" s="736">
        <v>48258.91</v>
      </c>
      <c r="G136" s="757">
        <v>56028.800000000003</v>
      </c>
      <c r="H136" s="736"/>
      <c r="I136" s="736"/>
      <c r="J136" s="736">
        <f t="shared" si="38"/>
        <v>56028.800000000003</v>
      </c>
      <c r="K136" s="736">
        <v>226.33</v>
      </c>
      <c r="L136" s="736"/>
      <c r="M136" s="736">
        <f t="shared" si="39"/>
        <v>56255.130000000005</v>
      </c>
      <c r="N136" s="736"/>
      <c r="O136" s="736"/>
      <c r="P136" s="736">
        <f t="shared" si="40"/>
        <v>56255.130000000005</v>
      </c>
      <c r="Q136" s="758">
        <v>56255.13</v>
      </c>
      <c r="R136" s="738"/>
      <c r="S136" s="758">
        <v>70904.399999999994</v>
      </c>
      <c r="T136" s="739">
        <v>1500521</v>
      </c>
      <c r="U136" s="742">
        <v>56149.75</v>
      </c>
      <c r="V136" s="741">
        <v>1500522</v>
      </c>
    </row>
    <row r="137" spans="1:22" ht="15" x14ac:dyDescent="0.25">
      <c r="A137" s="734">
        <v>1431</v>
      </c>
      <c r="B137" s="735" t="s">
        <v>16</v>
      </c>
      <c r="C137" s="736">
        <v>56229.69</v>
      </c>
      <c r="D137" s="736">
        <v>64865.72</v>
      </c>
      <c r="E137" s="749">
        <v>47037.72</v>
      </c>
      <c r="F137" s="736">
        <v>51047.63</v>
      </c>
      <c r="G137" s="757">
        <v>57709.599999999999</v>
      </c>
      <c r="H137" s="736"/>
      <c r="I137" s="736"/>
      <c r="J137" s="736">
        <f t="shared" si="38"/>
        <v>57709.599999999999</v>
      </c>
      <c r="K137" s="736">
        <v>221.68</v>
      </c>
      <c r="L137" s="736"/>
      <c r="M137" s="736">
        <f t="shared" si="39"/>
        <v>57931.28</v>
      </c>
      <c r="N137" s="736"/>
      <c r="O137" s="736"/>
      <c r="P137" s="736">
        <f t="shared" si="40"/>
        <v>57931.28</v>
      </c>
      <c r="Q137" s="758">
        <v>57931.28</v>
      </c>
      <c r="R137" s="738"/>
      <c r="S137" s="758">
        <v>73031.520000000004</v>
      </c>
      <c r="T137" s="739">
        <v>1500521</v>
      </c>
      <c r="U137" s="742">
        <v>66645.37</v>
      </c>
      <c r="V137" s="741">
        <v>1500522</v>
      </c>
    </row>
    <row r="138" spans="1:22" ht="15" x14ac:dyDescent="0.25">
      <c r="A138" s="734">
        <v>1511</v>
      </c>
      <c r="B138" s="735" t="s">
        <v>18</v>
      </c>
      <c r="C138" s="736">
        <v>18912.259999999998</v>
      </c>
      <c r="D138" s="736">
        <v>22826.44</v>
      </c>
      <c r="E138" s="749">
        <v>18204.439999999999</v>
      </c>
      <c r="F138" s="736">
        <v>18848.580000000002</v>
      </c>
      <c r="G138" s="757">
        <v>19110</v>
      </c>
      <c r="H138" s="736"/>
      <c r="I138" s="736"/>
      <c r="J138" s="736">
        <f t="shared" si="38"/>
        <v>19110</v>
      </c>
      <c r="K138" s="736">
        <v>320.56</v>
      </c>
      <c r="L138" s="736"/>
      <c r="M138" s="736">
        <f t="shared" si="39"/>
        <v>19430.560000000001</v>
      </c>
      <c r="N138" s="736"/>
      <c r="O138" s="736"/>
      <c r="P138" s="736">
        <f t="shared" si="40"/>
        <v>19430.560000000001</v>
      </c>
      <c r="Q138" s="758">
        <v>19430.560000000001</v>
      </c>
      <c r="R138" s="738"/>
      <c r="S138" s="758">
        <v>23536.240000000002</v>
      </c>
      <c r="T138" s="739">
        <v>1500521</v>
      </c>
      <c r="U138" s="742">
        <v>19667.77</v>
      </c>
      <c r="V138" s="741">
        <v>1500522</v>
      </c>
    </row>
    <row r="139" spans="1:22" ht="15" x14ac:dyDescent="0.25">
      <c r="A139" s="734">
        <v>1541</v>
      </c>
      <c r="B139" s="735" t="s">
        <v>19</v>
      </c>
      <c r="C139" s="736">
        <v>21855.919999999998</v>
      </c>
      <c r="D139" s="736">
        <v>5991.44</v>
      </c>
      <c r="E139" s="749">
        <v>2347.44</v>
      </c>
      <c r="F139" s="736">
        <v>2387.48</v>
      </c>
      <c r="G139" s="757">
        <v>2846.2</v>
      </c>
      <c r="H139" s="736"/>
      <c r="I139" s="736"/>
      <c r="J139" s="736">
        <f t="shared" si="38"/>
        <v>2846.2</v>
      </c>
      <c r="K139" s="736">
        <v>108.24</v>
      </c>
      <c r="L139" s="736"/>
      <c r="M139" s="736">
        <f t="shared" si="39"/>
        <v>2954.4399999999996</v>
      </c>
      <c r="N139" s="736"/>
      <c r="O139" s="736"/>
      <c r="P139" s="736">
        <f t="shared" si="40"/>
        <v>2954.4399999999996</v>
      </c>
      <c r="Q139" s="758">
        <v>2954.44</v>
      </c>
      <c r="R139" s="738"/>
      <c r="S139" s="758">
        <v>2305.16</v>
      </c>
      <c r="T139" s="739">
        <v>1500521</v>
      </c>
      <c r="U139" s="742">
        <v>2666.22</v>
      </c>
      <c r="V139" s="741">
        <v>1500522</v>
      </c>
    </row>
    <row r="140" spans="1:22" ht="15" x14ac:dyDescent="0.25">
      <c r="A140" s="734">
        <v>1592</v>
      </c>
      <c r="B140" s="735" t="s">
        <v>20</v>
      </c>
      <c r="C140" s="736">
        <v>171845.08</v>
      </c>
      <c r="D140" s="736">
        <v>209369.16</v>
      </c>
      <c r="E140" s="749">
        <v>163406.82999999999</v>
      </c>
      <c r="F140" s="736">
        <v>169191.7</v>
      </c>
      <c r="G140" s="757">
        <v>171509.6</v>
      </c>
      <c r="H140" s="736"/>
      <c r="I140" s="736"/>
      <c r="J140" s="736">
        <f t="shared" si="38"/>
        <v>171509.6</v>
      </c>
      <c r="K140" s="736"/>
      <c r="L140" s="736">
        <v>13104.44</v>
      </c>
      <c r="M140" s="736">
        <f t="shared" si="39"/>
        <v>158405.16</v>
      </c>
      <c r="N140" s="736"/>
      <c r="O140" s="736"/>
      <c r="P140" s="736">
        <f t="shared" si="40"/>
        <v>158405.16</v>
      </c>
      <c r="Q140" s="758">
        <v>171323.06</v>
      </c>
      <c r="R140" s="738"/>
      <c r="S140" s="758">
        <v>202737.08</v>
      </c>
      <c r="T140" s="739">
        <v>1500521</v>
      </c>
      <c r="U140" s="742">
        <v>161936.85</v>
      </c>
      <c r="V140" s="741">
        <v>1500522</v>
      </c>
    </row>
    <row r="141" spans="1:22" ht="15" x14ac:dyDescent="0.25">
      <c r="A141" s="734">
        <v>2111</v>
      </c>
      <c r="B141" s="735" t="s">
        <v>22</v>
      </c>
      <c r="C141" s="736">
        <v>24012</v>
      </c>
      <c r="D141" s="736">
        <v>25000</v>
      </c>
      <c r="E141" s="749">
        <v>17500</v>
      </c>
      <c r="F141" s="736">
        <v>16122.97</v>
      </c>
      <c r="G141" s="759">
        <v>17500</v>
      </c>
      <c r="H141" s="752"/>
      <c r="I141" s="752"/>
      <c r="J141" s="736">
        <f t="shared" si="38"/>
        <v>17500</v>
      </c>
      <c r="K141" s="752"/>
      <c r="L141" s="752"/>
      <c r="M141" s="736">
        <f t="shared" si="39"/>
        <v>17500</v>
      </c>
      <c r="N141" s="736"/>
      <c r="O141" s="736"/>
      <c r="P141" s="736">
        <f t="shared" si="40"/>
        <v>17500</v>
      </c>
      <c r="Q141" s="760">
        <v>14220.56</v>
      </c>
      <c r="R141" s="738">
        <v>12290.45</v>
      </c>
      <c r="S141" s="760">
        <v>17500</v>
      </c>
      <c r="T141" s="739">
        <v>1100121</v>
      </c>
      <c r="U141" s="742">
        <v>17500</v>
      </c>
      <c r="V141" s="741">
        <v>1100122</v>
      </c>
    </row>
    <row r="142" spans="1:22" ht="15" x14ac:dyDescent="0.2">
      <c r="A142" s="734">
        <v>2112</v>
      </c>
      <c r="B142" s="735" t="s">
        <v>39</v>
      </c>
      <c r="C142" s="736">
        <v>24200.61</v>
      </c>
      <c r="D142" s="736">
        <v>12000</v>
      </c>
      <c r="E142" s="749">
        <v>0</v>
      </c>
      <c r="F142" s="736">
        <v>0</v>
      </c>
      <c r="G142" s="736"/>
      <c r="H142" s="736"/>
      <c r="I142" s="736"/>
      <c r="J142" s="736">
        <f t="shared" si="38"/>
        <v>0</v>
      </c>
      <c r="K142" s="736">
        <v>10000</v>
      </c>
      <c r="L142" s="736"/>
      <c r="M142" s="736">
        <f t="shared" si="39"/>
        <v>10000</v>
      </c>
      <c r="N142" s="736"/>
      <c r="O142" s="736"/>
      <c r="P142" s="736">
        <f t="shared" si="40"/>
        <v>10000</v>
      </c>
      <c r="Q142" s="738">
        <v>10000</v>
      </c>
      <c r="R142" s="738">
        <v>9743.4</v>
      </c>
      <c r="S142" s="738">
        <v>10000</v>
      </c>
      <c r="T142" s="739">
        <v>1100121</v>
      </c>
      <c r="U142" s="742">
        <v>10000</v>
      </c>
      <c r="V142" s="741">
        <v>1100122</v>
      </c>
    </row>
    <row r="143" spans="1:22" ht="15" x14ac:dyDescent="0.25">
      <c r="A143" s="734">
        <v>2121</v>
      </c>
      <c r="B143" s="735" t="s">
        <v>24</v>
      </c>
      <c r="C143" s="736">
        <v>6830</v>
      </c>
      <c r="D143" s="736">
        <v>3000</v>
      </c>
      <c r="E143" s="749">
        <v>2100</v>
      </c>
      <c r="F143" s="736">
        <v>1932</v>
      </c>
      <c r="G143" s="759">
        <v>2100</v>
      </c>
      <c r="H143" s="752"/>
      <c r="I143" s="752"/>
      <c r="J143" s="736">
        <f t="shared" si="38"/>
        <v>2100</v>
      </c>
      <c r="K143" s="752"/>
      <c r="L143" s="752"/>
      <c r="M143" s="736">
        <f t="shared" si="39"/>
        <v>2100</v>
      </c>
      <c r="N143" s="736"/>
      <c r="O143" s="736"/>
      <c r="P143" s="736">
        <f t="shared" si="40"/>
        <v>2100</v>
      </c>
      <c r="Q143" s="760">
        <v>2100</v>
      </c>
      <c r="R143" s="738">
        <v>1995</v>
      </c>
      <c r="S143" s="760"/>
      <c r="T143" s="739">
        <v>1100121</v>
      </c>
      <c r="U143" s="740">
        <v>2000</v>
      </c>
      <c r="V143" s="741">
        <v>1100122</v>
      </c>
    </row>
    <row r="144" spans="1:22" ht="15" x14ac:dyDescent="0.25">
      <c r="A144" s="734">
        <v>2161</v>
      </c>
      <c r="B144" s="735" t="s">
        <v>59</v>
      </c>
      <c r="C144" s="736">
        <v>1980.79</v>
      </c>
      <c r="D144" s="736">
        <v>6000</v>
      </c>
      <c r="E144" s="749">
        <v>6000</v>
      </c>
      <c r="F144" s="736">
        <v>5986.97</v>
      </c>
      <c r="G144" s="759">
        <v>7000</v>
      </c>
      <c r="H144" s="752"/>
      <c r="I144" s="752"/>
      <c r="J144" s="736">
        <f t="shared" si="38"/>
        <v>7000</v>
      </c>
      <c r="K144" s="752"/>
      <c r="L144" s="752"/>
      <c r="M144" s="736">
        <f t="shared" si="39"/>
        <v>7000</v>
      </c>
      <c r="N144" s="736"/>
      <c r="O144" s="736"/>
      <c r="P144" s="736">
        <f t="shared" si="40"/>
        <v>7000</v>
      </c>
      <c r="Q144" s="760">
        <v>7000</v>
      </c>
      <c r="R144" s="738">
        <v>4757.6400000000003</v>
      </c>
      <c r="S144" s="760">
        <v>8000</v>
      </c>
      <c r="T144" s="739">
        <v>1100121</v>
      </c>
      <c r="U144" s="742">
        <v>8000</v>
      </c>
      <c r="V144" s="741">
        <v>1100122</v>
      </c>
    </row>
    <row r="145" spans="1:22" ht="15" x14ac:dyDescent="0.25">
      <c r="A145" s="734">
        <v>2212</v>
      </c>
      <c r="B145" s="735" t="s">
        <v>40</v>
      </c>
      <c r="C145" s="736">
        <v>730.5</v>
      </c>
      <c r="D145" s="736">
        <v>2500</v>
      </c>
      <c r="E145" s="749">
        <v>2500</v>
      </c>
      <c r="F145" s="736">
        <v>954</v>
      </c>
      <c r="G145" s="759">
        <v>2500</v>
      </c>
      <c r="H145" s="752"/>
      <c r="I145" s="752"/>
      <c r="J145" s="736">
        <f t="shared" si="38"/>
        <v>2500</v>
      </c>
      <c r="K145" s="752"/>
      <c r="L145" s="752"/>
      <c r="M145" s="736">
        <f t="shared" si="39"/>
        <v>2500</v>
      </c>
      <c r="N145" s="736"/>
      <c r="O145" s="736"/>
      <c r="P145" s="736">
        <f t="shared" si="40"/>
        <v>2500</v>
      </c>
      <c r="Q145" s="760">
        <v>2500</v>
      </c>
      <c r="R145" s="738">
        <v>847.99</v>
      </c>
      <c r="S145" s="760">
        <v>2500</v>
      </c>
      <c r="T145" s="739">
        <v>1100121</v>
      </c>
      <c r="U145" s="742">
        <v>2500</v>
      </c>
      <c r="V145" s="741">
        <v>1100122</v>
      </c>
    </row>
    <row r="146" spans="1:22" ht="15" x14ac:dyDescent="0.25">
      <c r="A146" s="734">
        <v>2491</v>
      </c>
      <c r="B146" s="735" t="s">
        <v>41</v>
      </c>
      <c r="C146" s="736">
        <v>9412.67</v>
      </c>
      <c r="D146" s="736">
        <v>10000</v>
      </c>
      <c r="E146" s="749">
        <v>35000</v>
      </c>
      <c r="F146" s="736">
        <v>30173.77</v>
      </c>
      <c r="G146" s="759">
        <v>10000</v>
      </c>
      <c r="H146" s="752"/>
      <c r="I146" s="752"/>
      <c r="J146" s="736">
        <f t="shared" si="38"/>
        <v>10000</v>
      </c>
      <c r="K146" s="752"/>
      <c r="L146" s="752"/>
      <c r="M146" s="736">
        <f t="shared" si="39"/>
        <v>10000</v>
      </c>
      <c r="N146" s="736"/>
      <c r="O146" s="736"/>
      <c r="P146" s="736">
        <f t="shared" si="40"/>
        <v>10000</v>
      </c>
      <c r="Q146" s="760">
        <v>10000</v>
      </c>
      <c r="R146" s="738">
        <v>3161.5</v>
      </c>
      <c r="S146" s="760">
        <v>10000</v>
      </c>
      <c r="T146" s="739">
        <v>1100121</v>
      </c>
      <c r="U146" s="742">
        <v>10000</v>
      </c>
      <c r="V146" s="741">
        <v>1100122</v>
      </c>
    </row>
    <row r="147" spans="1:22" ht="30" x14ac:dyDescent="0.25">
      <c r="A147" s="734">
        <v>2612</v>
      </c>
      <c r="B147" s="735" t="s">
        <v>26</v>
      </c>
      <c r="C147" s="736">
        <v>38054.339999999997</v>
      </c>
      <c r="D147" s="736">
        <v>72000</v>
      </c>
      <c r="E147" s="749">
        <v>72000</v>
      </c>
      <c r="F147" s="736">
        <v>25960.76</v>
      </c>
      <c r="G147" s="757">
        <v>35000</v>
      </c>
      <c r="H147" s="749"/>
      <c r="I147" s="749"/>
      <c r="J147" s="736">
        <f t="shared" si="38"/>
        <v>35000</v>
      </c>
      <c r="K147" s="736"/>
      <c r="L147" s="749"/>
      <c r="M147" s="736">
        <f t="shared" si="39"/>
        <v>35000</v>
      </c>
      <c r="N147" s="736"/>
      <c r="O147" s="736"/>
      <c r="P147" s="736">
        <f t="shared" si="40"/>
        <v>35000</v>
      </c>
      <c r="Q147" s="761">
        <v>35000</v>
      </c>
      <c r="R147" s="738">
        <v>25724.7</v>
      </c>
      <c r="S147" s="738">
        <f>Q147</f>
        <v>35000</v>
      </c>
      <c r="T147" s="739">
        <v>1100121</v>
      </c>
      <c r="U147" s="746">
        <v>38000</v>
      </c>
      <c r="V147" s="741">
        <v>1100122</v>
      </c>
    </row>
    <row r="148" spans="1:22" ht="15" x14ac:dyDescent="0.2">
      <c r="A148" s="739">
        <v>2711</v>
      </c>
      <c r="B148" s="743" t="s">
        <v>27</v>
      </c>
      <c r="C148" s="736">
        <v>11000</v>
      </c>
      <c r="D148" s="736"/>
      <c r="E148" s="749"/>
      <c r="F148" s="736"/>
      <c r="G148" s="736"/>
      <c r="H148" s="736"/>
      <c r="I148" s="736"/>
      <c r="J148" s="736">
        <f t="shared" si="38"/>
        <v>0</v>
      </c>
      <c r="K148" s="736"/>
      <c r="L148" s="736"/>
      <c r="M148" s="736">
        <f t="shared" si="39"/>
        <v>0</v>
      </c>
      <c r="N148" s="736"/>
      <c r="O148" s="736"/>
      <c r="P148" s="738">
        <f t="shared" si="40"/>
        <v>0</v>
      </c>
      <c r="Q148" s="738"/>
      <c r="R148" s="738"/>
      <c r="S148" s="738"/>
      <c r="T148" s="739"/>
      <c r="U148" s="745"/>
      <c r="V148" s="739"/>
    </row>
    <row r="149" spans="1:22" ht="15" x14ac:dyDescent="0.2">
      <c r="A149" s="739">
        <v>2911</v>
      </c>
      <c r="B149" s="743" t="s">
        <v>60</v>
      </c>
      <c r="C149" s="736"/>
      <c r="D149" s="736">
        <v>5000</v>
      </c>
      <c r="E149" s="749">
        <v>5000</v>
      </c>
      <c r="F149" s="736">
        <v>3210.9</v>
      </c>
      <c r="G149" s="736"/>
      <c r="H149" s="736"/>
      <c r="I149" s="736"/>
      <c r="J149" s="736">
        <f t="shared" si="38"/>
        <v>0</v>
      </c>
      <c r="K149" s="736"/>
      <c r="L149" s="736"/>
      <c r="M149" s="736">
        <f t="shared" si="39"/>
        <v>0</v>
      </c>
      <c r="N149" s="736"/>
      <c r="O149" s="736"/>
      <c r="P149" s="738">
        <f t="shared" si="40"/>
        <v>0</v>
      </c>
      <c r="Q149" s="738"/>
      <c r="R149" s="738"/>
      <c r="S149" s="738"/>
      <c r="T149" s="739">
        <v>1100121</v>
      </c>
      <c r="U149" s="745"/>
      <c r="V149" s="739">
        <v>1100122</v>
      </c>
    </row>
    <row r="150" spans="1:22" ht="15" x14ac:dyDescent="0.25">
      <c r="A150" s="734">
        <v>2941</v>
      </c>
      <c r="B150" s="762" t="s">
        <v>1674</v>
      </c>
      <c r="C150" s="736"/>
      <c r="D150" s="736"/>
      <c r="E150" s="749"/>
      <c r="F150" s="736"/>
      <c r="G150" s="759">
        <v>3000</v>
      </c>
      <c r="H150" s="752"/>
      <c r="I150" s="752"/>
      <c r="J150" s="736">
        <f t="shared" si="38"/>
        <v>3000</v>
      </c>
      <c r="K150" s="752"/>
      <c r="L150" s="752"/>
      <c r="M150" s="736">
        <f t="shared" si="39"/>
        <v>3000</v>
      </c>
      <c r="N150" s="736"/>
      <c r="O150" s="736"/>
      <c r="P150" s="736">
        <f t="shared" si="40"/>
        <v>3000</v>
      </c>
      <c r="Q150" s="738">
        <v>3000</v>
      </c>
      <c r="R150" s="738">
        <v>2870</v>
      </c>
      <c r="S150" s="760"/>
      <c r="T150" s="739">
        <v>1100121</v>
      </c>
      <c r="U150" s="740">
        <v>3000</v>
      </c>
      <c r="V150" s="741">
        <v>1100122</v>
      </c>
    </row>
    <row r="151" spans="1:22" ht="15" x14ac:dyDescent="0.2">
      <c r="A151" s="739">
        <v>3111</v>
      </c>
      <c r="B151" s="743" t="s">
        <v>47</v>
      </c>
      <c r="C151" s="736">
        <v>446.5</v>
      </c>
      <c r="D151" s="736">
        <v>11000</v>
      </c>
      <c r="E151" s="749">
        <v>0</v>
      </c>
      <c r="F151" s="736">
        <v>0</v>
      </c>
      <c r="G151" s="736"/>
      <c r="H151" s="736"/>
      <c r="I151" s="736"/>
      <c r="J151" s="736">
        <f t="shared" si="38"/>
        <v>0</v>
      </c>
      <c r="K151" s="736"/>
      <c r="L151" s="736"/>
      <c r="M151" s="736">
        <f t="shared" si="39"/>
        <v>0</v>
      </c>
      <c r="N151" s="736"/>
      <c r="O151" s="736"/>
      <c r="P151" s="738">
        <f t="shared" si="40"/>
        <v>0</v>
      </c>
      <c r="Q151" s="738"/>
      <c r="R151" s="738"/>
      <c r="S151" s="738"/>
      <c r="T151" s="739">
        <v>1100121</v>
      </c>
      <c r="U151" s="744"/>
      <c r="V151" s="739">
        <v>1100122</v>
      </c>
    </row>
    <row r="152" spans="1:22" ht="15" x14ac:dyDescent="0.2">
      <c r="A152" s="739">
        <v>3131</v>
      </c>
      <c r="B152" s="743" t="s">
        <v>61</v>
      </c>
      <c r="C152" s="736">
        <v>233.5</v>
      </c>
      <c r="D152" s="736">
        <v>4000</v>
      </c>
      <c r="E152" s="749">
        <v>0</v>
      </c>
      <c r="F152" s="736">
        <v>0</v>
      </c>
      <c r="G152" s="736"/>
      <c r="H152" s="736"/>
      <c r="I152" s="736"/>
      <c r="J152" s="736">
        <f t="shared" si="38"/>
        <v>0</v>
      </c>
      <c r="K152" s="736"/>
      <c r="L152" s="736"/>
      <c r="M152" s="736">
        <f t="shared" si="39"/>
        <v>0</v>
      </c>
      <c r="N152" s="736"/>
      <c r="O152" s="736"/>
      <c r="P152" s="738">
        <f t="shared" si="40"/>
        <v>0</v>
      </c>
      <c r="Q152" s="738"/>
      <c r="R152" s="738"/>
      <c r="S152" s="738"/>
      <c r="T152" s="739">
        <v>1100121</v>
      </c>
      <c r="U152" s="744"/>
      <c r="V152" s="739">
        <v>1100122</v>
      </c>
    </row>
    <row r="153" spans="1:22" ht="15" x14ac:dyDescent="0.25">
      <c r="A153" s="734">
        <v>3141</v>
      </c>
      <c r="B153" s="735" t="s">
        <v>48</v>
      </c>
      <c r="C153" s="736">
        <v>9793.67</v>
      </c>
      <c r="D153" s="736">
        <v>14500</v>
      </c>
      <c r="E153" s="749">
        <v>14500</v>
      </c>
      <c r="F153" s="736">
        <v>8378.91</v>
      </c>
      <c r="G153" s="759">
        <v>15000</v>
      </c>
      <c r="H153" s="752"/>
      <c r="I153" s="752"/>
      <c r="J153" s="736">
        <f t="shared" si="38"/>
        <v>15000</v>
      </c>
      <c r="K153" s="752"/>
      <c r="L153" s="752"/>
      <c r="M153" s="736">
        <f t="shared" si="39"/>
        <v>15000</v>
      </c>
      <c r="N153" s="736"/>
      <c r="O153" s="736"/>
      <c r="P153" s="736">
        <f t="shared" si="40"/>
        <v>15000</v>
      </c>
      <c r="Q153" s="760">
        <v>15000</v>
      </c>
      <c r="R153" s="738">
        <v>6387.87</v>
      </c>
      <c r="S153" s="760"/>
      <c r="T153" s="739">
        <v>1100121</v>
      </c>
      <c r="U153" s="746">
        <v>70300</v>
      </c>
      <c r="V153" s="741">
        <v>1100122</v>
      </c>
    </row>
    <row r="154" spans="1:22" ht="15" x14ac:dyDescent="0.25">
      <c r="A154" s="734">
        <v>3151</v>
      </c>
      <c r="B154" s="735" t="s">
        <v>28</v>
      </c>
      <c r="C154" s="736">
        <v>807.01</v>
      </c>
      <c r="D154" s="736">
        <v>807.01</v>
      </c>
      <c r="E154" s="749">
        <v>0</v>
      </c>
      <c r="F154" s="736">
        <v>0</v>
      </c>
      <c r="G154" s="759">
        <v>4200</v>
      </c>
      <c r="H154" s="752"/>
      <c r="I154" s="752"/>
      <c r="J154" s="736">
        <f t="shared" si="38"/>
        <v>4200</v>
      </c>
      <c r="K154" s="752"/>
      <c r="L154" s="752"/>
      <c r="M154" s="736">
        <f t="shared" si="39"/>
        <v>4200</v>
      </c>
      <c r="N154" s="736"/>
      <c r="O154" s="736"/>
      <c r="P154" s="736">
        <f t="shared" si="40"/>
        <v>4200</v>
      </c>
      <c r="Q154" s="760">
        <v>4200</v>
      </c>
      <c r="R154" s="738">
        <v>2202.96</v>
      </c>
      <c r="S154" s="760"/>
      <c r="T154" s="739">
        <v>1100121</v>
      </c>
      <c r="U154" s="746">
        <v>4000</v>
      </c>
      <c r="V154" s="741">
        <v>1100122</v>
      </c>
    </row>
    <row r="155" spans="1:22" ht="15" x14ac:dyDescent="0.25">
      <c r="A155" s="734">
        <v>3181</v>
      </c>
      <c r="B155" s="735" t="s">
        <v>62</v>
      </c>
      <c r="C155" s="736"/>
      <c r="D155" s="736">
        <v>2000</v>
      </c>
      <c r="E155" s="749">
        <v>2000</v>
      </c>
      <c r="F155" s="736">
        <v>104</v>
      </c>
      <c r="G155" s="759">
        <v>2000</v>
      </c>
      <c r="H155" s="752"/>
      <c r="I155" s="752"/>
      <c r="J155" s="736">
        <f t="shared" si="38"/>
        <v>2000</v>
      </c>
      <c r="K155" s="752"/>
      <c r="L155" s="752"/>
      <c r="M155" s="736">
        <f t="shared" si="39"/>
        <v>2000</v>
      </c>
      <c r="N155" s="736"/>
      <c r="O155" s="736"/>
      <c r="P155" s="736">
        <f t="shared" si="40"/>
        <v>2000</v>
      </c>
      <c r="Q155" s="760">
        <v>2000</v>
      </c>
      <c r="R155" s="738"/>
      <c r="S155" s="760">
        <v>2000</v>
      </c>
      <c r="T155" s="739">
        <v>1100121</v>
      </c>
      <c r="U155" s="742">
        <v>2000</v>
      </c>
      <c r="V155" s="741">
        <v>1100122</v>
      </c>
    </row>
    <row r="156" spans="1:22" ht="15" x14ac:dyDescent="0.25">
      <c r="A156" s="739">
        <v>3331</v>
      </c>
      <c r="B156" s="743" t="s">
        <v>171</v>
      </c>
      <c r="C156" s="736"/>
      <c r="D156" s="736"/>
      <c r="E156" s="749"/>
      <c r="F156" s="736"/>
      <c r="G156" s="759">
        <v>58000</v>
      </c>
      <c r="H156" s="752"/>
      <c r="I156" s="752"/>
      <c r="J156" s="736">
        <f t="shared" si="38"/>
        <v>58000</v>
      </c>
      <c r="K156" s="752"/>
      <c r="L156" s="752"/>
      <c r="M156" s="736">
        <f t="shared" si="39"/>
        <v>58000</v>
      </c>
      <c r="N156" s="736"/>
      <c r="O156" s="736"/>
      <c r="P156" s="736">
        <f t="shared" si="40"/>
        <v>58000</v>
      </c>
      <c r="Q156" s="760">
        <v>55000</v>
      </c>
      <c r="R156" s="738"/>
      <c r="S156" s="760"/>
      <c r="T156" s="739">
        <v>1100121</v>
      </c>
      <c r="U156" s="745"/>
      <c r="V156" s="739">
        <v>1100122</v>
      </c>
    </row>
    <row r="157" spans="1:22" ht="15" x14ac:dyDescent="0.2">
      <c r="A157" s="734">
        <v>3332</v>
      </c>
      <c r="B157" s="735" t="s">
        <v>63</v>
      </c>
      <c r="C157" s="736"/>
      <c r="D157" s="736">
        <v>70000</v>
      </c>
      <c r="E157" s="749">
        <v>54920</v>
      </c>
      <c r="F157" s="736">
        <v>4941.6000000000004</v>
      </c>
      <c r="G157" s="736"/>
      <c r="H157" s="736"/>
      <c r="I157" s="736"/>
      <c r="J157" s="736">
        <f t="shared" si="38"/>
        <v>0</v>
      </c>
      <c r="K157" s="736"/>
      <c r="L157" s="736"/>
      <c r="M157" s="736">
        <f t="shared" si="39"/>
        <v>0</v>
      </c>
      <c r="N157" s="736"/>
      <c r="O157" s="736"/>
      <c r="P157" s="738">
        <f t="shared" si="40"/>
        <v>0</v>
      </c>
      <c r="Q157" s="738">
        <v>3000</v>
      </c>
      <c r="R157" s="738"/>
      <c r="S157" s="738">
        <v>20000</v>
      </c>
      <c r="T157" s="739">
        <v>1100121</v>
      </c>
      <c r="U157" s="742">
        <v>20000</v>
      </c>
      <c r="V157" s="741">
        <v>1100122</v>
      </c>
    </row>
    <row r="158" spans="1:22" ht="30" x14ac:dyDescent="0.2">
      <c r="A158" s="734">
        <v>3361</v>
      </c>
      <c r="B158" s="735" t="s">
        <v>29</v>
      </c>
      <c r="C158" s="736">
        <v>4071.6</v>
      </c>
      <c r="D158" s="736">
        <v>15000</v>
      </c>
      <c r="E158" s="749">
        <v>15000</v>
      </c>
      <c r="F158" s="736">
        <v>13750</v>
      </c>
      <c r="G158" s="736"/>
      <c r="H158" s="736"/>
      <c r="I158" s="736"/>
      <c r="J158" s="736">
        <f t="shared" si="38"/>
        <v>0</v>
      </c>
      <c r="K158" s="736"/>
      <c r="L158" s="736"/>
      <c r="M158" s="736">
        <f t="shared" si="39"/>
        <v>0</v>
      </c>
      <c r="N158" s="736"/>
      <c r="O158" s="736"/>
      <c r="P158" s="738">
        <f t="shared" si="40"/>
        <v>0</v>
      </c>
      <c r="Q158" s="738"/>
      <c r="R158" s="738"/>
      <c r="S158" s="738">
        <v>15000</v>
      </c>
      <c r="T158" s="739">
        <v>1100121</v>
      </c>
      <c r="U158" s="742">
        <v>15000</v>
      </c>
      <c r="V158" s="741">
        <v>1100122</v>
      </c>
    </row>
    <row r="159" spans="1:22" ht="15" x14ac:dyDescent="0.2">
      <c r="A159" s="763">
        <v>3381</v>
      </c>
      <c r="B159" s="764" t="s">
        <v>64</v>
      </c>
      <c r="C159" s="765"/>
      <c r="D159" s="765">
        <v>16000</v>
      </c>
      <c r="E159" s="766">
        <v>17450</v>
      </c>
      <c r="F159" s="765">
        <v>17450</v>
      </c>
      <c r="G159" s="765">
        <v>4000</v>
      </c>
      <c r="H159" s="767"/>
      <c r="I159" s="767"/>
      <c r="J159" s="765">
        <f t="shared" si="38"/>
        <v>4000</v>
      </c>
      <c r="K159" s="767"/>
      <c r="L159" s="767"/>
      <c r="M159" s="765">
        <f t="shared" si="39"/>
        <v>4000</v>
      </c>
      <c r="N159" s="765"/>
      <c r="O159" s="765"/>
      <c r="P159" s="765">
        <f t="shared" si="40"/>
        <v>4000</v>
      </c>
      <c r="Q159" s="768">
        <v>4000</v>
      </c>
      <c r="R159" s="768">
        <v>3572.8</v>
      </c>
      <c r="S159" s="768">
        <v>4000</v>
      </c>
      <c r="T159" s="769">
        <v>1100121</v>
      </c>
      <c r="U159" s="742">
        <v>4000</v>
      </c>
      <c r="V159" s="770">
        <v>1100122</v>
      </c>
    </row>
    <row r="160" spans="1:22" ht="15" x14ac:dyDescent="0.25">
      <c r="A160" s="734">
        <v>3511</v>
      </c>
      <c r="B160" s="735" t="s">
        <v>49</v>
      </c>
      <c r="C160" s="736">
        <v>8864.1299999999992</v>
      </c>
      <c r="D160" s="736">
        <v>40000</v>
      </c>
      <c r="E160" s="749">
        <v>11550</v>
      </c>
      <c r="F160" s="736">
        <v>3174.01</v>
      </c>
      <c r="G160" s="759">
        <v>5000</v>
      </c>
      <c r="H160" s="752"/>
      <c r="I160" s="752"/>
      <c r="J160" s="736">
        <f t="shared" si="38"/>
        <v>5000</v>
      </c>
      <c r="K160" s="752"/>
      <c r="L160" s="752"/>
      <c r="M160" s="736">
        <f t="shared" si="39"/>
        <v>5000</v>
      </c>
      <c r="N160" s="736"/>
      <c r="O160" s="736"/>
      <c r="P160" s="736">
        <f t="shared" si="40"/>
        <v>5000</v>
      </c>
      <c r="Q160" s="738">
        <v>5000</v>
      </c>
      <c r="R160" s="738">
        <v>5000</v>
      </c>
      <c r="S160" s="738">
        <v>30000</v>
      </c>
      <c r="T160" s="739">
        <v>1100121</v>
      </c>
      <c r="U160" s="746">
        <v>30000</v>
      </c>
      <c r="V160" s="741">
        <v>1100122</v>
      </c>
    </row>
    <row r="161" spans="1:22" ht="15" x14ac:dyDescent="0.25">
      <c r="A161" s="734">
        <v>3551</v>
      </c>
      <c r="B161" s="735" t="s">
        <v>30</v>
      </c>
      <c r="C161" s="736">
        <v>7656</v>
      </c>
      <c r="D161" s="736">
        <v>18000</v>
      </c>
      <c r="E161" s="749">
        <v>25000</v>
      </c>
      <c r="F161" s="736">
        <v>16294.2</v>
      </c>
      <c r="G161" s="759">
        <v>30000</v>
      </c>
      <c r="H161" s="752"/>
      <c r="I161" s="752"/>
      <c r="J161" s="736">
        <f t="shared" si="38"/>
        <v>30000</v>
      </c>
      <c r="K161" s="752"/>
      <c r="L161" s="752"/>
      <c r="M161" s="736">
        <f t="shared" si="39"/>
        <v>30000</v>
      </c>
      <c r="N161" s="736"/>
      <c r="O161" s="736"/>
      <c r="P161" s="736">
        <f t="shared" si="40"/>
        <v>30000</v>
      </c>
      <c r="Q161" s="738">
        <v>35000</v>
      </c>
      <c r="R161" s="738">
        <v>24456.74</v>
      </c>
      <c r="S161" s="738">
        <f>Q161</f>
        <v>35000</v>
      </c>
      <c r="T161" s="739">
        <v>1100121</v>
      </c>
      <c r="U161" s="746">
        <v>35000</v>
      </c>
      <c r="V161" s="741">
        <v>1100122</v>
      </c>
    </row>
    <row r="162" spans="1:22" ht="15" x14ac:dyDescent="0.25">
      <c r="A162" s="734">
        <v>3571</v>
      </c>
      <c r="B162" s="735" t="s">
        <v>65</v>
      </c>
      <c r="C162" s="736"/>
      <c r="D162" s="736">
        <v>0</v>
      </c>
      <c r="E162" s="749">
        <v>2000</v>
      </c>
      <c r="F162" s="736">
        <v>0</v>
      </c>
      <c r="G162" s="759">
        <v>3000</v>
      </c>
      <c r="H162" s="752"/>
      <c r="I162" s="752"/>
      <c r="J162" s="736">
        <f t="shared" si="38"/>
        <v>3000</v>
      </c>
      <c r="K162" s="752"/>
      <c r="L162" s="752"/>
      <c r="M162" s="736">
        <f t="shared" si="39"/>
        <v>3000</v>
      </c>
      <c r="N162" s="736"/>
      <c r="O162" s="736"/>
      <c r="P162" s="736">
        <f t="shared" si="40"/>
        <v>3000</v>
      </c>
      <c r="Q162" s="738">
        <v>3000</v>
      </c>
      <c r="R162" s="738"/>
      <c r="S162" s="738">
        <v>3000</v>
      </c>
      <c r="T162" s="739">
        <v>1100121</v>
      </c>
      <c r="U162" s="742">
        <v>3000</v>
      </c>
      <c r="V162" s="741">
        <v>1100122</v>
      </c>
    </row>
    <row r="163" spans="1:22" ht="15" x14ac:dyDescent="0.2">
      <c r="A163" s="739">
        <v>3611</v>
      </c>
      <c r="B163" s="743" t="s">
        <v>66</v>
      </c>
      <c r="C163" s="736">
        <v>2871</v>
      </c>
      <c r="D163" s="736">
        <v>5000</v>
      </c>
      <c r="E163" s="749">
        <v>5000</v>
      </c>
      <c r="F163" s="736">
        <v>0</v>
      </c>
      <c r="G163" s="736"/>
      <c r="H163" s="736"/>
      <c r="I163" s="736"/>
      <c r="J163" s="736">
        <f t="shared" si="38"/>
        <v>0</v>
      </c>
      <c r="K163" s="736"/>
      <c r="L163" s="736"/>
      <c r="M163" s="736">
        <f t="shared" si="39"/>
        <v>0</v>
      </c>
      <c r="N163" s="736"/>
      <c r="O163" s="736"/>
      <c r="P163" s="738">
        <f t="shared" si="40"/>
        <v>0</v>
      </c>
      <c r="Q163" s="738"/>
      <c r="R163" s="738"/>
      <c r="S163" s="738">
        <v>10000</v>
      </c>
      <c r="T163" s="739">
        <v>1100121</v>
      </c>
      <c r="U163" s="744">
        <v>0</v>
      </c>
      <c r="V163" s="739">
        <v>1100122</v>
      </c>
    </row>
    <row r="164" spans="1:22" ht="15" x14ac:dyDescent="0.25">
      <c r="A164" s="734">
        <v>3751</v>
      </c>
      <c r="B164" s="735" t="s">
        <v>44</v>
      </c>
      <c r="C164" s="736">
        <v>2416.8200000000002</v>
      </c>
      <c r="D164" s="736">
        <v>6000</v>
      </c>
      <c r="E164" s="749">
        <v>6000</v>
      </c>
      <c r="F164" s="736">
        <v>655</v>
      </c>
      <c r="G164" s="759">
        <v>6000</v>
      </c>
      <c r="H164" s="752"/>
      <c r="I164" s="752"/>
      <c r="J164" s="736">
        <f t="shared" si="38"/>
        <v>6000</v>
      </c>
      <c r="K164" s="752"/>
      <c r="L164" s="752"/>
      <c r="M164" s="736">
        <f t="shared" si="39"/>
        <v>6000</v>
      </c>
      <c r="N164" s="736"/>
      <c r="O164" s="736"/>
      <c r="P164" s="736">
        <f t="shared" si="40"/>
        <v>6000</v>
      </c>
      <c r="Q164" s="760">
        <v>6000</v>
      </c>
      <c r="R164" s="738">
        <v>555</v>
      </c>
      <c r="S164" s="760">
        <v>6000</v>
      </c>
      <c r="T164" s="739">
        <v>1100121</v>
      </c>
      <c r="U164" s="742">
        <v>5000</v>
      </c>
      <c r="V164" s="741">
        <v>1100122</v>
      </c>
    </row>
    <row r="165" spans="1:22" ht="15" x14ac:dyDescent="0.25">
      <c r="A165" s="734">
        <v>3791</v>
      </c>
      <c r="B165" s="735" t="s">
        <v>45</v>
      </c>
      <c r="C165" s="736">
        <v>3225</v>
      </c>
      <c r="D165" s="736">
        <v>10000</v>
      </c>
      <c r="E165" s="749">
        <v>7000</v>
      </c>
      <c r="F165" s="736">
        <v>347</v>
      </c>
      <c r="G165" s="759">
        <v>7000</v>
      </c>
      <c r="H165" s="752"/>
      <c r="I165" s="752"/>
      <c r="J165" s="736">
        <f t="shared" si="38"/>
        <v>7000</v>
      </c>
      <c r="K165" s="752"/>
      <c r="L165" s="752"/>
      <c r="M165" s="736">
        <f t="shared" si="39"/>
        <v>7000</v>
      </c>
      <c r="N165" s="736"/>
      <c r="O165" s="736"/>
      <c r="P165" s="736">
        <f t="shared" si="40"/>
        <v>7000</v>
      </c>
      <c r="Q165" s="760">
        <v>7000</v>
      </c>
      <c r="R165" s="738">
        <v>123</v>
      </c>
      <c r="S165" s="760">
        <v>7000</v>
      </c>
      <c r="T165" s="739">
        <v>1100121</v>
      </c>
      <c r="U165" s="740">
        <v>5000</v>
      </c>
      <c r="V165" s="741">
        <v>1100122</v>
      </c>
    </row>
    <row r="166" spans="1:22" ht="15" x14ac:dyDescent="0.2">
      <c r="A166" s="734">
        <v>3821</v>
      </c>
      <c r="B166" s="735" t="s">
        <v>31</v>
      </c>
      <c r="C166" s="736">
        <v>9934.02</v>
      </c>
      <c r="D166" s="736">
        <v>10000</v>
      </c>
      <c r="E166" s="749">
        <v>10000</v>
      </c>
      <c r="F166" s="736">
        <v>0</v>
      </c>
      <c r="G166" s="736"/>
      <c r="H166" s="736"/>
      <c r="I166" s="736"/>
      <c r="J166" s="736">
        <f t="shared" si="38"/>
        <v>0</v>
      </c>
      <c r="K166" s="736"/>
      <c r="L166" s="736"/>
      <c r="M166" s="736">
        <f t="shared" si="39"/>
        <v>0</v>
      </c>
      <c r="N166" s="736"/>
      <c r="O166" s="736"/>
      <c r="P166" s="738">
        <f t="shared" si="40"/>
        <v>0</v>
      </c>
      <c r="Q166" s="738"/>
      <c r="R166" s="738"/>
      <c r="S166" s="738"/>
      <c r="T166" s="739">
        <v>1100121</v>
      </c>
      <c r="U166" s="746">
        <v>20000</v>
      </c>
      <c r="V166" s="741">
        <v>1100122</v>
      </c>
    </row>
    <row r="167" spans="1:22" ht="15" x14ac:dyDescent="0.25">
      <c r="A167" s="734">
        <v>3852</v>
      </c>
      <c r="B167" s="735" t="s">
        <v>32</v>
      </c>
      <c r="C167" s="736">
        <v>12059.35</v>
      </c>
      <c r="D167" s="736">
        <v>14000</v>
      </c>
      <c r="E167" s="749">
        <v>14000</v>
      </c>
      <c r="F167" s="736">
        <v>5705.7699999999995</v>
      </c>
      <c r="G167" s="759">
        <v>14000</v>
      </c>
      <c r="H167" s="752"/>
      <c r="I167" s="752"/>
      <c r="J167" s="736">
        <f t="shared" si="38"/>
        <v>14000</v>
      </c>
      <c r="K167" s="752"/>
      <c r="L167" s="752"/>
      <c r="M167" s="736">
        <f t="shared" si="39"/>
        <v>14000</v>
      </c>
      <c r="N167" s="736"/>
      <c r="O167" s="736"/>
      <c r="P167" s="736">
        <f t="shared" si="40"/>
        <v>14000</v>
      </c>
      <c r="Q167" s="738">
        <v>14000</v>
      </c>
      <c r="R167" s="738">
        <v>4472.1499999999996</v>
      </c>
      <c r="S167" s="738">
        <v>14000</v>
      </c>
      <c r="T167" s="739">
        <v>1100121</v>
      </c>
      <c r="U167" s="742">
        <v>14000</v>
      </c>
      <c r="V167" s="741">
        <v>1100122</v>
      </c>
    </row>
    <row r="168" spans="1:22" ht="15" x14ac:dyDescent="0.25">
      <c r="A168" s="734">
        <v>3921</v>
      </c>
      <c r="B168" s="735" t="s">
        <v>33</v>
      </c>
      <c r="C168" s="736">
        <v>235</v>
      </c>
      <c r="D168" s="736">
        <v>1040</v>
      </c>
      <c r="E168" s="749">
        <v>1040</v>
      </c>
      <c r="F168" s="736">
        <v>498</v>
      </c>
      <c r="G168" s="759">
        <v>1200</v>
      </c>
      <c r="H168" s="752"/>
      <c r="I168" s="752"/>
      <c r="J168" s="736">
        <f t="shared" si="38"/>
        <v>1200</v>
      </c>
      <c r="K168" s="752"/>
      <c r="L168" s="752"/>
      <c r="M168" s="736">
        <f t="shared" si="39"/>
        <v>1200</v>
      </c>
      <c r="N168" s="736"/>
      <c r="O168" s="736"/>
      <c r="P168" s="736">
        <f t="shared" si="40"/>
        <v>1200</v>
      </c>
      <c r="Q168" s="760">
        <v>1200</v>
      </c>
      <c r="R168" s="738">
        <v>1051.99</v>
      </c>
      <c r="S168" s="760">
        <v>1200</v>
      </c>
      <c r="T168" s="739">
        <v>1100121</v>
      </c>
      <c r="U168" s="746">
        <v>1347</v>
      </c>
      <c r="V168" s="741">
        <v>1100122</v>
      </c>
    </row>
    <row r="169" spans="1:22" ht="15" x14ac:dyDescent="0.25">
      <c r="A169" s="739">
        <v>3921</v>
      </c>
      <c r="B169" s="743" t="s">
        <v>33</v>
      </c>
      <c r="C169" s="736"/>
      <c r="D169" s="736"/>
      <c r="E169" s="749"/>
      <c r="F169" s="736"/>
      <c r="G169" s="759"/>
      <c r="H169" s="752"/>
      <c r="I169" s="752"/>
      <c r="J169" s="736"/>
      <c r="K169" s="752"/>
      <c r="L169" s="752"/>
      <c r="M169" s="736"/>
      <c r="N169" s="736"/>
      <c r="O169" s="736"/>
      <c r="P169" s="736"/>
      <c r="Q169" s="760"/>
      <c r="R169" s="738"/>
      <c r="S169" s="760"/>
      <c r="T169" s="739"/>
      <c r="U169" s="744"/>
      <c r="V169" s="739"/>
    </row>
    <row r="170" spans="1:22" ht="15" x14ac:dyDescent="0.25">
      <c r="A170" s="739">
        <v>5151</v>
      </c>
      <c r="B170" s="743" t="s">
        <v>36</v>
      </c>
      <c r="C170" s="736"/>
      <c r="D170" s="736"/>
      <c r="E170" s="749"/>
      <c r="F170" s="736"/>
      <c r="G170" s="759">
        <v>10000</v>
      </c>
      <c r="H170" s="752"/>
      <c r="I170" s="752"/>
      <c r="J170" s="736">
        <f t="shared" ref="J170:J171" si="41">G170+H170-I170</f>
        <v>10000</v>
      </c>
      <c r="K170" s="752"/>
      <c r="L170" s="752">
        <v>10000</v>
      </c>
      <c r="M170" s="736">
        <f t="shared" ref="M170:M171" si="42">J170+K170-L170</f>
        <v>0</v>
      </c>
      <c r="N170" s="736"/>
      <c r="O170" s="736"/>
      <c r="P170" s="738">
        <f t="shared" ref="P170:P171" si="43">M170+N170-O170</f>
        <v>0</v>
      </c>
      <c r="Q170" s="760"/>
      <c r="R170" s="738"/>
      <c r="S170" s="760"/>
      <c r="T170" s="739">
        <v>1500521</v>
      </c>
      <c r="U170" s="745"/>
      <c r="V170" s="739">
        <v>1500522</v>
      </c>
    </row>
    <row r="171" spans="1:22" ht="15" x14ac:dyDescent="0.2">
      <c r="A171" s="739">
        <v>5911</v>
      </c>
      <c r="B171" s="743" t="s">
        <v>68</v>
      </c>
      <c r="C171" s="736"/>
      <c r="D171" s="736">
        <v>0</v>
      </c>
      <c r="E171" s="749">
        <v>15080</v>
      </c>
      <c r="F171" s="736">
        <v>15080</v>
      </c>
      <c r="G171" s="736"/>
      <c r="H171" s="736"/>
      <c r="I171" s="736"/>
      <c r="J171" s="736">
        <f t="shared" si="41"/>
        <v>0</v>
      </c>
      <c r="K171" s="736"/>
      <c r="L171" s="736"/>
      <c r="M171" s="736">
        <f t="shared" si="42"/>
        <v>0</v>
      </c>
      <c r="N171" s="736"/>
      <c r="O171" s="736"/>
      <c r="P171" s="738">
        <f t="shared" si="43"/>
        <v>0</v>
      </c>
      <c r="Q171" s="738"/>
      <c r="R171" s="738"/>
      <c r="S171" s="738"/>
      <c r="T171" s="739">
        <v>1100121</v>
      </c>
      <c r="U171" s="745"/>
      <c r="V171" s="739">
        <v>1100122</v>
      </c>
    </row>
    <row r="172" spans="1:22" ht="15" x14ac:dyDescent="0.2">
      <c r="A172" s="739">
        <v>5191</v>
      </c>
      <c r="B172" s="743" t="s">
        <v>69</v>
      </c>
      <c r="C172" s="736"/>
      <c r="D172" s="736"/>
      <c r="E172" s="749"/>
      <c r="F172" s="736"/>
      <c r="G172" s="736"/>
      <c r="H172" s="736"/>
      <c r="I172" s="736"/>
      <c r="J172" s="736"/>
      <c r="K172" s="736"/>
      <c r="L172" s="736"/>
      <c r="M172" s="736"/>
      <c r="N172" s="736"/>
      <c r="O172" s="736"/>
      <c r="P172" s="738"/>
      <c r="Q172" s="738"/>
      <c r="R172" s="738"/>
      <c r="S172" s="738">
        <v>10000</v>
      </c>
      <c r="T172" s="739"/>
      <c r="U172" s="750">
        <v>0</v>
      </c>
      <c r="V172" s="739"/>
    </row>
    <row r="173" spans="1:22" ht="15" x14ac:dyDescent="0.2">
      <c r="A173" s="724" t="s">
        <v>1675</v>
      </c>
      <c r="B173" s="725" t="s">
        <v>1676</v>
      </c>
      <c r="C173" s="721">
        <f t="shared" ref="C173:S173" si="44">SUM(C174)</f>
        <v>451081.13</v>
      </c>
      <c r="D173" s="721">
        <f t="shared" si="44"/>
        <v>459121</v>
      </c>
      <c r="E173" s="721">
        <f t="shared" si="44"/>
        <v>455916.83</v>
      </c>
      <c r="F173" s="721">
        <f t="shared" si="44"/>
        <v>454746.18</v>
      </c>
      <c r="G173" s="721">
        <f t="shared" si="44"/>
        <v>458712.7</v>
      </c>
      <c r="H173" s="721">
        <f t="shared" si="44"/>
        <v>0</v>
      </c>
      <c r="I173" s="721">
        <f t="shared" si="44"/>
        <v>0</v>
      </c>
      <c r="J173" s="721">
        <f t="shared" si="44"/>
        <v>458712.7</v>
      </c>
      <c r="K173" s="721">
        <f t="shared" si="44"/>
        <v>0</v>
      </c>
      <c r="L173" s="721">
        <f t="shared" si="44"/>
        <v>0.03</v>
      </c>
      <c r="M173" s="721">
        <f t="shared" si="44"/>
        <v>458712.67</v>
      </c>
      <c r="N173" s="721">
        <f t="shared" si="44"/>
        <v>4.4000000000000004</v>
      </c>
      <c r="O173" s="721">
        <f t="shared" si="44"/>
        <v>0</v>
      </c>
      <c r="P173" s="721">
        <f t="shared" si="44"/>
        <v>458717.07</v>
      </c>
      <c r="Q173" s="756">
        <f t="shared" si="44"/>
        <v>367759.07</v>
      </c>
      <c r="R173" s="756">
        <f t="shared" si="44"/>
        <v>0</v>
      </c>
      <c r="S173" s="756">
        <f t="shared" si="44"/>
        <v>0</v>
      </c>
      <c r="T173" s="724"/>
      <c r="U173" s="726">
        <f t="shared" ref="U173" si="45">SUM(U174)</f>
        <v>0</v>
      </c>
      <c r="V173" s="724"/>
    </row>
    <row r="174" spans="1:22" ht="15" x14ac:dyDescent="0.2">
      <c r="A174" s="728" t="s">
        <v>55</v>
      </c>
      <c r="B174" s="729" t="s">
        <v>1578</v>
      </c>
      <c r="C174" s="730">
        <f t="shared" ref="C174:S174" si="46">SUM(C175:C187)</f>
        <v>451081.13</v>
      </c>
      <c r="D174" s="730">
        <f t="shared" si="46"/>
        <v>459121</v>
      </c>
      <c r="E174" s="730">
        <f t="shared" si="46"/>
        <v>455916.83</v>
      </c>
      <c r="F174" s="730">
        <f t="shared" si="46"/>
        <v>454746.18</v>
      </c>
      <c r="G174" s="730">
        <f t="shared" si="46"/>
        <v>458712.7</v>
      </c>
      <c r="H174" s="730">
        <f t="shared" si="46"/>
        <v>0</v>
      </c>
      <c r="I174" s="730">
        <f t="shared" si="46"/>
        <v>0</v>
      </c>
      <c r="J174" s="730">
        <f t="shared" si="46"/>
        <v>458712.7</v>
      </c>
      <c r="K174" s="730">
        <f t="shared" si="46"/>
        <v>0</v>
      </c>
      <c r="L174" s="730">
        <f t="shared" si="46"/>
        <v>0.03</v>
      </c>
      <c r="M174" s="730">
        <f t="shared" si="46"/>
        <v>458712.67</v>
      </c>
      <c r="N174" s="730">
        <f t="shared" si="46"/>
        <v>4.4000000000000004</v>
      </c>
      <c r="O174" s="730">
        <f t="shared" si="46"/>
        <v>0</v>
      </c>
      <c r="P174" s="730">
        <f t="shared" si="46"/>
        <v>458717.07</v>
      </c>
      <c r="Q174" s="748">
        <f t="shared" si="46"/>
        <v>367759.07</v>
      </c>
      <c r="R174" s="748">
        <f t="shared" si="46"/>
        <v>0</v>
      </c>
      <c r="S174" s="748">
        <f t="shared" si="46"/>
        <v>0</v>
      </c>
      <c r="T174" s="731"/>
      <c r="U174" s="732"/>
      <c r="V174" s="728"/>
    </row>
    <row r="175" spans="1:22" ht="15" x14ac:dyDescent="0.2">
      <c r="A175" s="739">
        <v>1531</v>
      </c>
      <c r="B175" s="743" t="s">
        <v>38</v>
      </c>
      <c r="C175" s="736">
        <v>52754.43</v>
      </c>
      <c r="D175" s="736">
        <v>59121</v>
      </c>
      <c r="E175" s="749">
        <v>55916.83</v>
      </c>
      <c r="F175" s="736">
        <v>56894.42</v>
      </c>
      <c r="G175" s="736">
        <v>58712.7</v>
      </c>
      <c r="H175" s="736"/>
      <c r="I175" s="736"/>
      <c r="J175" s="736">
        <f t="shared" ref="J175:J187" si="47">G175+H175-I175</f>
        <v>58712.7</v>
      </c>
      <c r="K175" s="736"/>
      <c r="L175" s="736">
        <v>0.03</v>
      </c>
      <c r="M175" s="736">
        <f t="shared" ref="M175:M187" si="48">J175+K175-L175</f>
        <v>58712.67</v>
      </c>
      <c r="N175" s="736">
        <v>4.4000000000000004</v>
      </c>
      <c r="O175" s="736"/>
      <c r="P175" s="736">
        <f t="shared" ref="P175:P187" si="49">M175+N175-O175</f>
        <v>58717.07</v>
      </c>
      <c r="Q175" s="738">
        <v>58717.07</v>
      </c>
      <c r="R175" s="738"/>
      <c r="S175" s="751"/>
      <c r="T175" s="739">
        <v>1500521</v>
      </c>
      <c r="U175" s="750"/>
      <c r="V175" s="739">
        <v>1500522</v>
      </c>
    </row>
    <row r="176" spans="1:22" ht="15" x14ac:dyDescent="0.2">
      <c r="A176" s="739">
        <v>2111</v>
      </c>
      <c r="B176" s="743" t="s">
        <v>22</v>
      </c>
      <c r="C176" s="736">
        <v>4405.59</v>
      </c>
      <c r="D176" s="736">
        <v>0</v>
      </c>
      <c r="E176" s="749">
        <v>5000</v>
      </c>
      <c r="F176" s="736">
        <v>3921.02</v>
      </c>
      <c r="G176" s="736">
        <v>5000</v>
      </c>
      <c r="H176" s="736"/>
      <c r="I176" s="736"/>
      <c r="J176" s="736">
        <f t="shared" si="47"/>
        <v>5000</v>
      </c>
      <c r="K176" s="736"/>
      <c r="L176" s="736"/>
      <c r="M176" s="736">
        <f t="shared" si="48"/>
        <v>5000</v>
      </c>
      <c r="N176" s="736"/>
      <c r="O176" s="736"/>
      <c r="P176" s="736">
        <f t="shared" si="49"/>
        <v>5000</v>
      </c>
      <c r="Q176" s="738">
        <v>4901.74</v>
      </c>
      <c r="R176" s="738"/>
      <c r="S176" s="738"/>
      <c r="T176" s="739">
        <v>1100121</v>
      </c>
      <c r="U176" s="745"/>
      <c r="V176" s="739">
        <v>1100122</v>
      </c>
    </row>
    <row r="177" spans="1:22" ht="15" x14ac:dyDescent="0.2">
      <c r="A177" s="739">
        <v>2112</v>
      </c>
      <c r="B177" s="743" t="s">
        <v>39</v>
      </c>
      <c r="C177" s="736">
        <v>28900.01</v>
      </c>
      <c r="D177" s="736">
        <v>0</v>
      </c>
      <c r="E177" s="749">
        <v>3900</v>
      </c>
      <c r="F177" s="736">
        <v>3900</v>
      </c>
      <c r="G177" s="736">
        <v>5000</v>
      </c>
      <c r="H177" s="736"/>
      <c r="I177" s="736"/>
      <c r="J177" s="736">
        <f t="shared" si="47"/>
        <v>5000</v>
      </c>
      <c r="K177" s="736"/>
      <c r="L177" s="736"/>
      <c r="M177" s="736">
        <f t="shared" si="48"/>
        <v>5000</v>
      </c>
      <c r="N177" s="736"/>
      <c r="O177" s="736"/>
      <c r="P177" s="736">
        <f t="shared" si="49"/>
        <v>5000</v>
      </c>
      <c r="Q177" s="738"/>
      <c r="R177" s="738"/>
      <c r="S177" s="738"/>
      <c r="T177" s="739">
        <v>1100121</v>
      </c>
      <c r="U177" s="745"/>
      <c r="V177" s="739">
        <v>1100122</v>
      </c>
    </row>
    <row r="178" spans="1:22" ht="15" x14ac:dyDescent="0.2">
      <c r="A178" s="739">
        <v>2212</v>
      </c>
      <c r="B178" s="743" t="s">
        <v>40</v>
      </c>
      <c r="C178" s="736"/>
      <c r="D178" s="736">
        <v>0</v>
      </c>
      <c r="E178" s="749">
        <v>2500</v>
      </c>
      <c r="F178" s="736">
        <v>0</v>
      </c>
      <c r="G178" s="736">
        <v>3000</v>
      </c>
      <c r="H178" s="736"/>
      <c r="I178" s="736"/>
      <c r="J178" s="736">
        <f t="shared" si="47"/>
        <v>3000</v>
      </c>
      <c r="K178" s="736"/>
      <c r="L178" s="736"/>
      <c r="M178" s="736">
        <f t="shared" si="48"/>
        <v>3000</v>
      </c>
      <c r="N178" s="736"/>
      <c r="O178" s="736"/>
      <c r="P178" s="736">
        <f t="shared" si="49"/>
        <v>3000</v>
      </c>
      <c r="Q178" s="738"/>
      <c r="R178" s="738"/>
      <c r="S178" s="738"/>
      <c r="T178" s="739">
        <v>1100121</v>
      </c>
      <c r="U178" s="745"/>
      <c r="V178" s="739">
        <v>1100122</v>
      </c>
    </row>
    <row r="179" spans="1:22" ht="15" x14ac:dyDescent="0.2">
      <c r="A179" s="739">
        <v>2491</v>
      </c>
      <c r="B179" s="743" t="s">
        <v>41</v>
      </c>
      <c r="C179" s="736"/>
      <c r="D179" s="736">
        <v>0</v>
      </c>
      <c r="E179" s="749">
        <v>9860</v>
      </c>
      <c r="F179" s="736">
        <v>9860</v>
      </c>
      <c r="G179" s="736"/>
      <c r="H179" s="736"/>
      <c r="I179" s="736"/>
      <c r="J179" s="736">
        <f t="shared" si="47"/>
        <v>0</v>
      </c>
      <c r="K179" s="736"/>
      <c r="L179" s="736"/>
      <c r="M179" s="736">
        <f t="shared" si="48"/>
        <v>0</v>
      </c>
      <c r="N179" s="736"/>
      <c r="O179" s="736"/>
      <c r="P179" s="738">
        <f t="shared" si="49"/>
        <v>0</v>
      </c>
      <c r="Q179" s="738"/>
      <c r="R179" s="738"/>
      <c r="S179" s="738"/>
      <c r="T179" s="739">
        <v>1100121</v>
      </c>
      <c r="U179" s="745"/>
      <c r="V179" s="739">
        <v>1100122</v>
      </c>
    </row>
    <row r="180" spans="1:22" ht="30" x14ac:dyDescent="0.2">
      <c r="A180" s="739">
        <v>2612</v>
      </c>
      <c r="B180" s="743" t="s">
        <v>26</v>
      </c>
      <c r="C180" s="736">
        <v>33202.29</v>
      </c>
      <c r="D180" s="736">
        <v>0</v>
      </c>
      <c r="E180" s="749">
        <v>24500</v>
      </c>
      <c r="F180" s="736">
        <v>17714.39</v>
      </c>
      <c r="G180" s="736">
        <v>25000</v>
      </c>
      <c r="H180" s="736"/>
      <c r="I180" s="736"/>
      <c r="J180" s="736">
        <f t="shared" si="47"/>
        <v>25000</v>
      </c>
      <c r="K180" s="736"/>
      <c r="L180" s="736"/>
      <c r="M180" s="736">
        <f t="shared" si="48"/>
        <v>25000</v>
      </c>
      <c r="N180" s="736"/>
      <c r="O180" s="736"/>
      <c r="P180" s="736">
        <f t="shared" si="49"/>
        <v>25000</v>
      </c>
      <c r="Q180" s="738">
        <v>30000</v>
      </c>
      <c r="R180" s="738"/>
      <c r="S180" s="738"/>
      <c r="T180" s="739">
        <v>1100121</v>
      </c>
      <c r="U180" s="745"/>
      <c r="V180" s="739">
        <v>1100122</v>
      </c>
    </row>
    <row r="181" spans="1:22" ht="30" x14ac:dyDescent="0.2">
      <c r="A181" s="739">
        <v>3361</v>
      </c>
      <c r="B181" s="743" t="s">
        <v>29</v>
      </c>
      <c r="C181" s="736">
        <v>1508</v>
      </c>
      <c r="D181" s="736">
        <v>0</v>
      </c>
      <c r="E181" s="749">
        <v>2500</v>
      </c>
      <c r="F181" s="736">
        <v>0</v>
      </c>
      <c r="G181" s="736">
        <v>5000</v>
      </c>
      <c r="H181" s="736"/>
      <c r="I181" s="736"/>
      <c r="J181" s="736">
        <f t="shared" si="47"/>
        <v>5000</v>
      </c>
      <c r="K181" s="736"/>
      <c r="L181" s="736"/>
      <c r="M181" s="736">
        <f t="shared" si="48"/>
        <v>5000</v>
      </c>
      <c r="N181" s="736"/>
      <c r="O181" s="736"/>
      <c r="P181" s="736">
        <f t="shared" si="49"/>
        <v>5000</v>
      </c>
      <c r="Q181" s="738"/>
      <c r="R181" s="738"/>
      <c r="S181" s="738"/>
      <c r="T181" s="739">
        <v>1100121</v>
      </c>
      <c r="U181" s="745"/>
      <c r="V181" s="739">
        <v>1100122</v>
      </c>
    </row>
    <row r="182" spans="1:22" ht="15" x14ac:dyDescent="0.2">
      <c r="A182" s="739">
        <v>3551</v>
      </c>
      <c r="B182" s="743" t="s">
        <v>30</v>
      </c>
      <c r="C182" s="736">
        <v>6622.44</v>
      </c>
      <c r="D182" s="736">
        <v>0</v>
      </c>
      <c r="E182" s="749">
        <v>10000</v>
      </c>
      <c r="F182" s="736">
        <v>13404.47</v>
      </c>
      <c r="G182" s="736">
        <v>10000</v>
      </c>
      <c r="H182" s="736"/>
      <c r="I182" s="736"/>
      <c r="J182" s="736">
        <f t="shared" si="47"/>
        <v>10000</v>
      </c>
      <c r="K182" s="736"/>
      <c r="L182" s="736"/>
      <c r="M182" s="736">
        <f t="shared" si="48"/>
        <v>10000</v>
      </c>
      <c r="N182" s="736"/>
      <c r="O182" s="736"/>
      <c r="P182" s="736">
        <f t="shared" si="49"/>
        <v>10000</v>
      </c>
      <c r="Q182" s="738"/>
      <c r="R182" s="738"/>
      <c r="S182" s="738"/>
      <c r="T182" s="739">
        <v>1100121</v>
      </c>
      <c r="U182" s="745"/>
      <c r="V182" s="739">
        <v>1100122</v>
      </c>
    </row>
    <row r="183" spans="1:22" ht="15" x14ac:dyDescent="0.2">
      <c r="A183" s="739">
        <v>3751</v>
      </c>
      <c r="B183" s="743" t="s">
        <v>44</v>
      </c>
      <c r="C183" s="736"/>
      <c r="D183" s="736">
        <v>0</v>
      </c>
      <c r="E183" s="749">
        <v>0</v>
      </c>
      <c r="F183" s="736">
        <v>0</v>
      </c>
      <c r="G183" s="736"/>
      <c r="H183" s="736"/>
      <c r="I183" s="736"/>
      <c r="J183" s="736">
        <f t="shared" si="47"/>
        <v>0</v>
      </c>
      <c r="K183" s="736"/>
      <c r="L183" s="736"/>
      <c r="M183" s="736">
        <f t="shared" si="48"/>
        <v>0</v>
      </c>
      <c r="N183" s="736"/>
      <c r="O183" s="736"/>
      <c r="P183" s="738">
        <f t="shared" si="49"/>
        <v>0</v>
      </c>
      <c r="Q183" s="738"/>
      <c r="R183" s="738"/>
      <c r="S183" s="738"/>
      <c r="T183" s="739">
        <v>1100121</v>
      </c>
      <c r="U183" s="745"/>
      <c r="V183" s="739">
        <v>1100122</v>
      </c>
    </row>
    <row r="184" spans="1:22" ht="15" x14ac:dyDescent="0.2">
      <c r="A184" s="739">
        <v>3852</v>
      </c>
      <c r="B184" s="743" t="s">
        <v>32</v>
      </c>
      <c r="C184" s="736">
        <v>2826.4</v>
      </c>
      <c r="D184" s="736">
        <v>400000</v>
      </c>
      <c r="E184" s="749">
        <v>10000</v>
      </c>
      <c r="F184" s="736">
        <v>5495.33</v>
      </c>
      <c r="G184" s="752">
        <v>95958</v>
      </c>
      <c r="H184" s="752"/>
      <c r="I184" s="752"/>
      <c r="J184" s="736">
        <f t="shared" si="47"/>
        <v>95958</v>
      </c>
      <c r="K184" s="752"/>
      <c r="L184" s="752"/>
      <c r="M184" s="736">
        <f t="shared" si="48"/>
        <v>95958</v>
      </c>
      <c r="N184" s="736"/>
      <c r="O184" s="736"/>
      <c r="P184" s="736">
        <f t="shared" si="49"/>
        <v>95958</v>
      </c>
      <c r="Q184" s="753">
        <v>3889.01</v>
      </c>
      <c r="R184" s="738"/>
      <c r="S184" s="753"/>
      <c r="T184" s="739">
        <v>1100121</v>
      </c>
      <c r="U184" s="745"/>
      <c r="V184" s="739">
        <v>1100122</v>
      </c>
    </row>
    <row r="185" spans="1:22" ht="15" x14ac:dyDescent="0.2">
      <c r="A185" s="739">
        <v>4411</v>
      </c>
      <c r="B185" s="743" t="s">
        <v>34</v>
      </c>
      <c r="C185" s="736">
        <v>307361.96999999997</v>
      </c>
      <c r="D185" s="736">
        <v>0</v>
      </c>
      <c r="E185" s="749">
        <v>306740</v>
      </c>
      <c r="F185" s="736">
        <v>318556.55</v>
      </c>
      <c r="G185" s="736">
        <v>251042</v>
      </c>
      <c r="H185" s="736"/>
      <c r="I185" s="736"/>
      <c r="J185" s="736">
        <f t="shared" si="47"/>
        <v>251042</v>
      </c>
      <c r="K185" s="736"/>
      <c r="L185" s="736"/>
      <c r="M185" s="736">
        <f t="shared" si="48"/>
        <v>251042</v>
      </c>
      <c r="N185" s="736"/>
      <c r="O185" s="736"/>
      <c r="P185" s="736">
        <f t="shared" si="49"/>
        <v>251042</v>
      </c>
      <c r="Q185" s="738">
        <v>270251.25</v>
      </c>
      <c r="R185" s="738"/>
      <c r="S185" s="738"/>
      <c r="T185" s="739">
        <v>1100121</v>
      </c>
      <c r="U185" s="745"/>
      <c r="V185" s="739">
        <v>1100122</v>
      </c>
    </row>
    <row r="186" spans="1:22" ht="15" x14ac:dyDescent="0.2">
      <c r="A186" s="739">
        <v>5111</v>
      </c>
      <c r="B186" s="743" t="s">
        <v>35</v>
      </c>
      <c r="C186" s="736">
        <v>13500</v>
      </c>
      <c r="D186" s="736">
        <v>0</v>
      </c>
      <c r="E186" s="749">
        <v>25000</v>
      </c>
      <c r="F186" s="736">
        <v>25000</v>
      </c>
      <c r="G186" s="736"/>
      <c r="H186" s="736"/>
      <c r="I186" s="736"/>
      <c r="J186" s="736">
        <f t="shared" si="47"/>
        <v>0</v>
      </c>
      <c r="K186" s="736"/>
      <c r="L186" s="736"/>
      <c r="M186" s="736">
        <f t="shared" si="48"/>
        <v>0</v>
      </c>
      <c r="N186" s="736"/>
      <c r="O186" s="736"/>
      <c r="P186" s="738">
        <f t="shared" si="49"/>
        <v>0</v>
      </c>
      <c r="Q186" s="738"/>
      <c r="R186" s="738"/>
      <c r="S186" s="738"/>
      <c r="T186" s="739">
        <v>1100121</v>
      </c>
      <c r="U186" s="745"/>
      <c r="V186" s="739">
        <v>1100122</v>
      </c>
    </row>
    <row r="187" spans="1:22" ht="15" x14ac:dyDescent="0.2">
      <c r="A187" s="739">
        <v>5211</v>
      </c>
      <c r="B187" s="743" t="s">
        <v>71</v>
      </c>
      <c r="C187" s="736"/>
      <c r="D187" s="736">
        <v>0</v>
      </c>
      <c r="E187" s="749">
        <v>0</v>
      </c>
      <c r="F187" s="736">
        <v>0</v>
      </c>
      <c r="G187" s="736"/>
      <c r="H187" s="736"/>
      <c r="I187" s="736"/>
      <c r="J187" s="736">
        <f t="shared" si="47"/>
        <v>0</v>
      </c>
      <c r="K187" s="736"/>
      <c r="L187" s="736"/>
      <c r="M187" s="736">
        <f t="shared" si="48"/>
        <v>0</v>
      </c>
      <c r="N187" s="736"/>
      <c r="O187" s="736"/>
      <c r="P187" s="738">
        <f t="shared" si="49"/>
        <v>0</v>
      </c>
      <c r="Q187" s="738"/>
      <c r="R187" s="738"/>
      <c r="S187" s="738"/>
      <c r="T187" s="739">
        <v>1100121</v>
      </c>
      <c r="U187" s="745"/>
      <c r="V187" s="739">
        <v>1100122</v>
      </c>
    </row>
    <row r="188" spans="1:22" ht="15" x14ac:dyDescent="0.2">
      <c r="A188" s="724" t="s">
        <v>1677</v>
      </c>
      <c r="B188" s="725" t="s">
        <v>1678</v>
      </c>
      <c r="C188" s="721">
        <f t="shared" ref="C188:S188" si="50">SUM(C189)</f>
        <v>444999.24</v>
      </c>
      <c r="D188" s="721">
        <f t="shared" si="50"/>
        <v>459121</v>
      </c>
      <c r="E188" s="721">
        <f t="shared" si="50"/>
        <v>455925.20999999996</v>
      </c>
      <c r="F188" s="721">
        <f t="shared" si="50"/>
        <v>429406.32999999996</v>
      </c>
      <c r="G188" s="721">
        <f t="shared" si="50"/>
        <v>458721.5</v>
      </c>
      <c r="H188" s="721">
        <f t="shared" si="50"/>
        <v>0</v>
      </c>
      <c r="I188" s="721">
        <f t="shared" si="50"/>
        <v>0</v>
      </c>
      <c r="J188" s="721">
        <f t="shared" si="50"/>
        <v>458721.5</v>
      </c>
      <c r="K188" s="721">
        <f t="shared" si="50"/>
        <v>0</v>
      </c>
      <c r="L188" s="721">
        <f t="shared" si="50"/>
        <v>0.03</v>
      </c>
      <c r="M188" s="721">
        <f t="shared" si="50"/>
        <v>458721.47</v>
      </c>
      <c r="N188" s="721">
        <f t="shared" si="50"/>
        <v>0</v>
      </c>
      <c r="O188" s="721">
        <f t="shared" si="50"/>
        <v>4.4000000000000004</v>
      </c>
      <c r="P188" s="721">
        <f t="shared" si="50"/>
        <v>458717.07</v>
      </c>
      <c r="Q188" s="756">
        <f t="shared" si="50"/>
        <v>367759.07</v>
      </c>
      <c r="R188" s="756">
        <f t="shared" si="50"/>
        <v>0</v>
      </c>
      <c r="S188" s="756">
        <f t="shared" si="50"/>
        <v>0</v>
      </c>
      <c r="T188" s="724"/>
      <c r="U188" s="726">
        <f t="shared" ref="U188" si="51">SUM(U189)</f>
        <v>0</v>
      </c>
      <c r="V188" s="724"/>
    </row>
    <row r="189" spans="1:22" ht="15" x14ac:dyDescent="0.2">
      <c r="A189" s="728" t="s">
        <v>55</v>
      </c>
      <c r="B189" s="729" t="s">
        <v>1578</v>
      </c>
      <c r="C189" s="730">
        <f t="shared" ref="C189:S189" si="52">SUM(C190:C197)</f>
        <v>444999.24</v>
      </c>
      <c r="D189" s="730">
        <f t="shared" si="52"/>
        <v>459121</v>
      </c>
      <c r="E189" s="730">
        <f t="shared" si="52"/>
        <v>455925.20999999996</v>
      </c>
      <c r="F189" s="730">
        <f t="shared" si="52"/>
        <v>429406.32999999996</v>
      </c>
      <c r="G189" s="730">
        <f t="shared" si="52"/>
        <v>458721.5</v>
      </c>
      <c r="H189" s="730">
        <f t="shared" si="52"/>
        <v>0</v>
      </c>
      <c r="I189" s="730">
        <f t="shared" si="52"/>
        <v>0</v>
      </c>
      <c r="J189" s="730">
        <f t="shared" si="52"/>
        <v>458721.5</v>
      </c>
      <c r="K189" s="730">
        <f t="shared" si="52"/>
        <v>0</v>
      </c>
      <c r="L189" s="730">
        <f t="shared" si="52"/>
        <v>0.03</v>
      </c>
      <c r="M189" s="730">
        <f t="shared" si="52"/>
        <v>458721.47</v>
      </c>
      <c r="N189" s="730">
        <f t="shared" si="52"/>
        <v>0</v>
      </c>
      <c r="O189" s="730">
        <f t="shared" si="52"/>
        <v>4.4000000000000004</v>
      </c>
      <c r="P189" s="730">
        <f t="shared" si="52"/>
        <v>458717.07</v>
      </c>
      <c r="Q189" s="748">
        <f t="shared" si="52"/>
        <v>367759.07</v>
      </c>
      <c r="R189" s="748">
        <f t="shared" si="52"/>
        <v>0</v>
      </c>
      <c r="S189" s="748">
        <f t="shared" si="52"/>
        <v>0</v>
      </c>
      <c r="T189" s="731"/>
      <c r="U189" s="732"/>
      <c r="V189" s="728"/>
    </row>
    <row r="190" spans="1:22" ht="15" x14ac:dyDescent="0.2">
      <c r="A190" s="739">
        <v>1531</v>
      </c>
      <c r="B190" s="743" t="s">
        <v>38</v>
      </c>
      <c r="C190" s="736">
        <v>52754.43</v>
      </c>
      <c r="D190" s="736">
        <v>59121</v>
      </c>
      <c r="E190" s="749">
        <v>55925.21</v>
      </c>
      <c r="F190" s="736">
        <v>56894.42</v>
      </c>
      <c r="G190" s="736">
        <v>58721.5</v>
      </c>
      <c r="H190" s="736"/>
      <c r="I190" s="736"/>
      <c r="J190" s="736">
        <f t="shared" ref="J190:J197" si="53">G190+H190-I190</f>
        <v>58721.5</v>
      </c>
      <c r="K190" s="736"/>
      <c r="L190" s="736">
        <v>0.03</v>
      </c>
      <c r="M190" s="736">
        <f t="shared" ref="M190:M197" si="54">J190+K190-L190</f>
        <v>58721.47</v>
      </c>
      <c r="N190" s="736"/>
      <c r="O190" s="736">
        <v>4.4000000000000004</v>
      </c>
      <c r="P190" s="736">
        <f t="shared" ref="P190:P197" si="55">M190+N190-O190</f>
        <v>58717.07</v>
      </c>
      <c r="Q190" s="738">
        <v>58717.07</v>
      </c>
      <c r="R190" s="738"/>
      <c r="S190" s="751"/>
      <c r="T190" s="739">
        <v>1500521</v>
      </c>
      <c r="U190" s="750"/>
      <c r="V190" s="739">
        <v>1500522</v>
      </c>
    </row>
    <row r="191" spans="1:22" ht="15" x14ac:dyDescent="0.2">
      <c r="A191" s="739">
        <v>2111</v>
      </c>
      <c r="B191" s="743" t="s">
        <v>22</v>
      </c>
      <c r="C191" s="736">
        <v>809.82</v>
      </c>
      <c r="D191" s="736">
        <v>0</v>
      </c>
      <c r="E191" s="749">
        <v>4000</v>
      </c>
      <c r="F191" s="736">
        <v>1964.5</v>
      </c>
      <c r="G191" s="736">
        <v>4500</v>
      </c>
      <c r="H191" s="736"/>
      <c r="I191" s="736"/>
      <c r="J191" s="736">
        <f t="shared" si="53"/>
        <v>4500</v>
      </c>
      <c r="K191" s="736"/>
      <c r="L191" s="736"/>
      <c r="M191" s="736">
        <f t="shared" si="54"/>
        <v>4500</v>
      </c>
      <c r="N191" s="736"/>
      <c r="O191" s="736"/>
      <c r="P191" s="736">
        <f t="shared" si="55"/>
        <v>4500</v>
      </c>
      <c r="Q191" s="738">
        <v>3754.25</v>
      </c>
      <c r="R191" s="738"/>
      <c r="S191" s="738"/>
      <c r="T191" s="739">
        <v>1100121</v>
      </c>
      <c r="U191" s="745"/>
      <c r="V191" s="739">
        <v>1100122</v>
      </c>
    </row>
    <row r="192" spans="1:22" ht="15" x14ac:dyDescent="0.2">
      <c r="A192" s="739">
        <v>2121</v>
      </c>
      <c r="B192" s="743" t="s">
        <v>24</v>
      </c>
      <c r="C192" s="736"/>
      <c r="D192" s="736">
        <v>0</v>
      </c>
      <c r="E192" s="749">
        <v>3000</v>
      </c>
      <c r="F192" s="736">
        <v>0</v>
      </c>
      <c r="G192" s="736"/>
      <c r="H192" s="736"/>
      <c r="I192" s="736"/>
      <c r="J192" s="736">
        <f t="shared" si="53"/>
        <v>0</v>
      </c>
      <c r="K192" s="736"/>
      <c r="L192" s="736"/>
      <c r="M192" s="736">
        <f t="shared" si="54"/>
        <v>0</v>
      </c>
      <c r="N192" s="736"/>
      <c r="O192" s="736"/>
      <c r="P192" s="738">
        <f t="shared" si="55"/>
        <v>0</v>
      </c>
      <c r="Q192" s="738"/>
      <c r="R192" s="738"/>
      <c r="S192" s="738"/>
      <c r="T192" s="739">
        <v>1100121</v>
      </c>
      <c r="U192" s="745"/>
      <c r="V192" s="739">
        <v>1100122</v>
      </c>
    </row>
    <row r="193" spans="1:22" ht="30" x14ac:dyDescent="0.2">
      <c r="A193" s="739">
        <v>2612</v>
      </c>
      <c r="B193" s="743" t="s">
        <v>26</v>
      </c>
      <c r="C193" s="736">
        <v>30403.22</v>
      </c>
      <c r="D193" s="736">
        <v>0</v>
      </c>
      <c r="E193" s="749">
        <v>45000</v>
      </c>
      <c r="F193" s="736">
        <v>20792.14</v>
      </c>
      <c r="G193" s="736">
        <v>25200</v>
      </c>
      <c r="H193" s="736"/>
      <c r="I193" s="736"/>
      <c r="J193" s="736">
        <f t="shared" si="53"/>
        <v>25200</v>
      </c>
      <c r="K193" s="736"/>
      <c r="L193" s="736"/>
      <c r="M193" s="736">
        <f t="shared" si="54"/>
        <v>25200</v>
      </c>
      <c r="N193" s="736"/>
      <c r="O193" s="736"/>
      <c r="P193" s="736">
        <f t="shared" si="55"/>
        <v>25200</v>
      </c>
      <c r="Q193" s="738">
        <v>18200</v>
      </c>
      <c r="R193" s="738"/>
      <c r="S193" s="738"/>
      <c r="T193" s="739">
        <v>1100121</v>
      </c>
      <c r="U193" s="745"/>
      <c r="V193" s="739">
        <v>1100122</v>
      </c>
    </row>
    <row r="194" spans="1:22" ht="30" x14ac:dyDescent="0.2">
      <c r="A194" s="739">
        <v>3361</v>
      </c>
      <c r="B194" s="743" t="s">
        <v>29</v>
      </c>
      <c r="C194" s="736"/>
      <c r="D194" s="736">
        <v>0</v>
      </c>
      <c r="E194" s="749">
        <v>2500</v>
      </c>
      <c r="F194" s="736">
        <v>0</v>
      </c>
      <c r="G194" s="736"/>
      <c r="H194" s="736"/>
      <c r="I194" s="736"/>
      <c r="J194" s="736">
        <f t="shared" si="53"/>
        <v>0</v>
      </c>
      <c r="K194" s="736"/>
      <c r="L194" s="736"/>
      <c r="M194" s="736">
        <f t="shared" si="54"/>
        <v>0</v>
      </c>
      <c r="N194" s="736"/>
      <c r="O194" s="736"/>
      <c r="P194" s="738">
        <f t="shared" si="55"/>
        <v>0</v>
      </c>
      <c r="Q194" s="738"/>
      <c r="R194" s="738"/>
      <c r="S194" s="738"/>
      <c r="T194" s="739">
        <v>1100121</v>
      </c>
      <c r="U194" s="745"/>
      <c r="V194" s="739">
        <v>1100122</v>
      </c>
    </row>
    <row r="195" spans="1:22" ht="15" x14ac:dyDescent="0.2">
      <c r="A195" s="739">
        <v>3551</v>
      </c>
      <c r="B195" s="743" t="s">
        <v>30</v>
      </c>
      <c r="C195" s="736">
        <v>7265</v>
      </c>
      <c r="D195" s="736">
        <v>0</v>
      </c>
      <c r="E195" s="749">
        <v>10000</v>
      </c>
      <c r="F195" s="736">
        <v>15580.01</v>
      </c>
      <c r="G195" s="736">
        <v>12000</v>
      </c>
      <c r="H195" s="736"/>
      <c r="I195" s="736"/>
      <c r="J195" s="736">
        <f t="shared" si="53"/>
        <v>12000</v>
      </c>
      <c r="K195" s="736"/>
      <c r="L195" s="736"/>
      <c r="M195" s="736">
        <f t="shared" si="54"/>
        <v>12000</v>
      </c>
      <c r="N195" s="736"/>
      <c r="O195" s="736"/>
      <c r="P195" s="736">
        <f t="shared" si="55"/>
        <v>12000</v>
      </c>
      <c r="Q195" s="738">
        <v>11364.99</v>
      </c>
      <c r="R195" s="738"/>
      <c r="S195" s="738"/>
      <c r="T195" s="739">
        <v>1100121</v>
      </c>
      <c r="U195" s="745"/>
      <c r="V195" s="739">
        <v>1100122</v>
      </c>
    </row>
    <row r="196" spans="1:22" ht="15" x14ac:dyDescent="0.2">
      <c r="A196" s="739">
        <v>3852</v>
      </c>
      <c r="B196" s="743" t="s">
        <v>32</v>
      </c>
      <c r="C196" s="736">
        <v>9978.81</v>
      </c>
      <c r="D196" s="736">
        <v>400000</v>
      </c>
      <c r="E196" s="749">
        <v>24000</v>
      </c>
      <c r="F196" s="736">
        <v>4625.26</v>
      </c>
      <c r="G196" s="752">
        <v>127000</v>
      </c>
      <c r="H196" s="752"/>
      <c r="I196" s="752"/>
      <c r="J196" s="736">
        <f t="shared" si="53"/>
        <v>127000</v>
      </c>
      <c r="K196" s="752"/>
      <c r="L196" s="752"/>
      <c r="M196" s="736">
        <f t="shared" si="54"/>
        <v>127000</v>
      </c>
      <c r="N196" s="736"/>
      <c r="O196" s="736"/>
      <c r="P196" s="736">
        <f t="shared" si="55"/>
        <v>127000</v>
      </c>
      <c r="Q196" s="753">
        <v>4842</v>
      </c>
      <c r="R196" s="738"/>
      <c r="S196" s="753"/>
      <c r="T196" s="739">
        <v>1100121</v>
      </c>
      <c r="U196" s="745"/>
      <c r="V196" s="739">
        <v>1100122</v>
      </c>
    </row>
    <row r="197" spans="1:22" ht="15" x14ac:dyDescent="0.2">
      <c r="A197" s="739">
        <v>4411</v>
      </c>
      <c r="B197" s="743" t="s">
        <v>34</v>
      </c>
      <c r="C197" s="736">
        <v>343787.96</v>
      </c>
      <c r="D197" s="736">
        <v>0</v>
      </c>
      <c r="E197" s="749">
        <v>311500</v>
      </c>
      <c r="F197" s="736">
        <v>329550</v>
      </c>
      <c r="G197" s="736">
        <v>231300</v>
      </c>
      <c r="H197" s="736"/>
      <c r="I197" s="736"/>
      <c r="J197" s="736">
        <f t="shared" si="53"/>
        <v>231300</v>
      </c>
      <c r="K197" s="736"/>
      <c r="L197" s="736"/>
      <c r="M197" s="736">
        <f t="shared" si="54"/>
        <v>231300</v>
      </c>
      <c r="N197" s="736"/>
      <c r="O197" s="736"/>
      <c r="P197" s="736">
        <f t="shared" si="55"/>
        <v>231300</v>
      </c>
      <c r="Q197" s="738">
        <v>270880.76</v>
      </c>
      <c r="R197" s="738"/>
      <c r="S197" s="738"/>
      <c r="T197" s="739">
        <v>1100121</v>
      </c>
      <c r="U197" s="745"/>
      <c r="V197" s="739">
        <v>1100122</v>
      </c>
    </row>
    <row r="198" spans="1:22" ht="15" x14ac:dyDescent="0.2">
      <c r="A198" s="724" t="s">
        <v>1679</v>
      </c>
      <c r="B198" s="725" t="s">
        <v>1680</v>
      </c>
      <c r="C198" s="721">
        <f t="shared" ref="C198:S198" si="56">SUM(C199)</f>
        <v>443471.41000000003</v>
      </c>
      <c r="D198" s="721">
        <f t="shared" si="56"/>
        <v>453210</v>
      </c>
      <c r="E198" s="721">
        <f t="shared" si="56"/>
        <v>450333.92</v>
      </c>
      <c r="F198" s="721">
        <f t="shared" si="56"/>
        <v>447353.52999999997</v>
      </c>
      <c r="G198" s="721">
        <f t="shared" si="56"/>
        <v>452850.7</v>
      </c>
      <c r="H198" s="721">
        <f t="shared" si="56"/>
        <v>0</v>
      </c>
      <c r="I198" s="721">
        <f t="shared" si="56"/>
        <v>0</v>
      </c>
      <c r="J198" s="721">
        <f t="shared" si="56"/>
        <v>452850.7</v>
      </c>
      <c r="K198" s="721">
        <f t="shared" si="56"/>
        <v>2000</v>
      </c>
      <c r="L198" s="721">
        <f t="shared" si="56"/>
        <v>2000.08</v>
      </c>
      <c r="M198" s="721">
        <f t="shared" si="56"/>
        <v>452850.62</v>
      </c>
      <c r="N198" s="721">
        <f t="shared" si="56"/>
        <v>6699</v>
      </c>
      <c r="O198" s="721">
        <f t="shared" si="56"/>
        <v>6699</v>
      </c>
      <c r="P198" s="721">
        <f t="shared" si="56"/>
        <v>452850.62</v>
      </c>
      <c r="Q198" s="756">
        <f t="shared" si="56"/>
        <v>361892.62</v>
      </c>
      <c r="R198" s="756">
        <f t="shared" si="56"/>
        <v>0</v>
      </c>
      <c r="S198" s="756">
        <f t="shared" si="56"/>
        <v>0</v>
      </c>
      <c r="T198" s="724"/>
      <c r="U198" s="726">
        <f t="shared" ref="U198" si="57">SUM(U199)</f>
        <v>0</v>
      </c>
      <c r="V198" s="724"/>
    </row>
    <row r="199" spans="1:22" ht="15" x14ac:dyDescent="0.2">
      <c r="A199" s="728" t="s">
        <v>55</v>
      </c>
      <c r="B199" s="729" t="s">
        <v>1578</v>
      </c>
      <c r="C199" s="730">
        <f t="shared" ref="C199:L199" si="58">SUM(C200:C211)</f>
        <v>443471.41000000003</v>
      </c>
      <c r="D199" s="730">
        <f t="shared" si="58"/>
        <v>453210</v>
      </c>
      <c r="E199" s="730">
        <f t="shared" si="58"/>
        <v>450333.92</v>
      </c>
      <c r="F199" s="730">
        <f t="shared" si="58"/>
        <v>447353.52999999997</v>
      </c>
      <c r="G199" s="730">
        <f t="shared" si="58"/>
        <v>452850.7</v>
      </c>
      <c r="H199" s="730">
        <f t="shared" si="58"/>
        <v>0</v>
      </c>
      <c r="I199" s="730">
        <f t="shared" si="58"/>
        <v>0</v>
      </c>
      <c r="J199" s="730">
        <f t="shared" si="58"/>
        <v>452850.7</v>
      </c>
      <c r="K199" s="730">
        <f t="shared" si="58"/>
        <v>2000</v>
      </c>
      <c r="L199" s="730">
        <f t="shared" si="58"/>
        <v>2000.08</v>
      </c>
      <c r="M199" s="730">
        <f t="shared" ref="M199:P199" si="59">SUM(M200:M212)</f>
        <v>452850.62</v>
      </c>
      <c r="N199" s="730">
        <f t="shared" si="59"/>
        <v>6699</v>
      </c>
      <c r="O199" s="730">
        <f t="shared" si="59"/>
        <v>6699</v>
      </c>
      <c r="P199" s="730">
        <f t="shared" si="59"/>
        <v>452850.62</v>
      </c>
      <c r="Q199" s="748">
        <f>SUM(Q200:Q212)</f>
        <v>361892.62</v>
      </c>
      <c r="R199" s="748">
        <f t="shared" ref="R199:S199" si="60">SUM(R200:R211)</f>
        <v>0</v>
      </c>
      <c r="S199" s="748">
        <f t="shared" si="60"/>
        <v>0</v>
      </c>
      <c r="T199" s="731"/>
      <c r="U199" s="732"/>
      <c r="V199" s="728"/>
    </row>
    <row r="200" spans="1:22" ht="15" x14ac:dyDescent="0.2">
      <c r="A200" s="739">
        <v>1531</v>
      </c>
      <c r="B200" s="743" t="s">
        <v>38</v>
      </c>
      <c r="C200" s="736">
        <v>47480.21</v>
      </c>
      <c r="D200" s="736">
        <v>53210</v>
      </c>
      <c r="E200" s="749">
        <v>50333.919999999998</v>
      </c>
      <c r="F200" s="736">
        <v>51206.29</v>
      </c>
      <c r="G200" s="736">
        <v>52850.7</v>
      </c>
      <c r="H200" s="736"/>
      <c r="I200" s="736"/>
      <c r="J200" s="736">
        <f t="shared" ref="J200:J211" si="61">G200+H200-I200</f>
        <v>52850.7</v>
      </c>
      <c r="K200" s="736"/>
      <c r="L200" s="736">
        <v>0.08</v>
      </c>
      <c r="M200" s="736">
        <f t="shared" ref="M200:M212" si="62">J200+K200-L200</f>
        <v>52850.619999999995</v>
      </c>
      <c r="N200" s="736"/>
      <c r="O200" s="736"/>
      <c r="P200" s="736">
        <f t="shared" ref="P200:P212" si="63">M200+N200-O200</f>
        <v>52850.619999999995</v>
      </c>
      <c r="Q200" s="738">
        <v>52850.62</v>
      </c>
      <c r="R200" s="738"/>
      <c r="S200" s="751"/>
      <c r="T200" s="739">
        <v>1500521</v>
      </c>
      <c r="U200" s="750"/>
      <c r="V200" s="739">
        <v>1500522</v>
      </c>
    </row>
    <row r="201" spans="1:22" ht="15" x14ac:dyDescent="0.2">
      <c r="A201" s="739">
        <v>2111</v>
      </c>
      <c r="B201" s="743" t="s">
        <v>22</v>
      </c>
      <c r="C201" s="736"/>
      <c r="D201" s="736">
        <v>0</v>
      </c>
      <c r="E201" s="749">
        <v>3000</v>
      </c>
      <c r="F201" s="736">
        <v>0</v>
      </c>
      <c r="G201" s="736">
        <v>3000</v>
      </c>
      <c r="H201" s="736"/>
      <c r="I201" s="736"/>
      <c r="J201" s="736">
        <f t="shared" si="61"/>
        <v>3000</v>
      </c>
      <c r="K201" s="736"/>
      <c r="L201" s="736"/>
      <c r="M201" s="736">
        <f t="shared" si="62"/>
        <v>3000</v>
      </c>
      <c r="N201" s="736"/>
      <c r="O201" s="736"/>
      <c r="P201" s="736">
        <f t="shared" si="63"/>
        <v>3000</v>
      </c>
      <c r="Q201" s="738"/>
      <c r="R201" s="738"/>
      <c r="S201" s="738"/>
      <c r="T201" s="739">
        <v>1100121</v>
      </c>
      <c r="U201" s="745"/>
      <c r="V201" s="739">
        <v>1100122</v>
      </c>
    </row>
    <row r="202" spans="1:22" ht="15" x14ac:dyDescent="0.2">
      <c r="A202" s="739">
        <v>2112</v>
      </c>
      <c r="B202" s="743" t="s">
        <v>39</v>
      </c>
      <c r="C202" s="736">
        <v>6356</v>
      </c>
      <c r="D202" s="736">
        <v>0</v>
      </c>
      <c r="E202" s="749">
        <v>5000</v>
      </c>
      <c r="F202" s="736">
        <v>3016</v>
      </c>
      <c r="G202" s="736">
        <v>5000</v>
      </c>
      <c r="H202" s="736"/>
      <c r="I202" s="736"/>
      <c r="J202" s="736">
        <f t="shared" si="61"/>
        <v>5000</v>
      </c>
      <c r="K202" s="736">
        <v>2000</v>
      </c>
      <c r="L202" s="736"/>
      <c r="M202" s="736">
        <f t="shared" si="62"/>
        <v>7000</v>
      </c>
      <c r="N202" s="736"/>
      <c r="O202" s="736">
        <v>6699</v>
      </c>
      <c r="P202" s="736">
        <f t="shared" si="63"/>
        <v>301</v>
      </c>
      <c r="Q202" s="738"/>
      <c r="R202" s="738"/>
      <c r="S202" s="738"/>
      <c r="T202" s="739">
        <v>1100121</v>
      </c>
      <c r="U202" s="745"/>
      <c r="V202" s="739">
        <v>1100122</v>
      </c>
    </row>
    <row r="203" spans="1:22" ht="15" x14ac:dyDescent="0.2">
      <c r="A203" s="739">
        <v>2121</v>
      </c>
      <c r="B203" s="743" t="s">
        <v>24</v>
      </c>
      <c r="C203" s="736"/>
      <c r="D203" s="736">
        <v>0</v>
      </c>
      <c r="E203" s="749">
        <v>1000</v>
      </c>
      <c r="F203" s="736">
        <v>0</v>
      </c>
      <c r="G203" s="736">
        <v>1000</v>
      </c>
      <c r="H203" s="736"/>
      <c r="I203" s="736"/>
      <c r="J203" s="736">
        <f t="shared" si="61"/>
        <v>1000</v>
      </c>
      <c r="K203" s="736"/>
      <c r="L203" s="736"/>
      <c r="M203" s="736">
        <f t="shared" si="62"/>
        <v>1000</v>
      </c>
      <c r="N203" s="736"/>
      <c r="O203" s="736"/>
      <c r="P203" s="736">
        <f t="shared" si="63"/>
        <v>1000</v>
      </c>
      <c r="Q203" s="738"/>
      <c r="R203" s="738"/>
      <c r="S203" s="738"/>
      <c r="T203" s="739">
        <v>1100121</v>
      </c>
      <c r="U203" s="745"/>
      <c r="V203" s="739">
        <v>1100122</v>
      </c>
    </row>
    <row r="204" spans="1:22" ht="15" x14ac:dyDescent="0.2">
      <c r="A204" s="739">
        <v>2212</v>
      </c>
      <c r="B204" s="743" t="s">
        <v>40</v>
      </c>
      <c r="C204" s="736"/>
      <c r="D204" s="736">
        <v>0</v>
      </c>
      <c r="E204" s="749">
        <v>5000</v>
      </c>
      <c r="F204" s="736">
        <v>0</v>
      </c>
      <c r="G204" s="736">
        <v>5000</v>
      </c>
      <c r="H204" s="736"/>
      <c r="I204" s="736"/>
      <c r="J204" s="736">
        <f t="shared" si="61"/>
        <v>5000</v>
      </c>
      <c r="K204" s="736"/>
      <c r="L204" s="736"/>
      <c r="M204" s="736">
        <f t="shared" si="62"/>
        <v>5000</v>
      </c>
      <c r="N204" s="736"/>
      <c r="O204" s="736"/>
      <c r="P204" s="736">
        <f t="shared" si="63"/>
        <v>5000</v>
      </c>
      <c r="Q204" s="738"/>
      <c r="R204" s="738"/>
      <c r="S204" s="738"/>
      <c r="T204" s="739">
        <v>1100121</v>
      </c>
      <c r="U204" s="745"/>
      <c r="V204" s="739">
        <v>1100122</v>
      </c>
    </row>
    <row r="205" spans="1:22" ht="30" x14ac:dyDescent="0.2">
      <c r="A205" s="739">
        <v>2612</v>
      </c>
      <c r="B205" s="743" t="s">
        <v>26</v>
      </c>
      <c r="C205" s="736">
        <v>28698.35</v>
      </c>
      <c r="D205" s="736">
        <v>0</v>
      </c>
      <c r="E205" s="749">
        <v>28000</v>
      </c>
      <c r="F205" s="736">
        <v>18723.75</v>
      </c>
      <c r="G205" s="736">
        <v>20000</v>
      </c>
      <c r="H205" s="736"/>
      <c r="I205" s="736"/>
      <c r="J205" s="736">
        <f t="shared" si="61"/>
        <v>20000</v>
      </c>
      <c r="K205" s="736"/>
      <c r="L205" s="736"/>
      <c r="M205" s="736">
        <f t="shared" si="62"/>
        <v>20000</v>
      </c>
      <c r="N205" s="736"/>
      <c r="O205" s="736"/>
      <c r="P205" s="736">
        <f t="shared" si="63"/>
        <v>20000</v>
      </c>
      <c r="Q205" s="738">
        <v>21450</v>
      </c>
      <c r="R205" s="738"/>
      <c r="S205" s="738"/>
      <c r="T205" s="739">
        <v>1100121</v>
      </c>
      <c r="U205" s="745"/>
      <c r="V205" s="739">
        <v>1100122</v>
      </c>
    </row>
    <row r="206" spans="1:22" ht="30" x14ac:dyDescent="0.2">
      <c r="A206" s="739">
        <v>3361</v>
      </c>
      <c r="B206" s="743" t="s">
        <v>29</v>
      </c>
      <c r="C206" s="736"/>
      <c r="D206" s="736">
        <v>0</v>
      </c>
      <c r="E206" s="749">
        <v>1500</v>
      </c>
      <c r="F206" s="736">
        <v>0</v>
      </c>
      <c r="G206" s="736">
        <v>1500</v>
      </c>
      <c r="H206" s="736"/>
      <c r="I206" s="736"/>
      <c r="J206" s="736">
        <f t="shared" si="61"/>
        <v>1500</v>
      </c>
      <c r="K206" s="736"/>
      <c r="L206" s="736"/>
      <c r="M206" s="736">
        <f t="shared" si="62"/>
        <v>1500</v>
      </c>
      <c r="N206" s="736"/>
      <c r="O206" s="736"/>
      <c r="P206" s="736">
        <f t="shared" si="63"/>
        <v>1500</v>
      </c>
      <c r="Q206" s="738"/>
      <c r="R206" s="738"/>
      <c r="S206" s="738"/>
      <c r="T206" s="739">
        <v>1100121</v>
      </c>
      <c r="U206" s="745"/>
      <c r="V206" s="739">
        <v>1100122</v>
      </c>
    </row>
    <row r="207" spans="1:22" ht="15" x14ac:dyDescent="0.2">
      <c r="A207" s="739">
        <v>3551</v>
      </c>
      <c r="B207" s="743" t="s">
        <v>30</v>
      </c>
      <c r="C207" s="736">
        <v>5000</v>
      </c>
      <c r="D207" s="736">
        <v>0</v>
      </c>
      <c r="E207" s="749">
        <v>10000</v>
      </c>
      <c r="F207" s="736">
        <v>9949.52</v>
      </c>
      <c r="G207" s="736">
        <v>7000</v>
      </c>
      <c r="H207" s="736"/>
      <c r="I207" s="736"/>
      <c r="J207" s="736">
        <f t="shared" si="61"/>
        <v>7000</v>
      </c>
      <c r="K207" s="736"/>
      <c r="L207" s="736"/>
      <c r="M207" s="736">
        <f t="shared" si="62"/>
        <v>7000</v>
      </c>
      <c r="N207" s="736"/>
      <c r="O207" s="736"/>
      <c r="P207" s="736">
        <f t="shared" si="63"/>
        <v>7000</v>
      </c>
      <c r="Q207" s="738">
        <v>7000</v>
      </c>
      <c r="R207" s="738"/>
      <c r="S207" s="738"/>
      <c r="T207" s="739">
        <v>1100121</v>
      </c>
      <c r="U207" s="745"/>
      <c r="V207" s="739">
        <v>1100122</v>
      </c>
    </row>
    <row r="208" spans="1:22" ht="15" x14ac:dyDescent="0.2">
      <c r="A208" s="739">
        <v>3691</v>
      </c>
      <c r="B208" s="743" t="s">
        <v>72</v>
      </c>
      <c r="C208" s="736">
        <v>2200</v>
      </c>
      <c r="D208" s="736">
        <v>0</v>
      </c>
      <c r="E208" s="749">
        <v>4000</v>
      </c>
      <c r="F208" s="736">
        <v>3938</v>
      </c>
      <c r="G208" s="736">
        <v>4000</v>
      </c>
      <c r="H208" s="736"/>
      <c r="I208" s="736"/>
      <c r="J208" s="736">
        <f t="shared" si="61"/>
        <v>4000</v>
      </c>
      <c r="K208" s="736"/>
      <c r="L208" s="736"/>
      <c r="M208" s="736">
        <f t="shared" si="62"/>
        <v>4000</v>
      </c>
      <c r="N208" s="736"/>
      <c r="O208" s="736"/>
      <c r="P208" s="736">
        <f t="shared" si="63"/>
        <v>4000</v>
      </c>
      <c r="Q208" s="738">
        <v>3938</v>
      </c>
      <c r="R208" s="738"/>
      <c r="S208" s="738"/>
      <c r="T208" s="739">
        <v>1100121</v>
      </c>
      <c r="U208" s="745"/>
      <c r="V208" s="739">
        <v>1100122</v>
      </c>
    </row>
    <row r="209" spans="1:22" ht="15" x14ac:dyDescent="0.2">
      <c r="A209" s="739">
        <v>3751</v>
      </c>
      <c r="B209" s="743" t="s">
        <v>44</v>
      </c>
      <c r="C209" s="736"/>
      <c r="D209" s="736">
        <v>0</v>
      </c>
      <c r="E209" s="749">
        <v>5000</v>
      </c>
      <c r="F209" s="736">
        <v>0</v>
      </c>
      <c r="G209" s="736">
        <v>5000</v>
      </c>
      <c r="H209" s="736"/>
      <c r="I209" s="736"/>
      <c r="J209" s="736">
        <f t="shared" si="61"/>
        <v>5000</v>
      </c>
      <c r="K209" s="736"/>
      <c r="L209" s="736">
        <v>2000</v>
      </c>
      <c r="M209" s="736">
        <f t="shared" si="62"/>
        <v>3000</v>
      </c>
      <c r="N209" s="736"/>
      <c r="O209" s="736"/>
      <c r="P209" s="736">
        <f t="shared" si="63"/>
        <v>3000</v>
      </c>
      <c r="Q209" s="738"/>
      <c r="R209" s="738"/>
      <c r="S209" s="738"/>
      <c r="T209" s="739">
        <v>1100121</v>
      </c>
      <c r="U209" s="745"/>
      <c r="V209" s="739">
        <v>1100122</v>
      </c>
    </row>
    <row r="210" spans="1:22" ht="15" x14ac:dyDescent="0.2">
      <c r="A210" s="739">
        <v>3852</v>
      </c>
      <c r="B210" s="743" t="s">
        <v>32</v>
      </c>
      <c r="C210" s="736">
        <v>10431.58</v>
      </c>
      <c r="D210" s="736">
        <v>400000</v>
      </c>
      <c r="E210" s="749">
        <v>12000</v>
      </c>
      <c r="F210" s="736">
        <v>11074.31</v>
      </c>
      <c r="G210" s="752">
        <v>102958</v>
      </c>
      <c r="H210" s="752"/>
      <c r="I210" s="752"/>
      <c r="J210" s="736">
        <f t="shared" si="61"/>
        <v>102958</v>
      </c>
      <c r="K210" s="752"/>
      <c r="L210" s="752"/>
      <c r="M210" s="736">
        <f t="shared" si="62"/>
        <v>102958</v>
      </c>
      <c r="N210" s="736"/>
      <c r="O210" s="736"/>
      <c r="P210" s="736">
        <f t="shared" si="63"/>
        <v>102958</v>
      </c>
      <c r="Q210" s="753">
        <v>11000</v>
      </c>
      <c r="R210" s="738"/>
      <c r="S210" s="753"/>
      <c r="T210" s="739">
        <v>1100121</v>
      </c>
      <c r="U210" s="745"/>
      <c r="V210" s="739">
        <v>1100122</v>
      </c>
    </row>
    <row r="211" spans="1:22" ht="15" x14ac:dyDescent="0.2">
      <c r="A211" s="739">
        <v>4411</v>
      </c>
      <c r="B211" s="743" t="s">
        <v>34</v>
      </c>
      <c r="C211" s="736">
        <v>343305.27</v>
      </c>
      <c r="D211" s="736">
        <v>0</v>
      </c>
      <c r="E211" s="749">
        <v>325500</v>
      </c>
      <c r="F211" s="736">
        <v>349445.66</v>
      </c>
      <c r="G211" s="736">
        <v>245542</v>
      </c>
      <c r="H211" s="736"/>
      <c r="I211" s="736"/>
      <c r="J211" s="736">
        <f t="shared" si="61"/>
        <v>245542</v>
      </c>
      <c r="K211" s="736"/>
      <c r="L211" s="736"/>
      <c r="M211" s="736">
        <f t="shared" si="62"/>
        <v>245542</v>
      </c>
      <c r="N211" s="736"/>
      <c r="O211" s="736"/>
      <c r="P211" s="736">
        <f t="shared" si="63"/>
        <v>245542</v>
      </c>
      <c r="Q211" s="738">
        <v>258955</v>
      </c>
      <c r="R211" s="738"/>
      <c r="S211" s="738"/>
      <c r="T211" s="739">
        <v>1100121</v>
      </c>
      <c r="U211" s="745"/>
      <c r="V211" s="739">
        <v>1100122</v>
      </c>
    </row>
    <row r="212" spans="1:22" ht="15" x14ac:dyDescent="0.2">
      <c r="A212" s="739">
        <v>5151</v>
      </c>
      <c r="B212" s="743" t="s">
        <v>1681</v>
      </c>
      <c r="C212" s="736"/>
      <c r="D212" s="736"/>
      <c r="E212" s="749"/>
      <c r="F212" s="736"/>
      <c r="G212" s="736"/>
      <c r="H212" s="736"/>
      <c r="I212" s="736"/>
      <c r="J212" s="736"/>
      <c r="K212" s="736"/>
      <c r="L212" s="736"/>
      <c r="M212" s="736">
        <f t="shared" si="62"/>
        <v>0</v>
      </c>
      <c r="N212" s="736">
        <v>6699</v>
      </c>
      <c r="O212" s="736"/>
      <c r="P212" s="736">
        <f t="shared" si="63"/>
        <v>6699</v>
      </c>
      <c r="Q212" s="738">
        <v>6699</v>
      </c>
      <c r="R212" s="738"/>
      <c r="S212" s="738"/>
      <c r="T212" s="739">
        <v>1100121</v>
      </c>
      <c r="U212" s="745"/>
      <c r="V212" s="739">
        <v>1100122</v>
      </c>
    </row>
    <row r="213" spans="1:22" ht="15" x14ac:dyDescent="0.2">
      <c r="A213" s="724" t="s">
        <v>1682</v>
      </c>
      <c r="B213" s="725" t="s">
        <v>1683</v>
      </c>
      <c r="C213" s="721">
        <f t="shared" ref="C213:S213" si="64">SUM(C214)</f>
        <v>440951.09</v>
      </c>
      <c r="D213" s="721">
        <f t="shared" si="64"/>
        <v>453210</v>
      </c>
      <c r="E213" s="721">
        <f t="shared" si="64"/>
        <v>450333.92</v>
      </c>
      <c r="F213" s="721">
        <f t="shared" si="64"/>
        <v>449623.49</v>
      </c>
      <c r="G213" s="721">
        <f t="shared" si="64"/>
        <v>452850.7</v>
      </c>
      <c r="H213" s="721">
        <f t="shared" si="64"/>
        <v>0</v>
      </c>
      <c r="I213" s="721">
        <f t="shared" si="64"/>
        <v>0</v>
      </c>
      <c r="J213" s="721">
        <f t="shared" si="64"/>
        <v>452850.7</v>
      </c>
      <c r="K213" s="721">
        <f t="shared" si="64"/>
        <v>0</v>
      </c>
      <c r="L213" s="721">
        <f t="shared" si="64"/>
        <v>0.08</v>
      </c>
      <c r="M213" s="721">
        <f t="shared" si="64"/>
        <v>452850.62</v>
      </c>
      <c r="N213" s="721">
        <f t="shared" si="64"/>
        <v>0</v>
      </c>
      <c r="O213" s="721">
        <f t="shared" si="64"/>
        <v>0</v>
      </c>
      <c r="P213" s="721">
        <f t="shared" si="64"/>
        <v>452850.62</v>
      </c>
      <c r="Q213" s="756">
        <f t="shared" si="64"/>
        <v>361892.62</v>
      </c>
      <c r="R213" s="756">
        <f t="shared" si="64"/>
        <v>0</v>
      </c>
      <c r="S213" s="756">
        <f t="shared" si="64"/>
        <v>0</v>
      </c>
      <c r="T213" s="724"/>
      <c r="U213" s="726">
        <f t="shared" ref="U213" si="65">SUM(U214)</f>
        <v>0</v>
      </c>
      <c r="V213" s="724"/>
    </row>
    <row r="214" spans="1:22" ht="15" x14ac:dyDescent="0.2">
      <c r="A214" s="728" t="s">
        <v>55</v>
      </c>
      <c r="B214" s="729" t="s">
        <v>1578</v>
      </c>
      <c r="C214" s="730">
        <f t="shared" ref="C214:S214" si="66">SUM(C215:C225)</f>
        <v>440951.09</v>
      </c>
      <c r="D214" s="730">
        <f t="shared" si="66"/>
        <v>453210</v>
      </c>
      <c r="E214" s="730">
        <f t="shared" si="66"/>
        <v>450333.92</v>
      </c>
      <c r="F214" s="730">
        <f t="shared" si="66"/>
        <v>449623.49</v>
      </c>
      <c r="G214" s="730">
        <f t="shared" si="66"/>
        <v>452850.7</v>
      </c>
      <c r="H214" s="730">
        <f t="shared" si="66"/>
        <v>0</v>
      </c>
      <c r="I214" s="730">
        <f t="shared" si="66"/>
        <v>0</v>
      </c>
      <c r="J214" s="730">
        <f t="shared" si="66"/>
        <v>452850.7</v>
      </c>
      <c r="K214" s="730">
        <f t="shared" si="66"/>
        <v>0</v>
      </c>
      <c r="L214" s="730">
        <f t="shared" si="66"/>
        <v>0.08</v>
      </c>
      <c r="M214" s="730">
        <f t="shared" si="66"/>
        <v>452850.62</v>
      </c>
      <c r="N214" s="730">
        <f t="shared" si="66"/>
        <v>0</v>
      </c>
      <c r="O214" s="730">
        <f t="shared" si="66"/>
        <v>0</v>
      </c>
      <c r="P214" s="730">
        <f t="shared" si="66"/>
        <v>452850.62</v>
      </c>
      <c r="Q214" s="748">
        <f t="shared" si="66"/>
        <v>361892.62</v>
      </c>
      <c r="R214" s="748">
        <f t="shared" si="66"/>
        <v>0</v>
      </c>
      <c r="S214" s="748">
        <f t="shared" si="66"/>
        <v>0</v>
      </c>
      <c r="T214" s="731"/>
      <c r="U214" s="732"/>
      <c r="V214" s="728"/>
    </row>
    <row r="215" spans="1:22" ht="15" x14ac:dyDescent="0.2">
      <c r="A215" s="739">
        <v>1531</v>
      </c>
      <c r="B215" s="743" t="s">
        <v>38</v>
      </c>
      <c r="C215" s="736">
        <v>47480.21</v>
      </c>
      <c r="D215" s="736">
        <v>53210</v>
      </c>
      <c r="E215" s="749">
        <v>50333.919999999998</v>
      </c>
      <c r="F215" s="736">
        <v>51206.29</v>
      </c>
      <c r="G215" s="736">
        <v>52850.7</v>
      </c>
      <c r="H215" s="736"/>
      <c r="I215" s="736"/>
      <c r="J215" s="736">
        <f t="shared" ref="J215:J225" si="67">G215+H215-I215</f>
        <v>52850.7</v>
      </c>
      <c r="K215" s="736"/>
      <c r="L215" s="736">
        <v>0.08</v>
      </c>
      <c r="M215" s="736">
        <f t="shared" ref="M215:M225" si="68">J215+K215-L215</f>
        <v>52850.619999999995</v>
      </c>
      <c r="N215" s="736"/>
      <c r="O215" s="736"/>
      <c r="P215" s="736">
        <f t="shared" ref="P215:P225" si="69">M215+N215-O215</f>
        <v>52850.619999999995</v>
      </c>
      <c r="Q215" s="738">
        <v>52850.62</v>
      </c>
      <c r="R215" s="738"/>
      <c r="S215" s="751"/>
      <c r="T215" s="739">
        <v>1500521</v>
      </c>
      <c r="U215" s="750"/>
      <c r="V215" s="739">
        <v>1500522</v>
      </c>
    </row>
    <row r="216" spans="1:22" ht="15" x14ac:dyDescent="0.2">
      <c r="A216" s="739">
        <v>2111</v>
      </c>
      <c r="B216" s="743" t="s">
        <v>22</v>
      </c>
      <c r="C216" s="736"/>
      <c r="D216" s="736">
        <v>0</v>
      </c>
      <c r="E216" s="749">
        <v>2000</v>
      </c>
      <c r="F216" s="736">
        <v>910.2</v>
      </c>
      <c r="G216" s="736">
        <v>2000</v>
      </c>
      <c r="H216" s="736"/>
      <c r="I216" s="736"/>
      <c r="J216" s="736">
        <f t="shared" si="67"/>
        <v>2000</v>
      </c>
      <c r="K216" s="736"/>
      <c r="L216" s="736"/>
      <c r="M216" s="736">
        <f t="shared" si="68"/>
        <v>2000</v>
      </c>
      <c r="N216" s="736"/>
      <c r="O216" s="736"/>
      <c r="P216" s="736">
        <f t="shared" si="69"/>
        <v>2000</v>
      </c>
      <c r="Q216" s="738">
        <v>1000</v>
      </c>
      <c r="R216" s="738"/>
      <c r="S216" s="738"/>
      <c r="T216" s="739">
        <v>1100121</v>
      </c>
      <c r="U216" s="745"/>
      <c r="V216" s="739">
        <v>1100122</v>
      </c>
    </row>
    <row r="217" spans="1:22" ht="15" x14ac:dyDescent="0.2">
      <c r="A217" s="739">
        <v>2112</v>
      </c>
      <c r="B217" s="743" t="s">
        <v>39</v>
      </c>
      <c r="C217" s="736">
        <v>2050</v>
      </c>
      <c r="D217" s="736">
        <v>0</v>
      </c>
      <c r="E217" s="749">
        <v>8200</v>
      </c>
      <c r="F217" s="736">
        <v>8200</v>
      </c>
      <c r="G217" s="736">
        <v>6500</v>
      </c>
      <c r="H217" s="736"/>
      <c r="I217" s="736"/>
      <c r="J217" s="736">
        <f t="shared" si="67"/>
        <v>6500</v>
      </c>
      <c r="K217" s="736"/>
      <c r="L217" s="736"/>
      <c r="M217" s="736">
        <f t="shared" si="68"/>
        <v>6500</v>
      </c>
      <c r="N217" s="736"/>
      <c r="O217" s="736"/>
      <c r="P217" s="736">
        <f t="shared" si="69"/>
        <v>6500</v>
      </c>
      <c r="Q217" s="738"/>
      <c r="R217" s="738"/>
      <c r="S217" s="738"/>
      <c r="T217" s="739">
        <v>1100121</v>
      </c>
      <c r="U217" s="745"/>
      <c r="V217" s="739">
        <v>1100122</v>
      </c>
    </row>
    <row r="218" spans="1:22" ht="15" x14ac:dyDescent="0.2">
      <c r="A218" s="739">
        <v>2121</v>
      </c>
      <c r="B218" s="743" t="s">
        <v>24</v>
      </c>
      <c r="C218" s="736"/>
      <c r="D218" s="736">
        <v>0</v>
      </c>
      <c r="E218" s="749">
        <v>5000</v>
      </c>
      <c r="F218" s="736">
        <v>1449</v>
      </c>
      <c r="G218" s="736">
        <v>5000</v>
      </c>
      <c r="H218" s="736"/>
      <c r="I218" s="736"/>
      <c r="J218" s="736">
        <f t="shared" si="67"/>
        <v>5000</v>
      </c>
      <c r="K218" s="736"/>
      <c r="L218" s="736"/>
      <c r="M218" s="736">
        <f t="shared" si="68"/>
        <v>5000</v>
      </c>
      <c r="N218" s="736"/>
      <c r="O218" s="736"/>
      <c r="P218" s="736">
        <f t="shared" si="69"/>
        <v>5000</v>
      </c>
      <c r="Q218" s="738"/>
      <c r="R218" s="738"/>
      <c r="S218" s="738"/>
      <c r="T218" s="739">
        <v>1100121</v>
      </c>
      <c r="U218" s="745"/>
      <c r="V218" s="739">
        <v>1100122</v>
      </c>
    </row>
    <row r="219" spans="1:22" ht="15" x14ac:dyDescent="0.2">
      <c r="A219" s="739">
        <v>2212</v>
      </c>
      <c r="B219" s="743" t="s">
        <v>40</v>
      </c>
      <c r="C219" s="736"/>
      <c r="D219" s="736">
        <v>0</v>
      </c>
      <c r="E219" s="749">
        <v>2800</v>
      </c>
      <c r="F219" s="736">
        <v>0</v>
      </c>
      <c r="G219" s="736">
        <v>5000</v>
      </c>
      <c r="H219" s="736"/>
      <c r="I219" s="736"/>
      <c r="J219" s="736">
        <f t="shared" si="67"/>
        <v>5000</v>
      </c>
      <c r="K219" s="736"/>
      <c r="L219" s="736"/>
      <c r="M219" s="736">
        <f t="shared" si="68"/>
        <v>5000</v>
      </c>
      <c r="N219" s="736"/>
      <c r="O219" s="736"/>
      <c r="P219" s="736">
        <f t="shared" si="69"/>
        <v>5000</v>
      </c>
      <c r="Q219" s="738"/>
      <c r="R219" s="738"/>
      <c r="S219" s="738"/>
      <c r="T219" s="739">
        <v>1100121</v>
      </c>
      <c r="U219" s="745"/>
      <c r="V219" s="739">
        <v>1100122</v>
      </c>
    </row>
    <row r="220" spans="1:22" ht="30" x14ac:dyDescent="0.2">
      <c r="A220" s="739">
        <v>2612</v>
      </c>
      <c r="B220" s="743" t="s">
        <v>26</v>
      </c>
      <c r="C220" s="736">
        <v>38475.39</v>
      </c>
      <c r="D220" s="736">
        <v>0</v>
      </c>
      <c r="E220" s="749">
        <v>41000</v>
      </c>
      <c r="F220" s="736">
        <v>33635.71</v>
      </c>
      <c r="G220" s="736">
        <v>30000</v>
      </c>
      <c r="H220" s="736"/>
      <c r="I220" s="736"/>
      <c r="J220" s="736">
        <f t="shared" si="67"/>
        <v>30000</v>
      </c>
      <c r="K220" s="736"/>
      <c r="L220" s="736"/>
      <c r="M220" s="736">
        <f t="shared" si="68"/>
        <v>30000</v>
      </c>
      <c r="N220" s="736"/>
      <c r="O220" s="736"/>
      <c r="P220" s="736">
        <f t="shared" si="69"/>
        <v>30000</v>
      </c>
      <c r="Q220" s="738">
        <v>25000</v>
      </c>
      <c r="R220" s="738"/>
      <c r="S220" s="738"/>
      <c r="T220" s="739">
        <v>1100121</v>
      </c>
      <c r="U220" s="745"/>
      <c r="V220" s="739">
        <v>1100122</v>
      </c>
    </row>
    <row r="221" spans="1:22" ht="30" x14ac:dyDescent="0.2">
      <c r="A221" s="739">
        <v>3361</v>
      </c>
      <c r="B221" s="743" t="s">
        <v>29</v>
      </c>
      <c r="C221" s="736">
        <v>301.60000000000002</v>
      </c>
      <c r="D221" s="736">
        <v>0</v>
      </c>
      <c r="E221" s="749">
        <v>1000</v>
      </c>
      <c r="F221" s="736">
        <v>0</v>
      </c>
      <c r="G221" s="736">
        <v>1500</v>
      </c>
      <c r="H221" s="736"/>
      <c r="I221" s="736"/>
      <c r="J221" s="736">
        <f t="shared" si="67"/>
        <v>1500</v>
      </c>
      <c r="K221" s="736"/>
      <c r="L221" s="736"/>
      <c r="M221" s="736">
        <f t="shared" si="68"/>
        <v>1500</v>
      </c>
      <c r="N221" s="736"/>
      <c r="O221" s="736"/>
      <c r="P221" s="736">
        <f t="shared" si="69"/>
        <v>1500</v>
      </c>
      <c r="Q221" s="738"/>
      <c r="R221" s="738"/>
      <c r="S221" s="738"/>
      <c r="T221" s="739">
        <v>1100121</v>
      </c>
      <c r="U221" s="745"/>
      <c r="V221" s="739">
        <v>1100122</v>
      </c>
    </row>
    <row r="222" spans="1:22" ht="15" x14ac:dyDescent="0.2">
      <c r="A222" s="739">
        <v>3551</v>
      </c>
      <c r="B222" s="743" t="s">
        <v>30</v>
      </c>
      <c r="C222" s="736">
        <v>4265.04</v>
      </c>
      <c r="D222" s="736">
        <v>0</v>
      </c>
      <c r="E222" s="749">
        <v>10000</v>
      </c>
      <c r="F222" s="736">
        <v>9225.52</v>
      </c>
      <c r="G222" s="736">
        <v>10000</v>
      </c>
      <c r="H222" s="736"/>
      <c r="I222" s="736"/>
      <c r="J222" s="736">
        <f t="shared" si="67"/>
        <v>10000</v>
      </c>
      <c r="K222" s="736"/>
      <c r="L222" s="736"/>
      <c r="M222" s="736">
        <f t="shared" si="68"/>
        <v>10000</v>
      </c>
      <c r="N222" s="736"/>
      <c r="O222" s="736"/>
      <c r="P222" s="736">
        <f t="shared" si="69"/>
        <v>10000</v>
      </c>
      <c r="Q222" s="738">
        <v>2000</v>
      </c>
      <c r="R222" s="738"/>
      <c r="S222" s="738"/>
      <c r="T222" s="739">
        <v>1100121</v>
      </c>
      <c r="U222" s="745"/>
      <c r="V222" s="739">
        <v>1100122</v>
      </c>
    </row>
    <row r="223" spans="1:22" ht="15" x14ac:dyDescent="0.2">
      <c r="A223" s="739">
        <v>3751</v>
      </c>
      <c r="B223" s="743" t="s">
        <v>44</v>
      </c>
      <c r="C223" s="736"/>
      <c r="D223" s="736">
        <v>0</v>
      </c>
      <c r="E223" s="749">
        <v>5000</v>
      </c>
      <c r="F223" s="736">
        <v>0</v>
      </c>
      <c r="G223" s="736">
        <v>5000</v>
      </c>
      <c r="H223" s="736"/>
      <c r="I223" s="736"/>
      <c r="J223" s="736">
        <f t="shared" si="67"/>
        <v>5000</v>
      </c>
      <c r="K223" s="736"/>
      <c r="L223" s="736"/>
      <c r="M223" s="736">
        <f t="shared" si="68"/>
        <v>5000</v>
      </c>
      <c r="N223" s="736"/>
      <c r="O223" s="736"/>
      <c r="P223" s="736">
        <f t="shared" si="69"/>
        <v>5000</v>
      </c>
      <c r="Q223" s="738"/>
      <c r="R223" s="738"/>
      <c r="S223" s="738"/>
      <c r="T223" s="739">
        <v>1100121</v>
      </c>
      <c r="U223" s="745"/>
      <c r="V223" s="739">
        <v>1100122</v>
      </c>
    </row>
    <row r="224" spans="1:22" ht="15" x14ac:dyDescent="0.2">
      <c r="A224" s="739">
        <v>3852</v>
      </c>
      <c r="B224" s="743" t="s">
        <v>32</v>
      </c>
      <c r="C224" s="736">
        <v>8272.7099999999991</v>
      </c>
      <c r="D224" s="736">
        <v>400000</v>
      </c>
      <c r="E224" s="749">
        <v>15000</v>
      </c>
      <c r="F224" s="736">
        <v>7855.85</v>
      </c>
      <c r="G224" s="752">
        <v>105958</v>
      </c>
      <c r="H224" s="752"/>
      <c r="I224" s="752"/>
      <c r="J224" s="736">
        <f t="shared" si="67"/>
        <v>105958</v>
      </c>
      <c r="K224" s="752"/>
      <c r="L224" s="752"/>
      <c r="M224" s="736">
        <f t="shared" si="68"/>
        <v>105958</v>
      </c>
      <c r="N224" s="736"/>
      <c r="O224" s="736"/>
      <c r="P224" s="736">
        <f t="shared" si="69"/>
        <v>105958</v>
      </c>
      <c r="Q224" s="753">
        <v>7900</v>
      </c>
      <c r="R224" s="738"/>
      <c r="S224" s="753"/>
      <c r="T224" s="739">
        <v>1100121</v>
      </c>
      <c r="U224" s="745"/>
      <c r="V224" s="739">
        <v>1100122</v>
      </c>
    </row>
    <row r="225" spans="1:22" ht="15" x14ac:dyDescent="0.2">
      <c r="A225" s="739">
        <v>4411</v>
      </c>
      <c r="B225" s="743" t="s">
        <v>34</v>
      </c>
      <c r="C225" s="736">
        <v>340106.14</v>
      </c>
      <c r="D225" s="736">
        <v>0</v>
      </c>
      <c r="E225" s="749">
        <v>310000</v>
      </c>
      <c r="F225" s="736">
        <v>337140.92</v>
      </c>
      <c r="G225" s="736">
        <v>229042</v>
      </c>
      <c r="H225" s="736"/>
      <c r="I225" s="736"/>
      <c r="J225" s="736">
        <f t="shared" si="67"/>
        <v>229042</v>
      </c>
      <c r="K225" s="736"/>
      <c r="L225" s="736"/>
      <c r="M225" s="736">
        <f t="shared" si="68"/>
        <v>229042</v>
      </c>
      <c r="N225" s="736"/>
      <c r="O225" s="736"/>
      <c r="P225" s="736">
        <f t="shared" si="69"/>
        <v>229042</v>
      </c>
      <c r="Q225" s="738">
        <v>273142</v>
      </c>
      <c r="R225" s="738"/>
      <c r="S225" s="738"/>
      <c r="T225" s="739">
        <v>1100121</v>
      </c>
      <c r="U225" s="745"/>
      <c r="V225" s="739">
        <v>1100122</v>
      </c>
    </row>
    <row r="226" spans="1:22" ht="15" x14ac:dyDescent="0.2">
      <c r="A226" s="724" t="s">
        <v>1684</v>
      </c>
      <c r="B226" s="725" t="s">
        <v>1685</v>
      </c>
      <c r="C226" s="721">
        <f t="shared" ref="C226:M226" si="70">SUM(C227)</f>
        <v>446987.37999999995</v>
      </c>
      <c r="D226" s="721">
        <f t="shared" si="70"/>
        <v>453210</v>
      </c>
      <c r="E226" s="721">
        <f t="shared" si="70"/>
        <v>450333.92</v>
      </c>
      <c r="F226" s="721">
        <f t="shared" si="70"/>
        <v>448015.47000000003</v>
      </c>
      <c r="G226" s="721">
        <f t="shared" si="70"/>
        <v>452850.7</v>
      </c>
      <c r="H226" s="721">
        <f t="shared" si="70"/>
        <v>0</v>
      </c>
      <c r="I226" s="721">
        <f t="shared" si="70"/>
        <v>0</v>
      </c>
      <c r="J226" s="721">
        <f t="shared" si="70"/>
        <v>452850.7</v>
      </c>
      <c r="K226" s="721">
        <f t="shared" si="70"/>
        <v>0</v>
      </c>
      <c r="L226" s="721">
        <f t="shared" si="70"/>
        <v>0.08</v>
      </c>
      <c r="M226" s="721">
        <f t="shared" si="70"/>
        <v>452850.62</v>
      </c>
      <c r="N226" s="721"/>
      <c r="O226" s="721">
        <f t="shared" ref="O226:S226" si="71">SUM(O227)</f>
        <v>0</v>
      </c>
      <c r="P226" s="721">
        <f t="shared" si="71"/>
        <v>452850.62</v>
      </c>
      <c r="Q226" s="756">
        <f t="shared" si="71"/>
        <v>361892.62</v>
      </c>
      <c r="R226" s="756">
        <f t="shared" si="71"/>
        <v>0</v>
      </c>
      <c r="S226" s="756">
        <f t="shared" si="71"/>
        <v>0</v>
      </c>
      <c r="T226" s="724"/>
      <c r="U226" s="726">
        <f t="shared" ref="U226" si="72">SUM(U227)</f>
        <v>0</v>
      </c>
      <c r="V226" s="724"/>
    </row>
    <row r="227" spans="1:22" ht="15" x14ac:dyDescent="0.2">
      <c r="A227" s="728" t="s">
        <v>55</v>
      </c>
      <c r="B227" s="729" t="s">
        <v>1578</v>
      </c>
      <c r="C227" s="730">
        <f t="shared" ref="C227:N227" si="73">SUM(C228:C236)</f>
        <v>446987.37999999995</v>
      </c>
      <c r="D227" s="730">
        <f t="shared" si="73"/>
        <v>453210</v>
      </c>
      <c r="E227" s="730">
        <f t="shared" si="73"/>
        <v>450333.92</v>
      </c>
      <c r="F227" s="730">
        <f t="shared" si="73"/>
        <v>448015.47000000003</v>
      </c>
      <c r="G227" s="730">
        <f t="shared" si="73"/>
        <v>452850.7</v>
      </c>
      <c r="H227" s="730">
        <f t="shared" si="73"/>
        <v>0</v>
      </c>
      <c r="I227" s="730">
        <f t="shared" si="73"/>
        <v>0</v>
      </c>
      <c r="J227" s="730">
        <f t="shared" si="73"/>
        <v>452850.7</v>
      </c>
      <c r="K227" s="730">
        <f t="shared" si="73"/>
        <v>0</v>
      </c>
      <c r="L227" s="730">
        <f t="shared" si="73"/>
        <v>0.08</v>
      </c>
      <c r="M227" s="730">
        <f t="shared" si="73"/>
        <v>452850.62</v>
      </c>
      <c r="N227" s="730">
        <f t="shared" si="73"/>
        <v>0</v>
      </c>
      <c r="O227" s="730"/>
      <c r="P227" s="730">
        <f t="shared" ref="P227:S227" si="74">SUM(P228:P236)</f>
        <v>452850.62</v>
      </c>
      <c r="Q227" s="748">
        <f t="shared" si="74"/>
        <v>361892.62</v>
      </c>
      <c r="R227" s="748">
        <f t="shared" si="74"/>
        <v>0</v>
      </c>
      <c r="S227" s="748">
        <f t="shared" si="74"/>
        <v>0</v>
      </c>
      <c r="T227" s="731"/>
      <c r="U227" s="732"/>
      <c r="V227" s="728"/>
    </row>
    <row r="228" spans="1:22" ht="15" x14ac:dyDescent="0.2">
      <c r="A228" s="739">
        <v>1531</v>
      </c>
      <c r="B228" s="743" t="s">
        <v>38</v>
      </c>
      <c r="C228" s="736">
        <v>47480.21</v>
      </c>
      <c r="D228" s="736">
        <v>53210</v>
      </c>
      <c r="E228" s="749">
        <v>50333.919999999998</v>
      </c>
      <c r="F228" s="736">
        <v>51206.29</v>
      </c>
      <c r="G228" s="736">
        <v>52850.7</v>
      </c>
      <c r="H228" s="736"/>
      <c r="I228" s="736"/>
      <c r="J228" s="736">
        <f t="shared" ref="J228:J236" si="75">G228+H228-I228</f>
        <v>52850.7</v>
      </c>
      <c r="K228" s="736"/>
      <c r="L228" s="736">
        <v>0.08</v>
      </c>
      <c r="M228" s="736">
        <f t="shared" ref="M228:M236" si="76">J228+K228-L228</f>
        <v>52850.619999999995</v>
      </c>
      <c r="N228" s="736"/>
      <c r="O228" s="736"/>
      <c r="P228" s="736">
        <f t="shared" ref="P228:P236" si="77">M228+N228-O228</f>
        <v>52850.619999999995</v>
      </c>
      <c r="Q228" s="738">
        <v>52850.62</v>
      </c>
      <c r="R228" s="738"/>
      <c r="S228" s="751"/>
      <c r="T228" s="739">
        <v>1500521</v>
      </c>
      <c r="U228" s="750"/>
      <c r="V228" s="739">
        <v>1500522</v>
      </c>
    </row>
    <row r="229" spans="1:22" ht="15" x14ac:dyDescent="0.2">
      <c r="A229" s="739">
        <v>2111</v>
      </c>
      <c r="B229" s="743" t="s">
        <v>22</v>
      </c>
      <c r="C229" s="736">
        <v>926</v>
      </c>
      <c r="D229" s="736"/>
      <c r="E229" s="736"/>
      <c r="F229" s="736"/>
      <c r="G229" s="736"/>
      <c r="H229" s="736"/>
      <c r="I229" s="736"/>
      <c r="J229" s="736">
        <f t="shared" si="75"/>
        <v>0</v>
      </c>
      <c r="K229" s="736"/>
      <c r="L229" s="736"/>
      <c r="M229" s="736">
        <f t="shared" si="76"/>
        <v>0</v>
      </c>
      <c r="N229" s="736"/>
      <c r="O229" s="736"/>
      <c r="P229" s="738">
        <f t="shared" si="77"/>
        <v>0</v>
      </c>
      <c r="Q229" s="738"/>
      <c r="R229" s="738"/>
      <c r="S229" s="738"/>
      <c r="T229" s="739"/>
      <c r="U229" s="745"/>
      <c r="V229" s="739"/>
    </row>
    <row r="230" spans="1:22" ht="15" x14ac:dyDescent="0.2">
      <c r="A230" s="739">
        <v>2112</v>
      </c>
      <c r="B230" s="743" t="s">
        <v>39</v>
      </c>
      <c r="C230" s="736">
        <v>4289</v>
      </c>
      <c r="D230" s="736">
        <v>0</v>
      </c>
      <c r="E230" s="749">
        <v>17600</v>
      </c>
      <c r="F230" s="736">
        <v>17598</v>
      </c>
      <c r="G230" s="736"/>
      <c r="H230" s="736"/>
      <c r="I230" s="736"/>
      <c r="J230" s="736">
        <f t="shared" si="75"/>
        <v>0</v>
      </c>
      <c r="K230" s="736"/>
      <c r="L230" s="736"/>
      <c r="M230" s="736">
        <f t="shared" si="76"/>
        <v>0</v>
      </c>
      <c r="N230" s="736"/>
      <c r="O230" s="736"/>
      <c r="P230" s="738">
        <f t="shared" si="77"/>
        <v>0</v>
      </c>
      <c r="Q230" s="738"/>
      <c r="R230" s="738"/>
      <c r="S230" s="738"/>
      <c r="T230" s="739">
        <v>1100121</v>
      </c>
      <c r="U230" s="745"/>
      <c r="V230" s="739">
        <v>1100122</v>
      </c>
    </row>
    <row r="231" spans="1:22" ht="15" x14ac:dyDescent="0.2">
      <c r="A231" s="739">
        <v>2121</v>
      </c>
      <c r="B231" s="743" t="s">
        <v>1686</v>
      </c>
      <c r="C231" s="736">
        <v>999</v>
      </c>
      <c r="D231" s="736"/>
      <c r="E231" s="736"/>
      <c r="F231" s="736"/>
      <c r="G231" s="736"/>
      <c r="H231" s="736"/>
      <c r="I231" s="736"/>
      <c r="J231" s="736">
        <f t="shared" si="75"/>
        <v>0</v>
      </c>
      <c r="K231" s="736"/>
      <c r="L231" s="736"/>
      <c r="M231" s="736">
        <f t="shared" si="76"/>
        <v>0</v>
      </c>
      <c r="N231" s="736"/>
      <c r="O231" s="736"/>
      <c r="P231" s="738">
        <f t="shared" si="77"/>
        <v>0</v>
      </c>
      <c r="Q231" s="738"/>
      <c r="R231" s="738"/>
      <c r="S231" s="738"/>
      <c r="T231" s="739"/>
      <c r="U231" s="745"/>
      <c r="V231" s="739"/>
    </row>
    <row r="232" spans="1:22" ht="30" x14ac:dyDescent="0.2">
      <c r="A232" s="739">
        <v>2612</v>
      </c>
      <c r="B232" s="743" t="s">
        <v>26</v>
      </c>
      <c r="C232" s="736">
        <v>34976</v>
      </c>
      <c r="D232" s="736">
        <v>0</v>
      </c>
      <c r="E232" s="749">
        <v>25500</v>
      </c>
      <c r="F232" s="736">
        <v>24853.9</v>
      </c>
      <c r="G232" s="736">
        <v>15000</v>
      </c>
      <c r="H232" s="736"/>
      <c r="I232" s="736"/>
      <c r="J232" s="736">
        <f t="shared" si="75"/>
        <v>15000</v>
      </c>
      <c r="K232" s="736"/>
      <c r="L232" s="736"/>
      <c r="M232" s="736">
        <f t="shared" si="76"/>
        <v>15000</v>
      </c>
      <c r="N232" s="736"/>
      <c r="O232" s="736"/>
      <c r="P232" s="736">
        <f t="shared" si="77"/>
        <v>15000</v>
      </c>
      <c r="Q232" s="738">
        <v>15233.82</v>
      </c>
      <c r="R232" s="738"/>
      <c r="S232" s="738"/>
      <c r="T232" s="739">
        <v>1100121</v>
      </c>
      <c r="U232" s="745"/>
      <c r="V232" s="739">
        <v>1100122</v>
      </c>
    </row>
    <row r="233" spans="1:22" ht="15" x14ac:dyDescent="0.2">
      <c r="A233" s="739">
        <v>3551</v>
      </c>
      <c r="B233" s="743" t="s">
        <v>30</v>
      </c>
      <c r="C233" s="736"/>
      <c r="D233" s="736">
        <v>0</v>
      </c>
      <c r="E233" s="749">
        <v>5934.5</v>
      </c>
      <c r="F233" s="736">
        <v>5934.5</v>
      </c>
      <c r="G233" s="736"/>
      <c r="H233" s="736"/>
      <c r="I233" s="736"/>
      <c r="J233" s="736">
        <f t="shared" si="75"/>
        <v>0</v>
      </c>
      <c r="K233" s="736"/>
      <c r="L233" s="736"/>
      <c r="M233" s="736">
        <f t="shared" si="76"/>
        <v>0</v>
      </c>
      <c r="N233" s="736"/>
      <c r="O233" s="736"/>
      <c r="P233" s="738">
        <f t="shared" si="77"/>
        <v>0</v>
      </c>
      <c r="Q233" s="738"/>
      <c r="R233" s="738"/>
      <c r="S233" s="738"/>
      <c r="T233" s="739">
        <v>1100121</v>
      </c>
      <c r="U233" s="745"/>
      <c r="V233" s="739">
        <v>1100122</v>
      </c>
    </row>
    <row r="234" spans="1:22" ht="15" x14ac:dyDescent="0.2">
      <c r="A234" s="739">
        <v>3852</v>
      </c>
      <c r="B234" s="743" t="s">
        <v>32</v>
      </c>
      <c r="C234" s="736">
        <v>13999.7</v>
      </c>
      <c r="D234" s="736">
        <v>400000</v>
      </c>
      <c r="E234" s="749">
        <v>15000</v>
      </c>
      <c r="F234" s="736">
        <v>15093.25</v>
      </c>
      <c r="G234" s="752">
        <v>105958</v>
      </c>
      <c r="H234" s="752"/>
      <c r="I234" s="752"/>
      <c r="J234" s="736">
        <f t="shared" si="75"/>
        <v>105958</v>
      </c>
      <c r="K234" s="752"/>
      <c r="L234" s="752"/>
      <c r="M234" s="736">
        <f t="shared" si="76"/>
        <v>105958</v>
      </c>
      <c r="N234" s="736"/>
      <c r="O234" s="736"/>
      <c r="P234" s="736">
        <f t="shared" si="77"/>
        <v>105958</v>
      </c>
      <c r="Q234" s="753">
        <v>8766.18</v>
      </c>
      <c r="R234" s="738"/>
      <c r="S234" s="753"/>
      <c r="T234" s="739">
        <v>1100121</v>
      </c>
      <c r="U234" s="745"/>
      <c r="V234" s="739">
        <v>1100122</v>
      </c>
    </row>
    <row r="235" spans="1:22" ht="15" x14ac:dyDescent="0.2">
      <c r="A235" s="739">
        <v>4411</v>
      </c>
      <c r="B235" s="743" t="s">
        <v>34</v>
      </c>
      <c r="C235" s="736">
        <v>344317.47</v>
      </c>
      <c r="D235" s="736">
        <v>0</v>
      </c>
      <c r="E235" s="749">
        <v>335965.5</v>
      </c>
      <c r="F235" s="736">
        <v>333329.53000000003</v>
      </c>
      <c r="G235" s="736">
        <v>279042</v>
      </c>
      <c r="H235" s="736"/>
      <c r="I235" s="736"/>
      <c r="J235" s="736">
        <f t="shared" si="75"/>
        <v>279042</v>
      </c>
      <c r="K235" s="736"/>
      <c r="L235" s="736"/>
      <c r="M235" s="736">
        <f t="shared" si="76"/>
        <v>279042</v>
      </c>
      <c r="N235" s="736"/>
      <c r="O235" s="736"/>
      <c r="P235" s="736">
        <f t="shared" si="77"/>
        <v>279042</v>
      </c>
      <c r="Q235" s="738">
        <v>285042</v>
      </c>
      <c r="R235" s="738"/>
      <c r="S235" s="738"/>
      <c r="T235" s="739">
        <v>1100121</v>
      </c>
      <c r="U235" s="745"/>
      <c r="V235" s="739">
        <v>1100122</v>
      </c>
    </row>
    <row r="236" spans="1:22" ht="15" x14ac:dyDescent="0.2">
      <c r="A236" s="739">
        <v>5111</v>
      </c>
      <c r="B236" s="743" t="s">
        <v>35</v>
      </c>
      <c r="C236" s="736"/>
      <c r="D236" s="736">
        <v>0</v>
      </c>
      <c r="E236" s="736"/>
      <c r="F236" s="736">
        <v>0</v>
      </c>
      <c r="G236" s="736"/>
      <c r="H236" s="736"/>
      <c r="I236" s="736"/>
      <c r="J236" s="736">
        <f t="shared" si="75"/>
        <v>0</v>
      </c>
      <c r="K236" s="736"/>
      <c r="L236" s="736"/>
      <c r="M236" s="736">
        <f t="shared" si="76"/>
        <v>0</v>
      </c>
      <c r="N236" s="736"/>
      <c r="O236" s="736"/>
      <c r="P236" s="738">
        <f t="shared" si="77"/>
        <v>0</v>
      </c>
      <c r="Q236" s="738"/>
      <c r="R236" s="738"/>
      <c r="S236" s="738"/>
      <c r="T236" s="739">
        <v>1100121</v>
      </c>
      <c r="U236" s="745"/>
      <c r="V236" s="739">
        <v>1100122</v>
      </c>
    </row>
    <row r="237" spans="1:22" ht="15" x14ac:dyDescent="0.2">
      <c r="A237" s="724" t="s">
        <v>1687</v>
      </c>
      <c r="B237" s="725" t="s">
        <v>1688</v>
      </c>
      <c r="C237" s="721">
        <f t="shared" ref="C237:S237" si="78">SUM(C238)</f>
        <v>445853.13</v>
      </c>
      <c r="D237" s="721">
        <f t="shared" si="78"/>
        <v>453210</v>
      </c>
      <c r="E237" s="721">
        <f t="shared" si="78"/>
        <v>450333.92</v>
      </c>
      <c r="F237" s="721">
        <f t="shared" si="78"/>
        <v>446500.54</v>
      </c>
      <c r="G237" s="721">
        <f t="shared" si="78"/>
        <v>452850.7</v>
      </c>
      <c r="H237" s="721">
        <f t="shared" si="78"/>
        <v>0</v>
      </c>
      <c r="I237" s="721">
        <f t="shared" si="78"/>
        <v>0</v>
      </c>
      <c r="J237" s="721">
        <f t="shared" si="78"/>
        <v>452850.7</v>
      </c>
      <c r="K237" s="721">
        <f t="shared" si="78"/>
        <v>0</v>
      </c>
      <c r="L237" s="721">
        <f t="shared" si="78"/>
        <v>0.08</v>
      </c>
      <c r="M237" s="721">
        <f t="shared" si="78"/>
        <v>452850.62</v>
      </c>
      <c r="N237" s="721">
        <f t="shared" si="78"/>
        <v>0</v>
      </c>
      <c r="O237" s="721">
        <f t="shared" si="78"/>
        <v>0</v>
      </c>
      <c r="P237" s="721">
        <f t="shared" si="78"/>
        <v>452850.62</v>
      </c>
      <c r="Q237" s="756">
        <f t="shared" si="78"/>
        <v>361892.62</v>
      </c>
      <c r="R237" s="756">
        <f t="shared" si="78"/>
        <v>0</v>
      </c>
      <c r="S237" s="756">
        <f t="shared" si="78"/>
        <v>0</v>
      </c>
      <c r="T237" s="724"/>
      <c r="U237" s="726">
        <f t="shared" ref="U237" si="79">SUM(U238)</f>
        <v>0</v>
      </c>
      <c r="V237" s="724"/>
    </row>
    <row r="238" spans="1:22" ht="15" x14ac:dyDescent="0.2">
      <c r="A238" s="728" t="s">
        <v>55</v>
      </c>
      <c r="B238" s="729" t="s">
        <v>1578</v>
      </c>
      <c r="C238" s="730">
        <f t="shared" ref="C238:S238" si="80">SUM(C239:C254)</f>
        <v>445853.13</v>
      </c>
      <c r="D238" s="730">
        <f t="shared" si="80"/>
        <v>453210</v>
      </c>
      <c r="E238" s="730">
        <f t="shared" si="80"/>
        <v>450333.92</v>
      </c>
      <c r="F238" s="730">
        <f t="shared" si="80"/>
        <v>446500.54</v>
      </c>
      <c r="G238" s="730">
        <f t="shared" si="80"/>
        <v>452850.7</v>
      </c>
      <c r="H238" s="730">
        <f t="shared" si="80"/>
        <v>0</v>
      </c>
      <c r="I238" s="730">
        <f t="shared" si="80"/>
        <v>0</v>
      </c>
      <c r="J238" s="730">
        <f t="shared" si="80"/>
        <v>452850.7</v>
      </c>
      <c r="K238" s="730">
        <f t="shared" si="80"/>
        <v>0</v>
      </c>
      <c r="L238" s="730">
        <f t="shared" si="80"/>
        <v>0.08</v>
      </c>
      <c r="M238" s="730">
        <f t="shared" si="80"/>
        <v>452850.62</v>
      </c>
      <c r="N238" s="730">
        <f t="shared" si="80"/>
        <v>0</v>
      </c>
      <c r="O238" s="730">
        <f t="shared" si="80"/>
        <v>0</v>
      </c>
      <c r="P238" s="730">
        <f t="shared" si="80"/>
        <v>452850.62</v>
      </c>
      <c r="Q238" s="748">
        <f>SUM(Q239:Q254)</f>
        <v>361892.62</v>
      </c>
      <c r="R238" s="748">
        <f t="shared" si="80"/>
        <v>0</v>
      </c>
      <c r="S238" s="748">
        <f t="shared" si="80"/>
        <v>0</v>
      </c>
      <c r="T238" s="731"/>
      <c r="U238" s="732"/>
      <c r="V238" s="728"/>
    </row>
    <row r="239" spans="1:22" ht="15" x14ac:dyDescent="0.2">
      <c r="A239" s="739">
        <v>1531</v>
      </c>
      <c r="B239" s="743" t="s">
        <v>38</v>
      </c>
      <c r="C239" s="736">
        <v>47480.21</v>
      </c>
      <c r="D239" s="736">
        <v>53210</v>
      </c>
      <c r="E239" s="749">
        <v>50333.919999999998</v>
      </c>
      <c r="F239" s="736">
        <v>51206.29</v>
      </c>
      <c r="G239" s="736">
        <v>52850.7</v>
      </c>
      <c r="H239" s="736"/>
      <c r="I239" s="736"/>
      <c r="J239" s="736">
        <f t="shared" ref="J239:J254" si="81">G239+H239-I239</f>
        <v>52850.7</v>
      </c>
      <c r="K239" s="736"/>
      <c r="L239" s="736">
        <v>0.08</v>
      </c>
      <c r="M239" s="736">
        <f t="shared" ref="M239:M254" si="82">J239+K239-L239</f>
        <v>52850.619999999995</v>
      </c>
      <c r="N239" s="736"/>
      <c r="O239" s="736"/>
      <c r="P239" s="736">
        <f t="shared" ref="P239:P254" si="83">M239+N239-O239</f>
        <v>52850.619999999995</v>
      </c>
      <c r="Q239" s="738">
        <v>52850.62</v>
      </c>
      <c r="R239" s="738"/>
      <c r="S239" s="751"/>
      <c r="T239" s="739">
        <v>1500521</v>
      </c>
      <c r="U239" s="750"/>
      <c r="V239" s="739">
        <v>1500522</v>
      </c>
    </row>
    <row r="240" spans="1:22" ht="15" x14ac:dyDescent="0.2">
      <c r="A240" s="739">
        <v>2111</v>
      </c>
      <c r="B240" s="743" t="s">
        <v>22</v>
      </c>
      <c r="C240" s="736">
        <v>652.85</v>
      </c>
      <c r="D240" s="736">
        <v>0</v>
      </c>
      <c r="E240" s="749">
        <v>5000</v>
      </c>
      <c r="F240" s="736">
        <v>861</v>
      </c>
      <c r="G240" s="736">
        <v>3000</v>
      </c>
      <c r="H240" s="736"/>
      <c r="I240" s="736"/>
      <c r="J240" s="736">
        <f t="shared" si="81"/>
        <v>3000</v>
      </c>
      <c r="K240" s="736"/>
      <c r="L240" s="736"/>
      <c r="M240" s="736">
        <f t="shared" si="82"/>
        <v>3000</v>
      </c>
      <c r="N240" s="736"/>
      <c r="O240" s="736"/>
      <c r="P240" s="736">
        <f t="shared" si="83"/>
        <v>3000</v>
      </c>
      <c r="Q240" s="738"/>
      <c r="R240" s="738"/>
      <c r="S240" s="738"/>
      <c r="T240" s="739">
        <v>1100121</v>
      </c>
      <c r="U240" s="745"/>
      <c r="V240" s="739">
        <v>1100122</v>
      </c>
    </row>
    <row r="241" spans="1:22" ht="15" x14ac:dyDescent="0.2">
      <c r="A241" s="739">
        <v>2112</v>
      </c>
      <c r="B241" s="743" t="s">
        <v>39</v>
      </c>
      <c r="C241" s="736"/>
      <c r="D241" s="736">
        <v>0</v>
      </c>
      <c r="E241" s="749">
        <v>500</v>
      </c>
      <c r="F241" s="736">
        <v>0</v>
      </c>
      <c r="G241" s="736">
        <v>1000</v>
      </c>
      <c r="H241" s="736"/>
      <c r="I241" s="736"/>
      <c r="J241" s="736">
        <f t="shared" si="81"/>
        <v>1000</v>
      </c>
      <c r="K241" s="736"/>
      <c r="L241" s="736"/>
      <c r="M241" s="736">
        <f t="shared" si="82"/>
        <v>1000</v>
      </c>
      <c r="N241" s="736"/>
      <c r="O241" s="736"/>
      <c r="P241" s="736">
        <f t="shared" si="83"/>
        <v>1000</v>
      </c>
      <c r="Q241" s="738">
        <v>590</v>
      </c>
      <c r="R241" s="738"/>
      <c r="S241" s="738"/>
      <c r="T241" s="739">
        <v>1100121</v>
      </c>
      <c r="U241" s="745"/>
      <c r="V241" s="739">
        <v>1100122</v>
      </c>
    </row>
    <row r="242" spans="1:22" ht="15" x14ac:dyDescent="0.2">
      <c r="A242" s="739">
        <v>2121</v>
      </c>
      <c r="B242" s="743" t="s">
        <v>24</v>
      </c>
      <c r="C242" s="736">
        <v>4795</v>
      </c>
      <c r="D242" s="736">
        <v>0</v>
      </c>
      <c r="E242" s="749">
        <v>4000</v>
      </c>
      <c r="F242" s="736">
        <v>985</v>
      </c>
      <c r="G242" s="736">
        <v>4000</v>
      </c>
      <c r="H242" s="736"/>
      <c r="I242" s="736"/>
      <c r="J242" s="736">
        <f t="shared" si="81"/>
        <v>4000</v>
      </c>
      <c r="K242" s="736"/>
      <c r="L242" s="736"/>
      <c r="M242" s="736">
        <f t="shared" si="82"/>
        <v>4000</v>
      </c>
      <c r="N242" s="736"/>
      <c r="O242" s="736"/>
      <c r="P242" s="736">
        <f t="shared" si="83"/>
        <v>4000</v>
      </c>
      <c r="Q242" s="738">
        <v>4000</v>
      </c>
      <c r="R242" s="738"/>
      <c r="S242" s="738"/>
      <c r="T242" s="739">
        <v>1100121</v>
      </c>
      <c r="U242" s="745"/>
      <c r="V242" s="739">
        <v>1100122</v>
      </c>
    </row>
    <row r="243" spans="1:22" ht="15" x14ac:dyDescent="0.2">
      <c r="A243" s="739">
        <v>2212</v>
      </c>
      <c r="B243" s="743" t="s">
        <v>40</v>
      </c>
      <c r="C243" s="736">
        <v>1797.1</v>
      </c>
      <c r="D243" s="736">
        <v>0</v>
      </c>
      <c r="E243" s="749">
        <v>10000</v>
      </c>
      <c r="F243" s="736">
        <v>376</v>
      </c>
      <c r="G243" s="736">
        <v>5000</v>
      </c>
      <c r="H243" s="736"/>
      <c r="I243" s="736"/>
      <c r="J243" s="736">
        <f t="shared" si="81"/>
        <v>5000</v>
      </c>
      <c r="K243" s="736"/>
      <c r="L243" s="736"/>
      <c r="M243" s="736">
        <f t="shared" si="82"/>
        <v>5000</v>
      </c>
      <c r="N243" s="736"/>
      <c r="O243" s="736"/>
      <c r="P243" s="736">
        <f t="shared" si="83"/>
        <v>5000</v>
      </c>
      <c r="Q243" s="738"/>
      <c r="R243" s="738"/>
      <c r="S243" s="738"/>
      <c r="T243" s="739">
        <v>1100121</v>
      </c>
      <c r="U243" s="745"/>
      <c r="V243" s="739">
        <v>1100122</v>
      </c>
    </row>
    <row r="244" spans="1:22" ht="30" x14ac:dyDescent="0.2">
      <c r="A244" s="739">
        <v>2612</v>
      </c>
      <c r="B244" s="743" t="s">
        <v>26</v>
      </c>
      <c r="C244" s="736">
        <v>53634.16</v>
      </c>
      <c r="D244" s="736">
        <v>0</v>
      </c>
      <c r="E244" s="749">
        <v>40000</v>
      </c>
      <c r="F244" s="736">
        <v>38650.83</v>
      </c>
      <c r="G244" s="736">
        <v>40000</v>
      </c>
      <c r="H244" s="736"/>
      <c r="I244" s="736"/>
      <c r="J244" s="736">
        <f t="shared" si="81"/>
        <v>40000</v>
      </c>
      <c r="K244" s="736"/>
      <c r="L244" s="736"/>
      <c r="M244" s="736">
        <f t="shared" si="82"/>
        <v>40000</v>
      </c>
      <c r="N244" s="736"/>
      <c r="O244" s="736"/>
      <c r="P244" s="736">
        <f t="shared" si="83"/>
        <v>40000</v>
      </c>
      <c r="Q244" s="738">
        <v>40000</v>
      </c>
      <c r="R244" s="738"/>
      <c r="S244" s="738"/>
      <c r="T244" s="739">
        <v>1100121</v>
      </c>
      <c r="U244" s="745"/>
      <c r="V244" s="739">
        <v>1100122</v>
      </c>
    </row>
    <row r="245" spans="1:22" ht="15" x14ac:dyDescent="0.2">
      <c r="A245" s="739">
        <v>2941</v>
      </c>
      <c r="B245" s="743" t="s">
        <v>79</v>
      </c>
      <c r="C245" s="736"/>
      <c r="D245" s="736">
        <v>0</v>
      </c>
      <c r="E245" s="749"/>
      <c r="F245" s="736">
        <v>990</v>
      </c>
      <c r="G245" s="736"/>
      <c r="H245" s="736"/>
      <c r="I245" s="736"/>
      <c r="J245" s="736">
        <f t="shared" si="81"/>
        <v>0</v>
      </c>
      <c r="K245" s="736"/>
      <c r="L245" s="736"/>
      <c r="M245" s="736">
        <f t="shared" si="82"/>
        <v>0</v>
      </c>
      <c r="N245" s="736"/>
      <c r="O245" s="736"/>
      <c r="P245" s="738">
        <f t="shared" si="83"/>
        <v>0</v>
      </c>
      <c r="Q245" s="738"/>
      <c r="R245" s="738"/>
      <c r="S245" s="738"/>
      <c r="T245" s="739">
        <v>1100121</v>
      </c>
      <c r="U245" s="745"/>
      <c r="V245" s="739">
        <v>1100122</v>
      </c>
    </row>
    <row r="246" spans="1:22" ht="30" x14ac:dyDescent="0.2">
      <c r="A246" s="739">
        <v>3361</v>
      </c>
      <c r="B246" s="743" t="s">
        <v>29</v>
      </c>
      <c r="C246" s="736">
        <v>301.60000000000002</v>
      </c>
      <c r="D246" s="736">
        <v>0</v>
      </c>
      <c r="E246" s="749">
        <v>2000</v>
      </c>
      <c r="F246" s="736">
        <v>0</v>
      </c>
      <c r="G246" s="736">
        <v>2000</v>
      </c>
      <c r="H246" s="736"/>
      <c r="I246" s="736"/>
      <c r="J246" s="736">
        <f t="shared" si="81"/>
        <v>2000</v>
      </c>
      <c r="K246" s="736"/>
      <c r="L246" s="736"/>
      <c r="M246" s="736">
        <f t="shared" si="82"/>
        <v>2000</v>
      </c>
      <c r="N246" s="736"/>
      <c r="O246" s="736"/>
      <c r="P246" s="736">
        <f t="shared" si="83"/>
        <v>2000</v>
      </c>
      <c r="Q246" s="738"/>
      <c r="R246" s="738"/>
      <c r="S246" s="738"/>
      <c r="T246" s="739">
        <v>1100121</v>
      </c>
      <c r="U246" s="745"/>
      <c r="V246" s="739">
        <v>1100122</v>
      </c>
    </row>
    <row r="247" spans="1:22" ht="15" x14ac:dyDescent="0.2">
      <c r="A247" s="739">
        <v>3551</v>
      </c>
      <c r="B247" s="743" t="s">
        <v>30</v>
      </c>
      <c r="C247" s="736">
        <v>9717.1</v>
      </c>
      <c r="D247" s="736">
        <v>0</v>
      </c>
      <c r="E247" s="736"/>
      <c r="F247" s="736">
        <v>0</v>
      </c>
      <c r="G247" s="736">
        <v>4000</v>
      </c>
      <c r="H247" s="736"/>
      <c r="I247" s="736"/>
      <c r="J247" s="736">
        <f t="shared" si="81"/>
        <v>4000</v>
      </c>
      <c r="K247" s="736"/>
      <c r="L247" s="736"/>
      <c r="M247" s="736">
        <f t="shared" si="82"/>
        <v>4000</v>
      </c>
      <c r="N247" s="736"/>
      <c r="O247" s="736"/>
      <c r="P247" s="736">
        <f t="shared" si="83"/>
        <v>4000</v>
      </c>
      <c r="Q247" s="738">
        <v>3469.01</v>
      </c>
      <c r="R247" s="738"/>
      <c r="S247" s="738"/>
      <c r="T247" s="739">
        <v>1100121</v>
      </c>
      <c r="U247" s="745"/>
      <c r="V247" s="739">
        <v>1100122</v>
      </c>
    </row>
    <row r="248" spans="1:22" ht="15" x14ac:dyDescent="0.2">
      <c r="A248" s="739">
        <v>3691</v>
      </c>
      <c r="B248" s="743" t="s">
        <v>72</v>
      </c>
      <c r="C248" s="736">
        <v>1638</v>
      </c>
      <c r="D248" s="736">
        <v>0</v>
      </c>
      <c r="E248" s="749">
        <v>2000</v>
      </c>
      <c r="F248" s="736">
        <v>1638</v>
      </c>
      <c r="G248" s="736">
        <v>2000</v>
      </c>
      <c r="H248" s="736"/>
      <c r="I248" s="736"/>
      <c r="J248" s="736">
        <f t="shared" si="81"/>
        <v>2000</v>
      </c>
      <c r="K248" s="736"/>
      <c r="L248" s="736"/>
      <c r="M248" s="736">
        <f t="shared" si="82"/>
        <v>2000</v>
      </c>
      <c r="N248" s="736"/>
      <c r="O248" s="736"/>
      <c r="P248" s="736">
        <f t="shared" si="83"/>
        <v>2000</v>
      </c>
      <c r="Q248" s="738">
        <v>1638</v>
      </c>
      <c r="R248" s="738"/>
      <c r="S248" s="738"/>
      <c r="T248" s="739">
        <v>1100121</v>
      </c>
      <c r="U248" s="745"/>
      <c r="V248" s="739">
        <v>1100122</v>
      </c>
    </row>
    <row r="249" spans="1:22" ht="15" x14ac:dyDescent="0.2">
      <c r="A249" s="739">
        <v>3712</v>
      </c>
      <c r="B249" s="743" t="s">
        <v>43</v>
      </c>
      <c r="C249" s="736">
        <v>12100</v>
      </c>
      <c r="D249" s="736">
        <v>0</v>
      </c>
      <c r="E249" s="736"/>
      <c r="F249" s="736">
        <v>0</v>
      </c>
      <c r="G249" s="736"/>
      <c r="H249" s="736"/>
      <c r="I249" s="736"/>
      <c r="J249" s="736">
        <f t="shared" si="81"/>
        <v>0</v>
      </c>
      <c r="K249" s="736"/>
      <c r="L249" s="736"/>
      <c r="M249" s="736">
        <f t="shared" si="82"/>
        <v>0</v>
      </c>
      <c r="N249" s="736"/>
      <c r="O249" s="736"/>
      <c r="P249" s="738">
        <f t="shared" si="83"/>
        <v>0</v>
      </c>
      <c r="Q249" s="738"/>
      <c r="R249" s="738"/>
      <c r="S249" s="738"/>
      <c r="T249" s="739">
        <v>1100121</v>
      </c>
      <c r="U249" s="745"/>
      <c r="V249" s="739">
        <v>1100122</v>
      </c>
    </row>
    <row r="250" spans="1:22" ht="15" x14ac:dyDescent="0.2">
      <c r="A250" s="739">
        <v>3751</v>
      </c>
      <c r="B250" s="743" t="s">
        <v>44</v>
      </c>
      <c r="C250" s="736">
        <v>7146.45</v>
      </c>
      <c r="D250" s="736">
        <v>0</v>
      </c>
      <c r="E250" s="736"/>
      <c r="F250" s="736">
        <v>0</v>
      </c>
      <c r="G250" s="736"/>
      <c r="H250" s="736"/>
      <c r="I250" s="736"/>
      <c r="J250" s="736">
        <f t="shared" si="81"/>
        <v>0</v>
      </c>
      <c r="K250" s="736"/>
      <c r="L250" s="736"/>
      <c r="M250" s="736">
        <f t="shared" si="82"/>
        <v>0</v>
      </c>
      <c r="N250" s="736"/>
      <c r="O250" s="736"/>
      <c r="P250" s="738">
        <f t="shared" si="83"/>
        <v>0</v>
      </c>
      <c r="Q250" s="738"/>
      <c r="R250" s="738"/>
      <c r="S250" s="738"/>
      <c r="T250" s="739">
        <v>1100121</v>
      </c>
      <c r="U250" s="745"/>
      <c r="V250" s="739">
        <v>1100122</v>
      </c>
    </row>
    <row r="251" spans="1:22" ht="15" x14ac:dyDescent="0.2">
      <c r="A251" s="739">
        <v>3761</v>
      </c>
      <c r="B251" s="743" t="s">
        <v>80</v>
      </c>
      <c r="C251" s="736">
        <v>2491.73</v>
      </c>
      <c r="D251" s="736">
        <v>0</v>
      </c>
      <c r="E251" s="736"/>
      <c r="F251" s="736">
        <v>0</v>
      </c>
      <c r="G251" s="736"/>
      <c r="H251" s="736"/>
      <c r="I251" s="736"/>
      <c r="J251" s="736">
        <f t="shared" si="81"/>
        <v>0</v>
      </c>
      <c r="K251" s="736"/>
      <c r="L251" s="736"/>
      <c r="M251" s="736">
        <f t="shared" si="82"/>
        <v>0</v>
      </c>
      <c r="N251" s="736"/>
      <c r="O251" s="736"/>
      <c r="P251" s="738">
        <f t="shared" si="83"/>
        <v>0</v>
      </c>
      <c r="Q251" s="738"/>
      <c r="R251" s="738"/>
      <c r="S251" s="738"/>
      <c r="T251" s="739">
        <v>1100121</v>
      </c>
      <c r="U251" s="745"/>
      <c r="V251" s="739">
        <v>1100122</v>
      </c>
    </row>
    <row r="252" spans="1:22" ht="15" x14ac:dyDescent="0.2">
      <c r="A252" s="739">
        <v>3791</v>
      </c>
      <c r="B252" s="743" t="s">
        <v>45</v>
      </c>
      <c r="C252" s="736">
        <v>243</v>
      </c>
      <c r="D252" s="736">
        <v>0</v>
      </c>
      <c r="E252" s="736"/>
      <c r="F252" s="736">
        <v>0</v>
      </c>
      <c r="G252" s="736"/>
      <c r="H252" s="736"/>
      <c r="I252" s="736"/>
      <c r="J252" s="736">
        <f t="shared" si="81"/>
        <v>0</v>
      </c>
      <c r="K252" s="736"/>
      <c r="L252" s="736"/>
      <c r="M252" s="736">
        <f t="shared" si="82"/>
        <v>0</v>
      </c>
      <c r="N252" s="736"/>
      <c r="O252" s="736"/>
      <c r="P252" s="738">
        <f t="shared" si="83"/>
        <v>0</v>
      </c>
      <c r="Q252" s="738"/>
      <c r="R252" s="738"/>
      <c r="S252" s="738"/>
      <c r="T252" s="739">
        <v>1100121</v>
      </c>
      <c r="U252" s="745"/>
      <c r="V252" s="739">
        <v>1100122</v>
      </c>
    </row>
    <row r="253" spans="1:22" ht="15" x14ac:dyDescent="0.2">
      <c r="A253" s="739">
        <v>3852</v>
      </c>
      <c r="B253" s="743" t="s">
        <v>32</v>
      </c>
      <c r="C253" s="736">
        <v>14901.93</v>
      </c>
      <c r="D253" s="736">
        <v>400000</v>
      </c>
      <c r="E253" s="749">
        <v>15000</v>
      </c>
      <c r="F253" s="736">
        <v>2378.7600000000002</v>
      </c>
      <c r="G253" s="752">
        <v>110958</v>
      </c>
      <c r="H253" s="752"/>
      <c r="I253" s="752"/>
      <c r="J253" s="736">
        <f t="shared" si="81"/>
        <v>110958</v>
      </c>
      <c r="K253" s="752"/>
      <c r="L253" s="752"/>
      <c r="M253" s="736">
        <f t="shared" si="82"/>
        <v>110958</v>
      </c>
      <c r="N253" s="736"/>
      <c r="O253" s="736"/>
      <c r="P253" s="736">
        <f t="shared" si="83"/>
        <v>110958</v>
      </c>
      <c r="Q253" s="753">
        <v>2000</v>
      </c>
      <c r="R253" s="738"/>
      <c r="S253" s="753"/>
      <c r="T253" s="739">
        <v>1100121</v>
      </c>
      <c r="U253" s="745"/>
      <c r="V253" s="739">
        <v>1100122</v>
      </c>
    </row>
    <row r="254" spans="1:22" ht="15" x14ac:dyDescent="0.2">
      <c r="A254" s="739">
        <v>4411</v>
      </c>
      <c r="B254" s="743" t="s">
        <v>34</v>
      </c>
      <c r="C254" s="736">
        <v>288954</v>
      </c>
      <c r="D254" s="736">
        <v>0</v>
      </c>
      <c r="E254" s="749">
        <v>321500</v>
      </c>
      <c r="F254" s="736">
        <v>349414.66</v>
      </c>
      <c r="G254" s="736">
        <v>228042</v>
      </c>
      <c r="H254" s="736"/>
      <c r="I254" s="736"/>
      <c r="J254" s="736">
        <f t="shared" si="81"/>
        <v>228042</v>
      </c>
      <c r="K254" s="736"/>
      <c r="L254" s="736"/>
      <c r="M254" s="736">
        <f t="shared" si="82"/>
        <v>228042</v>
      </c>
      <c r="N254" s="736"/>
      <c r="O254" s="736"/>
      <c r="P254" s="736">
        <f t="shared" si="83"/>
        <v>228042</v>
      </c>
      <c r="Q254" s="738">
        <v>257344.99</v>
      </c>
      <c r="R254" s="738"/>
      <c r="S254" s="738"/>
      <c r="T254" s="739">
        <v>1100121</v>
      </c>
      <c r="U254" s="745"/>
      <c r="V254" s="739">
        <v>1100122</v>
      </c>
    </row>
    <row r="255" spans="1:22" ht="15" x14ac:dyDescent="0.2">
      <c r="A255" s="724" t="s">
        <v>1689</v>
      </c>
      <c r="B255" s="725" t="s">
        <v>1690</v>
      </c>
      <c r="C255" s="721">
        <f t="shared" ref="C255:S255" si="84">SUM(C256)</f>
        <v>441172.14</v>
      </c>
      <c r="D255" s="721">
        <f t="shared" si="84"/>
        <v>453210</v>
      </c>
      <c r="E255" s="721">
        <f t="shared" si="84"/>
        <v>450333.92</v>
      </c>
      <c r="F255" s="721">
        <f t="shared" si="84"/>
        <v>443205.79</v>
      </c>
      <c r="G255" s="721">
        <f t="shared" si="84"/>
        <v>452850.7</v>
      </c>
      <c r="H255" s="721">
        <f t="shared" si="84"/>
        <v>0</v>
      </c>
      <c r="I255" s="721">
        <f t="shared" si="84"/>
        <v>0</v>
      </c>
      <c r="J255" s="721">
        <f t="shared" si="84"/>
        <v>452850.7</v>
      </c>
      <c r="K255" s="721">
        <f t="shared" si="84"/>
        <v>0</v>
      </c>
      <c r="L255" s="721">
        <f t="shared" si="84"/>
        <v>0.08</v>
      </c>
      <c r="M255" s="721">
        <f t="shared" si="84"/>
        <v>452850.62</v>
      </c>
      <c r="N255" s="721">
        <f t="shared" si="84"/>
        <v>0</v>
      </c>
      <c r="O255" s="721">
        <f t="shared" si="84"/>
        <v>0</v>
      </c>
      <c r="P255" s="721">
        <f t="shared" si="84"/>
        <v>452850.62</v>
      </c>
      <c r="Q255" s="756">
        <f t="shared" si="84"/>
        <v>361892.62</v>
      </c>
      <c r="R255" s="756">
        <f t="shared" si="84"/>
        <v>0</v>
      </c>
      <c r="S255" s="756">
        <f t="shared" si="84"/>
        <v>0</v>
      </c>
      <c r="T255" s="724"/>
      <c r="U255" s="726">
        <f t="shared" ref="U255" si="85">SUM(U256)</f>
        <v>0</v>
      </c>
      <c r="V255" s="724"/>
    </row>
    <row r="256" spans="1:22" ht="15" x14ac:dyDescent="0.2">
      <c r="A256" s="728" t="s">
        <v>55</v>
      </c>
      <c r="B256" s="729" t="s">
        <v>1578</v>
      </c>
      <c r="C256" s="730">
        <f t="shared" ref="C256:S256" si="86">SUM(C257:C261)</f>
        <v>441172.14</v>
      </c>
      <c r="D256" s="730">
        <f t="shared" si="86"/>
        <v>453210</v>
      </c>
      <c r="E256" s="730">
        <f t="shared" si="86"/>
        <v>450333.92</v>
      </c>
      <c r="F256" s="730">
        <f t="shared" si="86"/>
        <v>443205.79</v>
      </c>
      <c r="G256" s="730">
        <f t="shared" si="86"/>
        <v>452850.7</v>
      </c>
      <c r="H256" s="730">
        <f t="shared" si="86"/>
        <v>0</v>
      </c>
      <c r="I256" s="730">
        <f t="shared" si="86"/>
        <v>0</v>
      </c>
      <c r="J256" s="730">
        <f t="shared" si="86"/>
        <v>452850.7</v>
      </c>
      <c r="K256" s="730">
        <f t="shared" si="86"/>
        <v>0</v>
      </c>
      <c r="L256" s="730">
        <f t="shared" si="86"/>
        <v>0.08</v>
      </c>
      <c r="M256" s="730">
        <f t="shared" si="86"/>
        <v>452850.62</v>
      </c>
      <c r="N256" s="730">
        <f t="shared" si="86"/>
        <v>0</v>
      </c>
      <c r="O256" s="730">
        <f t="shared" si="86"/>
        <v>0</v>
      </c>
      <c r="P256" s="730">
        <f t="shared" si="86"/>
        <v>452850.62</v>
      </c>
      <c r="Q256" s="748">
        <f t="shared" si="86"/>
        <v>361892.62</v>
      </c>
      <c r="R256" s="748">
        <f t="shared" si="86"/>
        <v>0</v>
      </c>
      <c r="S256" s="748">
        <f t="shared" si="86"/>
        <v>0</v>
      </c>
      <c r="T256" s="731"/>
      <c r="U256" s="732"/>
      <c r="V256" s="728"/>
    </row>
    <row r="257" spans="1:22" ht="15" x14ac:dyDescent="0.2">
      <c r="A257" s="739">
        <v>1531</v>
      </c>
      <c r="B257" s="743" t="s">
        <v>38</v>
      </c>
      <c r="C257" s="736">
        <v>47480.21</v>
      </c>
      <c r="D257" s="736">
        <v>53210</v>
      </c>
      <c r="E257" s="749">
        <v>50333.919999999998</v>
      </c>
      <c r="F257" s="736">
        <v>51206.29</v>
      </c>
      <c r="G257" s="736">
        <v>52850.7</v>
      </c>
      <c r="H257" s="736"/>
      <c r="I257" s="736"/>
      <c r="J257" s="736">
        <f t="shared" ref="J257:J261" si="87">G257+H257-I257</f>
        <v>52850.7</v>
      </c>
      <c r="K257" s="736"/>
      <c r="L257" s="736">
        <v>0.08</v>
      </c>
      <c r="M257" s="736">
        <f t="shared" ref="M257:M261" si="88">J257+K257-L257</f>
        <v>52850.619999999995</v>
      </c>
      <c r="N257" s="736"/>
      <c r="O257" s="736"/>
      <c r="P257" s="736">
        <f t="shared" ref="P257:P261" si="89">M257+N257-O257</f>
        <v>52850.619999999995</v>
      </c>
      <c r="Q257" s="738">
        <v>52850.62</v>
      </c>
      <c r="R257" s="738"/>
      <c r="S257" s="751"/>
      <c r="T257" s="739">
        <v>1500521</v>
      </c>
      <c r="U257" s="750"/>
      <c r="V257" s="739">
        <v>1500522</v>
      </c>
    </row>
    <row r="258" spans="1:22" ht="15" x14ac:dyDescent="0.2">
      <c r="A258" s="739">
        <v>2111</v>
      </c>
      <c r="B258" s="743" t="s">
        <v>22</v>
      </c>
      <c r="C258" s="736">
        <v>956</v>
      </c>
      <c r="D258" s="736">
        <v>0</v>
      </c>
      <c r="E258" s="749">
        <v>6000</v>
      </c>
      <c r="F258" s="736">
        <v>645.5</v>
      </c>
      <c r="G258" s="736"/>
      <c r="H258" s="736"/>
      <c r="I258" s="736"/>
      <c r="J258" s="736">
        <f t="shared" si="87"/>
        <v>0</v>
      </c>
      <c r="K258" s="736"/>
      <c r="L258" s="736"/>
      <c r="M258" s="736">
        <f t="shared" si="88"/>
        <v>0</v>
      </c>
      <c r="N258" s="736"/>
      <c r="O258" s="736"/>
      <c r="P258" s="738">
        <f t="shared" si="89"/>
        <v>0</v>
      </c>
      <c r="Q258" s="738"/>
      <c r="R258" s="738"/>
      <c r="S258" s="738"/>
      <c r="T258" s="739">
        <v>1100121</v>
      </c>
      <c r="U258" s="745"/>
      <c r="V258" s="739">
        <v>1100122</v>
      </c>
    </row>
    <row r="259" spans="1:22" ht="15" x14ac:dyDescent="0.2">
      <c r="A259" s="739">
        <v>3691</v>
      </c>
      <c r="B259" s="743" t="s">
        <v>72</v>
      </c>
      <c r="C259" s="736">
        <v>3838</v>
      </c>
      <c r="D259" s="736">
        <v>0</v>
      </c>
      <c r="E259" s="749">
        <v>4000</v>
      </c>
      <c r="F259" s="736">
        <v>3938</v>
      </c>
      <c r="G259" s="736">
        <v>5000</v>
      </c>
      <c r="H259" s="736"/>
      <c r="I259" s="736"/>
      <c r="J259" s="736">
        <f t="shared" si="87"/>
        <v>5000</v>
      </c>
      <c r="K259" s="736"/>
      <c r="L259" s="736"/>
      <c r="M259" s="736">
        <f t="shared" si="88"/>
        <v>5000</v>
      </c>
      <c r="N259" s="736"/>
      <c r="O259" s="736"/>
      <c r="P259" s="736">
        <f t="shared" si="89"/>
        <v>5000</v>
      </c>
      <c r="Q259" s="738">
        <v>5000</v>
      </c>
      <c r="R259" s="738"/>
      <c r="S259" s="738"/>
      <c r="T259" s="739">
        <v>1100121</v>
      </c>
      <c r="U259" s="745"/>
      <c r="V259" s="739">
        <v>1100122</v>
      </c>
    </row>
    <row r="260" spans="1:22" ht="15" x14ac:dyDescent="0.2">
      <c r="A260" s="739">
        <v>3852</v>
      </c>
      <c r="B260" s="743" t="s">
        <v>32</v>
      </c>
      <c r="C260" s="736"/>
      <c r="D260" s="736">
        <v>400000</v>
      </c>
      <c r="E260" s="749">
        <v>0</v>
      </c>
      <c r="F260" s="736">
        <v>0</v>
      </c>
      <c r="G260" s="752">
        <v>90958</v>
      </c>
      <c r="H260" s="752"/>
      <c r="I260" s="752"/>
      <c r="J260" s="736">
        <f t="shared" si="87"/>
        <v>90958</v>
      </c>
      <c r="K260" s="752"/>
      <c r="L260" s="752"/>
      <c r="M260" s="736">
        <f t="shared" si="88"/>
        <v>90958</v>
      </c>
      <c r="N260" s="736"/>
      <c r="O260" s="736"/>
      <c r="P260" s="736">
        <f t="shared" si="89"/>
        <v>90958</v>
      </c>
      <c r="Q260" s="753"/>
      <c r="R260" s="738"/>
      <c r="S260" s="753"/>
      <c r="T260" s="739">
        <v>1100121</v>
      </c>
      <c r="U260" s="745"/>
      <c r="V260" s="739">
        <v>1100122</v>
      </c>
    </row>
    <row r="261" spans="1:22" ht="15" x14ac:dyDescent="0.2">
      <c r="A261" s="739">
        <v>4411</v>
      </c>
      <c r="B261" s="743" t="s">
        <v>34</v>
      </c>
      <c r="C261" s="736">
        <v>388897.93</v>
      </c>
      <c r="D261" s="736">
        <v>0</v>
      </c>
      <c r="E261" s="749">
        <v>390000</v>
      </c>
      <c r="F261" s="736">
        <v>387416</v>
      </c>
      <c r="G261" s="736">
        <v>304042</v>
      </c>
      <c r="H261" s="736"/>
      <c r="I261" s="736"/>
      <c r="J261" s="736">
        <f t="shared" si="87"/>
        <v>304042</v>
      </c>
      <c r="K261" s="736"/>
      <c r="L261" s="736"/>
      <c r="M261" s="736">
        <f t="shared" si="88"/>
        <v>304042</v>
      </c>
      <c r="N261" s="736"/>
      <c r="O261" s="736"/>
      <c r="P261" s="736">
        <f t="shared" si="89"/>
        <v>304042</v>
      </c>
      <c r="Q261" s="738">
        <v>304042</v>
      </c>
      <c r="R261" s="738"/>
      <c r="S261" s="738"/>
      <c r="T261" s="739">
        <v>1100121</v>
      </c>
      <c r="U261" s="745"/>
      <c r="V261" s="739">
        <v>1100122</v>
      </c>
    </row>
    <row r="262" spans="1:22" ht="15" x14ac:dyDescent="0.2">
      <c r="A262" s="724" t="s">
        <v>1691</v>
      </c>
      <c r="B262" s="725" t="s">
        <v>1692</v>
      </c>
      <c r="C262" s="721">
        <f t="shared" ref="C262:S262" si="90">SUM(C263)</f>
        <v>436840.79000000004</v>
      </c>
      <c r="D262" s="721">
        <f t="shared" si="90"/>
        <v>453210</v>
      </c>
      <c r="E262" s="721">
        <f t="shared" si="90"/>
        <v>450333.92</v>
      </c>
      <c r="F262" s="721">
        <f t="shared" si="90"/>
        <v>438161.6</v>
      </c>
      <c r="G262" s="721">
        <f t="shared" si="90"/>
        <v>452850.7</v>
      </c>
      <c r="H262" s="721">
        <f t="shared" si="90"/>
        <v>0</v>
      </c>
      <c r="I262" s="721">
        <f t="shared" si="90"/>
        <v>0</v>
      </c>
      <c r="J262" s="721">
        <f t="shared" si="90"/>
        <v>452850.7</v>
      </c>
      <c r="K262" s="721">
        <f t="shared" si="90"/>
        <v>0</v>
      </c>
      <c r="L262" s="721">
        <f t="shared" si="90"/>
        <v>0.08</v>
      </c>
      <c r="M262" s="721">
        <f t="shared" si="90"/>
        <v>452850.62</v>
      </c>
      <c r="N262" s="721">
        <f t="shared" si="90"/>
        <v>0</v>
      </c>
      <c r="O262" s="721">
        <f t="shared" si="90"/>
        <v>0</v>
      </c>
      <c r="P262" s="721">
        <f t="shared" si="90"/>
        <v>452850.62</v>
      </c>
      <c r="Q262" s="756">
        <f t="shared" si="90"/>
        <v>361892.62</v>
      </c>
      <c r="R262" s="756">
        <f t="shared" si="90"/>
        <v>0</v>
      </c>
      <c r="S262" s="756">
        <f t="shared" si="90"/>
        <v>0</v>
      </c>
      <c r="T262" s="724"/>
      <c r="U262" s="726">
        <f t="shared" ref="U262" si="91">SUM(U263)</f>
        <v>0</v>
      </c>
      <c r="V262" s="724"/>
    </row>
    <row r="263" spans="1:22" ht="15" x14ac:dyDescent="0.2">
      <c r="A263" s="728" t="s">
        <v>55</v>
      </c>
      <c r="B263" s="729" t="s">
        <v>1578</v>
      </c>
      <c r="C263" s="730">
        <f t="shared" ref="C263:S263" si="92">SUM(C264:C273)</f>
        <v>436840.79000000004</v>
      </c>
      <c r="D263" s="730">
        <f t="shared" si="92"/>
        <v>453210</v>
      </c>
      <c r="E263" s="730">
        <f t="shared" si="92"/>
        <v>450333.92</v>
      </c>
      <c r="F263" s="730">
        <f t="shared" si="92"/>
        <v>438161.6</v>
      </c>
      <c r="G263" s="730">
        <f t="shared" si="92"/>
        <v>452850.7</v>
      </c>
      <c r="H263" s="730">
        <f t="shared" si="92"/>
        <v>0</v>
      </c>
      <c r="I263" s="730">
        <f t="shared" si="92"/>
        <v>0</v>
      </c>
      <c r="J263" s="730">
        <f t="shared" si="92"/>
        <v>452850.7</v>
      </c>
      <c r="K263" s="730">
        <f t="shared" si="92"/>
        <v>0</v>
      </c>
      <c r="L263" s="730">
        <f t="shared" si="92"/>
        <v>0.08</v>
      </c>
      <c r="M263" s="730">
        <f t="shared" si="92"/>
        <v>452850.62</v>
      </c>
      <c r="N263" s="730">
        <f t="shared" si="92"/>
        <v>0</v>
      </c>
      <c r="O263" s="730">
        <f t="shared" si="92"/>
        <v>0</v>
      </c>
      <c r="P263" s="730">
        <f t="shared" si="92"/>
        <v>452850.62</v>
      </c>
      <c r="Q263" s="748">
        <f t="shared" si="92"/>
        <v>361892.62</v>
      </c>
      <c r="R263" s="748">
        <f t="shared" si="92"/>
        <v>0</v>
      </c>
      <c r="S263" s="748">
        <f t="shared" si="92"/>
        <v>0</v>
      </c>
      <c r="T263" s="731"/>
      <c r="U263" s="732"/>
      <c r="V263" s="728"/>
    </row>
    <row r="264" spans="1:22" ht="15" x14ac:dyDescent="0.2">
      <c r="A264" s="739">
        <v>1531</v>
      </c>
      <c r="B264" s="743" t="s">
        <v>38</v>
      </c>
      <c r="C264" s="736">
        <v>47480.21</v>
      </c>
      <c r="D264" s="736">
        <v>53210</v>
      </c>
      <c r="E264" s="749">
        <v>50333.919999999998</v>
      </c>
      <c r="F264" s="736">
        <v>51206.29</v>
      </c>
      <c r="G264" s="736">
        <v>52850.7</v>
      </c>
      <c r="H264" s="736"/>
      <c r="I264" s="736"/>
      <c r="J264" s="736">
        <f t="shared" ref="J264:J273" si="93">G264+H264-I264</f>
        <v>52850.7</v>
      </c>
      <c r="K264" s="736"/>
      <c r="L264" s="736">
        <v>0.08</v>
      </c>
      <c r="M264" s="736">
        <f t="shared" ref="M264:M273" si="94">J264+K264-L264</f>
        <v>52850.619999999995</v>
      </c>
      <c r="N264" s="736"/>
      <c r="O264" s="736"/>
      <c r="P264" s="736">
        <f t="shared" ref="P264:P273" si="95">M264+N264-O264</f>
        <v>52850.619999999995</v>
      </c>
      <c r="Q264" s="738">
        <v>52850.62</v>
      </c>
      <c r="R264" s="738"/>
      <c r="S264" s="751"/>
      <c r="T264" s="739">
        <v>1500521</v>
      </c>
      <c r="U264" s="750"/>
      <c r="V264" s="739">
        <v>1500522</v>
      </c>
    </row>
    <row r="265" spans="1:22" ht="15" x14ac:dyDescent="0.2">
      <c r="A265" s="739">
        <v>2111</v>
      </c>
      <c r="B265" s="743" t="s">
        <v>22</v>
      </c>
      <c r="C265" s="736">
        <v>8754.81</v>
      </c>
      <c r="D265" s="736">
        <v>0</v>
      </c>
      <c r="E265" s="749">
        <v>0</v>
      </c>
      <c r="F265" s="736">
        <v>0</v>
      </c>
      <c r="G265" s="736">
        <v>12500</v>
      </c>
      <c r="H265" s="736"/>
      <c r="I265" s="736"/>
      <c r="J265" s="736">
        <f t="shared" si="93"/>
        <v>12500</v>
      </c>
      <c r="K265" s="736"/>
      <c r="L265" s="736"/>
      <c r="M265" s="736">
        <f t="shared" si="94"/>
        <v>12500</v>
      </c>
      <c r="N265" s="736"/>
      <c r="O265" s="736"/>
      <c r="P265" s="736">
        <f t="shared" si="95"/>
        <v>12500</v>
      </c>
      <c r="Q265" s="738">
        <v>1650</v>
      </c>
      <c r="R265" s="738"/>
      <c r="S265" s="738"/>
      <c r="T265" s="739">
        <v>1100121</v>
      </c>
      <c r="U265" s="745"/>
      <c r="V265" s="739">
        <v>1100122</v>
      </c>
    </row>
    <row r="266" spans="1:22" ht="15" x14ac:dyDescent="0.2">
      <c r="A266" s="739">
        <v>2112</v>
      </c>
      <c r="B266" s="743" t="s">
        <v>39</v>
      </c>
      <c r="C266" s="736"/>
      <c r="D266" s="736">
        <v>0</v>
      </c>
      <c r="E266" s="749">
        <v>729</v>
      </c>
      <c r="F266" s="736">
        <v>729</v>
      </c>
      <c r="G266" s="736">
        <v>9000</v>
      </c>
      <c r="H266" s="736"/>
      <c r="I266" s="736"/>
      <c r="J266" s="736">
        <f t="shared" si="93"/>
        <v>9000</v>
      </c>
      <c r="K266" s="736"/>
      <c r="L266" s="736"/>
      <c r="M266" s="736">
        <f t="shared" si="94"/>
        <v>9000</v>
      </c>
      <c r="N266" s="736"/>
      <c r="O266" s="736"/>
      <c r="P266" s="736">
        <f t="shared" si="95"/>
        <v>9000</v>
      </c>
      <c r="Q266" s="738"/>
      <c r="R266" s="738"/>
      <c r="S266" s="738"/>
      <c r="T266" s="739">
        <v>1100121</v>
      </c>
      <c r="U266" s="745"/>
      <c r="V266" s="739">
        <v>1100122</v>
      </c>
    </row>
    <row r="267" spans="1:22" ht="15" x14ac:dyDescent="0.2">
      <c r="A267" s="739">
        <v>2121</v>
      </c>
      <c r="B267" s="743" t="s">
        <v>24</v>
      </c>
      <c r="C267" s="736">
        <v>10257.42</v>
      </c>
      <c r="D267" s="736">
        <v>0</v>
      </c>
      <c r="E267" s="749">
        <v>16500</v>
      </c>
      <c r="F267" s="736">
        <v>8960</v>
      </c>
      <c r="G267" s="736">
        <v>39000</v>
      </c>
      <c r="H267" s="736"/>
      <c r="I267" s="736"/>
      <c r="J267" s="736">
        <f t="shared" si="93"/>
        <v>39000</v>
      </c>
      <c r="K267" s="736"/>
      <c r="L267" s="736"/>
      <c r="M267" s="736">
        <f t="shared" si="94"/>
        <v>39000</v>
      </c>
      <c r="N267" s="736"/>
      <c r="O267" s="736"/>
      <c r="P267" s="736">
        <f t="shared" si="95"/>
        <v>39000</v>
      </c>
      <c r="Q267" s="738">
        <v>7840</v>
      </c>
      <c r="R267" s="738"/>
      <c r="S267" s="738"/>
      <c r="T267" s="739">
        <v>1100121</v>
      </c>
      <c r="U267" s="745"/>
      <c r="V267" s="739">
        <v>1100122</v>
      </c>
    </row>
    <row r="268" spans="1:22" ht="30" x14ac:dyDescent="0.2">
      <c r="A268" s="739">
        <v>2612</v>
      </c>
      <c r="B268" s="743" t="s">
        <v>26</v>
      </c>
      <c r="C268" s="736">
        <v>75678.929999999993</v>
      </c>
      <c r="D268" s="736">
        <v>0</v>
      </c>
      <c r="E268" s="749">
        <v>52000</v>
      </c>
      <c r="F268" s="736">
        <v>51921.83</v>
      </c>
      <c r="G268" s="736">
        <v>40000</v>
      </c>
      <c r="H268" s="736"/>
      <c r="I268" s="736"/>
      <c r="J268" s="736">
        <f t="shared" si="93"/>
        <v>40000</v>
      </c>
      <c r="K268" s="736"/>
      <c r="L268" s="736"/>
      <c r="M268" s="736">
        <f t="shared" si="94"/>
        <v>40000</v>
      </c>
      <c r="N268" s="736"/>
      <c r="O268" s="736"/>
      <c r="P268" s="736">
        <f t="shared" si="95"/>
        <v>40000</v>
      </c>
      <c r="Q268" s="738">
        <v>40000</v>
      </c>
      <c r="R268" s="738"/>
      <c r="S268" s="738"/>
      <c r="T268" s="739">
        <v>1100121</v>
      </c>
      <c r="U268" s="745"/>
      <c r="V268" s="739">
        <v>1100122</v>
      </c>
    </row>
    <row r="269" spans="1:22" ht="30" x14ac:dyDescent="0.2">
      <c r="A269" s="739">
        <v>3361</v>
      </c>
      <c r="B269" s="743" t="s">
        <v>29</v>
      </c>
      <c r="C269" s="736"/>
      <c r="D269" s="736">
        <v>0</v>
      </c>
      <c r="E269" s="749">
        <v>500</v>
      </c>
      <c r="F269" s="736">
        <v>0</v>
      </c>
      <c r="G269" s="736">
        <v>7500</v>
      </c>
      <c r="H269" s="736"/>
      <c r="I269" s="736"/>
      <c r="J269" s="736">
        <f t="shared" si="93"/>
        <v>7500</v>
      </c>
      <c r="K269" s="736"/>
      <c r="L269" s="736"/>
      <c r="M269" s="736">
        <f t="shared" si="94"/>
        <v>7500</v>
      </c>
      <c r="N269" s="736"/>
      <c r="O269" s="736"/>
      <c r="P269" s="736">
        <f t="shared" si="95"/>
        <v>7500</v>
      </c>
      <c r="Q269" s="738"/>
      <c r="R269" s="738"/>
      <c r="S269" s="738"/>
      <c r="T269" s="739">
        <v>1100121</v>
      </c>
      <c r="U269" s="745"/>
      <c r="V269" s="739">
        <v>1100122</v>
      </c>
    </row>
    <row r="270" spans="1:22" ht="15" x14ac:dyDescent="0.2">
      <c r="A270" s="739">
        <v>3551</v>
      </c>
      <c r="B270" s="743" t="s">
        <v>30</v>
      </c>
      <c r="C270" s="736">
        <v>8250.41</v>
      </c>
      <c r="D270" s="736">
        <v>0</v>
      </c>
      <c r="E270" s="749">
        <v>8500</v>
      </c>
      <c r="F270" s="736">
        <v>8497.64</v>
      </c>
      <c r="G270" s="736">
        <v>10000</v>
      </c>
      <c r="H270" s="736"/>
      <c r="I270" s="736"/>
      <c r="J270" s="736">
        <f t="shared" si="93"/>
        <v>10000</v>
      </c>
      <c r="K270" s="736"/>
      <c r="L270" s="736"/>
      <c r="M270" s="736">
        <f t="shared" si="94"/>
        <v>10000</v>
      </c>
      <c r="N270" s="736"/>
      <c r="O270" s="736"/>
      <c r="P270" s="736">
        <f t="shared" si="95"/>
        <v>10000</v>
      </c>
      <c r="Q270" s="738">
        <v>9076.16</v>
      </c>
      <c r="R270" s="738"/>
      <c r="S270" s="738"/>
      <c r="T270" s="739">
        <v>1100121</v>
      </c>
      <c r="U270" s="745"/>
      <c r="V270" s="739">
        <v>1100122</v>
      </c>
    </row>
    <row r="271" spans="1:22" ht="15" x14ac:dyDescent="0.2">
      <c r="A271" s="739">
        <v>3751</v>
      </c>
      <c r="B271" s="743" t="s">
        <v>44</v>
      </c>
      <c r="C271" s="736"/>
      <c r="D271" s="736">
        <v>0</v>
      </c>
      <c r="E271" s="749">
        <v>0</v>
      </c>
      <c r="F271" s="736">
        <v>0</v>
      </c>
      <c r="G271" s="736">
        <v>2000</v>
      </c>
      <c r="H271" s="736"/>
      <c r="I271" s="736"/>
      <c r="J271" s="736">
        <f t="shared" si="93"/>
        <v>2000</v>
      </c>
      <c r="K271" s="736"/>
      <c r="L271" s="736"/>
      <c r="M271" s="736">
        <f t="shared" si="94"/>
        <v>2000</v>
      </c>
      <c r="N271" s="736"/>
      <c r="O271" s="736"/>
      <c r="P271" s="736">
        <f t="shared" si="95"/>
        <v>2000</v>
      </c>
      <c r="Q271" s="738"/>
      <c r="R271" s="738"/>
      <c r="S271" s="738"/>
      <c r="T271" s="739">
        <v>1100121</v>
      </c>
      <c r="U271" s="745"/>
      <c r="V271" s="739">
        <v>1100122</v>
      </c>
    </row>
    <row r="272" spans="1:22" ht="15" x14ac:dyDescent="0.2">
      <c r="A272" s="739">
        <v>3852</v>
      </c>
      <c r="B272" s="743" t="s">
        <v>32</v>
      </c>
      <c r="C272" s="736">
        <v>16359.01</v>
      </c>
      <c r="D272" s="736">
        <v>400000</v>
      </c>
      <c r="E272" s="749">
        <v>16000</v>
      </c>
      <c r="F272" s="736">
        <v>11111.84</v>
      </c>
      <c r="G272" s="752">
        <v>120000</v>
      </c>
      <c r="H272" s="752"/>
      <c r="I272" s="752"/>
      <c r="J272" s="736">
        <f t="shared" si="93"/>
        <v>120000</v>
      </c>
      <c r="K272" s="752"/>
      <c r="L272" s="752"/>
      <c r="M272" s="736">
        <f t="shared" si="94"/>
        <v>120000</v>
      </c>
      <c r="N272" s="736"/>
      <c r="O272" s="736"/>
      <c r="P272" s="736">
        <f t="shared" si="95"/>
        <v>120000</v>
      </c>
      <c r="Q272" s="753">
        <v>11062.73</v>
      </c>
      <c r="R272" s="738"/>
      <c r="S272" s="753"/>
      <c r="T272" s="739">
        <v>1100121</v>
      </c>
      <c r="U272" s="745"/>
      <c r="V272" s="739">
        <v>1100122</v>
      </c>
    </row>
    <row r="273" spans="1:22" ht="15" x14ac:dyDescent="0.2">
      <c r="A273" s="739">
        <v>4411</v>
      </c>
      <c r="B273" s="743" t="s">
        <v>34</v>
      </c>
      <c r="C273" s="736">
        <v>270060</v>
      </c>
      <c r="D273" s="736">
        <v>0</v>
      </c>
      <c r="E273" s="749">
        <v>305771</v>
      </c>
      <c r="F273" s="736">
        <v>305735</v>
      </c>
      <c r="G273" s="736">
        <v>160000</v>
      </c>
      <c r="H273" s="736"/>
      <c r="I273" s="736"/>
      <c r="J273" s="736">
        <f t="shared" si="93"/>
        <v>160000</v>
      </c>
      <c r="K273" s="736"/>
      <c r="L273" s="736"/>
      <c r="M273" s="736">
        <f t="shared" si="94"/>
        <v>160000</v>
      </c>
      <c r="N273" s="736"/>
      <c r="O273" s="736"/>
      <c r="P273" s="736">
        <f t="shared" si="95"/>
        <v>160000</v>
      </c>
      <c r="Q273" s="738">
        <v>239413.11</v>
      </c>
      <c r="R273" s="738"/>
      <c r="S273" s="738"/>
      <c r="T273" s="739">
        <v>1100121</v>
      </c>
      <c r="U273" s="745"/>
      <c r="V273" s="739">
        <v>1100122</v>
      </c>
    </row>
    <row r="274" spans="1:22" ht="15" x14ac:dyDescent="0.2">
      <c r="A274" s="724" t="s">
        <v>1693</v>
      </c>
      <c r="B274" s="725" t="s">
        <v>1694</v>
      </c>
      <c r="C274" s="721">
        <f t="shared" ref="C274:S274" si="96">SUM(C275)</f>
        <v>393472.29000000004</v>
      </c>
      <c r="D274" s="721">
        <f t="shared" si="96"/>
        <v>453210</v>
      </c>
      <c r="E274" s="721">
        <f t="shared" si="96"/>
        <v>454466.11</v>
      </c>
      <c r="F274" s="721">
        <f t="shared" si="96"/>
        <v>447411.78</v>
      </c>
      <c r="G274" s="721">
        <f t="shared" si="96"/>
        <v>452850.7</v>
      </c>
      <c r="H274" s="721">
        <f t="shared" si="96"/>
        <v>0</v>
      </c>
      <c r="I274" s="721">
        <f t="shared" si="96"/>
        <v>0</v>
      </c>
      <c r="J274" s="721">
        <f t="shared" si="96"/>
        <v>452850.7</v>
      </c>
      <c r="K274" s="721">
        <f t="shared" si="96"/>
        <v>0</v>
      </c>
      <c r="L274" s="721">
        <f t="shared" si="96"/>
        <v>0.08</v>
      </c>
      <c r="M274" s="721">
        <f t="shared" si="96"/>
        <v>452850.62</v>
      </c>
      <c r="N274" s="721">
        <f t="shared" si="96"/>
        <v>0</v>
      </c>
      <c r="O274" s="721">
        <f t="shared" si="96"/>
        <v>0</v>
      </c>
      <c r="P274" s="721">
        <f t="shared" si="96"/>
        <v>452850.62</v>
      </c>
      <c r="Q274" s="756">
        <f t="shared" si="96"/>
        <v>361892.62</v>
      </c>
      <c r="R274" s="756">
        <f t="shared" si="96"/>
        <v>0</v>
      </c>
      <c r="S274" s="756">
        <f t="shared" si="96"/>
        <v>0</v>
      </c>
      <c r="T274" s="724"/>
      <c r="U274" s="726">
        <f t="shared" ref="U274" si="97">SUM(U275)</f>
        <v>0</v>
      </c>
      <c r="V274" s="724"/>
    </row>
    <row r="275" spans="1:22" ht="15" x14ac:dyDescent="0.2">
      <c r="A275" s="728" t="s">
        <v>55</v>
      </c>
      <c r="B275" s="729" t="s">
        <v>1578</v>
      </c>
      <c r="C275" s="730">
        <f t="shared" ref="C275:S275" si="98">SUM(C276:C287)</f>
        <v>393472.29000000004</v>
      </c>
      <c r="D275" s="730">
        <f t="shared" si="98"/>
        <v>453210</v>
      </c>
      <c r="E275" s="730">
        <f t="shared" si="98"/>
        <v>454466.11</v>
      </c>
      <c r="F275" s="730">
        <f t="shared" si="98"/>
        <v>447411.78</v>
      </c>
      <c r="G275" s="730">
        <f t="shared" si="98"/>
        <v>452850.7</v>
      </c>
      <c r="H275" s="730">
        <f t="shared" si="98"/>
        <v>0</v>
      </c>
      <c r="I275" s="730">
        <f t="shared" si="98"/>
        <v>0</v>
      </c>
      <c r="J275" s="730">
        <f t="shared" si="98"/>
        <v>452850.7</v>
      </c>
      <c r="K275" s="730">
        <f t="shared" si="98"/>
        <v>0</v>
      </c>
      <c r="L275" s="730">
        <f t="shared" si="98"/>
        <v>0.08</v>
      </c>
      <c r="M275" s="730">
        <f t="shared" si="98"/>
        <v>452850.62</v>
      </c>
      <c r="N275" s="730">
        <f t="shared" si="98"/>
        <v>0</v>
      </c>
      <c r="O275" s="730">
        <f t="shared" si="98"/>
        <v>0</v>
      </c>
      <c r="P275" s="730">
        <f t="shared" si="98"/>
        <v>452850.62</v>
      </c>
      <c r="Q275" s="748">
        <f t="shared" si="98"/>
        <v>361892.62</v>
      </c>
      <c r="R275" s="748">
        <f t="shared" si="98"/>
        <v>0</v>
      </c>
      <c r="S275" s="748">
        <f t="shared" si="98"/>
        <v>0</v>
      </c>
      <c r="T275" s="731"/>
      <c r="U275" s="732"/>
      <c r="V275" s="728"/>
    </row>
    <row r="276" spans="1:22" ht="15" x14ac:dyDescent="0.2">
      <c r="A276" s="739">
        <v>1531</v>
      </c>
      <c r="B276" s="743" t="s">
        <v>38</v>
      </c>
      <c r="C276" s="736"/>
      <c r="D276" s="736">
        <v>53210</v>
      </c>
      <c r="E276" s="749">
        <v>54466.11</v>
      </c>
      <c r="F276" s="736">
        <v>56231.839999999997</v>
      </c>
      <c r="G276" s="736">
        <v>52850.7</v>
      </c>
      <c r="H276" s="736"/>
      <c r="I276" s="736"/>
      <c r="J276" s="736">
        <f t="shared" ref="J276:J287" si="99">G276+H276-I276</f>
        <v>52850.7</v>
      </c>
      <c r="K276" s="736"/>
      <c r="L276" s="736">
        <v>0.08</v>
      </c>
      <c r="M276" s="736">
        <f t="shared" ref="M276:M287" si="100">J276+K276-L276</f>
        <v>52850.619999999995</v>
      </c>
      <c r="N276" s="736"/>
      <c r="O276" s="736"/>
      <c r="P276" s="736">
        <f t="shared" ref="P276:P287" si="101">M276+N276-O276</f>
        <v>52850.619999999995</v>
      </c>
      <c r="Q276" s="738">
        <v>52850.62</v>
      </c>
      <c r="R276" s="738"/>
      <c r="S276" s="751"/>
      <c r="T276" s="739">
        <v>1500521</v>
      </c>
      <c r="U276" s="750"/>
      <c r="V276" s="739">
        <v>1500522</v>
      </c>
    </row>
    <row r="277" spans="1:22" ht="15" x14ac:dyDescent="0.2">
      <c r="A277" s="739">
        <v>2111</v>
      </c>
      <c r="B277" s="743" t="s">
        <v>22</v>
      </c>
      <c r="C277" s="736"/>
      <c r="D277" s="736">
        <v>0</v>
      </c>
      <c r="E277" s="749">
        <v>0</v>
      </c>
      <c r="F277" s="736">
        <v>0</v>
      </c>
      <c r="G277" s="736"/>
      <c r="H277" s="736"/>
      <c r="I277" s="736"/>
      <c r="J277" s="736">
        <f t="shared" si="99"/>
        <v>0</v>
      </c>
      <c r="K277" s="736"/>
      <c r="L277" s="736"/>
      <c r="M277" s="736">
        <f t="shared" si="100"/>
        <v>0</v>
      </c>
      <c r="N277" s="736"/>
      <c r="O277" s="736"/>
      <c r="P277" s="738">
        <f t="shared" si="101"/>
        <v>0</v>
      </c>
      <c r="Q277" s="738"/>
      <c r="R277" s="738"/>
      <c r="S277" s="738"/>
      <c r="T277" s="739">
        <v>1100121</v>
      </c>
      <c r="U277" s="745"/>
      <c r="V277" s="739">
        <v>1100122</v>
      </c>
    </row>
    <row r="278" spans="1:22" ht="15" x14ac:dyDescent="0.2">
      <c r="A278" s="739">
        <v>2112</v>
      </c>
      <c r="B278" s="743" t="s">
        <v>39</v>
      </c>
      <c r="C278" s="736">
        <v>6029.2</v>
      </c>
      <c r="D278" s="736">
        <v>0</v>
      </c>
      <c r="E278" s="749">
        <v>600</v>
      </c>
      <c r="F278" s="736">
        <v>561.64</v>
      </c>
      <c r="G278" s="736">
        <v>10000</v>
      </c>
      <c r="H278" s="736"/>
      <c r="I278" s="736"/>
      <c r="J278" s="736">
        <f t="shared" si="99"/>
        <v>10000</v>
      </c>
      <c r="K278" s="736"/>
      <c r="L278" s="736"/>
      <c r="M278" s="736">
        <f t="shared" si="100"/>
        <v>10000</v>
      </c>
      <c r="N278" s="736"/>
      <c r="O278" s="736"/>
      <c r="P278" s="736">
        <f t="shared" si="101"/>
        <v>10000</v>
      </c>
      <c r="Q278" s="738">
        <v>2100</v>
      </c>
      <c r="R278" s="738"/>
      <c r="S278" s="738"/>
      <c r="T278" s="739">
        <v>1100121</v>
      </c>
      <c r="U278" s="745"/>
      <c r="V278" s="739">
        <v>1100122</v>
      </c>
    </row>
    <row r="279" spans="1:22" ht="15" x14ac:dyDescent="0.2">
      <c r="A279" s="739">
        <v>2121</v>
      </c>
      <c r="B279" s="743" t="s">
        <v>24</v>
      </c>
      <c r="C279" s="736"/>
      <c r="D279" s="736">
        <v>0</v>
      </c>
      <c r="E279" s="749">
        <v>2500</v>
      </c>
      <c r="F279" s="736">
        <v>0</v>
      </c>
      <c r="G279" s="736"/>
      <c r="H279" s="736"/>
      <c r="I279" s="736"/>
      <c r="J279" s="736">
        <f t="shared" si="99"/>
        <v>0</v>
      </c>
      <c r="K279" s="736"/>
      <c r="L279" s="736"/>
      <c r="M279" s="736">
        <f t="shared" si="100"/>
        <v>0</v>
      </c>
      <c r="N279" s="736"/>
      <c r="O279" s="736"/>
      <c r="P279" s="738">
        <f t="shared" si="101"/>
        <v>0</v>
      </c>
      <c r="Q279" s="738"/>
      <c r="R279" s="738"/>
      <c r="S279" s="738"/>
      <c r="T279" s="739">
        <v>1100121</v>
      </c>
      <c r="U279" s="745"/>
      <c r="V279" s="739">
        <v>1100122</v>
      </c>
    </row>
    <row r="280" spans="1:22" ht="15" x14ac:dyDescent="0.2">
      <c r="A280" s="739">
        <v>2212</v>
      </c>
      <c r="B280" s="743" t="s">
        <v>40</v>
      </c>
      <c r="C280" s="736">
        <v>5990.62</v>
      </c>
      <c r="D280" s="736">
        <v>0</v>
      </c>
      <c r="E280" s="749">
        <v>0</v>
      </c>
      <c r="F280" s="736">
        <v>0</v>
      </c>
      <c r="G280" s="736">
        <v>6000</v>
      </c>
      <c r="H280" s="736"/>
      <c r="I280" s="736"/>
      <c r="J280" s="736">
        <f t="shared" si="99"/>
        <v>6000</v>
      </c>
      <c r="K280" s="736"/>
      <c r="L280" s="736"/>
      <c r="M280" s="736">
        <f t="shared" si="100"/>
        <v>6000</v>
      </c>
      <c r="N280" s="736"/>
      <c r="O280" s="736"/>
      <c r="P280" s="736">
        <f t="shared" si="101"/>
        <v>6000</v>
      </c>
      <c r="Q280" s="738">
        <v>309</v>
      </c>
      <c r="R280" s="738"/>
      <c r="S280" s="738"/>
      <c r="T280" s="739">
        <v>1100121</v>
      </c>
      <c r="U280" s="745"/>
      <c r="V280" s="739">
        <v>1100122</v>
      </c>
    </row>
    <row r="281" spans="1:22" ht="30" x14ac:dyDescent="0.2">
      <c r="A281" s="739">
        <v>2612</v>
      </c>
      <c r="B281" s="743" t="s">
        <v>26</v>
      </c>
      <c r="C281" s="736">
        <v>45966.53</v>
      </c>
      <c r="D281" s="736">
        <v>0</v>
      </c>
      <c r="E281" s="749">
        <v>35000</v>
      </c>
      <c r="F281" s="736">
        <v>34458.78</v>
      </c>
      <c r="G281" s="736">
        <v>28000</v>
      </c>
      <c r="H281" s="736"/>
      <c r="I281" s="736"/>
      <c r="J281" s="736">
        <f t="shared" si="99"/>
        <v>28000</v>
      </c>
      <c r="K281" s="736"/>
      <c r="L281" s="736"/>
      <c r="M281" s="736">
        <f t="shared" si="100"/>
        <v>28000</v>
      </c>
      <c r="N281" s="736"/>
      <c r="O281" s="736"/>
      <c r="P281" s="736">
        <f t="shared" si="101"/>
        <v>28000</v>
      </c>
      <c r="Q281" s="738">
        <v>28000</v>
      </c>
      <c r="R281" s="738"/>
      <c r="S281" s="738"/>
      <c r="T281" s="739">
        <v>1100121</v>
      </c>
      <c r="U281" s="745"/>
      <c r="V281" s="739">
        <v>1100122</v>
      </c>
    </row>
    <row r="282" spans="1:22" ht="30" x14ac:dyDescent="0.2">
      <c r="A282" s="739">
        <v>3361</v>
      </c>
      <c r="B282" s="743" t="s">
        <v>29</v>
      </c>
      <c r="C282" s="736"/>
      <c r="D282" s="736">
        <v>0</v>
      </c>
      <c r="E282" s="749">
        <v>0</v>
      </c>
      <c r="F282" s="736">
        <v>0</v>
      </c>
      <c r="G282" s="736">
        <v>1000</v>
      </c>
      <c r="H282" s="736"/>
      <c r="I282" s="736"/>
      <c r="J282" s="736">
        <f t="shared" si="99"/>
        <v>1000</v>
      </c>
      <c r="K282" s="736"/>
      <c r="L282" s="736"/>
      <c r="M282" s="736">
        <f t="shared" si="100"/>
        <v>1000</v>
      </c>
      <c r="N282" s="736"/>
      <c r="O282" s="736"/>
      <c r="P282" s="736">
        <f t="shared" si="101"/>
        <v>1000</v>
      </c>
      <c r="Q282" s="738"/>
      <c r="R282" s="738"/>
      <c r="S282" s="738"/>
      <c r="T282" s="739">
        <v>1100121</v>
      </c>
      <c r="U282" s="745"/>
      <c r="V282" s="739">
        <v>1100122</v>
      </c>
    </row>
    <row r="283" spans="1:22" ht="15" x14ac:dyDescent="0.2">
      <c r="A283" s="739">
        <v>3551</v>
      </c>
      <c r="B283" s="743" t="s">
        <v>30</v>
      </c>
      <c r="C283" s="736">
        <v>2490</v>
      </c>
      <c r="D283" s="736">
        <v>0</v>
      </c>
      <c r="E283" s="749">
        <v>10000</v>
      </c>
      <c r="F283" s="736">
        <v>10000</v>
      </c>
      <c r="G283" s="736">
        <v>10000</v>
      </c>
      <c r="H283" s="736"/>
      <c r="I283" s="736"/>
      <c r="J283" s="736">
        <f t="shared" si="99"/>
        <v>10000</v>
      </c>
      <c r="K283" s="736"/>
      <c r="L283" s="736"/>
      <c r="M283" s="736">
        <f t="shared" si="100"/>
        <v>10000</v>
      </c>
      <c r="N283" s="736"/>
      <c r="O283" s="736"/>
      <c r="P283" s="736">
        <f t="shared" si="101"/>
        <v>10000</v>
      </c>
      <c r="Q283" s="738">
        <v>10000</v>
      </c>
      <c r="R283" s="738"/>
      <c r="S283" s="738"/>
      <c r="T283" s="739">
        <v>1100121</v>
      </c>
      <c r="U283" s="745"/>
      <c r="V283" s="739">
        <v>1100122</v>
      </c>
    </row>
    <row r="284" spans="1:22" ht="15" x14ac:dyDescent="0.2">
      <c r="A284" s="739">
        <v>3751</v>
      </c>
      <c r="B284" s="743" t="s">
        <v>44</v>
      </c>
      <c r="C284" s="736">
        <v>946</v>
      </c>
      <c r="D284" s="736">
        <v>0</v>
      </c>
      <c r="E284" s="749">
        <v>5000</v>
      </c>
      <c r="F284" s="736">
        <v>0</v>
      </c>
      <c r="G284" s="736"/>
      <c r="H284" s="736"/>
      <c r="I284" s="736"/>
      <c r="J284" s="736">
        <f t="shared" si="99"/>
        <v>0</v>
      </c>
      <c r="K284" s="736"/>
      <c r="L284" s="736"/>
      <c r="M284" s="736">
        <f t="shared" si="100"/>
        <v>0</v>
      </c>
      <c r="N284" s="736"/>
      <c r="O284" s="736"/>
      <c r="P284" s="738">
        <f t="shared" si="101"/>
        <v>0</v>
      </c>
      <c r="Q284" s="738"/>
      <c r="R284" s="738"/>
      <c r="S284" s="738"/>
      <c r="T284" s="739">
        <v>1100121</v>
      </c>
      <c r="U284" s="745"/>
      <c r="V284" s="739">
        <v>1100122</v>
      </c>
    </row>
    <row r="285" spans="1:22" ht="15" x14ac:dyDescent="0.2">
      <c r="A285" s="739">
        <v>3821</v>
      </c>
      <c r="B285" s="743" t="s">
        <v>31</v>
      </c>
      <c r="C285" s="736">
        <v>950</v>
      </c>
      <c r="D285" s="736"/>
      <c r="E285" s="749"/>
      <c r="F285" s="736"/>
      <c r="G285" s="736"/>
      <c r="H285" s="736"/>
      <c r="I285" s="736"/>
      <c r="J285" s="736">
        <f t="shared" si="99"/>
        <v>0</v>
      </c>
      <c r="K285" s="736"/>
      <c r="L285" s="736"/>
      <c r="M285" s="736">
        <f t="shared" si="100"/>
        <v>0</v>
      </c>
      <c r="N285" s="736"/>
      <c r="O285" s="736"/>
      <c r="P285" s="738">
        <f t="shared" si="101"/>
        <v>0</v>
      </c>
      <c r="Q285" s="738"/>
      <c r="R285" s="738"/>
      <c r="S285" s="738"/>
      <c r="T285" s="739"/>
      <c r="U285" s="745"/>
      <c r="V285" s="739"/>
    </row>
    <row r="286" spans="1:22" ht="15" x14ac:dyDescent="0.2">
      <c r="A286" s="739">
        <v>3852</v>
      </c>
      <c r="B286" s="743" t="s">
        <v>32</v>
      </c>
      <c r="C286" s="736">
        <v>25344.98</v>
      </c>
      <c r="D286" s="736">
        <v>400000</v>
      </c>
      <c r="E286" s="749">
        <v>35000</v>
      </c>
      <c r="F286" s="736">
        <v>28299.52</v>
      </c>
      <c r="G286" s="752">
        <v>125958</v>
      </c>
      <c r="H286" s="752"/>
      <c r="I286" s="752"/>
      <c r="J286" s="736">
        <f t="shared" si="99"/>
        <v>125958</v>
      </c>
      <c r="K286" s="752"/>
      <c r="L286" s="752"/>
      <c r="M286" s="736">
        <f t="shared" si="100"/>
        <v>125958</v>
      </c>
      <c r="N286" s="736"/>
      <c r="O286" s="736"/>
      <c r="P286" s="736">
        <f t="shared" si="101"/>
        <v>125958</v>
      </c>
      <c r="Q286" s="753">
        <v>35000</v>
      </c>
      <c r="R286" s="738"/>
      <c r="S286" s="753"/>
      <c r="T286" s="739">
        <v>1100121</v>
      </c>
      <c r="U286" s="745"/>
      <c r="V286" s="739">
        <v>1100122</v>
      </c>
    </row>
    <row r="287" spans="1:22" ht="15" x14ac:dyDescent="0.2">
      <c r="A287" s="739">
        <v>4411</v>
      </c>
      <c r="B287" s="743" t="s">
        <v>34</v>
      </c>
      <c r="C287" s="736">
        <v>305754.96000000002</v>
      </c>
      <c r="D287" s="736">
        <v>0</v>
      </c>
      <c r="E287" s="749">
        <v>311900</v>
      </c>
      <c r="F287" s="736">
        <v>317860</v>
      </c>
      <c r="G287" s="736">
        <v>219042</v>
      </c>
      <c r="H287" s="736"/>
      <c r="I287" s="736"/>
      <c r="J287" s="736">
        <f t="shared" si="99"/>
        <v>219042</v>
      </c>
      <c r="K287" s="736"/>
      <c r="L287" s="736"/>
      <c r="M287" s="736">
        <f t="shared" si="100"/>
        <v>219042</v>
      </c>
      <c r="N287" s="736"/>
      <c r="O287" s="736"/>
      <c r="P287" s="736">
        <f t="shared" si="101"/>
        <v>219042</v>
      </c>
      <c r="Q287" s="738">
        <v>233633</v>
      </c>
      <c r="R287" s="738"/>
      <c r="S287" s="738"/>
      <c r="T287" s="739">
        <v>1100121</v>
      </c>
      <c r="U287" s="745"/>
      <c r="V287" s="739">
        <v>1100122</v>
      </c>
    </row>
    <row r="288" spans="1:22" ht="15" x14ac:dyDescent="0.2">
      <c r="A288" s="724" t="s">
        <v>1695</v>
      </c>
      <c r="B288" s="725" t="s">
        <v>1696</v>
      </c>
      <c r="C288" s="721">
        <f t="shared" ref="C288:S288" si="102">SUM(C289)</f>
        <v>398965.69</v>
      </c>
      <c r="D288" s="721">
        <f t="shared" si="102"/>
        <v>400000</v>
      </c>
      <c r="E288" s="721">
        <f t="shared" si="102"/>
        <v>400000</v>
      </c>
      <c r="F288" s="721">
        <f t="shared" si="102"/>
        <v>398253.59</v>
      </c>
      <c r="G288" s="721">
        <f t="shared" si="102"/>
        <v>400000</v>
      </c>
      <c r="H288" s="721">
        <f t="shared" si="102"/>
        <v>0</v>
      </c>
      <c r="I288" s="721">
        <f t="shared" si="102"/>
        <v>0</v>
      </c>
      <c r="J288" s="721">
        <f t="shared" si="102"/>
        <v>400000</v>
      </c>
      <c r="K288" s="721">
        <f t="shared" si="102"/>
        <v>0</v>
      </c>
      <c r="L288" s="721">
        <f t="shared" si="102"/>
        <v>0</v>
      </c>
      <c r="M288" s="721">
        <f t="shared" si="102"/>
        <v>400000</v>
      </c>
      <c r="N288" s="721">
        <f t="shared" si="102"/>
        <v>0</v>
      </c>
      <c r="O288" s="721">
        <f t="shared" si="102"/>
        <v>0</v>
      </c>
      <c r="P288" s="721">
        <f t="shared" si="102"/>
        <v>400000</v>
      </c>
      <c r="Q288" s="756">
        <f t="shared" si="102"/>
        <v>309042</v>
      </c>
      <c r="R288" s="756">
        <f t="shared" si="102"/>
        <v>0</v>
      </c>
      <c r="S288" s="756">
        <f t="shared" si="102"/>
        <v>0</v>
      </c>
      <c r="T288" s="724"/>
      <c r="U288" s="726">
        <f t="shared" ref="U288" si="103">SUM(U289)</f>
        <v>0</v>
      </c>
      <c r="V288" s="724"/>
    </row>
    <row r="289" spans="1:22" ht="15" x14ac:dyDescent="0.2">
      <c r="A289" s="728" t="s">
        <v>55</v>
      </c>
      <c r="B289" s="729" t="s">
        <v>1578</v>
      </c>
      <c r="C289" s="730">
        <f>SUM(C290:C296)</f>
        <v>398965.69</v>
      </c>
      <c r="D289" s="730">
        <f t="shared" ref="D289:S289" si="104">SUM(D290:D295)</f>
        <v>400000</v>
      </c>
      <c r="E289" s="730">
        <f t="shared" si="104"/>
        <v>400000</v>
      </c>
      <c r="F289" s="730">
        <f t="shared" si="104"/>
        <v>398253.59</v>
      </c>
      <c r="G289" s="730">
        <f t="shared" si="104"/>
        <v>400000</v>
      </c>
      <c r="H289" s="730">
        <f t="shared" si="104"/>
        <v>0</v>
      </c>
      <c r="I289" s="730">
        <f t="shared" si="104"/>
        <v>0</v>
      </c>
      <c r="J289" s="730">
        <f t="shared" si="104"/>
        <v>400000</v>
      </c>
      <c r="K289" s="730">
        <f t="shared" si="104"/>
        <v>0</v>
      </c>
      <c r="L289" s="730">
        <f t="shared" si="104"/>
        <v>0</v>
      </c>
      <c r="M289" s="730">
        <f t="shared" si="104"/>
        <v>400000</v>
      </c>
      <c r="N289" s="730">
        <f t="shared" si="104"/>
        <v>0</v>
      </c>
      <c r="O289" s="730">
        <f t="shared" si="104"/>
        <v>0</v>
      </c>
      <c r="P289" s="730">
        <f t="shared" si="104"/>
        <v>400000</v>
      </c>
      <c r="Q289" s="748">
        <f t="shared" si="104"/>
        <v>309042</v>
      </c>
      <c r="R289" s="748">
        <f t="shared" si="104"/>
        <v>0</v>
      </c>
      <c r="S289" s="748">
        <f t="shared" si="104"/>
        <v>0</v>
      </c>
      <c r="T289" s="731"/>
      <c r="U289" s="732"/>
      <c r="V289" s="728"/>
    </row>
    <row r="290" spans="1:22" ht="15" x14ac:dyDescent="0.2">
      <c r="A290" s="739">
        <v>2111</v>
      </c>
      <c r="B290" s="743" t="s">
        <v>22</v>
      </c>
      <c r="C290" s="736">
        <v>2805.97</v>
      </c>
      <c r="D290" s="736">
        <v>0</v>
      </c>
      <c r="E290" s="749">
        <v>7000</v>
      </c>
      <c r="F290" s="736">
        <v>1760</v>
      </c>
      <c r="G290" s="736">
        <v>7000</v>
      </c>
      <c r="H290" s="736"/>
      <c r="I290" s="736"/>
      <c r="J290" s="736">
        <f t="shared" ref="J290:J296" si="105">G290+H290-I290</f>
        <v>7000</v>
      </c>
      <c r="K290" s="736"/>
      <c r="L290" s="736"/>
      <c r="M290" s="736">
        <f t="shared" ref="M290:M296" si="106">J290+K290-L290</f>
        <v>7000</v>
      </c>
      <c r="N290" s="736"/>
      <c r="O290" s="736"/>
      <c r="P290" s="736">
        <f t="shared" ref="P290:P296" si="107">M290+N290-O290</f>
        <v>7000</v>
      </c>
      <c r="Q290" s="738"/>
      <c r="R290" s="738"/>
      <c r="S290" s="738"/>
      <c r="T290" s="739">
        <v>1100121</v>
      </c>
      <c r="U290" s="745"/>
      <c r="V290" s="739">
        <v>1100122</v>
      </c>
    </row>
    <row r="291" spans="1:22" ht="15" x14ac:dyDescent="0.2">
      <c r="A291" s="739">
        <v>2121</v>
      </c>
      <c r="B291" s="743" t="s">
        <v>24</v>
      </c>
      <c r="C291" s="736">
        <v>3836.03</v>
      </c>
      <c r="D291" s="736">
        <v>0</v>
      </c>
      <c r="E291" s="749">
        <v>4000</v>
      </c>
      <c r="F291" s="736">
        <v>0</v>
      </c>
      <c r="G291" s="736">
        <v>4000</v>
      </c>
      <c r="H291" s="736"/>
      <c r="I291" s="736"/>
      <c r="J291" s="736">
        <f t="shared" si="105"/>
        <v>4000</v>
      </c>
      <c r="K291" s="736"/>
      <c r="L291" s="736"/>
      <c r="M291" s="736">
        <f t="shared" si="106"/>
        <v>4000</v>
      </c>
      <c r="N291" s="736"/>
      <c r="O291" s="736"/>
      <c r="P291" s="736">
        <f t="shared" si="107"/>
        <v>4000</v>
      </c>
      <c r="Q291" s="738"/>
      <c r="R291" s="738"/>
      <c r="S291" s="738"/>
      <c r="T291" s="739">
        <v>1100121</v>
      </c>
      <c r="U291" s="745"/>
      <c r="V291" s="739">
        <v>1100122</v>
      </c>
    </row>
    <row r="292" spans="1:22" ht="30" x14ac:dyDescent="0.2">
      <c r="A292" s="739">
        <v>2612</v>
      </c>
      <c r="B292" s="743" t="s">
        <v>26</v>
      </c>
      <c r="C292" s="736">
        <v>25965.15</v>
      </c>
      <c r="D292" s="736">
        <v>0</v>
      </c>
      <c r="E292" s="749">
        <v>24000</v>
      </c>
      <c r="F292" s="736">
        <v>22200.2</v>
      </c>
      <c r="G292" s="736">
        <v>20000</v>
      </c>
      <c r="H292" s="736"/>
      <c r="I292" s="736"/>
      <c r="J292" s="736">
        <f t="shared" si="105"/>
        <v>20000</v>
      </c>
      <c r="K292" s="736"/>
      <c r="L292" s="736"/>
      <c r="M292" s="736">
        <f t="shared" si="106"/>
        <v>20000</v>
      </c>
      <c r="N292" s="736"/>
      <c r="O292" s="736"/>
      <c r="P292" s="736">
        <f t="shared" si="107"/>
        <v>20000</v>
      </c>
      <c r="Q292" s="738">
        <v>15321.22</v>
      </c>
      <c r="R292" s="738"/>
      <c r="S292" s="738"/>
      <c r="T292" s="739">
        <v>1100121</v>
      </c>
      <c r="U292" s="745"/>
      <c r="V292" s="739">
        <v>1100122</v>
      </c>
    </row>
    <row r="293" spans="1:22" ht="15" x14ac:dyDescent="0.2">
      <c r="A293" s="739">
        <v>3691</v>
      </c>
      <c r="B293" s="743" t="s">
        <v>72</v>
      </c>
      <c r="C293" s="736">
        <v>3838</v>
      </c>
      <c r="D293" s="736">
        <v>0</v>
      </c>
      <c r="E293" s="749">
        <v>5000</v>
      </c>
      <c r="F293" s="736">
        <v>3938</v>
      </c>
      <c r="G293" s="736">
        <v>6000</v>
      </c>
      <c r="H293" s="736"/>
      <c r="I293" s="736"/>
      <c r="J293" s="736">
        <f t="shared" si="105"/>
        <v>6000</v>
      </c>
      <c r="K293" s="736"/>
      <c r="L293" s="736"/>
      <c r="M293" s="736">
        <f t="shared" si="106"/>
        <v>6000</v>
      </c>
      <c r="N293" s="736"/>
      <c r="O293" s="736"/>
      <c r="P293" s="736">
        <f t="shared" si="107"/>
        <v>6000</v>
      </c>
      <c r="Q293" s="738">
        <v>3938</v>
      </c>
      <c r="R293" s="738"/>
      <c r="S293" s="738"/>
      <c r="T293" s="739">
        <v>1100121</v>
      </c>
      <c r="U293" s="745"/>
      <c r="V293" s="739">
        <v>1100122</v>
      </c>
    </row>
    <row r="294" spans="1:22" ht="15" x14ac:dyDescent="0.2">
      <c r="A294" s="739">
        <v>3852</v>
      </c>
      <c r="B294" s="743" t="s">
        <v>32</v>
      </c>
      <c r="C294" s="736">
        <v>9604.08</v>
      </c>
      <c r="D294" s="736">
        <v>400000</v>
      </c>
      <c r="E294" s="749">
        <v>10000</v>
      </c>
      <c r="F294" s="736">
        <v>8674.32</v>
      </c>
      <c r="G294" s="752">
        <v>100958</v>
      </c>
      <c r="H294" s="752"/>
      <c r="I294" s="752"/>
      <c r="J294" s="736">
        <f t="shared" si="105"/>
        <v>100958</v>
      </c>
      <c r="K294" s="752"/>
      <c r="L294" s="752"/>
      <c r="M294" s="736">
        <f t="shared" si="106"/>
        <v>100958</v>
      </c>
      <c r="N294" s="736"/>
      <c r="O294" s="736"/>
      <c r="P294" s="736">
        <f t="shared" si="107"/>
        <v>100958</v>
      </c>
      <c r="Q294" s="753">
        <v>6062.49</v>
      </c>
      <c r="R294" s="738"/>
      <c r="S294" s="753"/>
      <c r="T294" s="739">
        <v>1100121</v>
      </c>
      <c r="U294" s="745"/>
      <c r="V294" s="739">
        <v>1100122</v>
      </c>
    </row>
    <row r="295" spans="1:22" ht="15" x14ac:dyDescent="0.2">
      <c r="A295" s="739">
        <v>4411</v>
      </c>
      <c r="B295" s="743" t="s">
        <v>34</v>
      </c>
      <c r="C295" s="736">
        <v>342917.46</v>
      </c>
      <c r="D295" s="736">
        <v>0</v>
      </c>
      <c r="E295" s="749">
        <v>350000</v>
      </c>
      <c r="F295" s="736">
        <v>361681.07</v>
      </c>
      <c r="G295" s="736">
        <v>262042</v>
      </c>
      <c r="H295" s="736"/>
      <c r="I295" s="736"/>
      <c r="J295" s="736">
        <f t="shared" si="105"/>
        <v>262042</v>
      </c>
      <c r="K295" s="736"/>
      <c r="L295" s="736"/>
      <c r="M295" s="736">
        <f t="shared" si="106"/>
        <v>262042</v>
      </c>
      <c r="N295" s="736"/>
      <c r="O295" s="736"/>
      <c r="P295" s="736">
        <f t="shared" si="107"/>
        <v>262042</v>
      </c>
      <c r="Q295" s="738">
        <v>283720.28999999998</v>
      </c>
      <c r="R295" s="738"/>
      <c r="S295" s="738"/>
      <c r="T295" s="739">
        <v>1100121</v>
      </c>
      <c r="U295" s="745"/>
      <c r="V295" s="739">
        <v>1100122</v>
      </c>
    </row>
    <row r="296" spans="1:22" ht="15" x14ac:dyDescent="0.2">
      <c r="A296" s="739">
        <v>5231</v>
      </c>
      <c r="B296" s="743" t="s">
        <v>81</v>
      </c>
      <c r="C296" s="736">
        <v>9999</v>
      </c>
      <c r="D296" s="736"/>
      <c r="E296" s="736"/>
      <c r="F296" s="736"/>
      <c r="G296" s="736"/>
      <c r="H296" s="736"/>
      <c r="I296" s="736"/>
      <c r="J296" s="736">
        <f t="shared" si="105"/>
        <v>0</v>
      </c>
      <c r="K296" s="736"/>
      <c r="L296" s="736"/>
      <c r="M296" s="736">
        <f t="shared" si="106"/>
        <v>0</v>
      </c>
      <c r="N296" s="736"/>
      <c r="O296" s="736"/>
      <c r="P296" s="738">
        <f t="shared" si="107"/>
        <v>0</v>
      </c>
      <c r="Q296" s="738"/>
      <c r="R296" s="738"/>
      <c r="S296" s="738"/>
      <c r="T296" s="739"/>
      <c r="U296" s="745"/>
      <c r="V296" s="739"/>
    </row>
    <row r="297" spans="1:22" ht="15" x14ac:dyDescent="0.2">
      <c r="A297" s="724" t="s">
        <v>1697</v>
      </c>
      <c r="B297" s="725" t="s">
        <v>1698</v>
      </c>
      <c r="C297" s="721">
        <f t="shared" ref="C297:S297" si="108">SUM(C298)</f>
        <v>396934.11</v>
      </c>
      <c r="D297" s="721">
        <f t="shared" si="108"/>
        <v>400000</v>
      </c>
      <c r="E297" s="721">
        <f t="shared" si="108"/>
        <v>400000</v>
      </c>
      <c r="F297" s="721">
        <f t="shared" si="108"/>
        <v>399300.28</v>
      </c>
      <c r="G297" s="721">
        <f t="shared" si="108"/>
        <v>400000</v>
      </c>
      <c r="H297" s="721">
        <f t="shared" si="108"/>
        <v>0</v>
      </c>
      <c r="I297" s="721">
        <f t="shared" si="108"/>
        <v>0</v>
      </c>
      <c r="J297" s="721">
        <f t="shared" si="108"/>
        <v>400000</v>
      </c>
      <c r="K297" s="721">
        <f t="shared" si="108"/>
        <v>3000</v>
      </c>
      <c r="L297" s="721">
        <f t="shared" si="108"/>
        <v>3000</v>
      </c>
      <c r="M297" s="721">
        <f t="shared" si="108"/>
        <v>400000</v>
      </c>
      <c r="N297" s="721">
        <f t="shared" si="108"/>
        <v>0</v>
      </c>
      <c r="O297" s="721">
        <f t="shared" si="108"/>
        <v>0</v>
      </c>
      <c r="P297" s="721">
        <f t="shared" si="108"/>
        <v>400000</v>
      </c>
      <c r="Q297" s="756">
        <f t="shared" si="108"/>
        <v>309042</v>
      </c>
      <c r="R297" s="756">
        <f t="shared" si="108"/>
        <v>0</v>
      </c>
      <c r="S297" s="756">
        <f t="shared" si="108"/>
        <v>0</v>
      </c>
      <c r="T297" s="724"/>
      <c r="U297" s="726">
        <f t="shared" ref="U297" si="109">SUM(U298)</f>
        <v>0</v>
      </c>
      <c r="V297" s="724"/>
    </row>
    <row r="298" spans="1:22" ht="15" x14ac:dyDescent="0.2">
      <c r="A298" s="728" t="s">
        <v>55</v>
      </c>
      <c r="B298" s="729" t="s">
        <v>1578</v>
      </c>
      <c r="C298" s="730">
        <f t="shared" ref="C298:S298" si="110">SUM(C299:C303)</f>
        <v>396934.11</v>
      </c>
      <c r="D298" s="730">
        <f t="shared" si="110"/>
        <v>400000</v>
      </c>
      <c r="E298" s="730">
        <f t="shared" si="110"/>
        <v>400000</v>
      </c>
      <c r="F298" s="730">
        <f t="shared" si="110"/>
        <v>399300.28</v>
      </c>
      <c r="G298" s="730">
        <f t="shared" si="110"/>
        <v>400000</v>
      </c>
      <c r="H298" s="730">
        <f t="shared" si="110"/>
        <v>0</v>
      </c>
      <c r="I298" s="730">
        <f t="shared" si="110"/>
        <v>0</v>
      </c>
      <c r="J298" s="730">
        <f t="shared" si="110"/>
        <v>400000</v>
      </c>
      <c r="K298" s="730">
        <f t="shared" si="110"/>
        <v>3000</v>
      </c>
      <c r="L298" s="730">
        <f t="shared" si="110"/>
        <v>3000</v>
      </c>
      <c r="M298" s="730">
        <f t="shared" si="110"/>
        <v>400000</v>
      </c>
      <c r="N298" s="730">
        <f t="shared" si="110"/>
        <v>0</v>
      </c>
      <c r="O298" s="730">
        <f t="shared" si="110"/>
        <v>0</v>
      </c>
      <c r="P298" s="730">
        <f t="shared" si="110"/>
        <v>400000</v>
      </c>
      <c r="Q298" s="748">
        <f t="shared" si="110"/>
        <v>309042</v>
      </c>
      <c r="R298" s="748">
        <f t="shared" si="110"/>
        <v>0</v>
      </c>
      <c r="S298" s="748">
        <f t="shared" si="110"/>
        <v>0</v>
      </c>
      <c r="T298" s="731"/>
      <c r="U298" s="732"/>
      <c r="V298" s="728"/>
    </row>
    <row r="299" spans="1:22" ht="15" x14ac:dyDescent="0.2">
      <c r="A299" s="739">
        <v>2111</v>
      </c>
      <c r="B299" s="743" t="s">
        <v>22</v>
      </c>
      <c r="C299" s="736">
        <v>2857</v>
      </c>
      <c r="D299" s="736">
        <v>0</v>
      </c>
      <c r="E299" s="749">
        <v>4502</v>
      </c>
      <c r="F299" s="736">
        <v>3811.72</v>
      </c>
      <c r="G299" s="736">
        <v>10000</v>
      </c>
      <c r="H299" s="736"/>
      <c r="I299" s="736"/>
      <c r="J299" s="736">
        <f t="shared" ref="J299:J303" si="111">G299+H299-I299</f>
        <v>10000</v>
      </c>
      <c r="K299" s="736"/>
      <c r="L299" s="736">
        <v>3000</v>
      </c>
      <c r="M299" s="736">
        <f t="shared" ref="M299:M303" si="112">J299+K299-L299</f>
        <v>7000</v>
      </c>
      <c r="N299" s="736"/>
      <c r="O299" s="736"/>
      <c r="P299" s="736">
        <f t="shared" ref="P299:P303" si="113">M299+N299-O299</f>
        <v>7000</v>
      </c>
      <c r="Q299" s="738">
        <v>7000</v>
      </c>
      <c r="R299" s="738"/>
      <c r="S299" s="738"/>
      <c r="T299" s="739">
        <v>1100121</v>
      </c>
      <c r="U299" s="745"/>
      <c r="V299" s="739">
        <v>1100122</v>
      </c>
    </row>
    <row r="300" spans="1:22" ht="15" x14ac:dyDescent="0.2">
      <c r="A300" s="739">
        <v>2112</v>
      </c>
      <c r="B300" s="743" t="s">
        <v>39</v>
      </c>
      <c r="C300" s="736">
        <v>2350</v>
      </c>
      <c r="D300" s="736">
        <v>0</v>
      </c>
      <c r="E300" s="749">
        <v>3498</v>
      </c>
      <c r="F300" s="736">
        <v>3498</v>
      </c>
      <c r="G300" s="736"/>
      <c r="H300" s="736"/>
      <c r="I300" s="736"/>
      <c r="J300" s="736">
        <f t="shared" si="111"/>
        <v>0</v>
      </c>
      <c r="K300" s="736">
        <v>3000</v>
      </c>
      <c r="L300" s="736"/>
      <c r="M300" s="736">
        <f t="shared" si="112"/>
        <v>3000</v>
      </c>
      <c r="N300" s="736"/>
      <c r="O300" s="736"/>
      <c r="P300" s="736">
        <f t="shared" si="113"/>
        <v>3000</v>
      </c>
      <c r="Q300" s="738">
        <v>3000</v>
      </c>
      <c r="R300" s="738"/>
      <c r="S300" s="738"/>
      <c r="T300" s="739">
        <v>1100121</v>
      </c>
      <c r="U300" s="745"/>
      <c r="V300" s="739">
        <v>1100122</v>
      </c>
    </row>
    <row r="301" spans="1:22" ht="30" x14ac:dyDescent="0.2">
      <c r="A301" s="739">
        <v>3361</v>
      </c>
      <c r="B301" s="743" t="s">
        <v>29</v>
      </c>
      <c r="C301" s="736"/>
      <c r="D301" s="736">
        <v>0</v>
      </c>
      <c r="E301" s="749">
        <v>2000</v>
      </c>
      <c r="F301" s="736">
        <v>1990.56</v>
      </c>
      <c r="G301" s="736"/>
      <c r="H301" s="736"/>
      <c r="I301" s="736"/>
      <c r="J301" s="736">
        <f t="shared" si="111"/>
        <v>0</v>
      </c>
      <c r="K301" s="736"/>
      <c r="L301" s="736"/>
      <c r="M301" s="736">
        <f t="shared" si="112"/>
        <v>0</v>
      </c>
      <c r="N301" s="736"/>
      <c r="O301" s="736"/>
      <c r="P301" s="738">
        <f t="shared" si="113"/>
        <v>0</v>
      </c>
      <c r="Q301" s="738"/>
      <c r="R301" s="738"/>
      <c r="S301" s="738"/>
      <c r="T301" s="739">
        <v>1100121</v>
      </c>
      <c r="U301" s="745"/>
      <c r="V301" s="739">
        <v>1100122</v>
      </c>
    </row>
    <row r="302" spans="1:22" ht="15" x14ac:dyDescent="0.2">
      <c r="A302" s="739">
        <v>3852</v>
      </c>
      <c r="B302" s="743" t="s">
        <v>32</v>
      </c>
      <c r="C302" s="736">
        <v>4341.1099999999997</v>
      </c>
      <c r="D302" s="736">
        <v>400000</v>
      </c>
      <c r="E302" s="749">
        <v>0</v>
      </c>
      <c r="F302" s="736">
        <v>0</v>
      </c>
      <c r="G302" s="752">
        <v>90958</v>
      </c>
      <c r="H302" s="752"/>
      <c r="I302" s="752"/>
      <c r="J302" s="736">
        <f t="shared" si="111"/>
        <v>90958</v>
      </c>
      <c r="K302" s="752"/>
      <c r="L302" s="752"/>
      <c r="M302" s="736">
        <f t="shared" si="112"/>
        <v>90958</v>
      </c>
      <c r="N302" s="736"/>
      <c r="O302" s="736"/>
      <c r="P302" s="736">
        <f t="shared" si="113"/>
        <v>90958</v>
      </c>
      <c r="Q302" s="753"/>
      <c r="R302" s="738"/>
      <c r="S302" s="753"/>
      <c r="T302" s="739">
        <v>1100121</v>
      </c>
      <c r="U302" s="745"/>
      <c r="V302" s="739">
        <v>1100122</v>
      </c>
    </row>
    <row r="303" spans="1:22" ht="15" x14ac:dyDescent="0.2">
      <c r="A303" s="739">
        <v>4411</v>
      </c>
      <c r="B303" s="743" t="s">
        <v>34</v>
      </c>
      <c r="C303" s="736">
        <v>387386</v>
      </c>
      <c r="D303" s="736">
        <v>0</v>
      </c>
      <c r="E303" s="749">
        <v>390000</v>
      </c>
      <c r="F303" s="736">
        <v>390000</v>
      </c>
      <c r="G303" s="736">
        <v>299042</v>
      </c>
      <c r="H303" s="736"/>
      <c r="I303" s="736"/>
      <c r="J303" s="736">
        <f t="shared" si="111"/>
        <v>299042</v>
      </c>
      <c r="K303" s="736"/>
      <c r="L303" s="736"/>
      <c r="M303" s="736">
        <f t="shared" si="112"/>
        <v>299042</v>
      </c>
      <c r="N303" s="736"/>
      <c r="O303" s="736"/>
      <c r="P303" s="736">
        <f t="shared" si="113"/>
        <v>299042</v>
      </c>
      <c r="Q303" s="738">
        <v>299042</v>
      </c>
      <c r="R303" s="738"/>
      <c r="S303" s="738"/>
      <c r="T303" s="739">
        <v>1100121</v>
      </c>
      <c r="U303" s="745"/>
      <c r="V303" s="739">
        <v>1100122</v>
      </c>
    </row>
    <row r="304" spans="1:22" ht="15" x14ac:dyDescent="0.2">
      <c r="A304" s="724" t="s">
        <v>1699</v>
      </c>
      <c r="B304" s="725" t="s">
        <v>1700</v>
      </c>
      <c r="C304" s="721">
        <f t="shared" ref="C304:S304" si="114">SUM(C305)</f>
        <v>444537.29000000004</v>
      </c>
      <c r="D304" s="721">
        <f t="shared" si="114"/>
        <v>453210</v>
      </c>
      <c r="E304" s="721">
        <f t="shared" si="114"/>
        <v>450333.92</v>
      </c>
      <c r="F304" s="721">
        <f t="shared" si="114"/>
        <v>450160.56</v>
      </c>
      <c r="G304" s="721">
        <f t="shared" si="114"/>
        <v>452850.7</v>
      </c>
      <c r="H304" s="721">
        <f t="shared" si="114"/>
        <v>0</v>
      </c>
      <c r="I304" s="721">
        <f t="shared" si="114"/>
        <v>0</v>
      </c>
      <c r="J304" s="721">
        <f t="shared" si="114"/>
        <v>452850.7</v>
      </c>
      <c r="K304" s="721">
        <f t="shared" si="114"/>
        <v>0</v>
      </c>
      <c r="L304" s="721">
        <f t="shared" si="114"/>
        <v>0.08</v>
      </c>
      <c r="M304" s="721">
        <f t="shared" si="114"/>
        <v>452850.62</v>
      </c>
      <c r="N304" s="721">
        <f t="shared" si="114"/>
        <v>3000</v>
      </c>
      <c r="O304" s="721">
        <f t="shared" si="114"/>
        <v>3000</v>
      </c>
      <c r="P304" s="721">
        <f t="shared" si="114"/>
        <v>452850.62</v>
      </c>
      <c r="Q304" s="756">
        <f t="shared" si="114"/>
        <v>361892.62</v>
      </c>
      <c r="R304" s="756">
        <f t="shared" si="114"/>
        <v>0</v>
      </c>
      <c r="S304" s="756">
        <f t="shared" si="114"/>
        <v>0</v>
      </c>
      <c r="T304" s="724"/>
      <c r="U304" s="726">
        <f t="shared" ref="U304" si="115">SUM(U305)</f>
        <v>0</v>
      </c>
      <c r="V304" s="724"/>
    </row>
    <row r="305" spans="1:22" ht="15" x14ac:dyDescent="0.2">
      <c r="A305" s="728" t="s">
        <v>55</v>
      </c>
      <c r="B305" s="729" t="s">
        <v>1578</v>
      </c>
      <c r="C305" s="730">
        <f t="shared" ref="C305:S305" si="116">SUM(C306:C316)</f>
        <v>444537.29000000004</v>
      </c>
      <c r="D305" s="730">
        <f t="shared" si="116"/>
        <v>453210</v>
      </c>
      <c r="E305" s="730">
        <f t="shared" si="116"/>
        <v>450333.92</v>
      </c>
      <c r="F305" s="730">
        <f t="shared" si="116"/>
        <v>450160.56</v>
      </c>
      <c r="G305" s="730">
        <f t="shared" si="116"/>
        <v>452850.7</v>
      </c>
      <c r="H305" s="730">
        <f t="shared" si="116"/>
        <v>0</v>
      </c>
      <c r="I305" s="730">
        <f t="shared" si="116"/>
        <v>0</v>
      </c>
      <c r="J305" s="730">
        <f t="shared" si="116"/>
        <v>452850.7</v>
      </c>
      <c r="K305" s="730">
        <f t="shared" si="116"/>
        <v>0</v>
      </c>
      <c r="L305" s="730">
        <f t="shared" si="116"/>
        <v>0.08</v>
      </c>
      <c r="M305" s="730">
        <f t="shared" si="116"/>
        <v>452850.62</v>
      </c>
      <c r="N305" s="730">
        <f t="shared" si="116"/>
        <v>3000</v>
      </c>
      <c r="O305" s="730">
        <f t="shared" si="116"/>
        <v>3000</v>
      </c>
      <c r="P305" s="730">
        <f t="shared" si="116"/>
        <v>452850.62</v>
      </c>
      <c r="Q305" s="748">
        <f t="shared" si="116"/>
        <v>361892.62</v>
      </c>
      <c r="R305" s="748">
        <f t="shared" si="116"/>
        <v>0</v>
      </c>
      <c r="S305" s="748">
        <f t="shared" si="116"/>
        <v>0</v>
      </c>
      <c r="T305" s="731"/>
      <c r="U305" s="732"/>
      <c r="V305" s="728"/>
    </row>
    <row r="306" spans="1:22" ht="15" x14ac:dyDescent="0.2">
      <c r="A306" s="739">
        <v>1531</v>
      </c>
      <c r="B306" s="743" t="s">
        <v>38</v>
      </c>
      <c r="C306" s="736">
        <v>47480.21</v>
      </c>
      <c r="D306" s="736">
        <v>53210</v>
      </c>
      <c r="E306" s="749">
        <v>50333.919999999998</v>
      </c>
      <c r="F306" s="736">
        <v>51206.29</v>
      </c>
      <c r="G306" s="736">
        <v>52850.7</v>
      </c>
      <c r="H306" s="736"/>
      <c r="I306" s="736"/>
      <c r="J306" s="736">
        <f t="shared" ref="J306:J316" si="117">G306+H306-I306</f>
        <v>52850.7</v>
      </c>
      <c r="K306" s="736"/>
      <c r="L306" s="736">
        <v>0.08</v>
      </c>
      <c r="M306" s="736">
        <f t="shared" ref="M306:M316" si="118">J306+K306-L306</f>
        <v>52850.619999999995</v>
      </c>
      <c r="N306" s="736"/>
      <c r="O306" s="736"/>
      <c r="P306" s="736">
        <f t="shared" ref="P306:P316" si="119">M306+N306-O306</f>
        <v>52850.619999999995</v>
      </c>
      <c r="Q306" s="738">
        <v>52850.62</v>
      </c>
      <c r="R306" s="738"/>
      <c r="S306" s="751"/>
      <c r="T306" s="739">
        <v>1500521</v>
      </c>
      <c r="U306" s="750"/>
      <c r="V306" s="739">
        <v>1500522</v>
      </c>
    </row>
    <row r="307" spans="1:22" ht="15" x14ac:dyDescent="0.2">
      <c r="A307" s="739">
        <v>2111</v>
      </c>
      <c r="B307" s="743" t="s">
        <v>22</v>
      </c>
      <c r="C307" s="736">
        <v>1271.72</v>
      </c>
      <c r="D307" s="736">
        <v>0</v>
      </c>
      <c r="E307" s="749">
        <v>2487</v>
      </c>
      <c r="F307" s="736">
        <v>2486.75</v>
      </c>
      <c r="G307" s="736">
        <v>4000</v>
      </c>
      <c r="H307" s="736"/>
      <c r="I307" s="736"/>
      <c r="J307" s="736">
        <f t="shared" si="117"/>
        <v>4000</v>
      </c>
      <c r="K307" s="736"/>
      <c r="L307" s="736"/>
      <c r="M307" s="736">
        <f t="shared" si="118"/>
        <v>4000</v>
      </c>
      <c r="N307" s="736"/>
      <c r="O307" s="736"/>
      <c r="P307" s="736">
        <f t="shared" si="119"/>
        <v>4000</v>
      </c>
      <c r="Q307" s="738">
        <v>4000</v>
      </c>
      <c r="R307" s="738"/>
      <c r="S307" s="738"/>
      <c r="T307" s="739">
        <v>1100121</v>
      </c>
      <c r="U307" s="745"/>
      <c r="V307" s="739">
        <v>1100122</v>
      </c>
    </row>
    <row r="308" spans="1:22" ht="15" x14ac:dyDescent="0.2">
      <c r="A308" s="739">
        <v>2112</v>
      </c>
      <c r="B308" s="743" t="s">
        <v>39</v>
      </c>
      <c r="C308" s="736">
        <v>11735.48</v>
      </c>
      <c r="D308" s="736"/>
      <c r="E308" s="749"/>
      <c r="F308" s="736"/>
      <c r="G308" s="736"/>
      <c r="H308" s="736"/>
      <c r="I308" s="736"/>
      <c r="J308" s="736">
        <f t="shared" si="117"/>
        <v>0</v>
      </c>
      <c r="K308" s="736"/>
      <c r="L308" s="736"/>
      <c r="M308" s="736">
        <f t="shared" si="118"/>
        <v>0</v>
      </c>
      <c r="N308" s="736"/>
      <c r="O308" s="736"/>
      <c r="P308" s="738">
        <f t="shared" si="119"/>
        <v>0</v>
      </c>
      <c r="Q308" s="738"/>
      <c r="R308" s="738"/>
      <c r="S308" s="738"/>
      <c r="T308" s="739"/>
      <c r="U308" s="745"/>
      <c r="V308" s="739"/>
    </row>
    <row r="309" spans="1:22" ht="15" x14ac:dyDescent="0.2">
      <c r="A309" s="739">
        <v>2121</v>
      </c>
      <c r="B309" s="743" t="s">
        <v>24</v>
      </c>
      <c r="C309" s="736">
        <v>6900</v>
      </c>
      <c r="D309" s="736">
        <v>0</v>
      </c>
      <c r="E309" s="749">
        <v>1727</v>
      </c>
      <c r="F309" s="736">
        <v>1727</v>
      </c>
      <c r="G309" s="736">
        <v>2500</v>
      </c>
      <c r="H309" s="736"/>
      <c r="I309" s="736"/>
      <c r="J309" s="736">
        <f t="shared" si="117"/>
        <v>2500</v>
      </c>
      <c r="K309" s="736"/>
      <c r="L309" s="736"/>
      <c r="M309" s="736">
        <f t="shared" si="118"/>
        <v>2500</v>
      </c>
      <c r="N309" s="736"/>
      <c r="O309" s="736"/>
      <c r="P309" s="736">
        <f t="shared" si="119"/>
        <v>2500</v>
      </c>
      <c r="Q309" s="738">
        <v>2500</v>
      </c>
      <c r="R309" s="738"/>
      <c r="S309" s="738"/>
      <c r="T309" s="739">
        <v>1100121</v>
      </c>
      <c r="U309" s="745"/>
      <c r="V309" s="739">
        <v>1100122</v>
      </c>
    </row>
    <row r="310" spans="1:22" ht="30" x14ac:dyDescent="0.2">
      <c r="A310" s="739">
        <v>2612</v>
      </c>
      <c r="B310" s="743" t="s">
        <v>26</v>
      </c>
      <c r="C310" s="736">
        <v>25090.48</v>
      </c>
      <c r="D310" s="736">
        <v>0</v>
      </c>
      <c r="E310" s="749">
        <v>22000</v>
      </c>
      <c r="F310" s="736">
        <v>18515.2</v>
      </c>
      <c r="G310" s="736">
        <v>15000</v>
      </c>
      <c r="H310" s="736"/>
      <c r="I310" s="736"/>
      <c r="J310" s="736">
        <f t="shared" si="117"/>
        <v>15000</v>
      </c>
      <c r="K310" s="736"/>
      <c r="L310" s="736"/>
      <c r="M310" s="736">
        <f t="shared" si="118"/>
        <v>15000</v>
      </c>
      <c r="N310" s="736"/>
      <c r="O310" s="736"/>
      <c r="P310" s="736">
        <f t="shared" si="119"/>
        <v>15000</v>
      </c>
      <c r="Q310" s="738">
        <v>15000</v>
      </c>
      <c r="R310" s="738"/>
      <c r="S310" s="738"/>
      <c r="T310" s="739">
        <v>1100121</v>
      </c>
      <c r="U310" s="745"/>
      <c r="V310" s="739">
        <v>1100122</v>
      </c>
    </row>
    <row r="311" spans="1:22" ht="30" x14ac:dyDescent="0.2">
      <c r="A311" s="739">
        <v>3361</v>
      </c>
      <c r="B311" s="743" t="s">
        <v>29</v>
      </c>
      <c r="C311" s="736"/>
      <c r="D311" s="736">
        <v>0</v>
      </c>
      <c r="E311" s="749">
        <v>0</v>
      </c>
      <c r="F311" s="736">
        <v>0</v>
      </c>
      <c r="G311" s="736">
        <v>500</v>
      </c>
      <c r="H311" s="736"/>
      <c r="I311" s="736"/>
      <c r="J311" s="736">
        <f t="shared" si="117"/>
        <v>500</v>
      </c>
      <c r="K311" s="736"/>
      <c r="L311" s="736"/>
      <c r="M311" s="736">
        <f t="shared" si="118"/>
        <v>500</v>
      </c>
      <c r="N311" s="736"/>
      <c r="O311" s="736"/>
      <c r="P311" s="736">
        <f t="shared" si="119"/>
        <v>500</v>
      </c>
      <c r="Q311" s="738">
        <v>500</v>
      </c>
      <c r="R311" s="738"/>
      <c r="S311" s="738"/>
      <c r="T311" s="739">
        <v>1100121</v>
      </c>
      <c r="U311" s="745"/>
      <c r="V311" s="739">
        <v>1100122</v>
      </c>
    </row>
    <row r="312" spans="1:22" ht="15" x14ac:dyDescent="0.2">
      <c r="A312" s="739">
        <v>3551</v>
      </c>
      <c r="B312" s="743" t="s">
        <v>30</v>
      </c>
      <c r="C312" s="736">
        <v>3436.99</v>
      </c>
      <c r="D312" s="736">
        <v>0</v>
      </c>
      <c r="E312" s="749">
        <v>2885</v>
      </c>
      <c r="F312" s="736">
        <v>2884.41</v>
      </c>
      <c r="G312" s="736">
        <v>5000</v>
      </c>
      <c r="H312" s="736"/>
      <c r="I312" s="736"/>
      <c r="J312" s="736">
        <f t="shared" si="117"/>
        <v>5000</v>
      </c>
      <c r="K312" s="736"/>
      <c r="L312" s="736"/>
      <c r="M312" s="736">
        <f t="shared" si="118"/>
        <v>5000</v>
      </c>
      <c r="N312" s="736"/>
      <c r="O312" s="736"/>
      <c r="P312" s="736">
        <f t="shared" si="119"/>
        <v>5000</v>
      </c>
      <c r="Q312" s="738">
        <v>5000</v>
      </c>
      <c r="R312" s="738"/>
      <c r="S312" s="738"/>
      <c r="T312" s="739">
        <v>1100121</v>
      </c>
      <c r="U312" s="745"/>
      <c r="V312" s="739">
        <v>1100122</v>
      </c>
    </row>
    <row r="313" spans="1:22" ht="15" x14ac:dyDescent="0.2">
      <c r="A313" s="739">
        <v>3751</v>
      </c>
      <c r="B313" s="743" t="s">
        <v>44</v>
      </c>
      <c r="C313" s="736">
        <v>407</v>
      </c>
      <c r="D313" s="736">
        <v>0</v>
      </c>
      <c r="E313" s="749">
        <v>0</v>
      </c>
      <c r="F313" s="736">
        <v>0</v>
      </c>
      <c r="G313" s="736"/>
      <c r="H313" s="736"/>
      <c r="I313" s="736"/>
      <c r="J313" s="736">
        <f t="shared" si="117"/>
        <v>0</v>
      </c>
      <c r="K313" s="736"/>
      <c r="L313" s="736"/>
      <c r="M313" s="736">
        <f t="shared" si="118"/>
        <v>0</v>
      </c>
      <c r="N313" s="736"/>
      <c r="O313" s="736"/>
      <c r="P313" s="738">
        <f t="shared" si="119"/>
        <v>0</v>
      </c>
      <c r="Q313" s="738"/>
      <c r="R313" s="738"/>
      <c r="S313" s="738"/>
      <c r="T313" s="739">
        <v>1100121</v>
      </c>
      <c r="U313" s="745"/>
      <c r="V313" s="739">
        <v>1100122</v>
      </c>
    </row>
    <row r="314" spans="1:22" ht="15" x14ac:dyDescent="0.2">
      <c r="A314" s="739">
        <v>3821</v>
      </c>
      <c r="B314" s="743" t="s">
        <v>31</v>
      </c>
      <c r="C314" s="736">
        <v>4199.99</v>
      </c>
      <c r="D314" s="736">
        <v>0</v>
      </c>
      <c r="E314" s="749">
        <v>4500</v>
      </c>
      <c r="F314" s="736">
        <v>0</v>
      </c>
      <c r="G314" s="736">
        <v>2000</v>
      </c>
      <c r="H314" s="736"/>
      <c r="I314" s="736"/>
      <c r="J314" s="736">
        <f t="shared" si="117"/>
        <v>2000</v>
      </c>
      <c r="K314" s="736"/>
      <c r="L314" s="736"/>
      <c r="M314" s="736">
        <f t="shared" si="118"/>
        <v>2000</v>
      </c>
      <c r="N314" s="736"/>
      <c r="O314" s="736"/>
      <c r="P314" s="736">
        <f t="shared" si="119"/>
        <v>2000</v>
      </c>
      <c r="Q314" s="738">
        <v>2000</v>
      </c>
      <c r="R314" s="738"/>
      <c r="S314" s="738"/>
      <c r="T314" s="739">
        <v>1100121</v>
      </c>
      <c r="U314" s="745"/>
      <c r="V314" s="739">
        <v>1100122</v>
      </c>
    </row>
    <row r="315" spans="1:22" ht="15" x14ac:dyDescent="0.2">
      <c r="A315" s="739">
        <v>3852</v>
      </c>
      <c r="B315" s="743" t="s">
        <v>32</v>
      </c>
      <c r="C315" s="736">
        <v>9877.08</v>
      </c>
      <c r="D315" s="736">
        <v>400000</v>
      </c>
      <c r="E315" s="749">
        <v>10000</v>
      </c>
      <c r="F315" s="736">
        <v>6047.48</v>
      </c>
      <c r="G315" s="752">
        <v>95958</v>
      </c>
      <c r="H315" s="752"/>
      <c r="I315" s="752"/>
      <c r="J315" s="736">
        <f t="shared" si="117"/>
        <v>95958</v>
      </c>
      <c r="K315" s="752"/>
      <c r="L315" s="752"/>
      <c r="M315" s="736">
        <f t="shared" si="118"/>
        <v>95958</v>
      </c>
      <c r="N315" s="736">
        <v>3000</v>
      </c>
      <c r="O315" s="736"/>
      <c r="P315" s="736">
        <f t="shared" si="119"/>
        <v>98958</v>
      </c>
      <c r="Q315" s="753">
        <v>8000</v>
      </c>
      <c r="R315" s="738"/>
      <c r="S315" s="753"/>
      <c r="T315" s="739">
        <v>1100121</v>
      </c>
      <c r="U315" s="745"/>
      <c r="V315" s="739">
        <v>1100122</v>
      </c>
    </row>
    <row r="316" spans="1:22" ht="15" x14ac:dyDescent="0.2">
      <c r="A316" s="739">
        <v>4411</v>
      </c>
      <c r="B316" s="743" t="s">
        <v>34</v>
      </c>
      <c r="C316" s="736">
        <v>334138.34000000003</v>
      </c>
      <c r="D316" s="736">
        <v>0</v>
      </c>
      <c r="E316" s="749">
        <v>356401</v>
      </c>
      <c r="F316" s="736">
        <v>367293.43</v>
      </c>
      <c r="G316" s="736">
        <v>275042</v>
      </c>
      <c r="H316" s="736"/>
      <c r="I316" s="736"/>
      <c r="J316" s="736">
        <f t="shared" si="117"/>
        <v>275042</v>
      </c>
      <c r="K316" s="736"/>
      <c r="L316" s="736"/>
      <c r="M316" s="736">
        <f t="shared" si="118"/>
        <v>275042</v>
      </c>
      <c r="N316" s="736"/>
      <c r="O316" s="736">
        <v>3000</v>
      </c>
      <c r="P316" s="736">
        <f t="shared" si="119"/>
        <v>272042</v>
      </c>
      <c r="Q316" s="738">
        <v>272042</v>
      </c>
      <c r="R316" s="738"/>
      <c r="S316" s="738"/>
      <c r="T316" s="739">
        <v>1100121</v>
      </c>
      <c r="U316" s="745"/>
      <c r="V316" s="739">
        <v>1100122</v>
      </c>
    </row>
    <row r="317" spans="1:22" ht="15" x14ac:dyDescent="0.2">
      <c r="A317" s="724" t="s">
        <v>1701</v>
      </c>
      <c r="B317" s="725" t="s">
        <v>1702</v>
      </c>
      <c r="C317" s="721">
        <f t="shared" ref="C317:S317" si="120">SUM(C318)</f>
        <v>399999.6</v>
      </c>
      <c r="D317" s="721">
        <f t="shared" si="120"/>
        <v>400000</v>
      </c>
      <c r="E317" s="721">
        <f t="shared" si="120"/>
        <v>400000</v>
      </c>
      <c r="F317" s="721">
        <f t="shared" si="120"/>
        <v>398999.8</v>
      </c>
      <c r="G317" s="721">
        <f t="shared" si="120"/>
        <v>400000</v>
      </c>
      <c r="H317" s="721">
        <f t="shared" si="120"/>
        <v>0</v>
      </c>
      <c r="I317" s="721">
        <f t="shared" si="120"/>
        <v>0</v>
      </c>
      <c r="J317" s="721">
        <f t="shared" si="120"/>
        <v>400000</v>
      </c>
      <c r="K317" s="721">
        <f t="shared" si="120"/>
        <v>0</v>
      </c>
      <c r="L317" s="721">
        <f t="shared" si="120"/>
        <v>0</v>
      </c>
      <c r="M317" s="721">
        <f t="shared" si="120"/>
        <v>400000</v>
      </c>
      <c r="N317" s="721">
        <f t="shared" si="120"/>
        <v>0</v>
      </c>
      <c r="O317" s="721">
        <f t="shared" si="120"/>
        <v>0</v>
      </c>
      <c r="P317" s="721">
        <f t="shared" si="120"/>
        <v>400000</v>
      </c>
      <c r="Q317" s="756">
        <f t="shared" si="120"/>
        <v>309042</v>
      </c>
      <c r="R317" s="756">
        <f t="shared" si="120"/>
        <v>0</v>
      </c>
      <c r="S317" s="756">
        <f t="shared" si="120"/>
        <v>0</v>
      </c>
      <c r="T317" s="724"/>
      <c r="U317" s="726">
        <f t="shared" ref="U317" si="121">SUM(U318)</f>
        <v>0</v>
      </c>
      <c r="V317" s="724"/>
    </row>
    <row r="318" spans="1:22" ht="15" x14ac:dyDescent="0.2">
      <c r="A318" s="728" t="s">
        <v>55</v>
      </c>
      <c r="B318" s="729" t="s">
        <v>1578</v>
      </c>
      <c r="C318" s="730">
        <f t="shared" ref="C318:S318" si="122">SUM(C319:C320)</f>
        <v>399999.6</v>
      </c>
      <c r="D318" s="730">
        <f t="shared" si="122"/>
        <v>400000</v>
      </c>
      <c r="E318" s="730">
        <f t="shared" si="122"/>
        <v>400000</v>
      </c>
      <c r="F318" s="730">
        <f t="shared" si="122"/>
        <v>398999.8</v>
      </c>
      <c r="G318" s="730">
        <f t="shared" si="122"/>
        <v>400000</v>
      </c>
      <c r="H318" s="730">
        <f t="shared" si="122"/>
        <v>0</v>
      </c>
      <c r="I318" s="730">
        <f t="shared" si="122"/>
        <v>0</v>
      </c>
      <c r="J318" s="730">
        <f t="shared" si="122"/>
        <v>400000</v>
      </c>
      <c r="K318" s="730">
        <f t="shared" si="122"/>
        <v>0</v>
      </c>
      <c r="L318" s="730">
        <f t="shared" si="122"/>
        <v>0</v>
      </c>
      <c r="M318" s="730">
        <f t="shared" si="122"/>
        <v>400000</v>
      </c>
      <c r="N318" s="730">
        <f t="shared" si="122"/>
        <v>0</v>
      </c>
      <c r="O318" s="730">
        <f t="shared" si="122"/>
        <v>0</v>
      </c>
      <c r="P318" s="730">
        <f t="shared" si="122"/>
        <v>400000</v>
      </c>
      <c r="Q318" s="748">
        <f t="shared" si="122"/>
        <v>309042</v>
      </c>
      <c r="R318" s="748">
        <f t="shared" si="122"/>
        <v>0</v>
      </c>
      <c r="S318" s="748">
        <f t="shared" si="122"/>
        <v>0</v>
      </c>
      <c r="T318" s="731"/>
      <c r="U318" s="732"/>
      <c r="V318" s="728"/>
    </row>
    <row r="319" spans="1:22" ht="15" x14ac:dyDescent="0.2">
      <c r="A319" s="739">
        <v>3852</v>
      </c>
      <c r="B319" s="743" t="s">
        <v>32</v>
      </c>
      <c r="C319" s="736"/>
      <c r="D319" s="736">
        <v>400000</v>
      </c>
      <c r="E319" s="736"/>
      <c r="F319" s="736">
        <v>0</v>
      </c>
      <c r="G319" s="752">
        <v>90958</v>
      </c>
      <c r="H319" s="752"/>
      <c r="I319" s="752"/>
      <c r="J319" s="736">
        <f t="shared" ref="J319:J320" si="123">G319+H319-I319</f>
        <v>90958</v>
      </c>
      <c r="K319" s="752"/>
      <c r="L319" s="752"/>
      <c r="M319" s="736">
        <f t="shared" ref="M319:M320" si="124">J319+K319-L319</f>
        <v>90958</v>
      </c>
      <c r="N319" s="736"/>
      <c r="O319" s="736"/>
      <c r="P319" s="736">
        <f t="shared" ref="P319:P320" si="125">M319+N319-O319</f>
        <v>90958</v>
      </c>
      <c r="Q319" s="753"/>
      <c r="R319" s="738"/>
      <c r="S319" s="753"/>
      <c r="T319" s="739">
        <v>1100121</v>
      </c>
      <c r="U319" s="745"/>
      <c r="V319" s="739">
        <v>1100122</v>
      </c>
    </row>
    <row r="320" spans="1:22" ht="15" x14ac:dyDescent="0.2">
      <c r="A320" s="739">
        <v>4411</v>
      </c>
      <c r="B320" s="743" t="s">
        <v>34</v>
      </c>
      <c r="C320" s="736">
        <v>399999.6</v>
      </c>
      <c r="D320" s="736">
        <v>0</v>
      </c>
      <c r="E320" s="749">
        <v>400000</v>
      </c>
      <c r="F320" s="736">
        <v>398999.8</v>
      </c>
      <c r="G320" s="736">
        <v>309042</v>
      </c>
      <c r="H320" s="736"/>
      <c r="I320" s="736"/>
      <c r="J320" s="736">
        <f t="shared" si="123"/>
        <v>309042</v>
      </c>
      <c r="K320" s="736"/>
      <c r="L320" s="736"/>
      <c r="M320" s="736">
        <f t="shared" si="124"/>
        <v>309042</v>
      </c>
      <c r="N320" s="736"/>
      <c r="O320" s="736"/>
      <c r="P320" s="736">
        <f t="shared" si="125"/>
        <v>309042</v>
      </c>
      <c r="Q320" s="738">
        <v>309042</v>
      </c>
      <c r="R320" s="738"/>
      <c r="S320" s="738"/>
      <c r="T320" s="739">
        <v>1100121</v>
      </c>
      <c r="U320" s="745"/>
      <c r="V320" s="739">
        <v>1100122</v>
      </c>
    </row>
    <row r="321" spans="1:22" ht="15" x14ac:dyDescent="0.2">
      <c r="A321" s="724" t="s">
        <v>1703</v>
      </c>
      <c r="B321" s="725" t="s">
        <v>1704</v>
      </c>
      <c r="C321" s="721">
        <f t="shared" ref="C321:S321" si="126">SUM(C322)</f>
        <v>437699.63</v>
      </c>
      <c r="D321" s="721">
        <f t="shared" si="126"/>
        <v>453210</v>
      </c>
      <c r="E321" s="721">
        <f t="shared" si="126"/>
        <v>450333.92</v>
      </c>
      <c r="F321" s="721">
        <f t="shared" si="126"/>
        <v>450001.64</v>
      </c>
      <c r="G321" s="721">
        <f t="shared" si="126"/>
        <v>452850.7</v>
      </c>
      <c r="H321" s="721">
        <f t="shared" si="126"/>
        <v>0</v>
      </c>
      <c r="I321" s="721">
        <f t="shared" si="126"/>
        <v>0</v>
      </c>
      <c r="J321" s="721">
        <f t="shared" si="126"/>
        <v>452850.7</v>
      </c>
      <c r="K321" s="721">
        <f t="shared" si="126"/>
        <v>0</v>
      </c>
      <c r="L321" s="721">
        <f t="shared" si="126"/>
        <v>0.08</v>
      </c>
      <c r="M321" s="721">
        <f t="shared" si="126"/>
        <v>452850.62</v>
      </c>
      <c r="N321" s="721">
        <f t="shared" si="126"/>
        <v>0</v>
      </c>
      <c r="O321" s="721">
        <f t="shared" si="126"/>
        <v>0</v>
      </c>
      <c r="P321" s="721">
        <f t="shared" si="126"/>
        <v>452850.62</v>
      </c>
      <c r="Q321" s="756">
        <f t="shared" si="126"/>
        <v>361892.62</v>
      </c>
      <c r="R321" s="756">
        <f t="shared" si="126"/>
        <v>0</v>
      </c>
      <c r="S321" s="756">
        <f t="shared" si="126"/>
        <v>0</v>
      </c>
      <c r="T321" s="724"/>
      <c r="U321" s="726">
        <f t="shared" ref="U321" si="127">SUM(U322)</f>
        <v>0</v>
      </c>
      <c r="V321" s="724"/>
    </row>
    <row r="322" spans="1:22" ht="15" x14ac:dyDescent="0.2">
      <c r="A322" s="728" t="s">
        <v>55</v>
      </c>
      <c r="B322" s="729" t="s">
        <v>1578</v>
      </c>
      <c r="C322" s="730">
        <f t="shared" ref="C322:S322" si="128">SUM(C323:C332)</f>
        <v>437699.63</v>
      </c>
      <c r="D322" s="730">
        <f t="shared" si="128"/>
        <v>453210</v>
      </c>
      <c r="E322" s="730">
        <f t="shared" si="128"/>
        <v>450333.92</v>
      </c>
      <c r="F322" s="730">
        <f t="shared" si="128"/>
        <v>450001.64</v>
      </c>
      <c r="G322" s="730">
        <f t="shared" si="128"/>
        <v>452850.7</v>
      </c>
      <c r="H322" s="730">
        <f t="shared" si="128"/>
        <v>0</v>
      </c>
      <c r="I322" s="730">
        <f t="shared" si="128"/>
        <v>0</v>
      </c>
      <c r="J322" s="730">
        <f t="shared" si="128"/>
        <v>452850.7</v>
      </c>
      <c r="K322" s="730">
        <f t="shared" si="128"/>
        <v>0</v>
      </c>
      <c r="L322" s="730">
        <f t="shared" si="128"/>
        <v>0.08</v>
      </c>
      <c r="M322" s="730">
        <f t="shared" si="128"/>
        <v>452850.62</v>
      </c>
      <c r="N322" s="730">
        <f t="shared" si="128"/>
        <v>0</v>
      </c>
      <c r="O322" s="730">
        <f t="shared" si="128"/>
        <v>0</v>
      </c>
      <c r="P322" s="730">
        <f t="shared" si="128"/>
        <v>452850.62</v>
      </c>
      <c r="Q322" s="748">
        <f t="shared" si="128"/>
        <v>361892.62</v>
      </c>
      <c r="R322" s="748">
        <f t="shared" si="128"/>
        <v>0</v>
      </c>
      <c r="S322" s="748">
        <f t="shared" si="128"/>
        <v>0</v>
      </c>
      <c r="T322" s="731"/>
      <c r="U322" s="732"/>
      <c r="V322" s="728"/>
    </row>
    <row r="323" spans="1:22" ht="15" x14ac:dyDescent="0.2">
      <c r="A323" s="739">
        <v>1531</v>
      </c>
      <c r="B323" s="743" t="s">
        <v>38</v>
      </c>
      <c r="C323" s="736">
        <v>47480.21</v>
      </c>
      <c r="D323" s="736">
        <v>53210</v>
      </c>
      <c r="E323" s="749">
        <v>50333.919999999998</v>
      </c>
      <c r="F323" s="736">
        <v>51206.29</v>
      </c>
      <c r="G323" s="736">
        <v>52850.7</v>
      </c>
      <c r="H323" s="736"/>
      <c r="I323" s="736"/>
      <c r="J323" s="736">
        <f t="shared" ref="J323:J332" si="129">G323+H323-I323</f>
        <v>52850.7</v>
      </c>
      <c r="K323" s="736"/>
      <c r="L323" s="736">
        <v>0.08</v>
      </c>
      <c r="M323" s="736">
        <f t="shared" ref="M323:M332" si="130">J323+K323-L323</f>
        <v>52850.619999999995</v>
      </c>
      <c r="N323" s="736"/>
      <c r="O323" s="736"/>
      <c r="P323" s="736">
        <f t="shared" ref="P323:P332" si="131">M323+N323-O323</f>
        <v>52850.619999999995</v>
      </c>
      <c r="Q323" s="738">
        <v>52850.62</v>
      </c>
      <c r="R323" s="738"/>
      <c r="S323" s="751"/>
      <c r="T323" s="739">
        <v>1500521</v>
      </c>
      <c r="U323" s="750"/>
      <c r="V323" s="739">
        <v>1500522</v>
      </c>
    </row>
    <row r="324" spans="1:22" ht="15" x14ac:dyDescent="0.2">
      <c r="A324" s="739">
        <v>2111</v>
      </c>
      <c r="B324" s="743" t="s">
        <v>22</v>
      </c>
      <c r="C324" s="736">
        <v>2835.2</v>
      </c>
      <c r="D324" s="736">
        <v>0</v>
      </c>
      <c r="E324" s="749">
        <v>5000</v>
      </c>
      <c r="F324" s="736">
        <v>2997.5</v>
      </c>
      <c r="G324" s="736">
        <v>2000</v>
      </c>
      <c r="H324" s="736"/>
      <c r="I324" s="736"/>
      <c r="J324" s="736">
        <f t="shared" si="129"/>
        <v>2000</v>
      </c>
      <c r="K324" s="736"/>
      <c r="L324" s="736"/>
      <c r="M324" s="736">
        <f t="shared" si="130"/>
        <v>2000</v>
      </c>
      <c r="N324" s="736"/>
      <c r="O324" s="736"/>
      <c r="P324" s="736">
        <f t="shared" si="131"/>
        <v>2000</v>
      </c>
      <c r="Q324" s="738">
        <v>1750</v>
      </c>
      <c r="R324" s="738"/>
      <c r="S324" s="738"/>
      <c r="T324" s="739">
        <v>1100121</v>
      </c>
      <c r="U324" s="745"/>
      <c r="V324" s="739">
        <v>1100122</v>
      </c>
    </row>
    <row r="325" spans="1:22" ht="15" x14ac:dyDescent="0.2">
      <c r="A325" s="739">
        <v>2121</v>
      </c>
      <c r="B325" s="743" t="s">
        <v>24</v>
      </c>
      <c r="C325" s="736"/>
      <c r="D325" s="736">
        <v>0</v>
      </c>
      <c r="E325" s="749">
        <v>6000</v>
      </c>
      <c r="F325" s="736">
        <v>2817.84</v>
      </c>
      <c r="G325" s="736">
        <v>1500</v>
      </c>
      <c r="H325" s="736"/>
      <c r="I325" s="736"/>
      <c r="J325" s="736">
        <f t="shared" si="129"/>
        <v>1500</v>
      </c>
      <c r="K325" s="736"/>
      <c r="L325" s="736"/>
      <c r="M325" s="736">
        <f t="shared" si="130"/>
        <v>1500</v>
      </c>
      <c r="N325" s="736"/>
      <c r="O325" s="736"/>
      <c r="P325" s="736">
        <f t="shared" si="131"/>
        <v>1500</v>
      </c>
      <c r="Q325" s="738">
        <v>1220</v>
      </c>
      <c r="R325" s="738"/>
      <c r="S325" s="738"/>
      <c r="T325" s="739">
        <v>1100121</v>
      </c>
      <c r="U325" s="745"/>
      <c r="V325" s="739">
        <v>1100122</v>
      </c>
    </row>
    <row r="326" spans="1:22" ht="30" x14ac:dyDescent="0.2">
      <c r="A326" s="739">
        <v>2612</v>
      </c>
      <c r="B326" s="743" t="s">
        <v>26</v>
      </c>
      <c r="C326" s="736">
        <v>40956.78</v>
      </c>
      <c r="D326" s="736">
        <v>0</v>
      </c>
      <c r="E326" s="749">
        <v>30000</v>
      </c>
      <c r="F326" s="736">
        <v>29984.03</v>
      </c>
      <c r="G326" s="736">
        <v>22000</v>
      </c>
      <c r="H326" s="736"/>
      <c r="I326" s="736"/>
      <c r="J326" s="736">
        <f t="shared" si="129"/>
        <v>22000</v>
      </c>
      <c r="K326" s="736"/>
      <c r="L326" s="736"/>
      <c r="M326" s="736">
        <f t="shared" si="130"/>
        <v>22000</v>
      </c>
      <c r="N326" s="736"/>
      <c r="O326" s="736"/>
      <c r="P326" s="736">
        <f t="shared" si="131"/>
        <v>22000</v>
      </c>
      <c r="Q326" s="738">
        <v>22000</v>
      </c>
      <c r="R326" s="738"/>
      <c r="S326" s="738"/>
      <c r="T326" s="739">
        <v>1100121</v>
      </c>
      <c r="U326" s="745"/>
      <c r="V326" s="739">
        <v>1100122</v>
      </c>
    </row>
    <row r="327" spans="1:22" ht="15" x14ac:dyDescent="0.2">
      <c r="A327" s="739">
        <v>2941</v>
      </c>
      <c r="B327" s="743" t="s">
        <v>1705</v>
      </c>
      <c r="C327" s="736"/>
      <c r="D327" s="736"/>
      <c r="E327" s="749"/>
      <c r="F327" s="736"/>
      <c r="G327" s="736">
        <v>3000</v>
      </c>
      <c r="H327" s="736"/>
      <c r="I327" s="736"/>
      <c r="J327" s="736">
        <f t="shared" si="129"/>
        <v>3000</v>
      </c>
      <c r="K327" s="736"/>
      <c r="L327" s="736"/>
      <c r="M327" s="736">
        <f t="shared" si="130"/>
        <v>3000</v>
      </c>
      <c r="N327" s="736"/>
      <c r="O327" s="736"/>
      <c r="P327" s="736">
        <f t="shared" si="131"/>
        <v>3000</v>
      </c>
      <c r="Q327" s="738">
        <v>920</v>
      </c>
      <c r="R327" s="738"/>
      <c r="S327" s="738"/>
      <c r="T327" s="739">
        <v>1100121</v>
      </c>
      <c r="U327" s="745"/>
      <c r="V327" s="739">
        <v>1100122</v>
      </c>
    </row>
    <row r="328" spans="1:22" ht="30" x14ac:dyDescent="0.2">
      <c r="A328" s="739">
        <v>3361</v>
      </c>
      <c r="B328" s="743" t="s">
        <v>29</v>
      </c>
      <c r="C328" s="736"/>
      <c r="D328" s="736">
        <v>0</v>
      </c>
      <c r="E328" s="749">
        <v>1000</v>
      </c>
      <c r="F328" s="736">
        <v>603.20000000000005</v>
      </c>
      <c r="G328" s="736">
        <v>300</v>
      </c>
      <c r="H328" s="736"/>
      <c r="I328" s="736"/>
      <c r="J328" s="736">
        <f t="shared" si="129"/>
        <v>300</v>
      </c>
      <c r="K328" s="736"/>
      <c r="L328" s="736"/>
      <c r="M328" s="736">
        <f t="shared" si="130"/>
        <v>300</v>
      </c>
      <c r="N328" s="736"/>
      <c r="O328" s="736"/>
      <c r="P328" s="736">
        <f t="shared" si="131"/>
        <v>300</v>
      </c>
      <c r="Q328" s="738">
        <v>300</v>
      </c>
      <c r="R328" s="738"/>
      <c r="S328" s="738"/>
      <c r="T328" s="739">
        <v>1100121</v>
      </c>
      <c r="U328" s="745"/>
      <c r="V328" s="739">
        <v>1100122</v>
      </c>
    </row>
    <row r="329" spans="1:22" ht="15" x14ac:dyDescent="0.2">
      <c r="A329" s="739">
        <v>3551</v>
      </c>
      <c r="B329" s="743" t="s">
        <v>30</v>
      </c>
      <c r="C329" s="736">
        <v>13247.84</v>
      </c>
      <c r="D329" s="736">
        <v>0</v>
      </c>
      <c r="E329" s="749">
        <v>10000</v>
      </c>
      <c r="F329" s="736">
        <v>7633.02</v>
      </c>
      <c r="G329" s="736">
        <v>8000</v>
      </c>
      <c r="H329" s="736"/>
      <c r="I329" s="736"/>
      <c r="J329" s="736">
        <f t="shared" si="129"/>
        <v>8000</v>
      </c>
      <c r="K329" s="736"/>
      <c r="L329" s="736"/>
      <c r="M329" s="736">
        <f t="shared" si="130"/>
        <v>8000</v>
      </c>
      <c r="N329" s="736"/>
      <c r="O329" s="736"/>
      <c r="P329" s="736">
        <f t="shared" si="131"/>
        <v>8000</v>
      </c>
      <c r="Q329" s="738">
        <v>8000</v>
      </c>
      <c r="R329" s="738"/>
      <c r="S329" s="738"/>
      <c r="T329" s="739">
        <v>1100121</v>
      </c>
      <c r="U329" s="745"/>
      <c r="V329" s="739">
        <v>1100122</v>
      </c>
    </row>
    <row r="330" spans="1:22" ht="15" x14ac:dyDescent="0.2">
      <c r="A330" s="739">
        <v>3852</v>
      </c>
      <c r="B330" s="743" t="s">
        <v>32</v>
      </c>
      <c r="C330" s="736">
        <v>14579.84</v>
      </c>
      <c r="D330" s="736">
        <v>400000</v>
      </c>
      <c r="E330" s="749">
        <v>15000</v>
      </c>
      <c r="F330" s="736">
        <v>5661.8</v>
      </c>
      <c r="G330" s="752">
        <v>98958</v>
      </c>
      <c r="H330" s="752"/>
      <c r="I330" s="752"/>
      <c r="J330" s="736">
        <f t="shared" si="129"/>
        <v>98958</v>
      </c>
      <c r="K330" s="752"/>
      <c r="L330" s="752"/>
      <c r="M330" s="736">
        <f t="shared" si="130"/>
        <v>98958</v>
      </c>
      <c r="N330" s="736"/>
      <c r="O330" s="736"/>
      <c r="P330" s="736">
        <f t="shared" si="131"/>
        <v>98958</v>
      </c>
      <c r="Q330" s="753">
        <v>8000</v>
      </c>
      <c r="R330" s="738"/>
      <c r="S330" s="753"/>
      <c r="T330" s="739">
        <v>1100121</v>
      </c>
      <c r="U330" s="745"/>
      <c r="V330" s="739">
        <v>1100122</v>
      </c>
    </row>
    <row r="331" spans="1:22" ht="15" x14ac:dyDescent="0.2">
      <c r="A331" s="739">
        <v>4411</v>
      </c>
      <c r="B331" s="743" t="s">
        <v>34</v>
      </c>
      <c r="C331" s="736">
        <v>318599.76</v>
      </c>
      <c r="D331" s="736">
        <v>0</v>
      </c>
      <c r="E331" s="749">
        <v>323000</v>
      </c>
      <c r="F331" s="736">
        <v>340098.56</v>
      </c>
      <c r="G331" s="736">
        <v>264242</v>
      </c>
      <c r="H331" s="736"/>
      <c r="I331" s="736"/>
      <c r="J331" s="736">
        <f t="shared" si="129"/>
        <v>264242</v>
      </c>
      <c r="K331" s="736"/>
      <c r="L331" s="736"/>
      <c r="M331" s="736">
        <f t="shared" si="130"/>
        <v>264242</v>
      </c>
      <c r="N331" s="736"/>
      <c r="O331" s="736"/>
      <c r="P331" s="736">
        <f t="shared" si="131"/>
        <v>264242</v>
      </c>
      <c r="Q331" s="738">
        <v>266852</v>
      </c>
      <c r="R331" s="738"/>
      <c r="S331" s="738"/>
      <c r="T331" s="739">
        <v>1100121</v>
      </c>
      <c r="U331" s="745"/>
      <c r="V331" s="739">
        <v>1100122</v>
      </c>
    </row>
    <row r="332" spans="1:22" ht="15" x14ac:dyDescent="0.2">
      <c r="A332" s="739">
        <v>5231</v>
      </c>
      <c r="B332" s="743" t="s">
        <v>81</v>
      </c>
      <c r="C332" s="736"/>
      <c r="D332" s="736">
        <v>0</v>
      </c>
      <c r="E332" s="749">
        <v>10000</v>
      </c>
      <c r="F332" s="736">
        <v>8999.4</v>
      </c>
      <c r="G332" s="736"/>
      <c r="H332" s="736"/>
      <c r="I332" s="736"/>
      <c r="J332" s="736">
        <f t="shared" si="129"/>
        <v>0</v>
      </c>
      <c r="K332" s="736"/>
      <c r="L332" s="736"/>
      <c r="M332" s="736">
        <f t="shared" si="130"/>
        <v>0</v>
      </c>
      <c r="N332" s="736"/>
      <c r="O332" s="736"/>
      <c r="P332" s="738">
        <f t="shared" si="131"/>
        <v>0</v>
      </c>
      <c r="Q332" s="738"/>
      <c r="R332" s="738"/>
      <c r="S332" s="738"/>
      <c r="T332" s="739">
        <v>1100121</v>
      </c>
      <c r="U332" s="745"/>
      <c r="V332" s="739">
        <v>1100122</v>
      </c>
    </row>
    <row r="333" spans="1:22" ht="15" x14ac:dyDescent="0.2">
      <c r="A333" s="724" t="s">
        <v>82</v>
      </c>
      <c r="B333" s="771" t="s">
        <v>1315</v>
      </c>
      <c r="C333" s="721">
        <f t="shared" ref="C333:S333" si="132">SUM(C334)</f>
        <v>0</v>
      </c>
      <c r="D333" s="721">
        <f t="shared" si="132"/>
        <v>0</v>
      </c>
      <c r="E333" s="721">
        <f t="shared" si="132"/>
        <v>0</v>
      </c>
      <c r="F333" s="721">
        <f t="shared" si="132"/>
        <v>0</v>
      </c>
      <c r="G333" s="721">
        <f t="shared" si="132"/>
        <v>0</v>
      </c>
      <c r="H333" s="721">
        <f t="shared" si="132"/>
        <v>0</v>
      </c>
      <c r="I333" s="721">
        <f t="shared" si="132"/>
        <v>0</v>
      </c>
      <c r="J333" s="721">
        <f t="shared" si="132"/>
        <v>0</v>
      </c>
      <c r="K333" s="721">
        <f t="shared" si="132"/>
        <v>0</v>
      </c>
      <c r="L333" s="721">
        <f t="shared" si="132"/>
        <v>0</v>
      </c>
      <c r="M333" s="721">
        <f t="shared" si="132"/>
        <v>0</v>
      </c>
      <c r="N333" s="721">
        <f t="shared" si="132"/>
        <v>0</v>
      </c>
      <c r="O333" s="721">
        <f t="shared" si="132"/>
        <v>0</v>
      </c>
      <c r="P333" s="721">
        <f t="shared" si="132"/>
        <v>0</v>
      </c>
      <c r="Q333" s="756">
        <f t="shared" si="132"/>
        <v>90958</v>
      </c>
      <c r="R333" s="756"/>
      <c r="S333" s="756">
        <f t="shared" si="132"/>
        <v>412240.08999999997</v>
      </c>
      <c r="T333" s="724"/>
      <c r="U333" s="726">
        <f t="shared" ref="U333" si="133">SUM(U334)</f>
        <v>454952.3</v>
      </c>
      <c r="V333" s="727"/>
    </row>
    <row r="334" spans="1:22" ht="15" x14ac:dyDescent="0.2">
      <c r="A334" s="728" t="s">
        <v>55</v>
      </c>
      <c r="B334" s="729" t="s">
        <v>1578</v>
      </c>
      <c r="C334" s="748">
        <f t="shared" ref="C334:S334" si="134">SUM(C335:C336)</f>
        <v>0</v>
      </c>
      <c r="D334" s="748">
        <f t="shared" si="134"/>
        <v>0</v>
      </c>
      <c r="E334" s="748">
        <f t="shared" si="134"/>
        <v>0</v>
      </c>
      <c r="F334" s="748">
        <f t="shared" si="134"/>
        <v>0</v>
      </c>
      <c r="G334" s="748">
        <f t="shared" si="134"/>
        <v>0</v>
      </c>
      <c r="H334" s="748">
        <f t="shared" si="134"/>
        <v>0</v>
      </c>
      <c r="I334" s="748">
        <f t="shared" si="134"/>
        <v>0</v>
      </c>
      <c r="J334" s="748">
        <f t="shared" si="134"/>
        <v>0</v>
      </c>
      <c r="K334" s="748">
        <f t="shared" si="134"/>
        <v>0</v>
      </c>
      <c r="L334" s="748">
        <f t="shared" si="134"/>
        <v>0</v>
      </c>
      <c r="M334" s="748">
        <f t="shared" si="134"/>
        <v>0</v>
      </c>
      <c r="N334" s="748">
        <f t="shared" si="134"/>
        <v>0</v>
      </c>
      <c r="O334" s="748">
        <f t="shared" si="134"/>
        <v>0</v>
      </c>
      <c r="P334" s="748">
        <f t="shared" si="134"/>
        <v>0</v>
      </c>
      <c r="Q334" s="748">
        <f t="shared" si="134"/>
        <v>90958</v>
      </c>
      <c r="R334" s="748">
        <f t="shared" si="134"/>
        <v>0</v>
      </c>
      <c r="S334" s="748">
        <f t="shared" si="134"/>
        <v>412240.08999999997</v>
      </c>
      <c r="T334" s="731"/>
      <c r="U334" s="732">
        <f t="shared" ref="U334" si="135">SUM(U335:U336)</f>
        <v>454952.3</v>
      </c>
      <c r="V334" s="733"/>
    </row>
    <row r="335" spans="1:22" ht="15" x14ac:dyDescent="0.2">
      <c r="A335" s="734">
        <v>1531</v>
      </c>
      <c r="B335" s="735" t="s">
        <v>38</v>
      </c>
      <c r="C335" s="736">
        <v>0</v>
      </c>
      <c r="D335" s="736"/>
      <c r="E335" s="749"/>
      <c r="F335" s="736"/>
      <c r="G335" s="736"/>
      <c r="H335" s="736"/>
      <c r="I335" s="736"/>
      <c r="J335" s="736"/>
      <c r="K335" s="736"/>
      <c r="L335" s="736"/>
      <c r="M335" s="736"/>
      <c r="N335" s="736"/>
      <c r="O335" s="736"/>
      <c r="P335" s="738"/>
      <c r="Q335" s="738"/>
      <c r="R335" s="738"/>
      <c r="S335" s="772">
        <v>62240.09</v>
      </c>
      <c r="T335" s="739">
        <v>1100121</v>
      </c>
      <c r="U335" s="742">
        <v>54952.3</v>
      </c>
      <c r="V335" s="741">
        <v>1500522</v>
      </c>
    </row>
    <row r="336" spans="1:22" ht="15" x14ac:dyDescent="0.2">
      <c r="A336" s="734">
        <v>3852</v>
      </c>
      <c r="B336" s="735" t="s">
        <v>32</v>
      </c>
      <c r="C336" s="736">
        <v>0</v>
      </c>
      <c r="D336" s="736"/>
      <c r="E336" s="749"/>
      <c r="F336" s="736"/>
      <c r="G336" s="736"/>
      <c r="H336" s="736"/>
      <c r="I336" s="736"/>
      <c r="J336" s="736"/>
      <c r="K336" s="736"/>
      <c r="L336" s="736"/>
      <c r="M336" s="736"/>
      <c r="N336" s="736"/>
      <c r="O336" s="736"/>
      <c r="P336" s="738"/>
      <c r="Q336" s="738">
        <v>90958</v>
      </c>
      <c r="R336" s="738"/>
      <c r="S336" s="738">
        <v>350000</v>
      </c>
      <c r="T336" s="739">
        <v>1100121</v>
      </c>
      <c r="U336" s="740">
        <v>400000</v>
      </c>
      <c r="V336" s="741">
        <v>1100122</v>
      </c>
    </row>
    <row r="337" spans="1:22" ht="15" x14ac:dyDescent="0.2">
      <c r="A337" s="724" t="s">
        <v>83</v>
      </c>
      <c r="B337" s="771" t="s">
        <v>1316</v>
      </c>
      <c r="C337" s="721">
        <f t="shared" ref="C337:S337" si="136">SUM(C338)</f>
        <v>0</v>
      </c>
      <c r="D337" s="721">
        <f t="shared" si="136"/>
        <v>0</v>
      </c>
      <c r="E337" s="721">
        <f t="shared" si="136"/>
        <v>0</v>
      </c>
      <c r="F337" s="721">
        <f t="shared" si="136"/>
        <v>0</v>
      </c>
      <c r="G337" s="721">
        <f t="shared" si="136"/>
        <v>0</v>
      </c>
      <c r="H337" s="721">
        <f t="shared" si="136"/>
        <v>0</v>
      </c>
      <c r="I337" s="721">
        <f t="shared" si="136"/>
        <v>0</v>
      </c>
      <c r="J337" s="721">
        <f t="shared" si="136"/>
        <v>0</v>
      </c>
      <c r="K337" s="721">
        <f t="shared" si="136"/>
        <v>0</v>
      </c>
      <c r="L337" s="721">
        <f t="shared" si="136"/>
        <v>0</v>
      </c>
      <c r="M337" s="721">
        <f t="shared" si="136"/>
        <v>0</v>
      </c>
      <c r="N337" s="721">
        <f t="shared" si="136"/>
        <v>0</v>
      </c>
      <c r="O337" s="721">
        <f t="shared" si="136"/>
        <v>0</v>
      </c>
      <c r="P337" s="721">
        <f t="shared" si="136"/>
        <v>0</v>
      </c>
      <c r="Q337" s="773">
        <f>Q338</f>
        <v>90958</v>
      </c>
      <c r="R337" s="756"/>
      <c r="S337" s="756">
        <f t="shared" si="136"/>
        <v>412240.08999999997</v>
      </c>
      <c r="T337" s="724"/>
      <c r="U337" s="726">
        <f t="shared" ref="U337" si="137">SUM(U338)</f>
        <v>454952.3</v>
      </c>
      <c r="V337" s="727"/>
    </row>
    <row r="338" spans="1:22" ht="15" x14ac:dyDescent="0.2">
      <c r="A338" s="728" t="s">
        <v>55</v>
      </c>
      <c r="B338" s="729" t="s">
        <v>1578</v>
      </c>
      <c r="C338" s="748">
        <f t="shared" ref="C338:R338" si="138">SUM(C339:C354)</f>
        <v>0</v>
      </c>
      <c r="D338" s="748">
        <f t="shared" si="138"/>
        <v>0</v>
      </c>
      <c r="E338" s="748">
        <f t="shared" si="138"/>
        <v>0</v>
      </c>
      <c r="F338" s="748">
        <f t="shared" si="138"/>
        <v>0</v>
      </c>
      <c r="G338" s="748">
        <f t="shared" si="138"/>
        <v>0</v>
      </c>
      <c r="H338" s="748">
        <f t="shared" si="138"/>
        <v>0</v>
      </c>
      <c r="I338" s="748">
        <f t="shared" si="138"/>
        <v>0</v>
      </c>
      <c r="J338" s="748">
        <f t="shared" si="138"/>
        <v>0</v>
      </c>
      <c r="K338" s="748">
        <f t="shared" si="138"/>
        <v>0</v>
      </c>
      <c r="L338" s="748">
        <f t="shared" si="138"/>
        <v>0</v>
      </c>
      <c r="M338" s="748">
        <f t="shared" si="138"/>
        <v>0</v>
      </c>
      <c r="N338" s="748">
        <f t="shared" si="138"/>
        <v>0</v>
      </c>
      <c r="O338" s="748">
        <f t="shared" si="138"/>
        <v>0</v>
      </c>
      <c r="P338" s="748">
        <f t="shared" si="138"/>
        <v>0</v>
      </c>
      <c r="Q338" s="774">
        <f>SUM(Q339:Q340)</f>
        <v>90958</v>
      </c>
      <c r="R338" s="748">
        <f t="shared" si="138"/>
        <v>0</v>
      </c>
      <c r="S338" s="748">
        <f>SUM(S339:S340)</f>
        <v>412240.08999999997</v>
      </c>
      <c r="T338" s="731"/>
      <c r="U338" s="732">
        <f>SUM(U339:U340)</f>
        <v>454952.3</v>
      </c>
      <c r="V338" s="733"/>
    </row>
    <row r="339" spans="1:22" ht="15" x14ac:dyDescent="0.2">
      <c r="A339" s="734">
        <v>1531</v>
      </c>
      <c r="B339" s="735" t="s">
        <v>38</v>
      </c>
      <c r="C339" s="736">
        <v>0</v>
      </c>
      <c r="D339" s="736"/>
      <c r="E339" s="749"/>
      <c r="F339" s="736"/>
      <c r="G339" s="736"/>
      <c r="H339" s="736"/>
      <c r="I339" s="736"/>
      <c r="J339" s="736"/>
      <c r="K339" s="736"/>
      <c r="L339" s="736"/>
      <c r="M339" s="736"/>
      <c r="N339" s="736"/>
      <c r="O339" s="736"/>
      <c r="P339" s="738"/>
      <c r="Q339" s="738"/>
      <c r="R339" s="738"/>
      <c r="S339" s="772">
        <v>62240.09</v>
      </c>
      <c r="T339" s="739">
        <v>1100121</v>
      </c>
      <c r="U339" s="742">
        <v>54952.3</v>
      </c>
      <c r="V339" s="741">
        <v>1500522</v>
      </c>
    </row>
    <row r="340" spans="1:22" ht="15" x14ac:dyDescent="0.2">
      <c r="A340" s="734">
        <v>3852</v>
      </c>
      <c r="B340" s="735" t="s">
        <v>32</v>
      </c>
      <c r="C340" s="736">
        <v>0</v>
      </c>
      <c r="D340" s="736"/>
      <c r="E340" s="749"/>
      <c r="F340" s="736"/>
      <c r="G340" s="736"/>
      <c r="H340" s="736"/>
      <c r="I340" s="736"/>
      <c r="J340" s="736"/>
      <c r="K340" s="736"/>
      <c r="L340" s="736"/>
      <c r="M340" s="736"/>
      <c r="N340" s="736"/>
      <c r="O340" s="736"/>
      <c r="P340" s="738"/>
      <c r="Q340" s="738">
        <v>90958</v>
      </c>
      <c r="R340" s="738"/>
      <c r="S340" s="738">
        <v>350000</v>
      </c>
      <c r="T340" s="739">
        <v>1100121</v>
      </c>
      <c r="U340" s="740">
        <v>400000</v>
      </c>
      <c r="V340" s="741">
        <v>1100122</v>
      </c>
    </row>
    <row r="341" spans="1:22" ht="15" x14ac:dyDescent="0.2">
      <c r="A341" s="724" t="s">
        <v>84</v>
      </c>
      <c r="B341" s="775" t="s">
        <v>1317</v>
      </c>
      <c r="C341" s="724"/>
      <c r="D341" s="724"/>
      <c r="E341" s="724"/>
      <c r="F341" s="724"/>
      <c r="G341" s="724"/>
      <c r="H341" s="724"/>
      <c r="I341" s="724"/>
      <c r="J341" s="724"/>
      <c r="K341" s="724"/>
      <c r="L341" s="724"/>
      <c r="M341" s="724"/>
      <c r="N341" s="724"/>
      <c r="O341" s="724"/>
      <c r="P341" s="724"/>
      <c r="Q341" s="773">
        <f>Q342</f>
        <v>90958</v>
      </c>
      <c r="R341" s="724"/>
      <c r="S341" s="776">
        <f>S342</f>
        <v>406021.66000000003</v>
      </c>
      <c r="T341" s="724"/>
      <c r="U341" s="726">
        <f>U342</f>
        <v>449458.26</v>
      </c>
      <c r="V341" s="727"/>
    </row>
    <row r="342" spans="1:22" ht="15" x14ac:dyDescent="0.2">
      <c r="A342" s="728" t="s">
        <v>55</v>
      </c>
      <c r="B342" s="729" t="s">
        <v>1578</v>
      </c>
      <c r="C342" s="731"/>
      <c r="D342" s="731"/>
      <c r="E342" s="731"/>
      <c r="F342" s="731"/>
      <c r="G342" s="731"/>
      <c r="H342" s="731"/>
      <c r="I342" s="731"/>
      <c r="J342" s="731"/>
      <c r="K342" s="731"/>
      <c r="L342" s="731"/>
      <c r="M342" s="731"/>
      <c r="N342" s="731"/>
      <c r="O342" s="731"/>
      <c r="P342" s="731"/>
      <c r="Q342" s="774">
        <f>SUM(Q343:Q344)</f>
        <v>90958</v>
      </c>
      <c r="R342" s="731"/>
      <c r="S342" s="777">
        <f>SUM(S343:S344)</f>
        <v>406021.66000000003</v>
      </c>
      <c r="T342" s="731"/>
      <c r="U342" s="732">
        <f>SUM(U343:U344)</f>
        <v>449458.26</v>
      </c>
      <c r="V342" s="733"/>
    </row>
    <row r="343" spans="1:22" ht="15" x14ac:dyDescent="0.25">
      <c r="A343" s="734">
        <v>1531</v>
      </c>
      <c r="B343" s="735" t="s">
        <v>38</v>
      </c>
      <c r="C343" s="778"/>
      <c r="D343" s="778"/>
      <c r="E343" s="778"/>
      <c r="F343" s="778"/>
      <c r="G343" s="778"/>
      <c r="H343" s="778"/>
      <c r="I343" s="778"/>
      <c r="J343" s="778"/>
      <c r="K343" s="778"/>
      <c r="L343" s="778"/>
      <c r="M343" s="778"/>
      <c r="N343" s="778"/>
      <c r="O343" s="778"/>
      <c r="P343" s="778"/>
      <c r="Q343" s="738"/>
      <c r="R343" s="778"/>
      <c r="S343" s="772">
        <v>56021.66</v>
      </c>
      <c r="T343" s="739">
        <v>1100121</v>
      </c>
      <c r="U343" s="779">
        <v>49458.26</v>
      </c>
      <c r="V343" s="741">
        <v>1500522</v>
      </c>
    </row>
    <row r="344" spans="1:22" ht="15" x14ac:dyDescent="0.2">
      <c r="A344" s="734">
        <v>3852</v>
      </c>
      <c r="B344" s="735" t="s">
        <v>32</v>
      </c>
      <c r="C344" s="736"/>
      <c r="D344" s="736"/>
      <c r="E344" s="749"/>
      <c r="F344" s="736"/>
      <c r="G344" s="736"/>
      <c r="H344" s="736"/>
      <c r="I344" s="736"/>
      <c r="J344" s="736"/>
      <c r="K344" s="736"/>
      <c r="L344" s="736"/>
      <c r="M344" s="736"/>
      <c r="N344" s="736"/>
      <c r="O344" s="736"/>
      <c r="P344" s="738"/>
      <c r="Q344" s="738">
        <v>90958</v>
      </c>
      <c r="R344" s="738"/>
      <c r="S344" s="738">
        <v>350000</v>
      </c>
      <c r="T344" s="739">
        <v>1100121</v>
      </c>
      <c r="U344" s="740">
        <v>400000</v>
      </c>
      <c r="V344" s="741">
        <v>1100122</v>
      </c>
    </row>
    <row r="345" spans="1:22" ht="15" x14ac:dyDescent="0.2">
      <c r="A345" s="724" t="s">
        <v>85</v>
      </c>
      <c r="B345" s="775" t="s">
        <v>1318</v>
      </c>
      <c r="C345" s="724"/>
      <c r="D345" s="724"/>
      <c r="E345" s="724"/>
      <c r="F345" s="724"/>
      <c r="G345" s="724"/>
      <c r="H345" s="724"/>
      <c r="I345" s="724"/>
      <c r="J345" s="724"/>
      <c r="K345" s="724"/>
      <c r="L345" s="724"/>
      <c r="M345" s="724"/>
      <c r="N345" s="724"/>
      <c r="O345" s="724"/>
      <c r="P345" s="724"/>
      <c r="Q345" s="773">
        <f>Q346</f>
        <v>90958</v>
      </c>
      <c r="R345" s="724"/>
      <c r="S345" s="776">
        <f>S346</f>
        <v>406021.66000000003</v>
      </c>
      <c r="T345" s="724"/>
      <c r="U345" s="726">
        <f>U346</f>
        <v>449458.26</v>
      </c>
      <c r="V345" s="727"/>
    </row>
    <row r="346" spans="1:22" ht="15" x14ac:dyDescent="0.2">
      <c r="A346" s="728" t="s">
        <v>55</v>
      </c>
      <c r="B346" s="729" t="s">
        <v>1578</v>
      </c>
      <c r="C346" s="731"/>
      <c r="D346" s="731"/>
      <c r="E346" s="731"/>
      <c r="F346" s="731"/>
      <c r="G346" s="731"/>
      <c r="H346" s="731"/>
      <c r="I346" s="731"/>
      <c r="J346" s="731"/>
      <c r="K346" s="731"/>
      <c r="L346" s="731"/>
      <c r="M346" s="731"/>
      <c r="N346" s="731"/>
      <c r="O346" s="731"/>
      <c r="P346" s="731"/>
      <c r="Q346" s="774">
        <f>SUM(Q347:Q348)</f>
        <v>90958</v>
      </c>
      <c r="R346" s="731"/>
      <c r="S346" s="777">
        <f>SUM(S347:S348)</f>
        <v>406021.66000000003</v>
      </c>
      <c r="T346" s="731"/>
      <c r="U346" s="732">
        <f>SUM(U347:U348)</f>
        <v>449458.26</v>
      </c>
      <c r="V346" s="733"/>
    </row>
    <row r="347" spans="1:22" ht="15" x14ac:dyDescent="0.25">
      <c r="A347" s="734">
        <v>1531</v>
      </c>
      <c r="B347" s="735" t="s">
        <v>38</v>
      </c>
      <c r="C347" s="736"/>
      <c r="D347" s="736"/>
      <c r="E347" s="749"/>
      <c r="F347" s="736"/>
      <c r="G347" s="736"/>
      <c r="H347" s="736"/>
      <c r="I347" s="736"/>
      <c r="J347" s="736"/>
      <c r="K347" s="736"/>
      <c r="L347" s="736"/>
      <c r="M347" s="736"/>
      <c r="N347" s="736"/>
      <c r="O347" s="736"/>
      <c r="P347" s="738"/>
      <c r="Q347" s="738"/>
      <c r="R347" s="738"/>
      <c r="S347" s="751">
        <v>56021.66</v>
      </c>
      <c r="T347" s="739">
        <v>1100121</v>
      </c>
      <c r="U347" s="779">
        <v>49458.26</v>
      </c>
      <c r="V347" s="741">
        <v>1500522</v>
      </c>
    </row>
    <row r="348" spans="1:22" ht="15" x14ac:dyDescent="0.2">
      <c r="A348" s="734">
        <v>3852</v>
      </c>
      <c r="B348" s="735" t="s">
        <v>32</v>
      </c>
      <c r="C348" s="736"/>
      <c r="D348" s="736"/>
      <c r="E348" s="749"/>
      <c r="F348" s="736"/>
      <c r="G348" s="736"/>
      <c r="H348" s="736"/>
      <c r="I348" s="736"/>
      <c r="J348" s="736"/>
      <c r="K348" s="736"/>
      <c r="L348" s="736"/>
      <c r="M348" s="736"/>
      <c r="N348" s="736"/>
      <c r="O348" s="736"/>
      <c r="P348" s="738"/>
      <c r="Q348" s="738">
        <v>90958</v>
      </c>
      <c r="R348" s="738"/>
      <c r="S348" s="751">
        <v>350000</v>
      </c>
      <c r="T348" s="739">
        <v>1100121</v>
      </c>
      <c r="U348" s="740">
        <v>400000</v>
      </c>
      <c r="V348" s="741">
        <v>1100122</v>
      </c>
    </row>
    <row r="349" spans="1:22" ht="15" x14ac:dyDescent="0.2">
      <c r="A349" s="724" t="s">
        <v>86</v>
      </c>
      <c r="B349" s="775" t="s">
        <v>1319</v>
      </c>
      <c r="C349" s="724"/>
      <c r="D349" s="724"/>
      <c r="E349" s="724"/>
      <c r="F349" s="724"/>
      <c r="G349" s="724"/>
      <c r="H349" s="724"/>
      <c r="I349" s="724"/>
      <c r="J349" s="724"/>
      <c r="K349" s="724"/>
      <c r="L349" s="724"/>
      <c r="M349" s="724"/>
      <c r="N349" s="724"/>
      <c r="O349" s="724"/>
      <c r="P349" s="724"/>
      <c r="Q349" s="773">
        <f>Q350</f>
        <v>90958</v>
      </c>
      <c r="R349" s="724"/>
      <c r="S349" s="776">
        <f>S350</f>
        <v>406021.66000000003</v>
      </c>
      <c r="T349" s="724"/>
      <c r="U349" s="726">
        <f>U350</f>
        <v>449458.26</v>
      </c>
      <c r="V349" s="727"/>
    </row>
    <row r="350" spans="1:22" ht="15" x14ac:dyDescent="0.2">
      <c r="A350" s="728" t="s">
        <v>55</v>
      </c>
      <c r="B350" s="729" t="s">
        <v>1578</v>
      </c>
      <c r="C350" s="731"/>
      <c r="D350" s="731"/>
      <c r="E350" s="731"/>
      <c r="F350" s="731"/>
      <c r="G350" s="731"/>
      <c r="H350" s="731"/>
      <c r="I350" s="731"/>
      <c r="J350" s="731"/>
      <c r="K350" s="731"/>
      <c r="L350" s="731"/>
      <c r="M350" s="731"/>
      <c r="N350" s="731"/>
      <c r="O350" s="731"/>
      <c r="P350" s="731"/>
      <c r="Q350" s="774">
        <f>SUM(Q351:Q352)</f>
        <v>90958</v>
      </c>
      <c r="R350" s="731"/>
      <c r="S350" s="777">
        <f>SUM(S351:S352)</f>
        <v>406021.66000000003</v>
      </c>
      <c r="T350" s="731"/>
      <c r="U350" s="732">
        <f>SUM(U351:U352)</f>
        <v>449458.26</v>
      </c>
      <c r="V350" s="733"/>
    </row>
    <row r="351" spans="1:22" ht="15" x14ac:dyDescent="0.25">
      <c r="A351" s="734">
        <v>1531</v>
      </c>
      <c r="B351" s="735" t="s">
        <v>38</v>
      </c>
      <c r="C351" s="778"/>
      <c r="D351" s="778"/>
      <c r="E351" s="778"/>
      <c r="F351" s="778"/>
      <c r="G351" s="778"/>
      <c r="H351" s="778"/>
      <c r="I351" s="778"/>
      <c r="J351" s="778"/>
      <c r="K351" s="778"/>
      <c r="L351" s="778"/>
      <c r="M351" s="778"/>
      <c r="N351" s="778"/>
      <c r="O351" s="778"/>
      <c r="P351" s="778"/>
      <c r="Q351" s="738"/>
      <c r="R351" s="778"/>
      <c r="S351" s="751">
        <v>56021.66</v>
      </c>
      <c r="T351" s="739">
        <v>1100121</v>
      </c>
      <c r="U351" s="779">
        <v>49458.26</v>
      </c>
      <c r="V351" s="741">
        <v>1500522</v>
      </c>
    </row>
    <row r="352" spans="1:22" ht="15" x14ac:dyDescent="0.2">
      <c r="A352" s="734">
        <v>3852</v>
      </c>
      <c r="B352" s="735" t="s">
        <v>32</v>
      </c>
      <c r="C352" s="778"/>
      <c r="D352" s="778"/>
      <c r="E352" s="778"/>
      <c r="F352" s="778"/>
      <c r="G352" s="778"/>
      <c r="H352" s="778"/>
      <c r="I352" s="778"/>
      <c r="J352" s="778"/>
      <c r="K352" s="778"/>
      <c r="L352" s="778"/>
      <c r="M352" s="778"/>
      <c r="N352" s="778"/>
      <c r="O352" s="778"/>
      <c r="P352" s="778"/>
      <c r="Q352" s="738">
        <v>90958</v>
      </c>
      <c r="R352" s="778"/>
      <c r="S352" s="751">
        <v>350000</v>
      </c>
      <c r="T352" s="739">
        <v>1100121</v>
      </c>
      <c r="U352" s="740">
        <v>400000</v>
      </c>
      <c r="V352" s="741">
        <v>1100122</v>
      </c>
    </row>
    <row r="353" spans="1:22" ht="15" x14ac:dyDescent="0.2">
      <c r="A353" s="724" t="s">
        <v>87</v>
      </c>
      <c r="B353" s="775" t="s">
        <v>1320</v>
      </c>
      <c r="C353" s="724"/>
      <c r="D353" s="724"/>
      <c r="E353" s="724"/>
      <c r="F353" s="724"/>
      <c r="G353" s="724"/>
      <c r="H353" s="724"/>
      <c r="I353" s="724"/>
      <c r="J353" s="724"/>
      <c r="K353" s="724"/>
      <c r="L353" s="724"/>
      <c r="M353" s="724"/>
      <c r="N353" s="724"/>
      <c r="O353" s="724"/>
      <c r="P353" s="724"/>
      <c r="Q353" s="773">
        <f>Q354</f>
        <v>90958</v>
      </c>
      <c r="R353" s="724"/>
      <c r="S353" s="776">
        <f>S354</f>
        <v>406021.66000000003</v>
      </c>
      <c r="T353" s="724"/>
      <c r="U353" s="726">
        <f>U354</f>
        <v>449458.26</v>
      </c>
      <c r="V353" s="727"/>
    </row>
    <row r="354" spans="1:22" ht="15" x14ac:dyDescent="0.2">
      <c r="A354" s="728" t="s">
        <v>55</v>
      </c>
      <c r="B354" s="729" t="s">
        <v>1578</v>
      </c>
      <c r="C354" s="731"/>
      <c r="D354" s="731"/>
      <c r="E354" s="731"/>
      <c r="F354" s="731"/>
      <c r="G354" s="731"/>
      <c r="H354" s="731"/>
      <c r="I354" s="731"/>
      <c r="J354" s="731"/>
      <c r="K354" s="731"/>
      <c r="L354" s="731"/>
      <c r="M354" s="731"/>
      <c r="N354" s="731"/>
      <c r="O354" s="731"/>
      <c r="P354" s="731"/>
      <c r="Q354" s="774">
        <f>SUM(Q355:Q356)</f>
        <v>90958</v>
      </c>
      <c r="R354" s="731"/>
      <c r="S354" s="777">
        <f>SUM(S355:S356)</f>
        <v>406021.66000000003</v>
      </c>
      <c r="T354" s="731"/>
      <c r="U354" s="732">
        <f>SUM(U355:U356)</f>
        <v>449458.26</v>
      </c>
      <c r="V354" s="733"/>
    </row>
    <row r="355" spans="1:22" ht="15" x14ac:dyDescent="0.25">
      <c r="A355" s="734">
        <v>1531</v>
      </c>
      <c r="B355" s="735" t="s">
        <v>38</v>
      </c>
      <c r="C355" s="778"/>
      <c r="D355" s="778"/>
      <c r="E355" s="778"/>
      <c r="F355" s="778"/>
      <c r="G355" s="778"/>
      <c r="H355" s="778"/>
      <c r="I355" s="778"/>
      <c r="J355" s="778"/>
      <c r="K355" s="778"/>
      <c r="L355" s="778"/>
      <c r="M355" s="778"/>
      <c r="N355" s="778"/>
      <c r="O355" s="778"/>
      <c r="P355" s="778"/>
      <c r="Q355" s="738"/>
      <c r="R355" s="778"/>
      <c r="S355" s="751">
        <v>56021.66</v>
      </c>
      <c r="T355" s="739">
        <v>1100121</v>
      </c>
      <c r="U355" s="779">
        <v>49458.26</v>
      </c>
      <c r="V355" s="741">
        <v>1500522</v>
      </c>
    </row>
    <row r="356" spans="1:22" ht="15" x14ac:dyDescent="0.2">
      <c r="A356" s="734">
        <v>3852</v>
      </c>
      <c r="B356" s="735" t="s">
        <v>32</v>
      </c>
      <c r="C356" s="736"/>
      <c r="D356" s="736"/>
      <c r="E356" s="749"/>
      <c r="F356" s="736"/>
      <c r="G356" s="736"/>
      <c r="H356" s="736"/>
      <c r="I356" s="736"/>
      <c r="J356" s="736"/>
      <c r="K356" s="736"/>
      <c r="L356" s="736"/>
      <c r="M356" s="736"/>
      <c r="N356" s="736"/>
      <c r="O356" s="736"/>
      <c r="P356" s="738"/>
      <c r="Q356" s="738">
        <v>90958</v>
      </c>
      <c r="R356" s="738"/>
      <c r="S356" s="751">
        <v>350000</v>
      </c>
      <c r="T356" s="739">
        <v>1100121</v>
      </c>
      <c r="U356" s="740">
        <v>400000</v>
      </c>
      <c r="V356" s="741">
        <v>1100122</v>
      </c>
    </row>
    <row r="357" spans="1:22" ht="15" x14ac:dyDescent="0.2">
      <c r="A357" s="724" t="s">
        <v>88</v>
      </c>
      <c r="B357" s="775" t="s">
        <v>1321</v>
      </c>
      <c r="C357" s="724"/>
      <c r="D357" s="724"/>
      <c r="E357" s="724"/>
      <c r="F357" s="724"/>
      <c r="G357" s="724"/>
      <c r="H357" s="724"/>
      <c r="I357" s="724"/>
      <c r="J357" s="724"/>
      <c r="K357" s="724"/>
      <c r="L357" s="724"/>
      <c r="M357" s="724"/>
      <c r="N357" s="724"/>
      <c r="O357" s="724"/>
      <c r="P357" s="724"/>
      <c r="Q357" s="773">
        <f>Q358</f>
        <v>90958</v>
      </c>
      <c r="R357" s="724"/>
      <c r="S357" s="776">
        <f>S358</f>
        <v>406021.66000000003</v>
      </c>
      <c r="T357" s="724"/>
      <c r="U357" s="726">
        <f>U358</f>
        <v>449458.26</v>
      </c>
      <c r="V357" s="727"/>
    </row>
    <row r="358" spans="1:22" ht="15" x14ac:dyDescent="0.2">
      <c r="A358" s="728" t="s">
        <v>55</v>
      </c>
      <c r="B358" s="729" t="s">
        <v>1578</v>
      </c>
      <c r="C358" s="731"/>
      <c r="D358" s="731"/>
      <c r="E358" s="731"/>
      <c r="F358" s="731"/>
      <c r="G358" s="731"/>
      <c r="H358" s="731"/>
      <c r="I358" s="731"/>
      <c r="J358" s="731"/>
      <c r="K358" s="731"/>
      <c r="L358" s="731"/>
      <c r="M358" s="731"/>
      <c r="N358" s="731"/>
      <c r="O358" s="731"/>
      <c r="P358" s="731"/>
      <c r="Q358" s="774">
        <f>SUM(Q359:Q360)</f>
        <v>90958</v>
      </c>
      <c r="R358" s="731"/>
      <c r="S358" s="777">
        <f>SUM(S359:S360)</f>
        <v>406021.66000000003</v>
      </c>
      <c r="T358" s="731"/>
      <c r="U358" s="732">
        <f>SUM(U359:U360)</f>
        <v>449458.26</v>
      </c>
      <c r="V358" s="733"/>
    </row>
    <row r="359" spans="1:22" ht="15" x14ac:dyDescent="0.25">
      <c r="A359" s="734">
        <v>1531</v>
      </c>
      <c r="B359" s="735" t="s">
        <v>38</v>
      </c>
      <c r="C359" s="778"/>
      <c r="D359" s="778"/>
      <c r="E359" s="778"/>
      <c r="F359" s="778"/>
      <c r="G359" s="778"/>
      <c r="H359" s="778"/>
      <c r="I359" s="778"/>
      <c r="J359" s="778"/>
      <c r="K359" s="778"/>
      <c r="L359" s="778"/>
      <c r="M359" s="778"/>
      <c r="N359" s="778"/>
      <c r="O359" s="778"/>
      <c r="P359" s="778"/>
      <c r="Q359" s="738"/>
      <c r="R359" s="778"/>
      <c r="S359" s="751">
        <v>56021.66</v>
      </c>
      <c r="T359" s="739">
        <v>1100121</v>
      </c>
      <c r="U359" s="779">
        <v>49458.26</v>
      </c>
      <c r="V359" s="741">
        <v>1500522</v>
      </c>
    </row>
    <row r="360" spans="1:22" ht="15" x14ac:dyDescent="0.2">
      <c r="A360" s="734">
        <v>3852</v>
      </c>
      <c r="B360" s="735" t="s">
        <v>32</v>
      </c>
      <c r="C360" s="736"/>
      <c r="D360" s="736"/>
      <c r="E360" s="749"/>
      <c r="F360" s="736"/>
      <c r="G360" s="736"/>
      <c r="H360" s="736"/>
      <c r="I360" s="736"/>
      <c r="J360" s="736"/>
      <c r="K360" s="736"/>
      <c r="L360" s="736"/>
      <c r="M360" s="736"/>
      <c r="N360" s="736"/>
      <c r="O360" s="736"/>
      <c r="P360" s="738"/>
      <c r="Q360" s="738">
        <v>90958</v>
      </c>
      <c r="R360" s="738"/>
      <c r="S360" s="751">
        <v>350000</v>
      </c>
      <c r="T360" s="739">
        <v>1100121</v>
      </c>
      <c r="U360" s="740">
        <v>400000</v>
      </c>
      <c r="V360" s="741">
        <v>1100122</v>
      </c>
    </row>
    <row r="361" spans="1:22" ht="15" x14ac:dyDescent="0.2">
      <c r="A361" s="724" t="s">
        <v>89</v>
      </c>
      <c r="B361" s="775" t="s">
        <v>1322</v>
      </c>
      <c r="C361" s="724"/>
      <c r="D361" s="724"/>
      <c r="E361" s="724"/>
      <c r="F361" s="724"/>
      <c r="G361" s="724"/>
      <c r="H361" s="724"/>
      <c r="I361" s="724"/>
      <c r="J361" s="724"/>
      <c r="K361" s="724"/>
      <c r="L361" s="724"/>
      <c r="M361" s="724"/>
      <c r="N361" s="724"/>
      <c r="O361" s="724"/>
      <c r="P361" s="724"/>
      <c r="Q361" s="773">
        <f>Q362</f>
        <v>90958</v>
      </c>
      <c r="R361" s="724"/>
      <c r="S361" s="776">
        <f>S362</f>
        <v>406021.66000000003</v>
      </c>
      <c r="T361" s="724"/>
      <c r="U361" s="726">
        <f>U362</f>
        <v>449458.26</v>
      </c>
      <c r="V361" s="727"/>
    </row>
    <row r="362" spans="1:22" ht="15" x14ac:dyDescent="0.2">
      <c r="A362" s="728" t="s">
        <v>55</v>
      </c>
      <c r="B362" s="729" t="s">
        <v>1578</v>
      </c>
      <c r="C362" s="731"/>
      <c r="D362" s="731"/>
      <c r="E362" s="731"/>
      <c r="F362" s="731"/>
      <c r="G362" s="731"/>
      <c r="H362" s="731"/>
      <c r="I362" s="731"/>
      <c r="J362" s="731"/>
      <c r="K362" s="731"/>
      <c r="L362" s="731"/>
      <c r="M362" s="731"/>
      <c r="N362" s="731"/>
      <c r="O362" s="731"/>
      <c r="P362" s="731"/>
      <c r="Q362" s="774">
        <f>SUM(Q363:Q364)</f>
        <v>90958</v>
      </c>
      <c r="R362" s="731"/>
      <c r="S362" s="777">
        <f>SUM(S363:S364)</f>
        <v>406021.66000000003</v>
      </c>
      <c r="T362" s="731"/>
      <c r="U362" s="732">
        <f>SUM(U363:U364)</f>
        <v>449458.26</v>
      </c>
      <c r="V362" s="733"/>
    </row>
    <row r="363" spans="1:22" ht="15" x14ac:dyDescent="0.25">
      <c r="A363" s="734">
        <v>1531</v>
      </c>
      <c r="B363" s="735" t="s">
        <v>38</v>
      </c>
      <c r="C363" s="778"/>
      <c r="D363" s="778"/>
      <c r="E363" s="778"/>
      <c r="F363" s="778"/>
      <c r="G363" s="778"/>
      <c r="H363" s="778"/>
      <c r="I363" s="778"/>
      <c r="J363" s="778"/>
      <c r="K363" s="778"/>
      <c r="L363" s="778"/>
      <c r="M363" s="778"/>
      <c r="N363" s="778"/>
      <c r="O363" s="778"/>
      <c r="P363" s="778"/>
      <c r="Q363" s="738"/>
      <c r="R363" s="778"/>
      <c r="S363" s="751">
        <v>56021.66</v>
      </c>
      <c r="T363" s="739">
        <v>1100121</v>
      </c>
      <c r="U363" s="779">
        <v>49458.26</v>
      </c>
      <c r="V363" s="741">
        <v>1500522</v>
      </c>
    </row>
    <row r="364" spans="1:22" ht="15" x14ac:dyDescent="0.2">
      <c r="A364" s="734">
        <v>3852</v>
      </c>
      <c r="B364" s="735" t="s">
        <v>32</v>
      </c>
      <c r="C364" s="736"/>
      <c r="D364" s="736"/>
      <c r="E364" s="749"/>
      <c r="F364" s="736"/>
      <c r="G364" s="736"/>
      <c r="H364" s="736"/>
      <c r="I364" s="736"/>
      <c r="J364" s="736"/>
      <c r="K364" s="736"/>
      <c r="L364" s="736"/>
      <c r="M364" s="736"/>
      <c r="N364" s="736"/>
      <c r="O364" s="736"/>
      <c r="P364" s="738"/>
      <c r="Q364" s="738">
        <v>90958</v>
      </c>
      <c r="R364" s="738"/>
      <c r="S364" s="751">
        <v>350000</v>
      </c>
      <c r="T364" s="739">
        <v>1100121</v>
      </c>
      <c r="U364" s="740">
        <v>400000</v>
      </c>
      <c r="V364" s="741">
        <v>1100122</v>
      </c>
    </row>
    <row r="365" spans="1:22" ht="15" x14ac:dyDescent="0.2">
      <c r="A365" s="724" t="s">
        <v>90</v>
      </c>
      <c r="B365" s="775" t="s">
        <v>1323</v>
      </c>
      <c r="C365" s="724"/>
      <c r="D365" s="724"/>
      <c r="E365" s="724"/>
      <c r="F365" s="724"/>
      <c r="G365" s="724"/>
      <c r="H365" s="724"/>
      <c r="I365" s="724"/>
      <c r="J365" s="724"/>
      <c r="K365" s="724"/>
      <c r="L365" s="724"/>
      <c r="M365" s="724"/>
      <c r="N365" s="724"/>
      <c r="O365" s="724"/>
      <c r="P365" s="724"/>
      <c r="Q365" s="773">
        <f>Q366</f>
        <v>90958</v>
      </c>
      <c r="R365" s="724"/>
      <c r="S365" s="776">
        <f>S366</f>
        <v>406021.66000000003</v>
      </c>
      <c r="T365" s="724"/>
      <c r="U365" s="726">
        <f>U366</f>
        <v>449458.26</v>
      </c>
      <c r="V365" s="727"/>
    </row>
    <row r="366" spans="1:22" ht="15" x14ac:dyDescent="0.2">
      <c r="A366" s="728" t="s">
        <v>55</v>
      </c>
      <c r="B366" s="729" t="s">
        <v>1578</v>
      </c>
      <c r="C366" s="731"/>
      <c r="D366" s="731"/>
      <c r="E366" s="731"/>
      <c r="F366" s="731"/>
      <c r="G366" s="731"/>
      <c r="H366" s="731"/>
      <c r="I366" s="731"/>
      <c r="J366" s="731"/>
      <c r="K366" s="731"/>
      <c r="L366" s="731"/>
      <c r="M366" s="731"/>
      <c r="N366" s="731"/>
      <c r="O366" s="731"/>
      <c r="P366" s="731"/>
      <c r="Q366" s="774">
        <f>SUM(Q367:Q368)</f>
        <v>90958</v>
      </c>
      <c r="R366" s="731"/>
      <c r="S366" s="777">
        <f>SUM(S367:S368)</f>
        <v>406021.66000000003</v>
      </c>
      <c r="T366" s="731"/>
      <c r="U366" s="732">
        <f>SUM(U367:U368)</f>
        <v>449458.26</v>
      </c>
      <c r="V366" s="733"/>
    </row>
    <row r="367" spans="1:22" ht="15" x14ac:dyDescent="0.25">
      <c r="A367" s="734">
        <v>1531</v>
      </c>
      <c r="B367" s="735" t="s">
        <v>38</v>
      </c>
      <c r="C367" s="778"/>
      <c r="D367" s="778"/>
      <c r="E367" s="778"/>
      <c r="F367" s="778"/>
      <c r="G367" s="778"/>
      <c r="H367" s="778"/>
      <c r="I367" s="778"/>
      <c r="J367" s="778"/>
      <c r="K367" s="778"/>
      <c r="L367" s="778"/>
      <c r="M367" s="778"/>
      <c r="N367" s="778"/>
      <c r="O367" s="778"/>
      <c r="P367" s="778"/>
      <c r="Q367" s="738"/>
      <c r="R367" s="778"/>
      <c r="S367" s="751">
        <v>56021.66</v>
      </c>
      <c r="T367" s="739">
        <v>1100121</v>
      </c>
      <c r="U367" s="779">
        <v>49458.26</v>
      </c>
      <c r="V367" s="741">
        <v>1500522</v>
      </c>
    </row>
    <row r="368" spans="1:22" ht="15" x14ac:dyDescent="0.2">
      <c r="A368" s="734">
        <v>3852</v>
      </c>
      <c r="B368" s="735" t="s">
        <v>32</v>
      </c>
      <c r="C368" s="736"/>
      <c r="D368" s="736"/>
      <c r="E368" s="749"/>
      <c r="F368" s="736"/>
      <c r="G368" s="736"/>
      <c r="H368" s="736"/>
      <c r="I368" s="736"/>
      <c r="J368" s="736"/>
      <c r="K368" s="736"/>
      <c r="L368" s="736"/>
      <c r="M368" s="736"/>
      <c r="N368" s="736"/>
      <c r="O368" s="736"/>
      <c r="P368" s="738"/>
      <c r="Q368" s="738">
        <v>90958</v>
      </c>
      <c r="R368" s="738"/>
      <c r="S368" s="751">
        <v>350000</v>
      </c>
      <c r="T368" s="739">
        <v>1100121</v>
      </c>
      <c r="U368" s="740">
        <v>400000</v>
      </c>
      <c r="V368" s="741">
        <v>1100122</v>
      </c>
    </row>
    <row r="369" spans="1:22" ht="15" x14ac:dyDescent="0.2">
      <c r="A369" s="724" t="s">
        <v>91</v>
      </c>
      <c r="B369" s="775" t="s">
        <v>1324</v>
      </c>
      <c r="C369" s="724"/>
      <c r="D369" s="724"/>
      <c r="E369" s="724"/>
      <c r="F369" s="724"/>
      <c r="G369" s="724"/>
      <c r="H369" s="724"/>
      <c r="I369" s="724"/>
      <c r="J369" s="724"/>
      <c r="K369" s="724"/>
      <c r="L369" s="724"/>
      <c r="M369" s="724"/>
      <c r="N369" s="724"/>
      <c r="O369" s="724"/>
      <c r="P369" s="724"/>
      <c r="Q369" s="773">
        <f>Q370</f>
        <v>90958</v>
      </c>
      <c r="R369" s="724"/>
      <c r="S369" s="776">
        <f>S370</f>
        <v>406021.66000000003</v>
      </c>
      <c r="T369" s="724"/>
      <c r="U369" s="726">
        <f>U370</f>
        <v>400000</v>
      </c>
      <c r="V369" s="727"/>
    </row>
    <row r="370" spans="1:22" ht="15" x14ac:dyDescent="0.2">
      <c r="A370" s="728" t="s">
        <v>55</v>
      </c>
      <c r="B370" s="729" t="s">
        <v>1578</v>
      </c>
      <c r="C370" s="731"/>
      <c r="D370" s="731"/>
      <c r="E370" s="731"/>
      <c r="F370" s="731"/>
      <c r="G370" s="731"/>
      <c r="H370" s="731"/>
      <c r="I370" s="731"/>
      <c r="J370" s="731"/>
      <c r="K370" s="731"/>
      <c r="L370" s="731"/>
      <c r="M370" s="731"/>
      <c r="N370" s="731"/>
      <c r="O370" s="731"/>
      <c r="P370" s="731"/>
      <c r="Q370" s="774">
        <f>SUM(Q371:Q372)</f>
        <v>90958</v>
      </c>
      <c r="R370" s="731"/>
      <c r="S370" s="777">
        <f>SUM(S371:S372)</f>
        <v>406021.66000000003</v>
      </c>
      <c r="T370" s="731"/>
      <c r="U370" s="732">
        <f>SUM(U371:U372)</f>
        <v>400000</v>
      </c>
      <c r="V370" s="733"/>
    </row>
    <row r="371" spans="1:22" ht="15" x14ac:dyDescent="0.25">
      <c r="A371" s="739">
        <v>1531</v>
      </c>
      <c r="B371" s="743" t="s">
        <v>38</v>
      </c>
      <c r="C371" s="778"/>
      <c r="D371" s="778"/>
      <c r="E371" s="778"/>
      <c r="F371" s="778"/>
      <c r="G371" s="778"/>
      <c r="H371" s="778"/>
      <c r="I371" s="778"/>
      <c r="J371" s="778"/>
      <c r="K371" s="778"/>
      <c r="L371" s="778"/>
      <c r="M371" s="778"/>
      <c r="N371" s="778"/>
      <c r="O371" s="778"/>
      <c r="P371" s="778"/>
      <c r="Q371" s="738"/>
      <c r="R371" s="778"/>
      <c r="S371" s="751">
        <v>56021.66</v>
      </c>
      <c r="T371" s="739">
        <v>1100121</v>
      </c>
      <c r="U371" s="780"/>
      <c r="V371" s="739">
        <v>1500522</v>
      </c>
    </row>
    <row r="372" spans="1:22" ht="15" x14ac:dyDescent="0.2">
      <c r="A372" s="734">
        <v>3852</v>
      </c>
      <c r="B372" s="735" t="s">
        <v>32</v>
      </c>
      <c r="C372" s="736"/>
      <c r="D372" s="736"/>
      <c r="E372" s="749"/>
      <c r="F372" s="736"/>
      <c r="G372" s="736"/>
      <c r="H372" s="736"/>
      <c r="I372" s="736"/>
      <c r="J372" s="736"/>
      <c r="K372" s="736"/>
      <c r="L372" s="736"/>
      <c r="M372" s="736"/>
      <c r="N372" s="736"/>
      <c r="O372" s="736"/>
      <c r="P372" s="738"/>
      <c r="Q372" s="738">
        <v>90958</v>
      </c>
      <c r="R372" s="738"/>
      <c r="S372" s="751">
        <v>350000</v>
      </c>
      <c r="T372" s="739">
        <v>1100121</v>
      </c>
      <c r="U372" s="740">
        <v>400000</v>
      </c>
      <c r="V372" s="741">
        <v>1100122</v>
      </c>
    </row>
    <row r="373" spans="1:22" ht="15" x14ac:dyDescent="0.2">
      <c r="A373" s="724" t="s">
        <v>92</v>
      </c>
      <c r="B373" s="775" t="s">
        <v>1325</v>
      </c>
      <c r="C373" s="724"/>
      <c r="D373" s="724"/>
      <c r="E373" s="724"/>
      <c r="F373" s="724"/>
      <c r="G373" s="724"/>
      <c r="H373" s="724"/>
      <c r="I373" s="724"/>
      <c r="J373" s="724"/>
      <c r="K373" s="724"/>
      <c r="L373" s="724"/>
      <c r="M373" s="724"/>
      <c r="N373" s="724"/>
      <c r="O373" s="724"/>
      <c r="P373" s="724"/>
      <c r="Q373" s="773">
        <f>Q374</f>
        <v>90958</v>
      </c>
      <c r="R373" s="724"/>
      <c r="S373" s="776">
        <f>S374</f>
        <v>406021.66000000003</v>
      </c>
      <c r="T373" s="724"/>
      <c r="U373" s="726">
        <f>U374</f>
        <v>449458.26</v>
      </c>
      <c r="V373" s="727"/>
    </row>
    <row r="374" spans="1:22" ht="15" x14ac:dyDescent="0.2">
      <c r="A374" s="728" t="s">
        <v>55</v>
      </c>
      <c r="B374" s="729" t="s">
        <v>1578</v>
      </c>
      <c r="C374" s="731"/>
      <c r="D374" s="731"/>
      <c r="E374" s="731"/>
      <c r="F374" s="731"/>
      <c r="G374" s="731"/>
      <c r="H374" s="731"/>
      <c r="I374" s="731"/>
      <c r="J374" s="731"/>
      <c r="K374" s="731"/>
      <c r="L374" s="731"/>
      <c r="M374" s="731"/>
      <c r="N374" s="731"/>
      <c r="O374" s="731"/>
      <c r="P374" s="731"/>
      <c r="Q374" s="774">
        <f>SUM(Q375:Q376)</f>
        <v>90958</v>
      </c>
      <c r="R374" s="731"/>
      <c r="S374" s="777">
        <f>SUM(S375:S376)</f>
        <v>406021.66000000003</v>
      </c>
      <c r="T374" s="731"/>
      <c r="U374" s="732">
        <f>SUM(U375:U376)</f>
        <v>449458.26</v>
      </c>
      <c r="V374" s="733"/>
    </row>
    <row r="375" spans="1:22" ht="15" x14ac:dyDescent="0.25">
      <c r="A375" s="734">
        <v>1531</v>
      </c>
      <c r="B375" s="735" t="s">
        <v>38</v>
      </c>
      <c r="C375" s="778"/>
      <c r="D375" s="778"/>
      <c r="E375" s="778"/>
      <c r="F375" s="778"/>
      <c r="G375" s="778"/>
      <c r="H375" s="778"/>
      <c r="I375" s="778"/>
      <c r="J375" s="778"/>
      <c r="K375" s="778"/>
      <c r="L375" s="778"/>
      <c r="M375" s="778"/>
      <c r="N375" s="778"/>
      <c r="O375" s="778"/>
      <c r="P375" s="778"/>
      <c r="Q375" s="738"/>
      <c r="R375" s="778"/>
      <c r="S375" s="751">
        <v>56021.66</v>
      </c>
      <c r="T375" s="739">
        <v>1100121</v>
      </c>
      <c r="U375" s="779">
        <v>49458.26</v>
      </c>
      <c r="V375" s="741">
        <v>1500522</v>
      </c>
    </row>
    <row r="376" spans="1:22" ht="15" x14ac:dyDescent="0.2">
      <c r="A376" s="734">
        <v>3852</v>
      </c>
      <c r="B376" s="735" t="s">
        <v>32</v>
      </c>
      <c r="C376" s="736"/>
      <c r="D376" s="736"/>
      <c r="E376" s="749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8"/>
      <c r="Q376" s="738">
        <v>90958</v>
      </c>
      <c r="R376" s="738"/>
      <c r="S376" s="751">
        <v>350000</v>
      </c>
      <c r="T376" s="739">
        <v>1100121</v>
      </c>
      <c r="U376" s="740">
        <v>400000</v>
      </c>
      <c r="V376" s="741">
        <v>1100122</v>
      </c>
    </row>
    <row r="377" spans="1:22" ht="15" x14ac:dyDescent="0.2">
      <c r="A377" s="724" t="s">
        <v>93</v>
      </c>
      <c r="B377" s="775" t="s">
        <v>1326</v>
      </c>
      <c r="C377" s="724"/>
      <c r="D377" s="724"/>
      <c r="E377" s="724"/>
      <c r="F377" s="724"/>
      <c r="G377" s="724"/>
      <c r="H377" s="724"/>
      <c r="I377" s="724"/>
      <c r="J377" s="724"/>
      <c r="K377" s="724"/>
      <c r="L377" s="724"/>
      <c r="M377" s="724"/>
      <c r="N377" s="724"/>
      <c r="O377" s="724"/>
      <c r="P377" s="724"/>
      <c r="Q377" s="773">
        <f>Q378</f>
        <v>90958</v>
      </c>
      <c r="R377" s="724"/>
      <c r="S377" s="776">
        <f>S378</f>
        <v>406021.66000000003</v>
      </c>
      <c r="T377" s="724"/>
      <c r="U377" s="726">
        <f>U378</f>
        <v>449458.26</v>
      </c>
      <c r="V377" s="727"/>
    </row>
    <row r="378" spans="1:22" ht="15" x14ac:dyDescent="0.2">
      <c r="A378" s="728" t="s">
        <v>55</v>
      </c>
      <c r="B378" s="729" t="s">
        <v>1578</v>
      </c>
      <c r="C378" s="731"/>
      <c r="D378" s="731"/>
      <c r="E378" s="731"/>
      <c r="F378" s="731"/>
      <c r="G378" s="731"/>
      <c r="H378" s="731"/>
      <c r="I378" s="731"/>
      <c r="J378" s="731"/>
      <c r="K378" s="731"/>
      <c r="L378" s="731"/>
      <c r="M378" s="731"/>
      <c r="N378" s="731"/>
      <c r="O378" s="731"/>
      <c r="P378" s="731"/>
      <c r="Q378" s="774">
        <f>SUM(Q379:Q380)</f>
        <v>90958</v>
      </c>
      <c r="R378" s="731"/>
      <c r="S378" s="777">
        <f>SUM(S379:S380)</f>
        <v>406021.66000000003</v>
      </c>
      <c r="T378" s="731"/>
      <c r="U378" s="732">
        <f>SUM(U379:U380)</f>
        <v>449458.26</v>
      </c>
      <c r="V378" s="733"/>
    </row>
    <row r="379" spans="1:22" ht="15" x14ac:dyDescent="0.25">
      <c r="A379" s="734">
        <v>1531</v>
      </c>
      <c r="B379" s="735" t="s">
        <v>38</v>
      </c>
      <c r="C379" s="778"/>
      <c r="D379" s="778"/>
      <c r="E379" s="778"/>
      <c r="F379" s="778"/>
      <c r="G379" s="778"/>
      <c r="H379" s="778"/>
      <c r="I379" s="778"/>
      <c r="J379" s="778"/>
      <c r="K379" s="778"/>
      <c r="L379" s="778"/>
      <c r="M379" s="778"/>
      <c r="N379" s="778"/>
      <c r="O379" s="778"/>
      <c r="P379" s="778"/>
      <c r="Q379" s="738"/>
      <c r="R379" s="778"/>
      <c r="S379" s="751">
        <v>56021.66</v>
      </c>
      <c r="T379" s="739">
        <v>1100121</v>
      </c>
      <c r="U379" s="779">
        <v>49458.26</v>
      </c>
      <c r="V379" s="741">
        <v>1500522</v>
      </c>
    </row>
    <row r="380" spans="1:22" ht="15" x14ac:dyDescent="0.2">
      <c r="A380" s="734">
        <v>3852</v>
      </c>
      <c r="B380" s="735" t="s">
        <v>32</v>
      </c>
      <c r="C380" s="736"/>
      <c r="D380" s="736"/>
      <c r="E380" s="749"/>
      <c r="F380" s="736"/>
      <c r="G380" s="736"/>
      <c r="H380" s="736"/>
      <c r="I380" s="736"/>
      <c r="J380" s="736"/>
      <c r="K380" s="736"/>
      <c r="L380" s="736"/>
      <c r="M380" s="736"/>
      <c r="N380" s="736"/>
      <c r="O380" s="736"/>
      <c r="P380" s="738"/>
      <c r="Q380" s="738">
        <v>90958</v>
      </c>
      <c r="R380" s="738"/>
      <c r="S380" s="751">
        <v>350000</v>
      </c>
      <c r="T380" s="739">
        <v>1100121</v>
      </c>
      <c r="U380" s="740">
        <v>400000</v>
      </c>
      <c r="V380" s="741">
        <v>1100122</v>
      </c>
    </row>
    <row r="381" spans="1:22" ht="15" x14ac:dyDescent="0.2">
      <c r="A381" s="724" t="s">
        <v>94</v>
      </c>
      <c r="B381" s="775" t="s">
        <v>1328</v>
      </c>
      <c r="C381" s="724"/>
      <c r="D381" s="724"/>
      <c r="E381" s="724"/>
      <c r="F381" s="724"/>
      <c r="G381" s="724"/>
      <c r="H381" s="724"/>
      <c r="I381" s="724"/>
      <c r="J381" s="724"/>
      <c r="K381" s="724"/>
      <c r="L381" s="724"/>
      <c r="M381" s="724"/>
      <c r="N381" s="724"/>
      <c r="O381" s="724"/>
      <c r="P381" s="724"/>
      <c r="Q381" s="773">
        <f>Q382</f>
        <v>90958</v>
      </c>
      <c r="R381" s="724"/>
      <c r="S381" s="776">
        <f>S382</f>
        <v>406021.66000000003</v>
      </c>
      <c r="T381" s="724"/>
      <c r="U381" s="726">
        <f>U382</f>
        <v>449458.26</v>
      </c>
      <c r="V381" s="727"/>
    </row>
    <row r="382" spans="1:22" ht="15" x14ac:dyDescent="0.2">
      <c r="A382" s="728" t="s">
        <v>55</v>
      </c>
      <c r="B382" s="729" t="s">
        <v>1578</v>
      </c>
      <c r="C382" s="731"/>
      <c r="D382" s="731"/>
      <c r="E382" s="731"/>
      <c r="F382" s="731"/>
      <c r="G382" s="731"/>
      <c r="H382" s="731"/>
      <c r="I382" s="731"/>
      <c r="J382" s="731"/>
      <c r="K382" s="731"/>
      <c r="L382" s="731"/>
      <c r="M382" s="731"/>
      <c r="N382" s="731"/>
      <c r="O382" s="731"/>
      <c r="P382" s="731"/>
      <c r="Q382" s="774">
        <f>SUM(Q383:Q384)</f>
        <v>90958</v>
      </c>
      <c r="R382" s="731"/>
      <c r="S382" s="777">
        <f>SUM(S383:S384)</f>
        <v>406021.66000000003</v>
      </c>
      <c r="T382" s="731"/>
      <c r="U382" s="732">
        <f>SUM(U383:U384)</f>
        <v>449458.26</v>
      </c>
      <c r="V382" s="733"/>
    </row>
    <row r="383" spans="1:22" ht="15" x14ac:dyDescent="0.25">
      <c r="A383" s="734">
        <v>1531</v>
      </c>
      <c r="B383" s="735" t="s">
        <v>38</v>
      </c>
      <c r="C383" s="778"/>
      <c r="D383" s="778"/>
      <c r="E383" s="778"/>
      <c r="F383" s="778"/>
      <c r="G383" s="778"/>
      <c r="H383" s="778"/>
      <c r="I383" s="778"/>
      <c r="J383" s="778"/>
      <c r="K383" s="778"/>
      <c r="L383" s="778"/>
      <c r="M383" s="778"/>
      <c r="N383" s="778"/>
      <c r="O383" s="778"/>
      <c r="P383" s="778"/>
      <c r="Q383" s="738"/>
      <c r="R383" s="778"/>
      <c r="S383" s="751">
        <v>56021.66</v>
      </c>
      <c r="T383" s="778"/>
      <c r="U383" s="779">
        <v>49458.26</v>
      </c>
      <c r="V383" s="741">
        <v>1500522</v>
      </c>
    </row>
    <row r="384" spans="1:22" ht="15" x14ac:dyDescent="0.2">
      <c r="A384" s="734">
        <v>3852</v>
      </c>
      <c r="B384" s="735" t="s">
        <v>32</v>
      </c>
      <c r="C384" s="778"/>
      <c r="D384" s="778"/>
      <c r="E384" s="778"/>
      <c r="F384" s="778"/>
      <c r="G384" s="778"/>
      <c r="H384" s="778"/>
      <c r="I384" s="778"/>
      <c r="J384" s="778"/>
      <c r="K384" s="778"/>
      <c r="L384" s="778"/>
      <c r="M384" s="778"/>
      <c r="N384" s="778"/>
      <c r="O384" s="778"/>
      <c r="P384" s="778"/>
      <c r="Q384" s="738">
        <v>90958</v>
      </c>
      <c r="R384" s="778"/>
      <c r="S384" s="751">
        <v>350000</v>
      </c>
      <c r="T384" s="778"/>
      <c r="U384" s="740">
        <v>400000</v>
      </c>
      <c r="V384" s="741">
        <v>1100122</v>
      </c>
    </row>
    <row r="385" spans="1:22" ht="15" x14ac:dyDescent="0.2">
      <c r="A385" s="724" t="s">
        <v>95</v>
      </c>
      <c r="B385" s="781" t="s">
        <v>1327</v>
      </c>
      <c r="C385" s="724"/>
      <c r="D385" s="724"/>
      <c r="E385" s="724"/>
      <c r="F385" s="724"/>
      <c r="G385" s="724"/>
      <c r="H385" s="724"/>
      <c r="I385" s="724"/>
      <c r="J385" s="724"/>
      <c r="K385" s="724"/>
      <c r="L385" s="724"/>
      <c r="M385" s="724"/>
      <c r="N385" s="724"/>
      <c r="O385" s="724"/>
      <c r="P385" s="724"/>
      <c r="Q385" s="726">
        <f>Q386</f>
        <v>90958</v>
      </c>
      <c r="R385" s="724"/>
      <c r="S385" s="776">
        <f>S386</f>
        <v>406021.66000000003</v>
      </c>
      <c r="T385" s="724"/>
      <c r="U385" s="726">
        <f>U386</f>
        <v>449458.26</v>
      </c>
      <c r="V385" s="727"/>
    </row>
    <row r="386" spans="1:22" ht="15" x14ac:dyDescent="0.2">
      <c r="A386" s="728" t="s">
        <v>55</v>
      </c>
      <c r="B386" s="729" t="s">
        <v>1578</v>
      </c>
      <c r="C386" s="731"/>
      <c r="D386" s="731"/>
      <c r="E386" s="731"/>
      <c r="F386" s="731"/>
      <c r="G386" s="731"/>
      <c r="H386" s="731"/>
      <c r="I386" s="731"/>
      <c r="J386" s="731"/>
      <c r="K386" s="731"/>
      <c r="L386" s="731"/>
      <c r="M386" s="731"/>
      <c r="N386" s="731"/>
      <c r="O386" s="731"/>
      <c r="P386" s="731"/>
      <c r="Q386" s="782">
        <f>SUM(Q387:Q388)</f>
        <v>90958</v>
      </c>
      <c r="R386" s="731"/>
      <c r="S386" s="777">
        <f>SUM(S387:S388)</f>
        <v>406021.66000000003</v>
      </c>
      <c r="T386" s="731"/>
      <c r="U386" s="732">
        <f>SUM(U387:U388)</f>
        <v>449458.26</v>
      </c>
      <c r="V386" s="733"/>
    </row>
    <row r="387" spans="1:22" ht="15" x14ac:dyDescent="0.25">
      <c r="A387" s="734">
        <v>1531</v>
      </c>
      <c r="B387" s="735" t="s">
        <v>38</v>
      </c>
      <c r="C387" s="778"/>
      <c r="D387" s="778"/>
      <c r="E387" s="778"/>
      <c r="F387" s="778"/>
      <c r="G387" s="778"/>
      <c r="H387" s="778"/>
      <c r="I387" s="778"/>
      <c r="J387" s="778"/>
      <c r="K387" s="778"/>
      <c r="L387" s="778"/>
      <c r="M387" s="778"/>
      <c r="N387" s="778"/>
      <c r="O387" s="778"/>
      <c r="P387" s="778"/>
      <c r="Q387" s="738"/>
      <c r="R387" s="778"/>
      <c r="S387" s="751">
        <v>56021.66</v>
      </c>
      <c r="T387" s="778"/>
      <c r="U387" s="779">
        <v>49458.26</v>
      </c>
      <c r="V387" s="741">
        <v>1500522</v>
      </c>
    </row>
    <row r="388" spans="1:22" ht="15" x14ac:dyDescent="0.2">
      <c r="A388" s="734">
        <v>3852</v>
      </c>
      <c r="B388" s="735" t="s">
        <v>32</v>
      </c>
      <c r="C388" s="736"/>
      <c r="D388" s="736"/>
      <c r="E388" s="749"/>
      <c r="F388" s="736"/>
      <c r="G388" s="736"/>
      <c r="H388" s="736"/>
      <c r="I388" s="736"/>
      <c r="J388" s="736"/>
      <c r="K388" s="736"/>
      <c r="L388" s="736"/>
      <c r="M388" s="736"/>
      <c r="N388" s="736"/>
      <c r="O388" s="736"/>
      <c r="P388" s="738"/>
      <c r="Q388" s="738">
        <v>90958</v>
      </c>
      <c r="R388" s="738"/>
      <c r="S388" s="751">
        <v>350000</v>
      </c>
      <c r="T388" s="739"/>
      <c r="U388" s="740">
        <v>400000</v>
      </c>
      <c r="V388" s="741">
        <v>1100122</v>
      </c>
    </row>
    <row r="389" spans="1:22" ht="15" x14ac:dyDescent="0.2">
      <c r="A389" s="724" t="s">
        <v>96</v>
      </c>
      <c r="B389" s="725" t="s">
        <v>1120</v>
      </c>
      <c r="C389" s="721">
        <f t="shared" ref="C389:S389" si="139">SUM(C390+C439)</f>
        <v>8230900.5</v>
      </c>
      <c r="D389" s="721">
        <f t="shared" si="139"/>
        <v>12117307.43</v>
      </c>
      <c r="E389" s="721">
        <f t="shared" si="139"/>
        <v>11201175.609999999</v>
      </c>
      <c r="F389" s="721">
        <f t="shared" si="139"/>
        <v>9790612.4100000001</v>
      </c>
      <c r="G389" s="721">
        <f t="shared" si="139"/>
        <v>12071711</v>
      </c>
      <c r="H389" s="721">
        <f t="shared" si="139"/>
        <v>2018582</v>
      </c>
      <c r="I389" s="721">
        <f t="shared" si="139"/>
        <v>0</v>
      </c>
      <c r="J389" s="721">
        <f t="shared" si="139"/>
        <v>14090293</v>
      </c>
      <c r="K389" s="721">
        <f t="shared" si="139"/>
        <v>288623.02</v>
      </c>
      <c r="L389" s="721">
        <f t="shared" si="139"/>
        <v>6537.63</v>
      </c>
      <c r="M389" s="721">
        <f t="shared" si="139"/>
        <v>14372378.390000001</v>
      </c>
      <c r="N389" s="721">
        <f t="shared" si="139"/>
        <v>850000</v>
      </c>
      <c r="O389" s="721">
        <f t="shared" si="139"/>
        <v>680000</v>
      </c>
      <c r="P389" s="721">
        <f t="shared" si="139"/>
        <v>14542378.390000001</v>
      </c>
      <c r="Q389" s="756">
        <f t="shared" si="139"/>
        <v>13074305.18</v>
      </c>
      <c r="R389" s="756">
        <f>SUM(R390+R439)</f>
        <v>8069898.4900000002</v>
      </c>
      <c r="S389" s="756">
        <f t="shared" si="139"/>
        <v>21786854.48</v>
      </c>
      <c r="T389" s="724"/>
      <c r="U389" s="726">
        <f t="shared" ref="U389" si="140">SUM(U390+U439)</f>
        <v>12510808.84</v>
      </c>
      <c r="V389" s="727"/>
    </row>
    <row r="390" spans="1:22" ht="15" x14ac:dyDescent="0.2">
      <c r="A390" s="728" t="s">
        <v>97</v>
      </c>
      <c r="B390" s="729" t="s">
        <v>1611</v>
      </c>
      <c r="C390" s="730">
        <f t="shared" ref="C390:S390" si="141">SUM(C391:C438)</f>
        <v>4858811.05</v>
      </c>
      <c r="D390" s="730">
        <f t="shared" si="141"/>
        <v>6726141.9399999995</v>
      </c>
      <c r="E390" s="730">
        <f t="shared" si="141"/>
        <v>5961582.7199999988</v>
      </c>
      <c r="F390" s="730">
        <f t="shared" si="141"/>
        <v>4954409.0699999994</v>
      </c>
      <c r="G390" s="730">
        <f t="shared" si="141"/>
        <v>7310286.9000000004</v>
      </c>
      <c r="H390" s="730">
        <f t="shared" si="141"/>
        <v>18582</v>
      </c>
      <c r="I390" s="730">
        <f t="shared" si="141"/>
        <v>0</v>
      </c>
      <c r="J390" s="730">
        <f t="shared" si="141"/>
        <v>7328868.9000000004</v>
      </c>
      <c r="K390" s="730">
        <f t="shared" si="141"/>
        <v>170369.08</v>
      </c>
      <c r="L390" s="730">
        <f t="shared" si="141"/>
        <v>6537.63</v>
      </c>
      <c r="M390" s="730">
        <f t="shared" si="141"/>
        <v>7492700.3499999996</v>
      </c>
      <c r="N390" s="730">
        <f t="shared" si="141"/>
        <v>600000</v>
      </c>
      <c r="O390" s="730">
        <f t="shared" si="141"/>
        <v>680000</v>
      </c>
      <c r="P390" s="730">
        <f t="shared" si="141"/>
        <v>7412700.3499999996</v>
      </c>
      <c r="Q390" s="748">
        <f t="shared" si="141"/>
        <v>7119783.3100000005</v>
      </c>
      <c r="R390" s="748">
        <f t="shared" si="141"/>
        <v>4079419.9299999997</v>
      </c>
      <c r="S390" s="748">
        <f t="shared" si="141"/>
        <v>8055409.8799999999</v>
      </c>
      <c r="T390" s="731"/>
      <c r="U390" s="732">
        <f>SUM(U391:U438)</f>
        <v>7170584.9199999999</v>
      </c>
      <c r="V390" s="733"/>
    </row>
    <row r="391" spans="1:22" ht="15" x14ac:dyDescent="0.25">
      <c r="A391" s="734">
        <v>1132</v>
      </c>
      <c r="B391" s="735" t="s">
        <v>8</v>
      </c>
      <c r="C391" s="736">
        <v>1332626.6399999999</v>
      </c>
      <c r="D391" s="736">
        <v>1405229.28</v>
      </c>
      <c r="E391" s="749">
        <v>1352328.28</v>
      </c>
      <c r="F391" s="736">
        <v>1397128.86</v>
      </c>
      <c r="G391" s="736">
        <v>1340109.7000000002</v>
      </c>
      <c r="H391" s="736"/>
      <c r="I391" s="736"/>
      <c r="J391" s="736">
        <f t="shared" ref="J391:J392" si="142">G391+H391-I391</f>
        <v>1340109.7000000002</v>
      </c>
      <c r="K391" s="736">
        <v>41631.599999999999</v>
      </c>
      <c r="L391" s="736"/>
      <c r="M391" s="736">
        <f t="shared" ref="M391:M392" si="143">J391+K391-L391</f>
        <v>1381741.3000000003</v>
      </c>
      <c r="N391" s="736"/>
      <c r="O391" s="736"/>
      <c r="P391" s="736">
        <f t="shared" ref="P391:P403" si="144">M391+N391-O391</f>
        <v>1381741.3000000003</v>
      </c>
      <c r="Q391" s="738">
        <v>1363454.61</v>
      </c>
      <c r="R391" s="738">
        <v>980255.74</v>
      </c>
      <c r="S391" s="751">
        <v>1428707.28</v>
      </c>
      <c r="T391" s="739">
        <v>1500521</v>
      </c>
      <c r="U391" s="779">
        <v>1442973.77</v>
      </c>
      <c r="V391" s="741">
        <v>1500522</v>
      </c>
    </row>
    <row r="392" spans="1:22" ht="15" x14ac:dyDescent="0.25">
      <c r="A392" s="734">
        <v>1212</v>
      </c>
      <c r="B392" s="735" t="s">
        <v>53</v>
      </c>
      <c r="C392" s="736">
        <v>686317.34</v>
      </c>
      <c r="D392" s="736">
        <v>752072.4</v>
      </c>
      <c r="E392" s="749">
        <v>926796.99</v>
      </c>
      <c r="F392" s="736">
        <v>928288.93</v>
      </c>
      <c r="G392" s="736">
        <v>1152061.2</v>
      </c>
      <c r="H392" s="736"/>
      <c r="I392" s="736"/>
      <c r="J392" s="736">
        <f t="shared" si="142"/>
        <v>1152061.2</v>
      </c>
      <c r="K392" s="736">
        <v>24901.200000000001</v>
      </c>
      <c r="L392" s="736"/>
      <c r="M392" s="736">
        <f t="shared" si="143"/>
        <v>1176962.3999999999</v>
      </c>
      <c r="N392" s="736"/>
      <c r="O392" s="736">
        <v>250000</v>
      </c>
      <c r="P392" s="736">
        <f t="shared" si="144"/>
        <v>926962.39999999991</v>
      </c>
      <c r="Q392" s="738">
        <v>926962.4</v>
      </c>
      <c r="R392" s="738">
        <v>669816</v>
      </c>
      <c r="S392" s="751">
        <v>1235422.8</v>
      </c>
      <c r="T392" s="739">
        <v>1500521</v>
      </c>
      <c r="U392" s="779">
        <v>1164943.71</v>
      </c>
      <c r="V392" s="741">
        <v>1500522</v>
      </c>
    </row>
    <row r="393" spans="1:22" ht="15" x14ac:dyDescent="0.2">
      <c r="A393" s="739">
        <v>1212</v>
      </c>
      <c r="B393" s="743" t="s">
        <v>53</v>
      </c>
      <c r="C393" s="736"/>
      <c r="D393" s="736"/>
      <c r="E393" s="749"/>
      <c r="F393" s="736"/>
      <c r="G393" s="736"/>
      <c r="H393" s="736"/>
      <c r="I393" s="736"/>
      <c r="J393" s="736"/>
      <c r="K393" s="736"/>
      <c r="L393" s="736"/>
      <c r="M393" s="736"/>
      <c r="N393" s="738">
        <v>250000</v>
      </c>
      <c r="O393" s="738"/>
      <c r="P393" s="736">
        <f t="shared" si="144"/>
        <v>250000</v>
      </c>
      <c r="Q393" s="738">
        <v>250000</v>
      </c>
      <c r="R393" s="738">
        <v>193530.6</v>
      </c>
      <c r="S393" s="751"/>
      <c r="T393" s="739">
        <v>2610121</v>
      </c>
      <c r="U393" s="750"/>
      <c r="V393" s="739">
        <v>2610122</v>
      </c>
    </row>
    <row r="394" spans="1:22" ht="15" x14ac:dyDescent="0.25">
      <c r="A394" s="734">
        <v>1321</v>
      </c>
      <c r="B394" s="735" t="s">
        <v>9</v>
      </c>
      <c r="C394" s="736">
        <v>66328.600000000006</v>
      </c>
      <c r="D394" s="736">
        <v>69870.399999999994</v>
      </c>
      <c r="E394" s="749">
        <v>69870.399999999994</v>
      </c>
      <c r="F394" s="736">
        <v>66420.72</v>
      </c>
      <c r="G394" s="736">
        <v>69532.600000000006</v>
      </c>
      <c r="H394" s="736"/>
      <c r="I394" s="736"/>
      <c r="J394" s="736">
        <f t="shared" ref="J394:J401" si="145">G394+H394-I394</f>
        <v>69532.600000000006</v>
      </c>
      <c r="K394" s="736">
        <v>3205.67</v>
      </c>
      <c r="L394" s="736"/>
      <c r="M394" s="736">
        <f t="shared" ref="M394:M403" si="146">J394+K394-L394</f>
        <v>72738.27</v>
      </c>
      <c r="N394" s="736"/>
      <c r="O394" s="736"/>
      <c r="P394" s="736">
        <f t="shared" si="144"/>
        <v>72738.27</v>
      </c>
      <c r="Q394" s="738">
        <v>72738.27</v>
      </c>
      <c r="R394" s="738">
        <v>37585.54</v>
      </c>
      <c r="S394" s="751">
        <v>76141.23</v>
      </c>
      <c r="T394" s="739">
        <v>1500521</v>
      </c>
      <c r="U394" s="779">
        <v>77142.8</v>
      </c>
      <c r="V394" s="741">
        <v>1500522</v>
      </c>
    </row>
    <row r="395" spans="1:22" ht="15" x14ac:dyDescent="0.25">
      <c r="A395" s="734">
        <v>1323</v>
      </c>
      <c r="B395" s="735" t="s">
        <v>11</v>
      </c>
      <c r="C395" s="736">
        <v>258152.47</v>
      </c>
      <c r="D395" s="736">
        <v>266239.34999999998</v>
      </c>
      <c r="E395" s="749">
        <v>273268.71000000002</v>
      </c>
      <c r="F395" s="736">
        <v>266073.34000000003</v>
      </c>
      <c r="G395" s="736">
        <v>270908.09999999998</v>
      </c>
      <c r="H395" s="736"/>
      <c r="I395" s="736"/>
      <c r="J395" s="736">
        <f t="shared" si="145"/>
        <v>270908.09999999998</v>
      </c>
      <c r="K395" s="736">
        <v>6288.95</v>
      </c>
      <c r="L395" s="736"/>
      <c r="M395" s="736">
        <f t="shared" si="146"/>
        <v>277197.05</v>
      </c>
      <c r="N395" s="736"/>
      <c r="O395" s="736"/>
      <c r="P395" s="736">
        <f t="shared" si="144"/>
        <v>277197.05</v>
      </c>
      <c r="Q395" s="738">
        <v>277197.05</v>
      </c>
      <c r="R395" s="738">
        <v>166932</v>
      </c>
      <c r="S395" s="751">
        <v>287415.45</v>
      </c>
      <c r="T395" s="739">
        <v>1500521</v>
      </c>
      <c r="U395" s="779">
        <v>273778.76</v>
      </c>
      <c r="V395" s="741">
        <v>1500522</v>
      </c>
    </row>
    <row r="396" spans="1:22" ht="15" x14ac:dyDescent="0.25">
      <c r="A396" s="734">
        <v>1413</v>
      </c>
      <c r="B396" s="735" t="s">
        <v>13</v>
      </c>
      <c r="C396" s="736">
        <v>342064.84</v>
      </c>
      <c r="D396" s="736">
        <v>413762.76</v>
      </c>
      <c r="E396" s="749">
        <v>429526.76</v>
      </c>
      <c r="F396" s="736">
        <v>422712.8</v>
      </c>
      <c r="G396" s="736">
        <v>517681.1</v>
      </c>
      <c r="H396" s="736"/>
      <c r="I396" s="736"/>
      <c r="J396" s="736">
        <f t="shared" si="145"/>
        <v>517681.1</v>
      </c>
      <c r="K396" s="736">
        <v>14178.69</v>
      </c>
      <c r="L396" s="736"/>
      <c r="M396" s="736">
        <f t="shared" si="146"/>
        <v>531859.78999999992</v>
      </c>
      <c r="N396" s="736"/>
      <c r="O396" s="736"/>
      <c r="P396" s="736">
        <f t="shared" si="144"/>
        <v>531859.78999999992</v>
      </c>
      <c r="Q396" s="738">
        <v>531859.79</v>
      </c>
      <c r="R396" s="738">
        <v>390436.83</v>
      </c>
      <c r="S396" s="751">
        <v>587682.84</v>
      </c>
      <c r="T396" s="739">
        <v>1500521</v>
      </c>
      <c r="U396" s="779">
        <v>557603.73</v>
      </c>
      <c r="V396" s="741">
        <v>1500522</v>
      </c>
    </row>
    <row r="397" spans="1:22" ht="15" x14ac:dyDescent="0.25">
      <c r="A397" s="734">
        <v>1421</v>
      </c>
      <c r="B397" s="735" t="s">
        <v>15</v>
      </c>
      <c r="C397" s="736">
        <v>115831</v>
      </c>
      <c r="D397" s="736">
        <v>132093.96</v>
      </c>
      <c r="E397" s="749">
        <v>122257.96</v>
      </c>
      <c r="F397" s="736">
        <v>132418.79</v>
      </c>
      <c r="G397" s="736">
        <v>153400</v>
      </c>
      <c r="H397" s="736"/>
      <c r="I397" s="736"/>
      <c r="J397" s="736">
        <f t="shared" si="145"/>
        <v>153400</v>
      </c>
      <c r="K397" s="736">
        <v>3967.59</v>
      </c>
      <c r="L397" s="736"/>
      <c r="M397" s="736">
        <f t="shared" si="146"/>
        <v>157367.59</v>
      </c>
      <c r="N397" s="736"/>
      <c r="O397" s="736"/>
      <c r="P397" s="736">
        <f t="shared" si="144"/>
        <v>157367.59</v>
      </c>
      <c r="Q397" s="738">
        <v>157367.59</v>
      </c>
      <c r="R397" s="738">
        <v>99984.1</v>
      </c>
      <c r="S397" s="751">
        <v>165447.84</v>
      </c>
      <c r="T397" s="739">
        <v>1500521</v>
      </c>
      <c r="U397" s="779">
        <v>163328.45000000001</v>
      </c>
      <c r="V397" s="741">
        <v>1500522</v>
      </c>
    </row>
    <row r="398" spans="1:22" ht="15" x14ac:dyDescent="0.25">
      <c r="A398" s="734">
        <v>1431</v>
      </c>
      <c r="B398" s="735" t="s">
        <v>16</v>
      </c>
      <c r="C398" s="736">
        <v>123505.96</v>
      </c>
      <c r="D398" s="736">
        <v>136056.76</v>
      </c>
      <c r="E398" s="749">
        <v>128262.76</v>
      </c>
      <c r="F398" s="736">
        <v>140148.95000000001</v>
      </c>
      <c r="G398" s="736">
        <v>158002.1</v>
      </c>
      <c r="H398" s="736"/>
      <c r="I398" s="736"/>
      <c r="J398" s="736">
        <f t="shared" si="145"/>
        <v>158002.1</v>
      </c>
      <c r="K398" s="736">
        <v>4054.4</v>
      </c>
      <c r="L398" s="736"/>
      <c r="M398" s="736">
        <f t="shared" si="146"/>
        <v>162056.5</v>
      </c>
      <c r="N398" s="736"/>
      <c r="O398" s="736"/>
      <c r="P398" s="736">
        <f t="shared" si="144"/>
        <v>162056.5</v>
      </c>
      <c r="Q398" s="738">
        <v>162056.5</v>
      </c>
      <c r="R398" s="738">
        <v>103185.25</v>
      </c>
      <c r="S398" s="751">
        <v>170411.16</v>
      </c>
      <c r="T398" s="739">
        <v>1500521</v>
      </c>
      <c r="U398" s="779">
        <v>196546.36</v>
      </c>
      <c r="V398" s="741">
        <v>1500522</v>
      </c>
    </row>
    <row r="399" spans="1:22" ht="15" x14ac:dyDescent="0.25">
      <c r="A399" s="734">
        <v>1511</v>
      </c>
      <c r="B399" s="735" t="s">
        <v>18</v>
      </c>
      <c r="C399" s="736">
        <v>32098.26</v>
      </c>
      <c r="D399" s="736">
        <v>34201.440000000002</v>
      </c>
      <c r="E399" s="749">
        <v>32671.439999999999</v>
      </c>
      <c r="F399" s="736">
        <v>33743.449999999997</v>
      </c>
      <c r="G399" s="736">
        <v>32457.899999999998</v>
      </c>
      <c r="H399" s="736"/>
      <c r="I399" s="736"/>
      <c r="J399" s="736">
        <f t="shared" si="145"/>
        <v>32457.899999999998</v>
      </c>
      <c r="K399" s="736">
        <v>703.84</v>
      </c>
      <c r="L399" s="736"/>
      <c r="M399" s="736">
        <f t="shared" si="146"/>
        <v>33161.74</v>
      </c>
      <c r="N399" s="736"/>
      <c r="O399" s="736"/>
      <c r="P399" s="736">
        <f t="shared" si="144"/>
        <v>33161.74</v>
      </c>
      <c r="Q399" s="738">
        <v>33161.74</v>
      </c>
      <c r="R399" s="738">
        <v>23515.01</v>
      </c>
      <c r="S399" s="751">
        <v>34350.68</v>
      </c>
      <c r="T399" s="739">
        <v>1500521</v>
      </c>
      <c r="U399" s="779">
        <v>33722.21</v>
      </c>
      <c r="V399" s="741">
        <v>1500522</v>
      </c>
    </row>
    <row r="400" spans="1:22" ht="15" x14ac:dyDescent="0.25">
      <c r="A400" s="734">
        <v>1541</v>
      </c>
      <c r="B400" s="735" t="s">
        <v>19</v>
      </c>
      <c r="C400" s="736">
        <v>30864</v>
      </c>
      <c r="D400" s="736">
        <v>32370.78</v>
      </c>
      <c r="E400" s="749">
        <v>31724.03</v>
      </c>
      <c r="F400" s="736">
        <v>32251.83</v>
      </c>
      <c r="G400" s="736">
        <v>37762.799999999996</v>
      </c>
      <c r="H400" s="736"/>
      <c r="I400" s="736"/>
      <c r="J400" s="736">
        <f t="shared" si="145"/>
        <v>37762.799999999996</v>
      </c>
      <c r="K400" s="736">
        <v>1437.14</v>
      </c>
      <c r="L400" s="736"/>
      <c r="M400" s="736">
        <f t="shared" si="146"/>
        <v>39199.939999999995</v>
      </c>
      <c r="N400" s="736"/>
      <c r="O400" s="736"/>
      <c r="P400" s="736">
        <f t="shared" si="144"/>
        <v>39199.939999999995</v>
      </c>
      <c r="Q400" s="738">
        <v>33732.050000000003</v>
      </c>
      <c r="R400" s="738">
        <v>22433.34</v>
      </c>
      <c r="S400" s="751">
        <v>30583.279999999999</v>
      </c>
      <c r="T400" s="739">
        <v>1500521</v>
      </c>
      <c r="U400" s="779">
        <v>33765.589999999997</v>
      </c>
      <c r="V400" s="741">
        <v>1500522</v>
      </c>
    </row>
    <row r="401" spans="1:22" ht="15" x14ac:dyDescent="0.25">
      <c r="A401" s="734">
        <v>1592</v>
      </c>
      <c r="B401" s="735" t="s">
        <v>20</v>
      </c>
      <c r="C401" s="736">
        <v>285612.84000000003</v>
      </c>
      <c r="D401" s="736">
        <v>304864.56</v>
      </c>
      <c r="E401" s="749">
        <v>287897.56</v>
      </c>
      <c r="F401" s="736">
        <v>297266.61</v>
      </c>
      <c r="G401" s="736">
        <v>282642.39999999997</v>
      </c>
      <c r="H401" s="736"/>
      <c r="I401" s="736"/>
      <c r="J401" s="736">
        <f t="shared" si="145"/>
        <v>282642.39999999997</v>
      </c>
      <c r="K401" s="736"/>
      <c r="L401" s="736">
        <v>4038.63</v>
      </c>
      <c r="M401" s="736">
        <f t="shared" si="146"/>
        <v>278603.76999999996</v>
      </c>
      <c r="N401" s="736"/>
      <c r="O401" s="736"/>
      <c r="P401" s="736">
        <f t="shared" si="144"/>
        <v>278603.76999999996</v>
      </c>
      <c r="Q401" s="738">
        <v>300464.64000000001</v>
      </c>
      <c r="R401" s="738">
        <v>198361.53</v>
      </c>
      <c r="S401" s="751">
        <v>288932.28000000003</v>
      </c>
      <c r="T401" s="739">
        <v>1500521</v>
      </c>
      <c r="U401" s="779">
        <v>284416.53999999998</v>
      </c>
      <c r="V401" s="741">
        <v>1500522</v>
      </c>
    </row>
    <row r="402" spans="1:22" ht="15" x14ac:dyDescent="0.2">
      <c r="A402" s="739">
        <v>2111</v>
      </c>
      <c r="B402" s="743" t="s">
        <v>22</v>
      </c>
      <c r="C402" s="736">
        <v>1591.45</v>
      </c>
      <c r="D402" s="736"/>
      <c r="E402" s="749"/>
      <c r="F402" s="736"/>
      <c r="G402" s="736"/>
      <c r="H402" s="736"/>
      <c r="I402" s="736"/>
      <c r="J402" s="736"/>
      <c r="K402" s="736"/>
      <c r="L402" s="736"/>
      <c r="M402" s="736">
        <f t="shared" si="146"/>
        <v>0</v>
      </c>
      <c r="N402" s="736"/>
      <c r="O402" s="736"/>
      <c r="P402" s="738">
        <f t="shared" si="144"/>
        <v>0</v>
      </c>
      <c r="Q402" s="738"/>
      <c r="R402" s="738"/>
      <c r="S402" s="751"/>
      <c r="T402" s="739"/>
      <c r="U402" s="745"/>
      <c r="V402" s="739"/>
    </row>
    <row r="403" spans="1:22" ht="15" x14ac:dyDescent="0.2">
      <c r="A403" s="734">
        <v>2111</v>
      </c>
      <c r="B403" s="735" t="s">
        <v>22</v>
      </c>
      <c r="C403" s="736">
        <v>6488.85</v>
      </c>
      <c r="D403" s="736">
        <v>15000</v>
      </c>
      <c r="E403" s="749">
        <v>10500</v>
      </c>
      <c r="F403" s="736">
        <v>8802.35</v>
      </c>
      <c r="G403" s="749">
        <v>15000</v>
      </c>
      <c r="H403" s="749"/>
      <c r="I403" s="749"/>
      <c r="J403" s="736">
        <f>G403+H403-I403</f>
        <v>15000</v>
      </c>
      <c r="K403" s="749"/>
      <c r="L403" s="749"/>
      <c r="M403" s="736">
        <f t="shared" si="146"/>
        <v>15000</v>
      </c>
      <c r="N403" s="736"/>
      <c r="O403" s="736"/>
      <c r="P403" s="736">
        <f t="shared" si="144"/>
        <v>15000</v>
      </c>
      <c r="Q403" s="783">
        <v>12385.65</v>
      </c>
      <c r="R403" s="738">
        <v>10496.66</v>
      </c>
      <c r="S403" s="784">
        <v>35000</v>
      </c>
      <c r="T403" s="739">
        <v>1100121</v>
      </c>
      <c r="U403" s="742">
        <v>25000</v>
      </c>
      <c r="V403" s="741">
        <v>1100122</v>
      </c>
    </row>
    <row r="404" spans="1:22" ht="15" x14ac:dyDescent="0.2">
      <c r="A404" s="734">
        <v>2112</v>
      </c>
      <c r="B404" s="735" t="s">
        <v>39</v>
      </c>
      <c r="C404" s="736"/>
      <c r="D404" s="736"/>
      <c r="E404" s="749"/>
      <c r="F404" s="736"/>
      <c r="G404" s="749"/>
      <c r="H404" s="749"/>
      <c r="I404" s="749"/>
      <c r="J404" s="736"/>
      <c r="K404" s="749"/>
      <c r="L404" s="749"/>
      <c r="M404" s="736"/>
      <c r="N404" s="736"/>
      <c r="O404" s="736"/>
      <c r="P404" s="736"/>
      <c r="Q404" s="783"/>
      <c r="R404" s="738"/>
      <c r="S404" s="784">
        <v>1400</v>
      </c>
      <c r="T404" s="739"/>
      <c r="U404" s="742">
        <v>1400</v>
      </c>
      <c r="V404" s="741">
        <v>1100122</v>
      </c>
    </row>
    <row r="405" spans="1:22" ht="15" x14ac:dyDescent="0.2">
      <c r="A405" s="734">
        <v>2121</v>
      </c>
      <c r="B405" s="735" t="s">
        <v>24</v>
      </c>
      <c r="C405" s="736">
        <v>14673</v>
      </c>
      <c r="D405" s="736">
        <v>35000</v>
      </c>
      <c r="E405" s="749">
        <v>24500</v>
      </c>
      <c r="F405" s="736">
        <v>14737</v>
      </c>
      <c r="G405" s="749">
        <v>35000</v>
      </c>
      <c r="H405" s="749"/>
      <c r="I405" s="749"/>
      <c r="J405" s="736">
        <f t="shared" ref="J405:J434" si="147">G405+H405-I405</f>
        <v>35000</v>
      </c>
      <c r="K405" s="749"/>
      <c r="L405" s="749"/>
      <c r="M405" s="736">
        <f t="shared" ref="M405:M434" si="148">J405+K405-L405</f>
        <v>35000</v>
      </c>
      <c r="N405" s="736"/>
      <c r="O405" s="736"/>
      <c r="P405" s="736">
        <f t="shared" ref="P405:P434" si="149">M405+N405-O405</f>
        <v>35000</v>
      </c>
      <c r="Q405" s="783">
        <v>12591.02</v>
      </c>
      <c r="R405" s="738">
        <v>10273.549999999999</v>
      </c>
      <c r="S405" s="784">
        <v>35000</v>
      </c>
      <c r="T405" s="739">
        <v>1100121</v>
      </c>
      <c r="U405" s="742">
        <v>25000</v>
      </c>
      <c r="V405" s="741">
        <v>1100122</v>
      </c>
    </row>
    <row r="406" spans="1:22" ht="15" x14ac:dyDescent="0.2">
      <c r="A406" s="739">
        <v>2131</v>
      </c>
      <c r="B406" s="743" t="s">
        <v>1706</v>
      </c>
      <c r="C406" s="736"/>
      <c r="D406" s="736">
        <v>80000</v>
      </c>
      <c r="E406" s="749">
        <v>80000</v>
      </c>
      <c r="F406" s="736">
        <v>80000</v>
      </c>
      <c r="G406" s="749">
        <v>800000</v>
      </c>
      <c r="H406" s="749"/>
      <c r="I406" s="749"/>
      <c r="J406" s="736">
        <f t="shared" si="147"/>
        <v>800000</v>
      </c>
      <c r="K406" s="749"/>
      <c r="L406" s="749"/>
      <c r="M406" s="736">
        <f t="shared" si="148"/>
        <v>800000</v>
      </c>
      <c r="N406" s="736"/>
      <c r="O406" s="736"/>
      <c r="P406" s="736">
        <f t="shared" si="149"/>
        <v>800000</v>
      </c>
      <c r="Q406" s="783">
        <v>800000</v>
      </c>
      <c r="R406" s="738">
        <v>290000</v>
      </c>
      <c r="S406" s="784"/>
      <c r="T406" s="739">
        <v>1100121</v>
      </c>
      <c r="U406" s="745"/>
      <c r="V406" s="739">
        <v>1100122</v>
      </c>
    </row>
    <row r="407" spans="1:22" ht="15" x14ac:dyDescent="0.2">
      <c r="A407" s="734">
        <v>2212</v>
      </c>
      <c r="B407" s="735" t="s">
        <v>40</v>
      </c>
      <c r="C407" s="736">
        <v>45063.49</v>
      </c>
      <c r="D407" s="736">
        <v>35000</v>
      </c>
      <c r="E407" s="749">
        <v>25000</v>
      </c>
      <c r="F407" s="736">
        <v>20379.509999999998</v>
      </c>
      <c r="G407" s="749">
        <v>30000</v>
      </c>
      <c r="H407" s="749"/>
      <c r="I407" s="749"/>
      <c r="J407" s="736">
        <f t="shared" si="147"/>
        <v>30000</v>
      </c>
      <c r="K407" s="749"/>
      <c r="L407" s="749"/>
      <c r="M407" s="736">
        <f t="shared" si="148"/>
        <v>30000</v>
      </c>
      <c r="N407" s="736"/>
      <c r="O407" s="736"/>
      <c r="P407" s="736">
        <f t="shared" si="149"/>
        <v>30000</v>
      </c>
      <c r="Q407" s="783">
        <v>30000</v>
      </c>
      <c r="R407" s="738">
        <v>16331.14</v>
      </c>
      <c r="S407" s="784">
        <v>30000</v>
      </c>
      <c r="T407" s="739">
        <v>1100121</v>
      </c>
      <c r="U407" s="742">
        <v>30000</v>
      </c>
      <c r="V407" s="741">
        <v>1100122</v>
      </c>
    </row>
    <row r="408" spans="1:22" ht="30" x14ac:dyDescent="0.2">
      <c r="A408" s="734">
        <v>2612</v>
      </c>
      <c r="B408" s="735" t="s">
        <v>26</v>
      </c>
      <c r="C408" s="736">
        <v>42526.03</v>
      </c>
      <c r="D408" s="736">
        <v>45000</v>
      </c>
      <c r="E408" s="749">
        <v>45000</v>
      </c>
      <c r="F408" s="736">
        <v>36621.919999999998</v>
      </c>
      <c r="G408" s="736"/>
      <c r="H408" s="736"/>
      <c r="I408" s="736"/>
      <c r="J408" s="736">
        <f t="shared" si="147"/>
        <v>0</v>
      </c>
      <c r="K408" s="736">
        <v>70000</v>
      </c>
      <c r="L408" s="736"/>
      <c r="M408" s="736">
        <f t="shared" si="148"/>
        <v>70000</v>
      </c>
      <c r="N408" s="736"/>
      <c r="O408" s="736">
        <v>20000</v>
      </c>
      <c r="P408" s="736">
        <f t="shared" si="149"/>
        <v>50000</v>
      </c>
      <c r="Q408" s="738">
        <v>62000</v>
      </c>
      <c r="R408" s="738">
        <v>27030.15</v>
      </c>
      <c r="S408" s="738">
        <f>Q408</f>
        <v>62000</v>
      </c>
      <c r="T408" s="739">
        <v>1100121</v>
      </c>
      <c r="U408" s="746">
        <v>50000</v>
      </c>
      <c r="V408" s="741">
        <v>1100122</v>
      </c>
    </row>
    <row r="409" spans="1:22" ht="15" x14ac:dyDescent="0.2">
      <c r="A409" s="734">
        <v>2941</v>
      </c>
      <c r="B409" s="735" t="s">
        <v>79</v>
      </c>
      <c r="C409" s="736">
        <v>4535.09</v>
      </c>
      <c r="D409" s="736">
        <v>10000</v>
      </c>
      <c r="E409" s="749">
        <v>10000</v>
      </c>
      <c r="F409" s="736">
        <v>1714.97</v>
      </c>
      <c r="G409" s="749">
        <v>10000</v>
      </c>
      <c r="H409" s="749"/>
      <c r="I409" s="749"/>
      <c r="J409" s="736">
        <f t="shared" si="147"/>
        <v>10000</v>
      </c>
      <c r="K409" s="749"/>
      <c r="L409" s="749"/>
      <c r="M409" s="736">
        <f t="shared" si="148"/>
        <v>10000</v>
      </c>
      <c r="N409" s="736"/>
      <c r="O409" s="736"/>
      <c r="P409" s="736">
        <f t="shared" si="149"/>
        <v>10000</v>
      </c>
      <c r="Q409" s="783">
        <v>10000</v>
      </c>
      <c r="R409" s="738">
        <v>1740</v>
      </c>
      <c r="S409" s="784">
        <v>10000</v>
      </c>
      <c r="T409" s="739">
        <v>1100121</v>
      </c>
      <c r="U409" s="740">
        <v>10000</v>
      </c>
      <c r="V409" s="741">
        <v>1100122</v>
      </c>
    </row>
    <row r="410" spans="1:22" ht="15" x14ac:dyDescent="0.2">
      <c r="A410" s="734">
        <v>3111</v>
      </c>
      <c r="B410" s="735" t="s">
        <v>47</v>
      </c>
      <c r="C410" s="736">
        <v>30514</v>
      </c>
      <c r="D410" s="736">
        <v>45000</v>
      </c>
      <c r="E410" s="749">
        <v>55000</v>
      </c>
      <c r="F410" s="736">
        <v>45208.4</v>
      </c>
      <c r="G410" s="752">
        <v>90000</v>
      </c>
      <c r="H410" s="752"/>
      <c r="I410" s="752"/>
      <c r="J410" s="736">
        <f t="shared" si="147"/>
        <v>90000</v>
      </c>
      <c r="K410" s="752"/>
      <c r="L410" s="752"/>
      <c r="M410" s="736">
        <f t="shared" si="148"/>
        <v>90000</v>
      </c>
      <c r="N410" s="736"/>
      <c r="O410" s="736"/>
      <c r="P410" s="736">
        <f t="shared" si="149"/>
        <v>90000</v>
      </c>
      <c r="Q410" s="753">
        <v>90000</v>
      </c>
      <c r="R410" s="738">
        <v>32401</v>
      </c>
      <c r="S410" s="753"/>
      <c r="T410" s="739">
        <v>1100121</v>
      </c>
      <c r="U410" s="746">
        <v>60000</v>
      </c>
      <c r="V410" s="741">
        <v>1100122</v>
      </c>
    </row>
    <row r="411" spans="1:22" ht="15" x14ac:dyDescent="0.2">
      <c r="A411" s="734">
        <v>3141</v>
      </c>
      <c r="B411" s="735" t="s">
        <v>48</v>
      </c>
      <c r="C411" s="736">
        <v>63634.54</v>
      </c>
      <c r="D411" s="736">
        <v>77000</v>
      </c>
      <c r="E411" s="749">
        <v>69000</v>
      </c>
      <c r="F411" s="736">
        <v>58933.88</v>
      </c>
      <c r="G411" s="752">
        <v>75000</v>
      </c>
      <c r="H411" s="752"/>
      <c r="I411" s="752"/>
      <c r="J411" s="736">
        <f t="shared" si="147"/>
        <v>75000</v>
      </c>
      <c r="K411" s="752"/>
      <c r="L411" s="752"/>
      <c r="M411" s="736">
        <f t="shared" si="148"/>
        <v>75000</v>
      </c>
      <c r="N411" s="736"/>
      <c r="O411" s="736"/>
      <c r="P411" s="736">
        <f t="shared" si="149"/>
        <v>75000</v>
      </c>
      <c r="Q411" s="753">
        <v>75000</v>
      </c>
      <c r="R411" s="738">
        <v>53764.81</v>
      </c>
      <c r="S411" s="753"/>
      <c r="T411" s="739">
        <v>1100121</v>
      </c>
      <c r="U411" s="746">
        <v>80000</v>
      </c>
      <c r="V411" s="741">
        <v>1100122</v>
      </c>
    </row>
    <row r="412" spans="1:22" ht="15" x14ac:dyDescent="0.2">
      <c r="A412" s="739">
        <v>3151</v>
      </c>
      <c r="B412" s="743" t="s">
        <v>1707</v>
      </c>
      <c r="C412" s="736">
        <v>1287</v>
      </c>
      <c r="D412" s="736"/>
      <c r="E412" s="736"/>
      <c r="F412" s="736"/>
      <c r="G412" s="736"/>
      <c r="H412" s="736"/>
      <c r="I412" s="736"/>
      <c r="J412" s="736">
        <f t="shared" si="147"/>
        <v>0</v>
      </c>
      <c r="K412" s="736"/>
      <c r="L412" s="736"/>
      <c r="M412" s="736">
        <f t="shared" si="148"/>
        <v>0</v>
      </c>
      <c r="N412" s="736"/>
      <c r="O412" s="736"/>
      <c r="P412" s="738">
        <f t="shared" si="149"/>
        <v>0</v>
      </c>
      <c r="Q412" s="738"/>
      <c r="R412" s="738"/>
      <c r="S412" s="738"/>
      <c r="T412" s="739"/>
      <c r="U412" s="785"/>
      <c r="V412" s="739"/>
    </row>
    <row r="413" spans="1:22" ht="15" x14ac:dyDescent="0.2">
      <c r="A413" s="739">
        <v>3172</v>
      </c>
      <c r="B413" s="743" t="s">
        <v>98</v>
      </c>
      <c r="C413" s="736"/>
      <c r="D413" s="736">
        <v>85000</v>
      </c>
      <c r="E413" s="749">
        <v>42000</v>
      </c>
      <c r="F413" s="736">
        <v>41155.96</v>
      </c>
      <c r="G413" s="736"/>
      <c r="H413" s="736"/>
      <c r="I413" s="736"/>
      <c r="J413" s="736">
        <f t="shared" si="147"/>
        <v>0</v>
      </c>
      <c r="K413" s="736"/>
      <c r="L413" s="736"/>
      <c r="M413" s="736">
        <f t="shared" si="148"/>
        <v>0</v>
      </c>
      <c r="N413" s="736"/>
      <c r="O413" s="736"/>
      <c r="P413" s="738">
        <f t="shared" si="149"/>
        <v>0</v>
      </c>
      <c r="Q413" s="738"/>
      <c r="R413" s="738"/>
      <c r="S413" s="738"/>
      <c r="T413" s="739">
        <v>1100121</v>
      </c>
      <c r="U413" s="745"/>
      <c r="V413" s="739">
        <v>1100122</v>
      </c>
    </row>
    <row r="414" spans="1:22" ht="15" x14ac:dyDescent="0.2">
      <c r="A414" s="734">
        <v>3221</v>
      </c>
      <c r="B414" s="735" t="s">
        <v>99</v>
      </c>
      <c r="C414" s="736">
        <v>408981</v>
      </c>
      <c r="D414" s="736">
        <v>425340.25</v>
      </c>
      <c r="E414" s="749">
        <v>672102.69</v>
      </c>
      <c r="F414" s="736">
        <v>665092.52</v>
      </c>
      <c r="G414" s="749">
        <v>738991</v>
      </c>
      <c r="H414" s="749"/>
      <c r="I414" s="749"/>
      <c r="J414" s="736">
        <f t="shared" si="147"/>
        <v>738991</v>
      </c>
      <c r="K414" s="749"/>
      <c r="L414" s="749">
        <v>2499</v>
      </c>
      <c r="M414" s="736">
        <f t="shared" si="148"/>
        <v>736492</v>
      </c>
      <c r="N414" s="736"/>
      <c r="O414" s="736"/>
      <c r="P414" s="736">
        <f t="shared" si="149"/>
        <v>736492</v>
      </c>
      <c r="Q414" s="783">
        <v>736492</v>
      </c>
      <c r="R414" s="738">
        <v>552368.25</v>
      </c>
      <c r="S414" s="784">
        <v>762268.08</v>
      </c>
      <c r="T414" s="739">
        <v>1100121</v>
      </c>
      <c r="U414" s="742">
        <v>773316</v>
      </c>
      <c r="V414" s="741">
        <v>1100122</v>
      </c>
    </row>
    <row r="415" spans="1:22" ht="30" x14ac:dyDescent="0.2">
      <c r="A415" s="734">
        <v>3361</v>
      </c>
      <c r="B415" s="735" t="s">
        <v>29</v>
      </c>
      <c r="C415" s="736">
        <v>6936.8</v>
      </c>
      <c r="D415" s="736">
        <v>12000</v>
      </c>
      <c r="E415" s="749">
        <v>12000</v>
      </c>
      <c r="F415" s="736">
        <v>1508</v>
      </c>
      <c r="G415" s="749">
        <v>10000</v>
      </c>
      <c r="H415" s="749"/>
      <c r="I415" s="749"/>
      <c r="J415" s="736">
        <f t="shared" si="147"/>
        <v>10000</v>
      </c>
      <c r="K415" s="749"/>
      <c r="L415" s="749"/>
      <c r="M415" s="736">
        <f t="shared" si="148"/>
        <v>10000</v>
      </c>
      <c r="N415" s="736"/>
      <c r="O415" s="736"/>
      <c r="P415" s="736">
        <f t="shared" si="149"/>
        <v>10000</v>
      </c>
      <c r="Q415" s="783">
        <v>10000</v>
      </c>
      <c r="R415" s="738"/>
      <c r="S415" s="784">
        <v>10000</v>
      </c>
      <c r="T415" s="739">
        <v>1100121</v>
      </c>
      <c r="U415" s="742">
        <v>10000</v>
      </c>
      <c r="V415" s="741">
        <v>1100122</v>
      </c>
    </row>
    <row r="416" spans="1:22" ht="15" x14ac:dyDescent="0.2">
      <c r="A416" s="739">
        <v>3381</v>
      </c>
      <c r="B416" s="743" t="s">
        <v>64</v>
      </c>
      <c r="C416" s="736">
        <v>2997</v>
      </c>
      <c r="D416" s="736">
        <v>4000</v>
      </c>
      <c r="E416" s="736"/>
      <c r="F416" s="736">
        <v>0</v>
      </c>
      <c r="G416" s="736"/>
      <c r="H416" s="736"/>
      <c r="I416" s="736"/>
      <c r="J416" s="736">
        <f t="shared" si="147"/>
        <v>0</v>
      </c>
      <c r="K416" s="736"/>
      <c r="L416" s="736"/>
      <c r="M416" s="736">
        <f t="shared" si="148"/>
        <v>0</v>
      </c>
      <c r="N416" s="736"/>
      <c r="O416" s="736"/>
      <c r="P416" s="738">
        <f t="shared" si="149"/>
        <v>0</v>
      </c>
      <c r="Q416" s="738"/>
      <c r="R416" s="738"/>
      <c r="S416" s="738"/>
      <c r="T416" s="739">
        <v>1100121</v>
      </c>
      <c r="U416" s="745"/>
      <c r="V416" s="739">
        <v>1100122</v>
      </c>
    </row>
    <row r="417" spans="1:22" ht="15" x14ac:dyDescent="0.2">
      <c r="A417" s="739">
        <v>3471</v>
      </c>
      <c r="B417" s="743" t="s">
        <v>100</v>
      </c>
      <c r="C417" s="736"/>
      <c r="D417" s="736">
        <v>35000</v>
      </c>
      <c r="E417" s="736"/>
      <c r="F417" s="736">
        <v>0</v>
      </c>
      <c r="G417" s="736"/>
      <c r="H417" s="736"/>
      <c r="I417" s="736"/>
      <c r="J417" s="736">
        <f t="shared" si="147"/>
        <v>0</v>
      </c>
      <c r="K417" s="736"/>
      <c r="L417" s="736"/>
      <c r="M417" s="736">
        <f t="shared" si="148"/>
        <v>0</v>
      </c>
      <c r="N417" s="736"/>
      <c r="O417" s="736"/>
      <c r="P417" s="738">
        <f t="shared" si="149"/>
        <v>0</v>
      </c>
      <c r="Q417" s="738">
        <v>15000</v>
      </c>
      <c r="R417" s="738"/>
      <c r="S417" s="738"/>
      <c r="T417" s="739">
        <v>1100121</v>
      </c>
      <c r="U417" s="745"/>
      <c r="V417" s="739">
        <v>1100122</v>
      </c>
    </row>
    <row r="418" spans="1:22" ht="15" x14ac:dyDescent="0.2">
      <c r="A418" s="739">
        <v>3511</v>
      </c>
      <c r="B418" s="743" t="s">
        <v>49</v>
      </c>
      <c r="C418" s="736">
        <v>41478.04</v>
      </c>
      <c r="D418" s="736">
        <v>80000</v>
      </c>
      <c r="E418" s="749">
        <v>29793.26</v>
      </c>
      <c r="F418" s="736">
        <v>23249.26</v>
      </c>
      <c r="G418" s="749">
        <v>30000</v>
      </c>
      <c r="H418" s="749"/>
      <c r="I418" s="749"/>
      <c r="J418" s="736">
        <f t="shared" si="147"/>
        <v>30000</v>
      </c>
      <c r="K418" s="749"/>
      <c r="L418" s="749"/>
      <c r="M418" s="736">
        <f t="shared" si="148"/>
        <v>30000</v>
      </c>
      <c r="N418" s="736"/>
      <c r="O418" s="736"/>
      <c r="P418" s="736">
        <f t="shared" si="149"/>
        <v>30000</v>
      </c>
      <c r="Q418" s="783">
        <v>30000</v>
      </c>
      <c r="R418" s="738"/>
      <c r="S418" s="784">
        <v>30000</v>
      </c>
      <c r="T418" s="739">
        <v>1100121</v>
      </c>
      <c r="U418" s="744"/>
      <c r="V418" s="739">
        <v>1100122</v>
      </c>
    </row>
    <row r="419" spans="1:22" ht="15" x14ac:dyDescent="0.2">
      <c r="A419" s="734">
        <v>3551</v>
      </c>
      <c r="B419" s="735" t="s">
        <v>30</v>
      </c>
      <c r="C419" s="736">
        <v>22055.51</v>
      </c>
      <c r="D419" s="736">
        <v>35000</v>
      </c>
      <c r="E419" s="749">
        <v>35000</v>
      </c>
      <c r="F419" s="736">
        <v>18354.810000000001</v>
      </c>
      <c r="G419" s="749">
        <v>35000</v>
      </c>
      <c r="H419" s="749"/>
      <c r="I419" s="749"/>
      <c r="J419" s="736">
        <f t="shared" si="147"/>
        <v>35000</v>
      </c>
      <c r="K419" s="749"/>
      <c r="L419" s="749"/>
      <c r="M419" s="736">
        <f t="shared" si="148"/>
        <v>35000</v>
      </c>
      <c r="N419" s="736"/>
      <c r="O419" s="736"/>
      <c r="P419" s="736">
        <f t="shared" si="149"/>
        <v>35000</v>
      </c>
      <c r="Q419" s="783">
        <v>35000</v>
      </c>
      <c r="R419" s="738">
        <v>18754.939999999999</v>
      </c>
      <c r="S419" s="738">
        <f>Q419</f>
        <v>35000</v>
      </c>
      <c r="T419" s="739">
        <v>1100121</v>
      </c>
      <c r="U419" s="746">
        <v>60000</v>
      </c>
      <c r="V419" s="741">
        <v>1100122</v>
      </c>
    </row>
    <row r="420" spans="1:22" ht="15" x14ac:dyDescent="0.2">
      <c r="A420" s="734">
        <v>3611</v>
      </c>
      <c r="B420" s="735" t="s">
        <v>66</v>
      </c>
      <c r="C420" s="736">
        <v>29435</v>
      </c>
      <c r="D420" s="736">
        <v>100000</v>
      </c>
      <c r="E420" s="749">
        <v>100000</v>
      </c>
      <c r="F420" s="736">
        <v>34639.919999999998</v>
      </c>
      <c r="G420" s="736"/>
      <c r="H420" s="736"/>
      <c r="I420" s="736"/>
      <c r="J420" s="736">
        <f t="shared" si="147"/>
        <v>0</v>
      </c>
      <c r="K420" s="736"/>
      <c r="L420" s="736"/>
      <c r="M420" s="736">
        <f t="shared" si="148"/>
        <v>0</v>
      </c>
      <c r="N420" s="736"/>
      <c r="O420" s="736"/>
      <c r="P420" s="738">
        <f t="shared" si="149"/>
        <v>0</v>
      </c>
      <c r="Q420" s="738"/>
      <c r="R420" s="738"/>
      <c r="S420" s="738">
        <v>100000</v>
      </c>
      <c r="T420" s="739">
        <v>1100121</v>
      </c>
      <c r="U420" s="742">
        <v>100000</v>
      </c>
      <c r="V420" s="741">
        <v>1100122</v>
      </c>
    </row>
    <row r="421" spans="1:22" ht="15" x14ac:dyDescent="0.2">
      <c r="A421" s="734">
        <v>3691</v>
      </c>
      <c r="B421" s="755" t="s">
        <v>72</v>
      </c>
      <c r="C421" s="736">
        <v>3838</v>
      </c>
      <c r="D421" s="736"/>
      <c r="E421" s="736"/>
      <c r="F421" s="736"/>
      <c r="G421" s="736"/>
      <c r="H421" s="736"/>
      <c r="I421" s="736"/>
      <c r="J421" s="736">
        <f t="shared" si="147"/>
        <v>0</v>
      </c>
      <c r="K421" s="736"/>
      <c r="L421" s="736"/>
      <c r="M421" s="736">
        <f t="shared" si="148"/>
        <v>0</v>
      </c>
      <c r="N421" s="736"/>
      <c r="O421" s="736"/>
      <c r="P421" s="738">
        <f t="shared" si="149"/>
        <v>0</v>
      </c>
      <c r="Q421" s="738"/>
      <c r="R421" s="738"/>
      <c r="S421" s="738">
        <v>6000</v>
      </c>
      <c r="T421" s="739"/>
      <c r="U421" s="742">
        <v>6000</v>
      </c>
      <c r="V421" s="741">
        <v>1100122</v>
      </c>
    </row>
    <row r="422" spans="1:22" ht="15" x14ac:dyDescent="0.2">
      <c r="A422" s="734">
        <v>3712</v>
      </c>
      <c r="B422" s="735" t="s">
        <v>43</v>
      </c>
      <c r="C422" s="736">
        <v>89470.99</v>
      </c>
      <c r="D422" s="736">
        <v>150000</v>
      </c>
      <c r="E422" s="749">
        <v>36721</v>
      </c>
      <c r="F422" s="736">
        <v>36720.99</v>
      </c>
      <c r="G422" s="736"/>
      <c r="H422" s="736"/>
      <c r="I422" s="736"/>
      <c r="J422" s="736">
        <f t="shared" si="147"/>
        <v>0</v>
      </c>
      <c r="K422" s="736"/>
      <c r="L422" s="736"/>
      <c r="M422" s="736">
        <f t="shared" si="148"/>
        <v>0</v>
      </c>
      <c r="N422" s="736"/>
      <c r="O422" s="736"/>
      <c r="P422" s="738">
        <f t="shared" si="149"/>
        <v>0</v>
      </c>
      <c r="Q422" s="738"/>
      <c r="R422" s="738"/>
      <c r="S422" s="738">
        <v>100000</v>
      </c>
      <c r="T422" s="739">
        <v>1100121</v>
      </c>
      <c r="U422" s="742">
        <v>100000</v>
      </c>
      <c r="V422" s="741">
        <v>1100122</v>
      </c>
    </row>
    <row r="423" spans="1:22" ht="15" x14ac:dyDescent="0.2">
      <c r="A423" s="734">
        <v>3721</v>
      </c>
      <c r="B423" s="735" t="s">
        <v>50</v>
      </c>
      <c r="C423" s="736">
        <v>1595</v>
      </c>
      <c r="D423" s="736">
        <v>5000</v>
      </c>
      <c r="E423" s="749">
        <v>5000</v>
      </c>
      <c r="F423" s="736">
        <v>0</v>
      </c>
      <c r="G423" s="749">
        <v>5000</v>
      </c>
      <c r="H423" s="749"/>
      <c r="I423" s="749"/>
      <c r="J423" s="736">
        <f t="shared" si="147"/>
        <v>5000</v>
      </c>
      <c r="K423" s="749"/>
      <c r="L423" s="749"/>
      <c r="M423" s="736">
        <f t="shared" si="148"/>
        <v>5000</v>
      </c>
      <c r="N423" s="736"/>
      <c r="O423" s="736"/>
      <c r="P423" s="736">
        <f t="shared" si="149"/>
        <v>5000</v>
      </c>
      <c r="Q423" s="783">
        <v>5000</v>
      </c>
      <c r="R423" s="738"/>
      <c r="S423" s="784">
        <v>10000</v>
      </c>
      <c r="T423" s="739">
        <v>1100121</v>
      </c>
      <c r="U423" s="742">
        <v>10000</v>
      </c>
      <c r="V423" s="741">
        <v>1100122</v>
      </c>
    </row>
    <row r="424" spans="1:22" ht="15" x14ac:dyDescent="0.2">
      <c r="A424" s="734">
        <v>3751</v>
      </c>
      <c r="B424" s="735" t="s">
        <v>44</v>
      </c>
      <c r="C424" s="736">
        <v>9778.84</v>
      </c>
      <c r="D424" s="736">
        <v>60000</v>
      </c>
      <c r="E424" s="749">
        <v>60000</v>
      </c>
      <c r="F424" s="736">
        <v>7543</v>
      </c>
      <c r="G424" s="749">
        <v>20000</v>
      </c>
      <c r="H424" s="749"/>
      <c r="I424" s="749"/>
      <c r="J424" s="736">
        <f t="shared" si="147"/>
        <v>20000</v>
      </c>
      <c r="K424" s="749"/>
      <c r="L424" s="749"/>
      <c r="M424" s="736">
        <f t="shared" si="148"/>
        <v>20000</v>
      </c>
      <c r="N424" s="736"/>
      <c r="O424" s="736"/>
      <c r="P424" s="736">
        <f t="shared" si="149"/>
        <v>20000</v>
      </c>
      <c r="Q424" s="783">
        <v>20000</v>
      </c>
      <c r="R424" s="738">
        <v>2328.9699999999998</v>
      </c>
      <c r="S424" s="784">
        <v>20000</v>
      </c>
      <c r="T424" s="739">
        <v>1100121</v>
      </c>
      <c r="U424" s="742">
        <v>20000</v>
      </c>
      <c r="V424" s="741">
        <v>1100122</v>
      </c>
    </row>
    <row r="425" spans="1:22" ht="15" x14ac:dyDescent="0.2">
      <c r="A425" s="734">
        <v>3761</v>
      </c>
      <c r="B425" s="735" t="s">
        <v>80</v>
      </c>
      <c r="C425" s="736">
        <v>150220.62</v>
      </c>
      <c r="D425" s="736">
        <v>250000</v>
      </c>
      <c r="E425" s="749">
        <v>71804.320000000007</v>
      </c>
      <c r="F425" s="736">
        <v>71804.320000000007</v>
      </c>
      <c r="G425" s="736"/>
      <c r="H425" s="736"/>
      <c r="I425" s="736"/>
      <c r="J425" s="736">
        <f t="shared" si="147"/>
        <v>0</v>
      </c>
      <c r="K425" s="736"/>
      <c r="L425" s="736"/>
      <c r="M425" s="736">
        <f t="shared" si="148"/>
        <v>0</v>
      </c>
      <c r="N425" s="736"/>
      <c r="O425" s="736"/>
      <c r="P425" s="738">
        <f t="shared" si="149"/>
        <v>0</v>
      </c>
      <c r="Q425" s="738"/>
      <c r="R425" s="738"/>
      <c r="S425" s="738">
        <v>150000</v>
      </c>
      <c r="T425" s="739">
        <v>1100121</v>
      </c>
      <c r="U425" s="742">
        <v>150000</v>
      </c>
      <c r="V425" s="741">
        <v>1100122</v>
      </c>
    </row>
    <row r="426" spans="1:22" ht="15" x14ac:dyDescent="0.2">
      <c r="A426" s="734">
        <v>3791</v>
      </c>
      <c r="B426" s="735" t="s">
        <v>45</v>
      </c>
      <c r="C426" s="736">
        <v>6247.99</v>
      </c>
      <c r="D426" s="736">
        <v>35000</v>
      </c>
      <c r="E426" s="749">
        <v>35000</v>
      </c>
      <c r="F426" s="736">
        <v>3215.01</v>
      </c>
      <c r="G426" s="749">
        <v>35000</v>
      </c>
      <c r="H426" s="749"/>
      <c r="I426" s="749"/>
      <c r="J426" s="736">
        <f t="shared" si="147"/>
        <v>35000</v>
      </c>
      <c r="K426" s="749"/>
      <c r="L426" s="749"/>
      <c r="M426" s="736">
        <f t="shared" si="148"/>
        <v>35000</v>
      </c>
      <c r="N426" s="736"/>
      <c r="O426" s="736"/>
      <c r="P426" s="736">
        <f t="shared" si="149"/>
        <v>35000</v>
      </c>
      <c r="Q426" s="783">
        <v>35000</v>
      </c>
      <c r="R426" s="738">
        <v>344</v>
      </c>
      <c r="S426" s="784">
        <v>35000</v>
      </c>
      <c r="T426" s="739">
        <v>1100121</v>
      </c>
      <c r="U426" s="742">
        <v>15000</v>
      </c>
      <c r="V426" s="741">
        <v>1100122</v>
      </c>
    </row>
    <row r="427" spans="1:22" ht="15" x14ac:dyDescent="0.2">
      <c r="A427" s="739">
        <v>3821</v>
      </c>
      <c r="B427" s="743" t="s">
        <v>31</v>
      </c>
      <c r="C427" s="736"/>
      <c r="D427" s="736"/>
      <c r="E427" s="749"/>
      <c r="F427" s="736"/>
      <c r="G427" s="749"/>
      <c r="H427" s="749">
        <v>950</v>
      </c>
      <c r="I427" s="749"/>
      <c r="J427" s="736">
        <f t="shared" si="147"/>
        <v>950</v>
      </c>
      <c r="K427" s="749"/>
      <c r="L427" s="749"/>
      <c r="M427" s="736">
        <f t="shared" si="148"/>
        <v>950</v>
      </c>
      <c r="N427" s="736"/>
      <c r="O427" s="736"/>
      <c r="P427" s="736">
        <f t="shared" si="149"/>
        <v>950</v>
      </c>
      <c r="Q427" s="783">
        <v>950</v>
      </c>
      <c r="R427" s="738"/>
      <c r="S427" s="784"/>
      <c r="T427" s="739">
        <v>1100120</v>
      </c>
      <c r="U427" s="745"/>
      <c r="V427" s="739">
        <v>1100120</v>
      </c>
    </row>
    <row r="428" spans="1:22" ht="15" x14ac:dyDescent="0.2">
      <c r="A428" s="734">
        <v>3821</v>
      </c>
      <c r="B428" s="735" t="s">
        <v>31</v>
      </c>
      <c r="C428" s="736">
        <v>62801</v>
      </c>
      <c r="D428" s="736">
        <v>380000</v>
      </c>
      <c r="E428" s="749">
        <v>180000</v>
      </c>
      <c r="F428" s="736">
        <v>37633.79</v>
      </c>
      <c r="G428" s="749">
        <v>160000</v>
      </c>
      <c r="H428" s="749"/>
      <c r="I428" s="749"/>
      <c r="J428" s="736">
        <f t="shared" si="147"/>
        <v>160000</v>
      </c>
      <c r="K428" s="749"/>
      <c r="L428" s="749"/>
      <c r="M428" s="736">
        <f t="shared" si="148"/>
        <v>160000</v>
      </c>
      <c r="N428" s="736"/>
      <c r="O428" s="736">
        <v>160000</v>
      </c>
      <c r="P428" s="738">
        <f t="shared" si="149"/>
        <v>0</v>
      </c>
      <c r="Q428" s="783"/>
      <c r="R428" s="738"/>
      <c r="S428" s="784">
        <v>100000</v>
      </c>
      <c r="T428" s="739">
        <v>1100121</v>
      </c>
      <c r="U428" s="742">
        <v>100000</v>
      </c>
      <c r="V428" s="741">
        <v>1100122</v>
      </c>
    </row>
    <row r="429" spans="1:22" ht="15" x14ac:dyDescent="0.2">
      <c r="A429" s="734">
        <v>3831</v>
      </c>
      <c r="B429" s="735" t="s">
        <v>101</v>
      </c>
      <c r="C429" s="736">
        <v>55449.120000000003</v>
      </c>
      <c r="D429" s="736">
        <v>410000</v>
      </c>
      <c r="E429" s="749">
        <v>127800.56</v>
      </c>
      <c r="F429" s="736">
        <v>3150</v>
      </c>
      <c r="G429" s="749">
        <v>425000</v>
      </c>
      <c r="H429" s="749"/>
      <c r="I429" s="749"/>
      <c r="J429" s="736">
        <f t="shared" si="147"/>
        <v>425000</v>
      </c>
      <c r="K429" s="749"/>
      <c r="L429" s="749"/>
      <c r="M429" s="736">
        <f t="shared" si="148"/>
        <v>425000</v>
      </c>
      <c r="N429" s="736"/>
      <c r="O429" s="736">
        <v>150000</v>
      </c>
      <c r="P429" s="736">
        <f t="shared" si="149"/>
        <v>275000</v>
      </c>
      <c r="Q429" s="783">
        <v>275000</v>
      </c>
      <c r="R429" s="738">
        <v>58426</v>
      </c>
      <c r="S429" s="784">
        <v>630000</v>
      </c>
      <c r="T429" s="739">
        <v>1100121</v>
      </c>
      <c r="U429" s="742">
        <v>200000</v>
      </c>
      <c r="V429" s="741">
        <v>1100122</v>
      </c>
    </row>
    <row r="430" spans="1:22" ht="15" x14ac:dyDescent="0.2">
      <c r="A430" s="739">
        <v>3841</v>
      </c>
      <c r="B430" s="743" t="s">
        <v>1708</v>
      </c>
      <c r="C430" s="736">
        <v>179494.46</v>
      </c>
      <c r="D430" s="736"/>
      <c r="E430" s="736"/>
      <c r="F430" s="736"/>
      <c r="G430" s="736"/>
      <c r="H430" s="736"/>
      <c r="I430" s="736"/>
      <c r="J430" s="736">
        <f t="shared" si="147"/>
        <v>0</v>
      </c>
      <c r="K430" s="736"/>
      <c r="L430" s="736"/>
      <c r="M430" s="736">
        <f t="shared" si="148"/>
        <v>0</v>
      </c>
      <c r="N430" s="736"/>
      <c r="O430" s="736"/>
      <c r="P430" s="738">
        <f t="shared" si="149"/>
        <v>0</v>
      </c>
      <c r="Q430" s="738"/>
      <c r="R430" s="738"/>
      <c r="S430" s="738"/>
      <c r="T430" s="739">
        <v>1100121</v>
      </c>
      <c r="U430" s="745"/>
      <c r="V430" s="739">
        <v>1100122</v>
      </c>
    </row>
    <row r="431" spans="1:22" ht="15" x14ac:dyDescent="0.2">
      <c r="A431" s="734">
        <v>3852</v>
      </c>
      <c r="B431" s="735" t="s">
        <v>32</v>
      </c>
      <c r="C431" s="736">
        <v>35988.07</v>
      </c>
      <c r="D431" s="736">
        <v>40000</v>
      </c>
      <c r="E431" s="749">
        <v>30000</v>
      </c>
      <c r="F431" s="736">
        <v>26727.18</v>
      </c>
      <c r="G431" s="749">
        <v>50000</v>
      </c>
      <c r="H431" s="749"/>
      <c r="I431" s="749"/>
      <c r="J431" s="736">
        <f t="shared" si="147"/>
        <v>50000</v>
      </c>
      <c r="K431" s="749"/>
      <c r="L431" s="749"/>
      <c r="M431" s="736">
        <f t="shared" si="148"/>
        <v>50000</v>
      </c>
      <c r="N431" s="736"/>
      <c r="O431" s="736"/>
      <c r="P431" s="736">
        <f t="shared" si="149"/>
        <v>50000</v>
      </c>
      <c r="Q431" s="783">
        <v>50000</v>
      </c>
      <c r="R431" s="738">
        <v>12229.54</v>
      </c>
      <c r="S431" s="784">
        <v>50000</v>
      </c>
      <c r="T431" s="739">
        <v>1100121</v>
      </c>
      <c r="U431" s="740">
        <v>30000</v>
      </c>
      <c r="V431" s="741">
        <v>1100122</v>
      </c>
    </row>
    <row r="432" spans="1:22" ht="15" x14ac:dyDescent="0.2">
      <c r="A432" s="734">
        <v>3921</v>
      </c>
      <c r="B432" s="735" t="s">
        <v>33</v>
      </c>
      <c r="C432" s="736">
        <v>997</v>
      </c>
      <c r="D432" s="736">
        <v>1040</v>
      </c>
      <c r="E432" s="749">
        <v>1040</v>
      </c>
      <c r="F432" s="736">
        <v>762</v>
      </c>
      <c r="G432" s="752">
        <v>1738</v>
      </c>
      <c r="H432" s="752"/>
      <c r="I432" s="752"/>
      <c r="J432" s="736">
        <f t="shared" si="147"/>
        <v>1738</v>
      </c>
      <c r="K432" s="752"/>
      <c r="L432" s="752"/>
      <c r="M432" s="736">
        <f t="shared" si="148"/>
        <v>1738</v>
      </c>
      <c r="N432" s="736"/>
      <c r="O432" s="736"/>
      <c r="P432" s="736">
        <f t="shared" si="149"/>
        <v>1738</v>
      </c>
      <c r="Q432" s="753">
        <v>1738</v>
      </c>
      <c r="R432" s="738">
        <v>1051.98</v>
      </c>
      <c r="S432" s="753">
        <v>1346.96</v>
      </c>
      <c r="T432" s="739">
        <v>1100121</v>
      </c>
      <c r="U432" s="740">
        <v>1347</v>
      </c>
      <c r="V432" s="741">
        <v>1100122</v>
      </c>
    </row>
    <row r="433" spans="1:22" ht="15" x14ac:dyDescent="0.2">
      <c r="A433" s="734">
        <v>4321</v>
      </c>
      <c r="B433" s="735" t="s">
        <v>102</v>
      </c>
      <c r="C433" s="736">
        <v>118366.21</v>
      </c>
      <c r="D433" s="736">
        <v>230000</v>
      </c>
      <c r="E433" s="749">
        <v>130000</v>
      </c>
      <c r="F433" s="736">
        <v>0</v>
      </c>
      <c r="G433" s="749">
        <v>230000</v>
      </c>
      <c r="H433" s="749"/>
      <c r="I433" s="749"/>
      <c r="J433" s="736">
        <f t="shared" si="147"/>
        <v>230000</v>
      </c>
      <c r="K433" s="749"/>
      <c r="L433" s="749"/>
      <c r="M433" s="736">
        <f t="shared" si="148"/>
        <v>230000</v>
      </c>
      <c r="N433" s="736"/>
      <c r="O433" s="736"/>
      <c r="P433" s="736">
        <f t="shared" si="149"/>
        <v>230000</v>
      </c>
      <c r="Q433" s="783"/>
      <c r="R433" s="738"/>
      <c r="S433" s="784">
        <v>277500</v>
      </c>
      <c r="T433" s="739">
        <v>1100121</v>
      </c>
      <c r="U433" s="742">
        <v>277500</v>
      </c>
      <c r="V433" s="741">
        <v>1100122</v>
      </c>
    </row>
    <row r="434" spans="1:22" ht="15" x14ac:dyDescent="0.2">
      <c r="A434" s="734">
        <v>4331</v>
      </c>
      <c r="B434" s="735" t="s">
        <v>103</v>
      </c>
      <c r="C434" s="736">
        <v>148965</v>
      </c>
      <c r="D434" s="736">
        <v>500000</v>
      </c>
      <c r="E434" s="749">
        <v>419716</v>
      </c>
      <c r="F434" s="736">
        <v>0</v>
      </c>
      <c r="G434" s="749">
        <v>500000</v>
      </c>
      <c r="H434" s="749"/>
      <c r="I434" s="749"/>
      <c r="J434" s="736">
        <f t="shared" si="147"/>
        <v>500000</v>
      </c>
      <c r="K434" s="749"/>
      <c r="L434" s="749"/>
      <c r="M434" s="736">
        <f t="shared" si="148"/>
        <v>500000</v>
      </c>
      <c r="N434" s="736"/>
      <c r="O434" s="736">
        <v>100000</v>
      </c>
      <c r="P434" s="736">
        <f t="shared" si="149"/>
        <v>400000</v>
      </c>
      <c r="Q434" s="783">
        <v>337000</v>
      </c>
      <c r="R434" s="738">
        <v>88211</v>
      </c>
      <c r="S434" s="784">
        <v>1200000</v>
      </c>
      <c r="T434" s="739">
        <v>1100121</v>
      </c>
      <c r="U434" s="746">
        <v>800000</v>
      </c>
      <c r="V434" s="741">
        <v>1100122</v>
      </c>
    </row>
    <row r="435" spans="1:22" ht="15" x14ac:dyDescent="0.2">
      <c r="A435" s="739">
        <v>5151</v>
      </c>
      <c r="B435" s="743" t="s">
        <v>36</v>
      </c>
      <c r="C435" s="736"/>
      <c r="D435" s="736"/>
      <c r="E435" s="749"/>
      <c r="F435" s="736"/>
      <c r="G435" s="749"/>
      <c r="H435" s="749"/>
      <c r="I435" s="749"/>
      <c r="J435" s="736"/>
      <c r="K435" s="749"/>
      <c r="L435" s="749"/>
      <c r="M435" s="736"/>
      <c r="N435" s="736"/>
      <c r="O435" s="736"/>
      <c r="P435" s="736"/>
      <c r="Q435" s="783"/>
      <c r="R435" s="738"/>
      <c r="S435" s="784">
        <v>52000</v>
      </c>
      <c r="T435" s="739"/>
      <c r="U435" s="744">
        <v>0</v>
      </c>
      <c r="V435" s="739"/>
    </row>
    <row r="436" spans="1:22" ht="15" x14ac:dyDescent="0.2">
      <c r="A436" s="739">
        <v>5191</v>
      </c>
      <c r="B436" s="743" t="s">
        <v>69</v>
      </c>
      <c r="C436" s="736"/>
      <c r="D436" s="736"/>
      <c r="E436" s="749"/>
      <c r="F436" s="736"/>
      <c r="G436" s="749"/>
      <c r="H436" s="749">
        <v>17632</v>
      </c>
      <c r="I436" s="749"/>
      <c r="J436" s="736">
        <f t="shared" ref="J436:J438" si="150">G436+H436-I436</f>
        <v>17632</v>
      </c>
      <c r="K436" s="749"/>
      <c r="L436" s="749"/>
      <c r="M436" s="736">
        <f t="shared" ref="M436:M438" si="151">J436+K436-L436</f>
        <v>17632</v>
      </c>
      <c r="N436" s="736"/>
      <c r="O436" s="736"/>
      <c r="P436" s="736">
        <f t="shared" ref="P436:P437" si="152">M436+N436-O436</f>
        <v>17632</v>
      </c>
      <c r="Q436" s="783">
        <v>17632</v>
      </c>
      <c r="R436" s="738">
        <v>17632</v>
      </c>
      <c r="S436" s="784"/>
      <c r="T436" s="739">
        <v>1100120</v>
      </c>
      <c r="U436" s="745"/>
      <c r="V436" s="739">
        <v>1100120</v>
      </c>
    </row>
    <row r="437" spans="1:22" ht="15" x14ac:dyDescent="0.2">
      <c r="A437" s="734">
        <v>5191</v>
      </c>
      <c r="B437" s="735" t="s">
        <v>69</v>
      </c>
      <c r="C437" s="736"/>
      <c r="D437" s="736">
        <v>0</v>
      </c>
      <c r="E437" s="736"/>
      <c r="F437" s="736">
        <v>0</v>
      </c>
      <c r="G437" s="736"/>
      <c r="H437" s="736"/>
      <c r="I437" s="736"/>
      <c r="J437" s="736">
        <f t="shared" si="150"/>
        <v>0</v>
      </c>
      <c r="K437" s="736"/>
      <c r="L437" s="736"/>
      <c r="M437" s="736">
        <f t="shared" si="151"/>
        <v>0</v>
      </c>
      <c r="N437" s="736"/>
      <c r="O437" s="736"/>
      <c r="P437" s="738">
        <f t="shared" si="152"/>
        <v>0</v>
      </c>
      <c r="Q437" s="738"/>
      <c r="R437" s="738"/>
      <c r="S437" s="738">
        <v>7800</v>
      </c>
      <c r="T437" s="739">
        <v>1100121</v>
      </c>
      <c r="U437" s="742">
        <v>7800</v>
      </c>
      <c r="V437" s="741">
        <v>1100122</v>
      </c>
    </row>
    <row r="438" spans="1:22" ht="15" x14ac:dyDescent="0.2">
      <c r="A438" s="739">
        <v>5911</v>
      </c>
      <c r="B438" s="743" t="s">
        <v>68</v>
      </c>
      <c r="C438" s="736"/>
      <c r="D438" s="736">
        <v>0</v>
      </c>
      <c r="E438" s="736"/>
      <c r="F438" s="736">
        <v>0</v>
      </c>
      <c r="G438" s="736"/>
      <c r="H438" s="736"/>
      <c r="I438" s="736"/>
      <c r="J438" s="736">
        <f t="shared" si="150"/>
        <v>0</v>
      </c>
      <c r="K438" s="736"/>
      <c r="L438" s="736"/>
      <c r="M438" s="736">
        <f t="shared" si="151"/>
        <v>0</v>
      </c>
      <c r="N438" s="738">
        <v>350000</v>
      </c>
      <c r="O438" s="738"/>
      <c r="P438" s="736">
        <v>350000</v>
      </c>
      <c r="Q438" s="738">
        <v>350000</v>
      </c>
      <c r="R438" s="738"/>
      <c r="S438" s="738"/>
      <c r="T438" s="739">
        <v>2610121</v>
      </c>
      <c r="U438" s="745"/>
      <c r="V438" s="739">
        <v>2610122</v>
      </c>
    </row>
    <row r="439" spans="1:22" ht="15" x14ac:dyDescent="0.2">
      <c r="A439" s="728" t="s">
        <v>104</v>
      </c>
      <c r="B439" s="729" t="s">
        <v>1612</v>
      </c>
      <c r="C439" s="730">
        <f t="shared" ref="C439:P439" si="153">SUM(C440:C466)</f>
        <v>3372089.45</v>
      </c>
      <c r="D439" s="730">
        <f t="shared" si="153"/>
        <v>5391165.4900000002</v>
      </c>
      <c r="E439" s="730">
        <f t="shared" si="153"/>
        <v>5239592.8899999997</v>
      </c>
      <c r="F439" s="730">
        <f t="shared" si="153"/>
        <v>4836203.34</v>
      </c>
      <c r="G439" s="730">
        <f t="shared" si="153"/>
        <v>4761424.0999999996</v>
      </c>
      <c r="H439" s="730">
        <f t="shared" si="153"/>
        <v>2000000</v>
      </c>
      <c r="I439" s="730">
        <f t="shared" si="153"/>
        <v>0</v>
      </c>
      <c r="J439" s="730">
        <f t="shared" si="153"/>
        <v>6761424.0999999996</v>
      </c>
      <c r="K439" s="730">
        <f t="shared" si="153"/>
        <v>118253.94</v>
      </c>
      <c r="L439" s="730">
        <f t="shared" si="153"/>
        <v>0</v>
      </c>
      <c r="M439" s="730">
        <f t="shared" si="153"/>
        <v>6879678.04</v>
      </c>
      <c r="N439" s="730">
        <f t="shared" si="153"/>
        <v>250000</v>
      </c>
      <c r="O439" s="730">
        <f t="shared" si="153"/>
        <v>0</v>
      </c>
      <c r="P439" s="730">
        <f t="shared" si="153"/>
        <v>7129678.04</v>
      </c>
      <c r="Q439" s="748">
        <f>SUM(Q440:Q468)</f>
        <v>5954521.8700000001</v>
      </c>
      <c r="R439" s="748">
        <f t="shared" ref="R439:S439" si="154">SUM(R440:R468)</f>
        <v>3990478.56</v>
      </c>
      <c r="S439" s="748">
        <f t="shared" si="154"/>
        <v>13731444.6</v>
      </c>
      <c r="T439" s="731"/>
      <c r="U439" s="732">
        <f>SUM(U440:U468)</f>
        <v>5340223.92</v>
      </c>
      <c r="V439" s="733"/>
    </row>
    <row r="440" spans="1:22" ht="15" x14ac:dyDescent="0.25">
      <c r="A440" s="734">
        <v>1132</v>
      </c>
      <c r="B440" s="735" t="s">
        <v>8</v>
      </c>
      <c r="C440" s="736">
        <v>689225.58</v>
      </c>
      <c r="D440" s="736">
        <v>732932.2</v>
      </c>
      <c r="E440" s="749">
        <v>710655.26</v>
      </c>
      <c r="F440" s="736">
        <v>737324.19</v>
      </c>
      <c r="G440" s="736">
        <v>769965.6</v>
      </c>
      <c r="H440" s="736"/>
      <c r="I440" s="736"/>
      <c r="J440" s="736">
        <f t="shared" ref="J440:J455" si="155">G440+H440-I440</f>
        <v>769965.6</v>
      </c>
      <c r="K440" s="736">
        <v>27137.48</v>
      </c>
      <c r="L440" s="736"/>
      <c r="M440" s="736">
        <f t="shared" ref="M440:M455" si="156">J440+K440-L440</f>
        <v>797103.08</v>
      </c>
      <c r="N440" s="736"/>
      <c r="O440" s="736"/>
      <c r="P440" s="736">
        <f t="shared" ref="P440:P455" si="157">M440+N440-O440</f>
        <v>797103.08</v>
      </c>
      <c r="Q440" s="738">
        <v>785809.64</v>
      </c>
      <c r="R440" s="738">
        <v>566606.87</v>
      </c>
      <c r="S440" s="751">
        <v>919707.88</v>
      </c>
      <c r="T440" s="739">
        <v>1500521</v>
      </c>
      <c r="U440" s="779">
        <v>813513.19</v>
      </c>
      <c r="V440" s="741">
        <v>1500522</v>
      </c>
    </row>
    <row r="441" spans="1:22" ht="15" x14ac:dyDescent="0.25">
      <c r="A441" s="734">
        <v>1212</v>
      </c>
      <c r="B441" s="735" t="s">
        <v>53</v>
      </c>
      <c r="C441" s="736">
        <v>254038.8</v>
      </c>
      <c r="D441" s="736">
        <v>263887.2</v>
      </c>
      <c r="E441" s="749">
        <v>216123.2</v>
      </c>
      <c r="F441" s="736">
        <v>212859.75</v>
      </c>
      <c r="G441" s="736">
        <v>207921.6</v>
      </c>
      <c r="H441" s="736"/>
      <c r="I441" s="736"/>
      <c r="J441" s="736">
        <f t="shared" si="155"/>
        <v>207921.6</v>
      </c>
      <c r="K441" s="736">
        <v>3135.33</v>
      </c>
      <c r="L441" s="736"/>
      <c r="M441" s="736">
        <f t="shared" si="156"/>
        <v>211056.93</v>
      </c>
      <c r="N441" s="736"/>
      <c r="O441" s="736"/>
      <c r="P441" s="736">
        <f t="shared" si="157"/>
        <v>211056.93</v>
      </c>
      <c r="Q441" s="738">
        <v>211056.93</v>
      </c>
      <c r="R441" s="738">
        <v>154818.9</v>
      </c>
      <c r="S441" s="751">
        <v>221544</v>
      </c>
      <c r="T441" s="739">
        <v>1500521</v>
      </c>
      <c r="U441" s="779">
        <v>208905.23</v>
      </c>
      <c r="V441" s="741">
        <v>1500522</v>
      </c>
    </row>
    <row r="442" spans="1:22" ht="15" x14ac:dyDescent="0.25">
      <c r="A442" s="734">
        <v>1321</v>
      </c>
      <c r="B442" s="735" t="s">
        <v>9</v>
      </c>
      <c r="C442" s="736">
        <v>42797.7</v>
      </c>
      <c r="D442" s="736">
        <v>45384.51</v>
      </c>
      <c r="E442" s="749">
        <v>42813.51</v>
      </c>
      <c r="F442" s="736">
        <v>39256.629999999997</v>
      </c>
      <c r="G442" s="736">
        <v>38967.799999999996</v>
      </c>
      <c r="H442" s="736"/>
      <c r="I442" s="736"/>
      <c r="J442" s="736">
        <f t="shared" si="155"/>
        <v>38967.799999999996</v>
      </c>
      <c r="K442" s="736">
        <v>2192.13</v>
      </c>
      <c r="L442" s="736"/>
      <c r="M442" s="736">
        <f t="shared" si="156"/>
        <v>41159.929999999993</v>
      </c>
      <c r="N442" s="736"/>
      <c r="O442" s="736"/>
      <c r="P442" s="736">
        <f t="shared" si="157"/>
        <v>41159.929999999993</v>
      </c>
      <c r="Q442" s="738">
        <v>41159.93</v>
      </c>
      <c r="R442" s="738">
        <v>20341.72</v>
      </c>
      <c r="S442" s="751">
        <v>49251.78</v>
      </c>
      <c r="T442" s="739">
        <v>1500521</v>
      </c>
      <c r="U442" s="779">
        <v>41914.660000000003</v>
      </c>
      <c r="V442" s="741">
        <v>1500522</v>
      </c>
    </row>
    <row r="443" spans="1:22" ht="15" x14ac:dyDescent="0.25">
      <c r="A443" s="734">
        <v>1323</v>
      </c>
      <c r="B443" s="735" t="s">
        <v>11</v>
      </c>
      <c r="C443" s="736">
        <v>128530.45</v>
      </c>
      <c r="D443" s="736">
        <v>135686.29999999999</v>
      </c>
      <c r="E443" s="749">
        <v>128992.67</v>
      </c>
      <c r="F443" s="736">
        <v>127036.05</v>
      </c>
      <c r="G443" s="736">
        <v>139653.9</v>
      </c>
      <c r="H443" s="736"/>
      <c r="I443" s="736"/>
      <c r="J443" s="736">
        <f t="shared" si="155"/>
        <v>139653.9</v>
      </c>
      <c r="K443" s="736">
        <v>4592.28</v>
      </c>
      <c r="L443" s="736"/>
      <c r="M443" s="736">
        <f t="shared" si="156"/>
        <v>144246.18</v>
      </c>
      <c r="N443" s="736"/>
      <c r="O443" s="736"/>
      <c r="P443" s="736">
        <f t="shared" si="157"/>
        <v>144246.18</v>
      </c>
      <c r="Q443" s="738">
        <v>144246.18</v>
      </c>
      <c r="R443" s="738">
        <v>99711</v>
      </c>
      <c r="S443" s="751">
        <v>167971.5</v>
      </c>
      <c r="T443" s="739">
        <v>1500521</v>
      </c>
      <c r="U443" s="779">
        <v>150355.56</v>
      </c>
      <c r="V443" s="741">
        <v>1500522</v>
      </c>
    </row>
    <row r="444" spans="1:22" ht="15" x14ac:dyDescent="0.25">
      <c r="A444" s="734">
        <v>1413</v>
      </c>
      <c r="B444" s="735" t="s">
        <v>13</v>
      </c>
      <c r="C444" s="736">
        <v>188856.68</v>
      </c>
      <c r="D444" s="736">
        <v>208661.12</v>
      </c>
      <c r="E444" s="749">
        <v>194288.12</v>
      </c>
      <c r="F444" s="736">
        <v>191069.62</v>
      </c>
      <c r="G444" s="736">
        <v>224222.30000000002</v>
      </c>
      <c r="H444" s="736"/>
      <c r="I444" s="736"/>
      <c r="J444" s="736">
        <f t="shared" si="155"/>
        <v>224222.30000000002</v>
      </c>
      <c r="K444" s="736">
        <v>8289.23</v>
      </c>
      <c r="L444" s="736"/>
      <c r="M444" s="736">
        <f t="shared" si="156"/>
        <v>232511.53000000003</v>
      </c>
      <c r="N444" s="736"/>
      <c r="O444" s="736"/>
      <c r="P444" s="736">
        <f t="shared" si="157"/>
        <v>232511.53000000003</v>
      </c>
      <c r="Q444" s="738">
        <v>232511.53</v>
      </c>
      <c r="R444" s="738">
        <v>150886.15</v>
      </c>
      <c r="S444" s="751">
        <v>283893.96000000002</v>
      </c>
      <c r="T444" s="739">
        <v>1500521</v>
      </c>
      <c r="U444" s="779">
        <v>239879.6</v>
      </c>
      <c r="V444" s="741">
        <v>1500522</v>
      </c>
    </row>
    <row r="445" spans="1:22" ht="15" x14ac:dyDescent="0.25">
      <c r="A445" s="734">
        <v>1421</v>
      </c>
      <c r="B445" s="735" t="s">
        <v>15</v>
      </c>
      <c r="C445" s="736">
        <v>63159.32</v>
      </c>
      <c r="D445" s="736">
        <v>68872.759999999995</v>
      </c>
      <c r="E445" s="749">
        <v>58811.76</v>
      </c>
      <c r="F445" s="736">
        <v>63074.78</v>
      </c>
      <c r="G445" s="736">
        <v>68631.400000000009</v>
      </c>
      <c r="H445" s="736"/>
      <c r="I445" s="736"/>
      <c r="J445" s="736">
        <f t="shared" si="155"/>
        <v>68631.400000000009</v>
      </c>
      <c r="K445" s="736">
        <v>2553.4699999999998</v>
      </c>
      <c r="L445" s="736"/>
      <c r="M445" s="736">
        <f t="shared" si="156"/>
        <v>71184.87000000001</v>
      </c>
      <c r="N445" s="736"/>
      <c r="O445" s="736"/>
      <c r="P445" s="736">
        <f t="shared" si="157"/>
        <v>71184.87000000001</v>
      </c>
      <c r="Q445" s="738">
        <v>71184.87</v>
      </c>
      <c r="R445" s="738">
        <v>45094.15</v>
      </c>
      <c r="S445" s="751">
        <v>81437.16</v>
      </c>
      <c r="T445" s="739">
        <v>1500521</v>
      </c>
      <c r="U445" s="779">
        <v>68394.100000000006</v>
      </c>
      <c r="V445" s="741">
        <v>1500522</v>
      </c>
    </row>
    <row r="446" spans="1:22" ht="15" x14ac:dyDescent="0.25">
      <c r="A446" s="734">
        <v>1431</v>
      </c>
      <c r="B446" s="735" t="s">
        <v>16</v>
      </c>
      <c r="C446" s="736">
        <v>67479.06</v>
      </c>
      <c r="D446" s="736">
        <v>70938.98</v>
      </c>
      <c r="E446" s="749">
        <v>61266.98</v>
      </c>
      <c r="F446" s="736">
        <v>66295.41</v>
      </c>
      <c r="G446" s="736">
        <v>70690.2</v>
      </c>
      <c r="H446" s="736"/>
      <c r="I446" s="736"/>
      <c r="J446" s="736">
        <f t="shared" si="155"/>
        <v>70690.2</v>
      </c>
      <c r="K446" s="736">
        <v>2615.6999999999998</v>
      </c>
      <c r="L446" s="736"/>
      <c r="M446" s="736">
        <f t="shared" si="156"/>
        <v>73305.899999999994</v>
      </c>
      <c r="N446" s="736"/>
      <c r="O446" s="736"/>
      <c r="P446" s="736">
        <f t="shared" si="157"/>
        <v>73305.899999999994</v>
      </c>
      <c r="Q446" s="738">
        <v>73305.899999999994</v>
      </c>
      <c r="R446" s="738">
        <v>45798.13</v>
      </c>
      <c r="S446" s="751">
        <v>83880.479999999996</v>
      </c>
      <c r="T446" s="739">
        <v>1500521</v>
      </c>
      <c r="U446" s="779">
        <v>77092.350000000006</v>
      </c>
      <c r="V446" s="741">
        <v>1500522</v>
      </c>
    </row>
    <row r="447" spans="1:22" ht="15" x14ac:dyDescent="0.25">
      <c r="A447" s="734">
        <v>1511</v>
      </c>
      <c r="B447" s="735" t="s">
        <v>18</v>
      </c>
      <c r="C447" s="736">
        <v>16684.82</v>
      </c>
      <c r="D447" s="736">
        <v>18152.68</v>
      </c>
      <c r="E447" s="749">
        <v>17569.68</v>
      </c>
      <c r="F447" s="736">
        <v>18217.68</v>
      </c>
      <c r="G447" s="736">
        <v>19077.3</v>
      </c>
      <c r="H447" s="736"/>
      <c r="I447" s="736"/>
      <c r="J447" s="736">
        <f t="shared" si="155"/>
        <v>19077.3</v>
      </c>
      <c r="K447" s="736">
        <v>639.16999999999996</v>
      </c>
      <c r="L447" s="736"/>
      <c r="M447" s="736">
        <f t="shared" si="156"/>
        <v>19716.469999999998</v>
      </c>
      <c r="N447" s="736"/>
      <c r="O447" s="736"/>
      <c r="P447" s="736">
        <f t="shared" si="157"/>
        <v>19716.469999999998</v>
      </c>
      <c r="Q447" s="738">
        <v>19716.47</v>
      </c>
      <c r="R447" s="738">
        <v>13974.32</v>
      </c>
      <c r="S447" s="751">
        <v>23110.36</v>
      </c>
      <c r="T447" s="739">
        <v>1500521</v>
      </c>
      <c r="U447" s="779">
        <v>20076.189999999999</v>
      </c>
      <c r="V447" s="741">
        <v>1500522</v>
      </c>
    </row>
    <row r="448" spans="1:22" ht="15" x14ac:dyDescent="0.25">
      <c r="A448" s="734">
        <v>1541</v>
      </c>
      <c r="B448" s="735" t="s">
        <v>19</v>
      </c>
      <c r="C448" s="736">
        <v>31755.06</v>
      </c>
      <c r="D448" s="736">
        <v>33831.46</v>
      </c>
      <c r="E448" s="749">
        <v>20495.46</v>
      </c>
      <c r="F448" s="736">
        <v>20843.25</v>
      </c>
      <c r="G448" s="736">
        <v>24848.699999999997</v>
      </c>
      <c r="H448" s="736"/>
      <c r="I448" s="736"/>
      <c r="J448" s="736">
        <f t="shared" si="155"/>
        <v>24848.699999999997</v>
      </c>
      <c r="K448" s="736">
        <v>945.68</v>
      </c>
      <c r="L448" s="736"/>
      <c r="M448" s="736">
        <f t="shared" si="156"/>
        <v>25794.379999999997</v>
      </c>
      <c r="N448" s="736"/>
      <c r="O448" s="736"/>
      <c r="P448" s="736">
        <f t="shared" si="157"/>
        <v>25794.379999999997</v>
      </c>
      <c r="Q448" s="738">
        <v>23224.44</v>
      </c>
      <c r="R448" s="738">
        <v>14761.67</v>
      </c>
      <c r="S448" s="751">
        <v>20124.52</v>
      </c>
      <c r="T448" s="739">
        <v>1500521</v>
      </c>
      <c r="U448" s="779">
        <v>22218.560000000001</v>
      </c>
      <c r="V448" s="741">
        <v>1500522</v>
      </c>
    </row>
    <row r="449" spans="1:22" ht="15" x14ac:dyDescent="0.25">
      <c r="A449" s="734">
        <v>1592</v>
      </c>
      <c r="B449" s="735" t="s">
        <v>20</v>
      </c>
      <c r="C449" s="736">
        <v>160583.94</v>
      </c>
      <c r="D449" s="736">
        <v>174818.28</v>
      </c>
      <c r="E449" s="749">
        <v>169013.25</v>
      </c>
      <c r="F449" s="736">
        <v>175249.35</v>
      </c>
      <c r="G449" s="736">
        <v>183645.30000000002</v>
      </c>
      <c r="H449" s="736"/>
      <c r="I449" s="736"/>
      <c r="J449" s="736">
        <f t="shared" si="155"/>
        <v>183645.30000000002</v>
      </c>
      <c r="K449" s="736">
        <v>6153.47</v>
      </c>
      <c r="L449" s="736"/>
      <c r="M449" s="736">
        <f t="shared" si="156"/>
        <v>189798.77000000002</v>
      </c>
      <c r="N449" s="736"/>
      <c r="O449" s="736"/>
      <c r="P449" s="736">
        <f t="shared" si="157"/>
        <v>189798.77000000002</v>
      </c>
      <c r="Q449" s="738">
        <v>204048.4</v>
      </c>
      <c r="R449" s="738">
        <v>134530.32999999999</v>
      </c>
      <c r="S449" s="751">
        <v>235922.96</v>
      </c>
      <c r="T449" s="739">
        <v>1500521</v>
      </c>
      <c r="U449" s="779">
        <v>193274.48</v>
      </c>
      <c r="V449" s="741">
        <v>1500522</v>
      </c>
    </row>
    <row r="450" spans="1:22" ht="15" x14ac:dyDescent="0.2">
      <c r="A450" s="739">
        <v>2111</v>
      </c>
      <c r="B450" s="743" t="s">
        <v>1709</v>
      </c>
      <c r="C450" s="736">
        <v>8317.8799999999992</v>
      </c>
      <c r="D450" s="736"/>
      <c r="E450" s="736"/>
      <c r="F450" s="736"/>
      <c r="G450" s="736"/>
      <c r="H450" s="736"/>
      <c r="I450" s="736"/>
      <c r="J450" s="736">
        <f t="shared" si="155"/>
        <v>0</v>
      </c>
      <c r="K450" s="736"/>
      <c r="L450" s="736"/>
      <c r="M450" s="736">
        <f t="shared" si="156"/>
        <v>0</v>
      </c>
      <c r="N450" s="736"/>
      <c r="O450" s="736"/>
      <c r="P450" s="738">
        <f t="shared" si="157"/>
        <v>0</v>
      </c>
      <c r="Q450" s="738"/>
      <c r="R450" s="738"/>
      <c r="S450" s="738"/>
      <c r="T450" s="739"/>
      <c r="U450" s="745"/>
      <c r="V450" s="739"/>
    </row>
    <row r="451" spans="1:22" ht="15" x14ac:dyDescent="0.2">
      <c r="A451" s="734">
        <v>2212</v>
      </c>
      <c r="B451" s="735" t="s">
        <v>40</v>
      </c>
      <c r="C451" s="736">
        <v>9151.4599999999991</v>
      </c>
      <c r="D451" s="736">
        <v>98000</v>
      </c>
      <c r="E451" s="736"/>
      <c r="F451" s="736">
        <v>0</v>
      </c>
      <c r="G451" s="749">
        <v>80000</v>
      </c>
      <c r="H451" s="749"/>
      <c r="I451" s="749"/>
      <c r="J451" s="736">
        <f t="shared" si="155"/>
        <v>80000</v>
      </c>
      <c r="K451" s="749"/>
      <c r="L451" s="749"/>
      <c r="M451" s="736">
        <f t="shared" si="156"/>
        <v>80000</v>
      </c>
      <c r="N451" s="736"/>
      <c r="O451" s="736"/>
      <c r="P451" s="736">
        <f t="shared" si="157"/>
        <v>80000</v>
      </c>
      <c r="Q451" s="783">
        <v>40000</v>
      </c>
      <c r="R451" s="738"/>
      <c r="S451" s="784">
        <v>80000</v>
      </c>
      <c r="T451" s="739">
        <v>1100121</v>
      </c>
      <c r="U451" s="742">
        <v>80000</v>
      </c>
      <c r="V451" s="741">
        <v>1100122</v>
      </c>
    </row>
    <row r="452" spans="1:22" ht="15" x14ac:dyDescent="0.2">
      <c r="A452" s="739">
        <v>2711</v>
      </c>
      <c r="B452" s="743" t="s">
        <v>27</v>
      </c>
      <c r="C452" s="736">
        <v>24276.48</v>
      </c>
      <c r="D452" s="736"/>
      <c r="E452" s="736"/>
      <c r="F452" s="736"/>
      <c r="G452" s="736"/>
      <c r="H452" s="736"/>
      <c r="I452" s="736"/>
      <c r="J452" s="736">
        <f t="shared" si="155"/>
        <v>0</v>
      </c>
      <c r="K452" s="736"/>
      <c r="L452" s="736"/>
      <c r="M452" s="736">
        <f t="shared" si="156"/>
        <v>0</v>
      </c>
      <c r="N452" s="736"/>
      <c r="O452" s="736"/>
      <c r="P452" s="738">
        <f t="shared" si="157"/>
        <v>0</v>
      </c>
      <c r="Q452" s="738"/>
      <c r="R452" s="738"/>
      <c r="S452" s="738"/>
      <c r="T452" s="739"/>
      <c r="U452" s="745"/>
      <c r="V452" s="739"/>
    </row>
    <row r="453" spans="1:22" ht="15" x14ac:dyDescent="0.2">
      <c r="A453" s="739">
        <v>3511</v>
      </c>
      <c r="B453" s="743" t="s">
        <v>49</v>
      </c>
      <c r="C453" s="736"/>
      <c r="D453" s="736">
        <v>0</v>
      </c>
      <c r="E453" s="749">
        <v>46000</v>
      </c>
      <c r="F453" s="736">
        <v>45130.29</v>
      </c>
      <c r="G453" s="736"/>
      <c r="H453" s="736"/>
      <c r="I453" s="736"/>
      <c r="J453" s="736">
        <f t="shared" si="155"/>
        <v>0</v>
      </c>
      <c r="K453" s="736"/>
      <c r="L453" s="736"/>
      <c r="M453" s="736">
        <f t="shared" si="156"/>
        <v>0</v>
      </c>
      <c r="N453" s="736"/>
      <c r="O453" s="736"/>
      <c r="P453" s="738">
        <f t="shared" si="157"/>
        <v>0</v>
      </c>
      <c r="Q453" s="738">
        <v>25000</v>
      </c>
      <c r="R453" s="738"/>
      <c r="S453" s="738"/>
      <c r="T453" s="739">
        <v>1100121</v>
      </c>
      <c r="U453" s="745"/>
      <c r="V453" s="739">
        <v>1100122</v>
      </c>
    </row>
    <row r="454" spans="1:22" ht="15" x14ac:dyDescent="0.2">
      <c r="A454" s="734">
        <v>3611</v>
      </c>
      <c r="B454" s="735" t="s">
        <v>66</v>
      </c>
      <c r="C454" s="736">
        <v>29232</v>
      </c>
      <c r="D454" s="736">
        <v>55000</v>
      </c>
      <c r="E454" s="736"/>
      <c r="F454" s="736">
        <v>0</v>
      </c>
      <c r="G454" s="749">
        <v>55000</v>
      </c>
      <c r="H454" s="749"/>
      <c r="I454" s="749"/>
      <c r="J454" s="736">
        <f t="shared" si="155"/>
        <v>55000</v>
      </c>
      <c r="K454" s="749"/>
      <c r="L454" s="749"/>
      <c r="M454" s="736">
        <f t="shared" si="156"/>
        <v>55000</v>
      </c>
      <c r="N454" s="736"/>
      <c r="O454" s="736"/>
      <c r="P454" s="736">
        <f t="shared" si="157"/>
        <v>55000</v>
      </c>
      <c r="Q454" s="783">
        <v>55000</v>
      </c>
      <c r="R454" s="738"/>
      <c r="S454" s="784">
        <v>55000</v>
      </c>
      <c r="T454" s="739">
        <v>1100121</v>
      </c>
      <c r="U454" s="740">
        <v>55000</v>
      </c>
      <c r="V454" s="741">
        <v>1100122</v>
      </c>
    </row>
    <row r="455" spans="1:22" ht="15" x14ac:dyDescent="0.2">
      <c r="A455" s="734">
        <v>3751</v>
      </c>
      <c r="B455" s="735" t="s">
        <v>44</v>
      </c>
      <c r="C455" s="736">
        <v>9852.1200000000008</v>
      </c>
      <c r="D455" s="736">
        <v>20000</v>
      </c>
      <c r="E455" s="749">
        <v>7000</v>
      </c>
      <c r="F455" s="736">
        <v>0</v>
      </c>
      <c r="G455" s="749">
        <v>20000</v>
      </c>
      <c r="H455" s="749"/>
      <c r="I455" s="749"/>
      <c r="J455" s="736">
        <f t="shared" si="155"/>
        <v>20000</v>
      </c>
      <c r="K455" s="749"/>
      <c r="L455" s="749"/>
      <c r="M455" s="736">
        <f t="shared" si="156"/>
        <v>20000</v>
      </c>
      <c r="N455" s="736"/>
      <c r="O455" s="736"/>
      <c r="P455" s="736">
        <f t="shared" si="157"/>
        <v>20000</v>
      </c>
      <c r="Q455" s="783">
        <v>20000</v>
      </c>
      <c r="R455" s="738"/>
      <c r="S455" s="784">
        <v>20000</v>
      </c>
      <c r="T455" s="739">
        <v>1100121</v>
      </c>
      <c r="U455" s="742">
        <v>20000</v>
      </c>
      <c r="V455" s="741">
        <v>1100122</v>
      </c>
    </row>
    <row r="456" spans="1:22" ht="15" x14ac:dyDescent="0.2">
      <c r="A456" s="739">
        <v>3821</v>
      </c>
      <c r="B456" s="743" t="s">
        <v>31</v>
      </c>
      <c r="C456" s="736"/>
      <c r="D456" s="736"/>
      <c r="E456" s="749"/>
      <c r="F456" s="736"/>
      <c r="G456" s="749"/>
      <c r="H456" s="749"/>
      <c r="I456" s="749"/>
      <c r="J456" s="736"/>
      <c r="K456" s="749"/>
      <c r="L456" s="749"/>
      <c r="M456" s="736"/>
      <c r="N456" s="736"/>
      <c r="O456" s="736"/>
      <c r="P456" s="736"/>
      <c r="Q456" s="783"/>
      <c r="R456" s="738"/>
      <c r="S456" s="784">
        <v>500000</v>
      </c>
      <c r="T456" s="739"/>
      <c r="U456" s="745"/>
      <c r="V456" s="739"/>
    </row>
    <row r="457" spans="1:22" ht="15" x14ac:dyDescent="0.2">
      <c r="A457" s="734">
        <v>3831</v>
      </c>
      <c r="B457" s="735" t="s">
        <v>101</v>
      </c>
      <c r="C457" s="736"/>
      <c r="D457" s="736">
        <v>360000</v>
      </c>
      <c r="E457" s="736"/>
      <c r="F457" s="736">
        <v>0</v>
      </c>
      <c r="G457" s="749">
        <v>200000</v>
      </c>
      <c r="H457" s="749"/>
      <c r="I457" s="749"/>
      <c r="J457" s="736">
        <f t="shared" ref="J457:J459" si="158">G457+H457-I457</f>
        <v>200000</v>
      </c>
      <c r="K457" s="749"/>
      <c r="L457" s="749"/>
      <c r="M457" s="736">
        <f t="shared" ref="M457:M463" si="159">J457+K457-L457</f>
        <v>200000</v>
      </c>
      <c r="N457" s="736"/>
      <c r="O457" s="736"/>
      <c r="P457" s="736">
        <f t="shared" ref="P457:P463" si="160">M457+N457-O457</f>
        <v>200000</v>
      </c>
      <c r="Q457" s="783"/>
      <c r="R457" s="738"/>
      <c r="S457" s="784">
        <v>450000</v>
      </c>
      <c r="T457" s="739">
        <v>1100121</v>
      </c>
      <c r="U457" s="742">
        <v>200000</v>
      </c>
      <c r="V457" s="741">
        <v>1100122</v>
      </c>
    </row>
    <row r="458" spans="1:22" ht="15" x14ac:dyDescent="0.2">
      <c r="A458" s="739">
        <v>4321</v>
      </c>
      <c r="B458" s="743" t="s">
        <v>102</v>
      </c>
      <c r="C458" s="736">
        <v>305673.02</v>
      </c>
      <c r="D458" s="736">
        <v>0</v>
      </c>
      <c r="E458" s="749">
        <v>50000</v>
      </c>
      <c r="F458" s="736">
        <v>0</v>
      </c>
      <c r="G458" s="749"/>
      <c r="H458" s="749"/>
      <c r="I458" s="749"/>
      <c r="J458" s="736">
        <f t="shared" si="158"/>
        <v>0</v>
      </c>
      <c r="K458" s="749"/>
      <c r="L458" s="749"/>
      <c r="M458" s="736">
        <f t="shared" si="159"/>
        <v>0</v>
      </c>
      <c r="N458" s="736"/>
      <c r="O458" s="736"/>
      <c r="P458" s="738">
        <f t="shared" si="160"/>
        <v>0</v>
      </c>
      <c r="Q458" s="783"/>
      <c r="R458" s="738"/>
      <c r="S458" s="784"/>
      <c r="T458" s="739">
        <v>1100119</v>
      </c>
      <c r="U458" s="745"/>
      <c r="V458" s="739">
        <v>1100119</v>
      </c>
    </row>
    <row r="459" spans="1:22" ht="15" x14ac:dyDescent="0.2">
      <c r="A459" s="734">
        <v>4321</v>
      </c>
      <c r="B459" s="735" t="s">
        <v>102</v>
      </c>
      <c r="C459" s="736"/>
      <c r="D459" s="736">
        <v>950000</v>
      </c>
      <c r="E459" s="749">
        <v>450000</v>
      </c>
      <c r="F459" s="736">
        <v>339200</v>
      </c>
      <c r="G459" s="749">
        <v>598800</v>
      </c>
      <c r="H459" s="749"/>
      <c r="I459" s="749"/>
      <c r="J459" s="736">
        <f t="shared" si="158"/>
        <v>598800</v>
      </c>
      <c r="K459" s="749"/>
      <c r="L459" s="749"/>
      <c r="M459" s="736">
        <f t="shared" si="159"/>
        <v>598800</v>
      </c>
      <c r="N459" s="736"/>
      <c r="O459" s="736"/>
      <c r="P459" s="736">
        <f t="shared" si="160"/>
        <v>598800</v>
      </c>
      <c r="Q459" s="783"/>
      <c r="R459" s="738"/>
      <c r="S459" s="784">
        <v>699600</v>
      </c>
      <c r="T459" s="739">
        <v>1100121</v>
      </c>
      <c r="U459" s="742">
        <v>699600</v>
      </c>
      <c r="V459" s="741">
        <v>1100122</v>
      </c>
    </row>
    <row r="460" spans="1:22" ht="15" x14ac:dyDescent="0.2">
      <c r="A460" s="739">
        <v>4321</v>
      </c>
      <c r="B460" s="743" t="s">
        <v>102</v>
      </c>
      <c r="C460" s="736"/>
      <c r="D460" s="736"/>
      <c r="E460" s="749"/>
      <c r="F460" s="736"/>
      <c r="G460" s="749"/>
      <c r="H460" s="749"/>
      <c r="I460" s="749"/>
      <c r="J460" s="736"/>
      <c r="K460" s="749"/>
      <c r="L460" s="749"/>
      <c r="M460" s="736"/>
      <c r="N460" s="736"/>
      <c r="O460" s="736"/>
      <c r="P460" s="736"/>
      <c r="Q460" s="783"/>
      <c r="R460" s="738"/>
      <c r="S460" s="786">
        <v>500000</v>
      </c>
      <c r="T460" s="787"/>
      <c r="U460" s="788">
        <v>0</v>
      </c>
      <c r="V460" s="787"/>
    </row>
    <row r="461" spans="1:22" ht="15" x14ac:dyDescent="0.2">
      <c r="A461" s="739">
        <v>4321</v>
      </c>
      <c r="B461" s="743" t="s">
        <v>102</v>
      </c>
      <c r="C461" s="736"/>
      <c r="D461" s="736"/>
      <c r="E461" s="749"/>
      <c r="F461" s="736"/>
      <c r="G461" s="749"/>
      <c r="H461" s="749"/>
      <c r="I461" s="749"/>
      <c r="J461" s="736"/>
      <c r="K461" s="749">
        <v>60000</v>
      </c>
      <c r="L461" s="749"/>
      <c r="M461" s="736">
        <f t="shared" si="159"/>
        <v>60000</v>
      </c>
      <c r="N461" s="736"/>
      <c r="O461" s="736"/>
      <c r="P461" s="736">
        <f t="shared" si="160"/>
        <v>60000</v>
      </c>
      <c r="Q461" s="783">
        <v>60000</v>
      </c>
      <c r="R461" s="738"/>
      <c r="S461" s="784"/>
      <c r="T461" s="739">
        <v>1100120</v>
      </c>
      <c r="U461" s="745"/>
      <c r="V461" s="739">
        <v>1100120</v>
      </c>
    </row>
    <row r="462" spans="1:22" ht="15" x14ac:dyDescent="0.25">
      <c r="A462" s="739">
        <v>4321</v>
      </c>
      <c r="B462" s="743" t="s">
        <v>102</v>
      </c>
      <c r="C462" s="736"/>
      <c r="D462" s="736">
        <v>700000</v>
      </c>
      <c r="E462" s="736"/>
      <c r="F462" s="736">
        <v>0</v>
      </c>
      <c r="G462" s="736"/>
      <c r="H462" s="736"/>
      <c r="I462" s="736"/>
      <c r="J462" s="736">
        <f t="shared" ref="J462:J463" si="161">G462+H462-I462</f>
        <v>0</v>
      </c>
      <c r="K462" s="736"/>
      <c r="L462" s="736"/>
      <c r="M462" s="736">
        <f t="shared" si="159"/>
        <v>0</v>
      </c>
      <c r="N462" s="760">
        <f>250000</f>
        <v>250000</v>
      </c>
      <c r="O462" s="738"/>
      <c r="P462" s="736">
        <f t="shared" si="160"/>
        <v>250000</v>
      </c>
      <c r="Q462" s="738">
        <v>250000</v>
      </c>
      <c r="R462" s="738"/>
      <c r="S462" s="738"/>
      <c r="T462" s="739">
        <v>2610121</v>
      </c>
      <c r="U462" s="745"/>
      <c r="V462" s="739">
        <v>2610122</v>
      </c>
    </row>
    <row r="463" spans="1:22" ht="15" x14ac:dyDescent="0.2">
      <c r="A463" s="739">
        <v>4331</v>
      </c>
      <c r="B463" s="743" t="s">
        <v>103</v>
      </c>
      <c r="C463" s="736"/>
      <c r="D463" s="736"/>
      <c r="E463" s="736"/>
      <c r="F463" s="736"/>
      <c r="G463" s="736"/>
      <c r="H463" s="789">
        <v>2000000</v>
      </c>
      <c r="I463" s="736"/>
      <c r="J463" s="736">
        <f t="shared" si="161"/>
        <v>2000000</v>
      </c>
      <c r="K463" s="789"/>
      <c r="L463" s="736"/>
      <c r="M463" s="736">
        <f t="shared" si="159"/>
        <v>2000000</v>
      </c>
      <c r="N463" s="736"/>
      <c r="O463" s="736"/>
      <c r="P463" s="736">
        <f t="shared" si="160"/>
        <v>2000000</v>
      </c>
      <c r="Q463" s="738">
        <v>2000000</v>
      </c>
      <c r="R463" s="738">
        <v>1880697.74</v>
      </c>
      <c r="S463" s="738"/>
      <c r="T463" s="739">
        <v>1100120</v>
      </c>
      <c r="U463" s="745"/>
      <c r="V463" s="739">
        <v>1100120</v>
      </c>
    </row>
    <row r="464" spans="1:22" ht="15" x14ac:dyDescent="0.2">
      <c r="A464" s="739">
        <v>4331</v>
      </c>
      <c r="B464" s="743" t="s">
        <v>103</v>
      </c>
      <c r="C464" s="736"/>
      <c r="D464" s="736"/>
      <c r="E464" s="749"/>
      <c r="F464" s="736"/>
      <c r="G464" s="749"/>
      <c r="H464" s="749"/>
      <c r="I464" s="749"/>
      <c r="J464" s="736"/>
      <c r="K464" s="749"/>
      <c r="L464" s="749"/>
      <c r="M464" s="736"/>
      <c r="N464" s="736"/>
      <c r="O464" s="736"/>
      <c r="P464" s="736"/>
      <c r="Q464" s="783"/>
      <c r="R464" s="738"/>
      <c r="S464" s="784"/>
      <c r="T464" s="739">
        <v>1100120</v>
      </c>
      <c r="U464" s="745"/>
      <c r="V464" s="739">
        <v>1100120</v>
      </c>
    </row>
    <row r="465" spans="1:22" ht="15" x14ac:dyDescent="0.2">
      <c r="A465" s="734">
        <v>4331</v>
      </c>
      <c r="B465" s="735" t="s">
        <v>103</v>
      </c>
      <c r="C465" s="736">
        <v>1286675.08</v>
      </c>
      <c r="D465" s="736">
        <v>1455000</v>
      </c>
      <c r="E465" s="749">
        <v>3014563</v>
      </c>
      <c r="F465" s="736">
        <v>2778646.34</v>
      </c>
      <c r="G465" s="749">
        <v>2010000</v>
      </c>
      <c r="H465" s="749"/>
      <c r="I465" s="749"/>
      <c r="J465" s="736">
        <f t="shared" ref="J465:J466" si="162">G465+H465-I465</f>
        <v>2010000</v>
      </c>
      <c r="K465" s="749"/>
      <c r="L465" s="749"/>
      <c r="M465" s="736">
        <f t="shared" ref="M465:M466" si="163">J465+K465-L465</f>
        <v>2010000</v>
      </c>
      <c r="N465" s="736"/>
      <c r="O465" s="736"/>
      <c r="P465" s="736">
        <f t="shared" ref="P465:P466" si="164">M465+N465-O465</f>
        <v>2010000</v>
      </c>
      <c r="Q465" s="783">
        <v>1633257.58</v>
      </c>
      <c r="R465" s="738">
        <v>848257.58</v>
      </c>
      <c r="S465" s="784">
        <v>8920000</v>
      </c>
      <c r="T465" s="739">
        <v>1100121</v>
      </c>
      <c r="U465" s="742">
        <v>2380000</v>
      </c>
      <c r="V465" s="741">
        <v>1100122</v>
      </c>
    </row>
    <row r="466" spans="1:22" ht="15" x14ac:dyDescent="0.2">
      <c r="A466" s="734">
        <v>4411</v>
      </c>
      <c r="B466" s="735" t="s">
        <v>34</v>
      </c>
      <c r="C466" s="736">
        <v>55800</v>
      </c>
      <c r="D466" s="736">
        <v>0</v>
      </c>
      <c r="E466" s="749">
        <v>52000</v>
      </c>
      <c r="F466" s="736">
        <v>22000</v>
      </c>
      <c r="G466" s="749">
        <v>50000</v>
      </c>
      <c r="H466" s="749"/>
      <c r="I466" s="749"/>
      <c r="J466" s="736">
        <f t="shared" si="162"/>
        <v>50000</v>
      </c>
      <c r="K466" s="749"/>
      <c r="L466" s="749"/>
      <c r="M466" s="736">
        <f t="shared" si="163"/>
        <v>50000</v>
      </c>
      <c r="N466" s="736"/>
      <c r="O466" s="736"/>
      <c r="P466" s="736">
        <f t="shared" si="164"/>
        <v>50000</v>
      </c>
      <c r="Q466" s="783">
        <v>50000</v>
      </c>
      <c r="R466" s="738">
        <v>15000</v>
      </c>
      <c r="S466" s="784">
        <v>60000</v>
      </c>
      <c r="T466" s="739">
        <v>1100121</v>
      </c>
      <c r="U466" s="742">
        <v>60000</v>
      </c>
      <c r="V466" s="741">
        <v>1100122</v>
      </c>
    </row>
    <row r="467" spans="1:22" ht="15" x14ac:dyDescent="0.2">
      <c r="A467" s="734">
        <v>5651</v>
      </c>
      <c r="B467" s="735" t="s">
        <v>105</v>
      </c>
      <c r="C467" s="736"/>
      <c r="D467" s="736"/>
      <c r="E467" s="749"/>
      <c r="F467" s="736"/>
      <c r="G467" s="749"/>
      <c r="H467" s="749"/>
      <c r="I467" s="749"/>
      <c r="J467" s="736"/>
      <c r="K467" s="749"/>
      <c r="L467" s="749"/>
      <c r="M467" s="736"/>
      <c r="N467" s="736"/>
      <c r="O467" s="736"/>
      <c r="P467" s="736"/>
      <c r="Q467" s="783">
        <v>15000</v>
      </c>
      <c r="R467" s="738"/>
      <c r="S467" s="784">
        <v>10000</v>
      </c>
      <c r="T467" s="784"/>
      <c r="U467" s="742">
        <v>10000</v>
      </c>
      <c r="V467" s="741">
        <v>1100122</v>
      </c>
    </row>
    <row r="468" spans="1:22" ht="15" x14ac:dyDescent="0.2">
      <c r="A468" s="739">
        <v>5911</v>
      </c>
      <c r="B468" s="743" t="s">
        <v>68</v>
      </c>
      <c r="C468" s="736"/>
      <c r="D468" s="736"/>
      <c r="E468" s="749"/>
      <c r="F468" s="736"/>
      <c r="G468" s="749"/>
      <c r="H468" s="749"/>
      <c r="I468" s="749"/>
      <c r="J468" s="736"/>
      <c r="K468" s="749"/>
      <c r="L468" s="749"/>
      <c r="M468" s="736"/>
      <c r="N468" s="736"/>
      <c r="O468" s="736"/>
      <c r="P468" s="736"/>
      <c r="Q468" s="783"/>
      <c r="R468" s="738"/>
      <c r="S468" s="784">
        <v>350000</v>
      </c>
      <c r="T468" s="739"/>
      <c r="U468" s="744"/>
      <c r="V468" s="739"/>
    </row>
    <row r="469" spans="1:22" ht="15" x14ac:dyDescent="0.2">
      <c r="A469" s="724" t="s">
        <v>106</v>
      </c>
      <c r="B469" s="725" t="s">
        <v>107</v>
      </c>
      <c r="C469" s="721">
        <f t="shared" ref="C469:P469" si="165">SUM(C470+C474+C476+C488+C555+C557)</f>
        <v>16625190.169999996</v>
      </c>
      <c r="D469" s="721">
        <f t="shared" si="165"/>
        <v>19725301.259999998</v>
      </c>
      <c r="E469" s="721">
        <f t="shared" si="165"/>
        <v>21685118.130000003</v>
      </c>
      <c r="F469" s="721">
        <f t="shared" si="165"/>
        <v>21502741.119999994</v>
      </c>
      <c r="G469" s="721">
        <f t="shared" si="165"/>
        <v>21465635.5</v>
      </c>
      <c r="H469" s="721">
        <f t="shared" si="165"/>
        <v>862754.95</v>
      </c>
      <c r="I469" s="721">
        <f t="shared" si="165"/>
        <v>0</v>
      </c>
      <c r="J469" s="721">
        <f t="shared" si="165"/>
        <v>22328390.449999999</v>
      </c>
      <c r="K469" s="721">
        <f t="shared" si="165"/>
        <v>180589.55</v>
      </c>
      <c r="L469" s="721">
        <f t="shared" si="165"/>
        <v>302422.53000000003</v>
      </c>
      <c r="M469" s="721">
        <f t="shared" si="165"/>
        <v>22206557.470000003</v>
      </c>
      <c r="N469" s="721">
        <f t="shared" si="165"/>
        <v>3725750</v>
      </c>
      <c r="O469" s="721">
        <f t="shared" si="165"/>
        <v>1325000</v>
      </c>
      <c r="P469" s="721">
        <f t="shared" si="165"/>
        <v>24607307.470000003</v>
      </c>
      <c r="Q469" s="756">
        <f>SUM(Q470+Q474+Q476+Q486+Q488+Q555+Q557)</f>
        <v>24593873.970000003</v>
      </c>
      <c r="R469" s="756">
        <f>SUM(R470+R474+R476+R488+R555+R557+R559)</f>
        <v>6683266.1299999999</v>
      </c>
      <c r="S469" s="756">
        <f>SUM(S470+S474+S476+S488+S555+S557+S559)</f>
        <v>22773686.120000001</v>
      </c>
      <c r="T469" s="724"/>
      <c r="U469" s="726">
        <f>SUM(U470+U474+U476+U488+U555+U557+U559)</f>
        <v>18476780.699999999</v>
      </c>
      <c r="V469" s="727"/>
    </row>
    <row r="470" spans="1:22" ht="15" x14ac:dyDescent="0.2">
      <c r="A470" s="728" t="s">
        <v>1710</v>
      </c>
      <c r="B470" s="729" t="s">
        <v>1711</v>
      </c>
      <c r="C470" s="730">
        <f t="shared" ref="C470:S470" si="166">SUM(C471:C473)</f>
        <v>0</v>
      </c>
      <c r="D470" s="730">
        <f t="shared" si="166"/>
        <v>0</v>
      </c>
      <c r="E470" s="730">
        <f t="shared" si="166"/>
        <v>0</v>
      </c>
      <c r="F470" s="730">
        <f t="shared" si="166"/>
        <v>709271.09000000008</v>
      </c>
      <c r="G470" s="730">
        <f t="shared" si="166"/>
        <v>0</v>
      </c>
      <c r="H470" s="730">
        <f t="shared" si="166"/>
        <v>0</v>
      </c>
      <c r="I470" s="730">
        <f t="shared" si="166"/>
        <v>0</v>
      </c>
      <c r="J470" s="730">
        <f t="shared" si="166"/>
        <v>0</v>
      </c>
      <c r="K470" s="730">
        <f t="shared" si="166"/>
        <v>0</v>
      </c>
      <c r="L470" s="730">
        <f t="shared" si="166"/>
        <v>0</v>
      </c>
      <c r="M470" s="730">
        <f t="shared" si="166"/>
        <v>0</v>
      </c>
      <c r="N470" s="730">
        <f t="shared" si="166"/>
        <v>0</v>
      </c>
      <c r="O470" s="730">
        <f t="shared" si="166"/>
        <v>0</v>
      </c>
      <c r="P470" s="748">
        <f t="shared" si="166"/>
        <v>0</v>
      </c>
      <c r="Q470" s="748">
        <f t="shared" si="166"/>
        <v>0</v>
      </c>
      <c r="R470" s="748">
        <f t="shared" si="166"/>
        <v>0</v>
      </c>
      <c r="S470" s="748">
        <f t="shared" si="166"/>
        <v>0</v>
      </c>
      <c r="T470" s="731"/>
      <c r="U470" s="732">
        <f>SUM(U471:U473)</f>
        <v>0</v>
      </c>
      <c r="V470" s="728"/>
    </row>
    <row r="471" spans="1:22" ht="15" x14ac:dyDescent="0.2">
      <c r="A471" s="739">
        <v>4411</v>
      </c>
      <c r="B471" s="743" t="s">
        <v>34</v>
      </c>
      <c r="C471" s="736"/>
      <c r="D471" s="736">
        <v>0</v>
      </c>
      <c r="E471" s="736"/>
      <c r="F471" s="736">
        <v>409271.09</v>
      </c>
      <c r="G471" s="736"/>
      <c r="H471" s="736"/>
      <c r="I471" s="736"/>
      <c r="J471" s="736">
        <f t="shared" ref="J471:J473" si="167">G471+H471-I471</f>
        <v>0</v>
      </c>
      <c r="K471" s="736"/>
      <c r="L471" s="736"/>
      <c r="M471" s="736">
        <f t="shared" ref="M471:M473" si="168">J471+K471-L471</f>
        <v>0</v>
      </c>
      <c r="N471" s="736"/>
      <c r="O471" s="736"/>
      <c r="P471" s="738">
        <f t="shared" ref="P471:P473" si="169">M471+N471-O471</f>
        <v>0</v>
      </c>
      <c r="Q471" s="738"/>
      <c r="R471" s="738"/>
      <c r="S471" s="738"/>
      <c r="T471" s="739">
        <v>1100121</v>
      </c>
      <c r="U471" s="745"/>
      <c r="V471" s="739">
        <v>1100122</v>
      </c>
    </row>
    <row r="472" spans="1:22" ht="15" x14ac:dyDescent="0.2">
      <c r="A472" s="739">
        <v>4411</v>
      </c>
      <c r="B472" s="743" t="s">
        <v>34</v>
      </c>
      <c r="C472" s="736"/>
      <c r="D472" s="736">
        <v>0</v>
      </c>
      <c r="E472" s="736"/>
      <c r="F472" s="736">
        <v>300000</v>
      </c>
      <c r="G472" s="736"/>
      <c r="H472" s="736"/>
      <c r="I472" s="736"/>
      <c r="J472" s="736">
        <f t="shared" si="167"/>
        <v>0</v>
      </c>
      <c r="K472" s="736"/>
      <c r="L472" s="736"/>
      <c r="M472" s="736">
        <f t="shared" si="168"/>
        <v>0</v>
      </c>
      <c r="N472" s="738"/>
      <c r="O472" s="738"/>
      <c r="P472" s="738">
        <f t="shared" si="169"/>
        <v>0</v>
      </c>
      <c r="Q472" s="738"/>
      <c r="R472" s="738"/>
      <c r="S472" s="738"/>
      <c r="T472" s="739">
        <v>2610121</v>
      </c>
      <c r="U472" s="745"/>
      <c r="V472" s="739">
        <v>2610122</v>
      </c>
    </row>
    <row r="473" spans="1:22" ht="15" x14ac:dyDescent="0.2">
      <c r="A473" s="739">
        <v>4411</v>
      </c>
      <c r="B473" s="743" t="s">
        <v>34</v>
      </c>
      <c r="C473" s="736"/>
      <c r="D473" s="736">
        <v>0</v>
      </c>
      <c r="E473" s="736"/>
      <c r="F473" s="736">
        <v>0</v>
      </c>
      <c r="G473" s="736"/>
      <c r="H473" s="736"/>
      <c r="I473" s="736"/>
      <c r="J473" s="736">
        <f t="shared" si="167"/>
        <v>0</v>
      </c>
      <c r="K473" s="736"/>
      <c r="L473" s="736"/>
      <c r="M473" s="736">
        <f t="shared" si="168"/>
        <v>0</v>
      </c>
      <c r="N473" s="738"/>
      <c r="O473" s="738"/>
      <c r="P473" s="738">
        <f t="shared" si="169"/>
        <v>0</v>
      </c>
      <c r="Q473" s="738"/>
      <c r="R473" s="738"/>
      <c r="S473" s="738"/>
      <c r="T473" s="739">
        <v>2610221</v>
      </c>
      <c r="U473" s="745"/>
      <c r="V473" s="739">
        <v>2610222</v>
      </c>
    </row>
    <row r="474" spans="1:22" ht="15" x14ac:dyDescent="0.2">
      <c r="A474" s="728" t="s">
        <v>108</v>
      </c>
      <c r="B474" s="729" t="s">
        <v>1528</v>
      </c>
      <c r="C474" s="730">
        <f t="shared" ref="C474:S474" si="170">SUM(C475)</f>
        <v>991710.67</v>
      </c>
      <c r="D474" s="730">
        <f t="shared" si="170"/>
        <v>1500000</v>
      </c>
      <c r="E474" s="730">
        <f t="shared" si="170"/>
        <v>1251000</v>
      </c>
      <c r="F474" s="730">
        <f t="shared" si="170"/>
        <v>1018194.11</v>
      </c>
      <c r="G474" s="730">
        <f t="shared" si="170"/>
        <v>1500000</v>
      </c>
      <c r="H474" s="730">
        <f t="shared" si="170"/>
        <v>0</v>
      </c>
      <c r="I474" s="730">
        <f t="shared" si="170"/>
        <v>0</v>
      </c>
      <c r="J474" s="730">
        <f t="shared" si="170"/>
        <v>1500000</v>
      </c>
      <c r="K474" s="730">
        <f t="shared" si="170"/>
        <v>0</v>
      </c>
      <c r="L474" s="730">
        <f t="shared" si="170"/>
        <v>0</v>
      </c>
      <c r="M474" s="730">
        <f t="shared" si="170"/>
        <v>1500000</v>
      </c>
      <c r="N474" s="730">
        <f t="shared" si="170"/>
        <v>0</v>
      </c>
      <c r="O474" s="730">
        <f t="shared" si="170"/>
        <v>0</v>
      </c>
      <c r="P474" s="730">
        <f t="shared" si="170"/>
        <v>1500000</v>
      </c>
      <c r="Q474" s="748">
        <f t="shared" si="170"/>
        <v>1420000</v>
      </c>
      <c r="R474" s="748">
        <f t="shared" si="170"/>
        <v>0</v>
      </c>
      <c r="S474" s="748">
        <f t="shared" si="170"/>
        <v>1500000</v>
      </c>
      <c r="T474" s="731"/>
      <c r="U474" s="732">
        <f>SUM(U475)</f>
        <v>1000000</v>
      </c>
      <c r="V474" s="733"/>
    </row>
    <row r="475" spans="1:22" ht="15" x14ac:dyDescent="0.2">
      <c r="A475" s="790">
        <v>4411</v>
      </c>
      <c r="B475" s="791" t="s">
        <v>34</v>
      </c>
      <c r="C475" s="792">
        <v>991710.67</v>
      </c>
      <c r="D475" s="792">
        <v>1500000</v>
      </c>
      <c r="E475" s="793">
        <v>1251000</v>
      </c>
      <c r="F475" s="792">
        <v>1018194.11</v>
      </c>
      <c r="G475" s="793">
        <v>1500000</v>
      </c>
      <c r="H475" s="793"/>
      <c r="I475" s="793"/>
      <c r="J475" s="792">
        <f>G475+H475-I475</f>
        <v>1500000</v>
      </c>
      <c r="K475" s="793"/>
      <c r="L475" s="793"/>
      <c r="M475" s="792">
        <f>J475+K475-L475</f>
        <v>1500000</v>
      </c>
      <c r="N475" s="792"/>
      <c r="O475" s="792"/>
      <c r="P475" s="792">
        <f>M475+N475-O475</f>
        <v>1500000</v>
      </c>
      <c r="Q475" s="794">
        <v>1420000</v>
      </c>
      <c r="R475" s="795"/>
      <c r="S475" s="796">
        <v>1500000</v>
      </c>
      <c r="T475" s="797">
        <v>1100121</v>
      </c>
      <c r="U475" s="746">
        <v>1000000</v>
      </c>
      <c r="V475" s="741">
        <v>1100122</v>
      </c>
    </row>
    <row r="476" spans="1:22" ht="15" x14ac:dyDescent="0.2">
      <c r="A476" s="728" t="s">
        <v>109</v>
      </c>
      <c r="B476" s="729" t="s">
        <v>1530</v>
      </c>
      <c r="C476" s="730">
        <f t="shared" ref="C476:S476" si="171">SUM(C477:C485)</f>
        <v>999803.33000000007</v>
      </c>
      <c r="D476" s="730">
        <f t="shared" si="171"/>
        <v>1999999.9999999998</v>
      </c>
      <c r="E476" s="730">
        <f t="shared" si="171"/>
        <v>2028913.5999999999</v>
      </c>
      <c r="F476" s="730">
        <f t="shared" si="171"/>
        <v>1737205.7999999998</v>
      </c>
      <c r="G476" s="730">
        <f t="shared" si="171"/>
        <v>500000</v>
      </c>
      <c r="H476" s="730">
        <f t="shared" si="171"/>
        <v>597.12</v>
      </c>
      <c r="I476" s="730">
        <f t="shared" si="171"/>
        <v>0</v>
      </c>
      <c r="J476" s="730">
        <f t="shared" si="171"/>
        <v>500597.12</v>
      </c>
      <c r="K476" s="730">
        <f t="shared" si="171"/>
        <v>0</v>
      </c>
      <c r="L476" s="730">
        <f t="shared" si="171"/>
        <v>0</v>
      </c>
      <c r="M476" s="730">
        <f t="shared" si="171"/>
        <v>500597.12</v>
      </c>
      <c r="N476" s="730">
        <f t="shared" si="171"/>
        <v>0</v>
      </c>
      <c r="O476" s="730">
        <f t="shared" si="171"/>
        <v>0</v>
      </c>
      <c r="P476" s="730">
        <f t="shared" si="171"/>
        <v>500597.12</v>
      </c>
      <c r="Q476" s="748">
        <f t="shared" si="171"/>
        <v>500597.12</v>
      </c>
      <c r="R476" s="748">
        <f t="shared" si="171"/>
        <v>423680.41000000003</v>
      </c>
      <c r="S476" s="748">
        <f t="shared" si="171"/>
        <v>0</v>
      </c>
      <c r="T476" s="731"/>
      <c r="U476" s="732">
        <f t="shared" ref="U476" si="172">SUM(U477:U485)</f>
        <v>0</v>
      </c>
      <c r="V476" s="728"/>
    </row>
    <row r="477" spans="1:22" ht="15" x14ac:dyDescent="0.2">
      <c r="A477" s="739">
        <v>2161</v>
      </c>
      <c r="B477" s="743" t="s">
        <v>59</v>
      </c>
      <c r="C477" s="736">
        <v>24718.44</v>
      </c>
      <c r="D477" s="736">
        <v>38599.019999999997</v>
      </c>
      <c r="E477" s="749">
        <v>38599.019999999997</v>
      </c>
      <c r="F477" s="736">
        <v>13520.99</v>
      </c>
      <c r="G477" s="749">
        <v>15000</v>
      </c>
      <c r="H477" s="749"/>
      <c r="I477" s="749"/>
      <c r="J477" s="736">
        <f t="shared" ref="J477:J485" si="173">G477+H477-I477</f>
        <v>15000</v>
      </c>
      <c r="K477" s="749"/>
      <c r="L477" s="749"/>
      <c r="M477" s="736">
        <f t="shared" ref="M477:M485" si="174">J477+K477-L477</f>
        <v>15000</v>
      </c>
      <c r="N477" s="736"/>
      <c r="O477" s="736"/>
      <c r="P477" s="736">
        <f t="shared" ref="P477:P485" si="175">M477+N477-O477</f>
        <v>15000</v>
      </c>
      <c r="Q477" s="783">
        <v>15000</v>
      </c>
      <c r="R477" s="738">
        <v>9612.8799999999992</v>
      </c>
      <c r="S477" s="784"/>
      <c r="T477" s="739">
        <v>1100121</v>
      </c>
      <c r="U477" s="745"/>
      <c r="V477" s="739">
        <v>1100122</v>
      </c>
    </row>
    <row r="478" spans="1:22" ht="15" x14ac:dyDescent="0.2">
      <c r="A478" s="739">
        <v>2391</v>
      </c>
      <c r="B478" s="743" t="s">
        <v>110</v>
      </c>
      <c r="C478" s="736"/>
      <c r="D478" s="736">
        <v>203457</v>
      </c>
      <c r="E478" s="749">
        <v>203457</v>
      </c>
      <c r="F478" s="736">
        <v>123130</v>
      </c>
      <c r="G478" s="749">
        <v>50000</v>
      </c>
      <c r="H478" s="749"/>
      <c r="I478" s="749"/>
      <c r="J478" s="736">
        <f t="shared" si="173"/>
        <v>50000</v>
      </c>
      <c r="K478" s="749"/>
      <c r="L478" s="749"/>
      <c r="M478" s="736">
        <f t="shared" si="174"/>
        <v>50000</v>
      </c>
      <c r="N478" s="736"/>
      <c r="O478" s="736"/>
      <c r="P478" s="736">
        <f t="shared" si="175"/>
        <v>50000</v>
      </c>
      <c r="Q478" s="783">
        <v>50000</v>
      </c>
      <c r="R478" s="738"/>
      <c r="S478" s="784"/>
      <c r="T478" s="739">
        <v>1100121</v>
      </c>
      <c r="U478" s="745"/>
      <c r="V478" s="739">
        <v>1100122</v>
      </c>
    </row>
    <row r="479" spans="1:22" ht="15" x14ac:dyDescent="0.2">
      <c r="A479" s="739">
        <v>2421</v>
      </c>
      <c r="B479" s="743" t="s">
        <v>111</v>
      </c>
      <c r="C479" s="736">
        <v>347831.08</v>
      </c>
      <c r="D479" s="736">
        <v>0</v>
      </c>
      <c r="E479" s="749">
        <v>18669</v>
      </c>
      <c r="F479" s="736">
        <v>0</v>
      </c>
      <c r="G479" s="736"/>
      <c r="H479" s="736"/>
      <c r="I479" s="736"/>
      <c r="J479" s="736">
        <f t="shared" si="173"/>
        <v>0</v>
      </c>
      <c r="K479" s="736"/>
      <c r="L479" s="736"/>
      <c r="M479" s="736">
        <f t="shared" si="174"/>
        <v>0</v>
      </c>
      <c r="N479" s="736"/>
      <c r="O479" s="736"/>
      <c r="P479" s="738">
        <f t="shared" si="175"/>
        <v>0</v>
      </c>
      <c r="Q479" s="738"/>
      <c r="R479" s="738"/>
      <c r="S479" s="738"/>
      <c r="T479" s="739">
        <v>1100119</v>
      </c>
      <c r="U479" s="745"/>
      <c r="V479" s="739">
        <v>1100119</v>
      </c>
    </row>
    <row r="480" spans="1:22" ht="15" x14ac:dyDescent="0.2">
      <c r="A480" s="739">
        <v>2421</v>
      </c>
      <c r="B480" s="743" t="s">
        <v>111</v>
      </c>
      <c r="C480" s="736"/>
      <c r="D480" s="736">
        <v>609359.39</v>
      </c>
      <c r="E480" s="749">
        <v>609359.39</v>
      </c>
      <c r="F480" s="736">
        <v>609322.35</v>
      </c>
      <c r="G480" s="749">
        <v>150000</v>
      </c>
      <c r="H480" s="749"/>
      <c r="I480" s="749"/>
      <c r="J480" s="736">
        <f t="shared" si="173"/>
        <v>150000</v>
      </c>
      <c r="K480" s="749"/>
      <c r="L480" s="749"/>
      <c r="M480" s="736">
        <f t="shared" si="174"/>
        <v>150000</v>
      </c>
      <c r="N480" s="736"/>
      <c r="O480" s="736"/>
      <c r="P480" s="736">
        <f t="shared" si="175"/>
        <v>150000</v>
      </c>
      <c r="Q480" s="783">
        <v>150000</v>
      </c>
      <c r="R480" s="738">
        <v>147099.78</v>
      </c>
      <c r="S480" s="784"/>
      <c r="T480" s="739">
        <v>1100121</v>
      </c>
      <c r="U480" s="745"/>
      <c r="V480" s="739">
        <v>1100122</v>
      </c>
    </row>
    <row r="481" spans="1:22" ht="15" x14ac:dyDescent="0.25">
      <c r="A481" s="739">
        <v>2491</v>
      </c>
      <c r="B481" s="743" t="s">
        <v>41</v>
      </c>
      <c r="C481" s="759">
        <v>448233</v>
      </c>
      <c r="D481" s="736">
        <v>0</v>
      </c>
      <c r="E481" s="749">
        <v>10244.6</v>
      </c>
      <c r="F481" s="736">
        <v>10244.6</v>
      </c>
      <c r="G481" s="736"/>
      <c r="H481" s="736"/>
      <c r="I481" s="736"/>
      <c r="J481" s="736">
        <f t="shared" si="173"/>
        <v>0</v>
      </c>
      <c r="K481" s="736"/>
      <c r="L481" s="736"/>
      <c r="M481" s="736">
        <f t="shared" si="174"/>
        <v>0</v>
      </c>
      <c r="N481" s="736"/>
      <c r="O481" s="736"/>
      <c r="P481" s="738">
        <f t="shared" si="175"/>
        <v>0</v>
      </c>
      <c r="Q481" s="738"/>
      <c r="R481" s="738"/>
      <c r="S481" s="738"/>
      <c r="T481" s="739">
        <v>1100119</v>
      </c>
      <c r="U481" s="745"/>
      <c r="V481" s="739">
        <v>1100119</v>
      </c>
    </row>
    <row r="482" spans="1:22" ht="15" x14ac:dyDescent="0.2">
      <c r="A482" s="739">
        <v>2491</v>
      </c>
      <c r="B482" s="743" t="s">
        <v>41</v>
      </c>
      <c r="C482" s="736"/>
      <c r="D482" s="736"/>
      <c r="E482" s="749"/>
      <c r="F482" s="736"/>
      <c r="G482" s="736"/>
      <c r="H482" s="736">
        <v>597.12</v>
      </c>
      <c r="I482" s="736"/>
      <c r="J482" s="736">
        <f t="shared" si="173"/>
        <v>597.12</v>
      </c>
      <c r="K482" s="736"/>
      <c r="L482" s="736"/>
      <c r="M482" s="736">
        <f t="shared" si="174"/>
        <v>597.12</v>
      </c>
      <c r="N482" s="736"/>
      <c r="O482" s="736"/>
      <c r="P482" s="736">
        <f t="shared" si="175"/>
        <v>597.12</v>
      </c>
      <c r="Q482" s="738">
        <v>597.12</v>
      </c>
      <c r="R482" s="738"/>
      <c r="S482" s="738"/>
      <c r="T482" s="739">
        <v>1100120</v>
      </c>
      <c r="U482" s="745"/>
      <c r="V482" s="739">
        <v>1100120</v>
      </c>
    </row>
    <row r="483" spans="1:22" ht="15" x14ac:dyDescent="0.2">
      <c r="A483" s="739">
        <v>2491</v>
      </c>
      <c r="B483" s="743" t="s">
        <v>41</v>
      </c>
      <c r="C483" s="736"/>
      <c r="D483" s="736">
        <v>1013040.95</v>
      </c>
      <c r="E483" s="749">
        <v>1013040.95</v>
      </c>
      <c r="F483" s="736">
        <v>868117.22</v>
      </c>
      <c r="G483" s="749">
        <v>250000</v>
      </c>
      <c r="H483" s="749"/>
      <c r="I483" s="749"/>
      <c r="J483" s="736">
        <f t="shared" si="173"/>
        <v>250000</v>
      </c>
      <c r="K483" s="749"/>
      <c r="L483" s="749"/>
      <c r="M483" s="736">
        <f t="shared" si="174"/>
        <v>250000</v>
      </c>
      <c r="N483" s="736"/>
      <c r="O483" s="736"/>
      <c r="P483" s="736">
        <f t="shared" si="175"/>
        <v>250000</v>
      </c>
      <c r="Q483" s="783">
        <v>250000</v>
      </c>
      <c r="R483" s="738">
        <v>249994.37</v>
      </c>
      <c r="S483" s="784"/>
      <c r="T483" s="739">
        <v>1100121</v>
      </c>
      <c r="U483" s="745"/>
      <c r="V483" s="739">
        <v>1100122</v>
      </c>
    </row>
    <row r="484" spans="1:22" ht="15" x14ac:dyDescent="0.2">
      <c r="A484" s="739">
        <v>2911</v>
      </c>
      <c r="B484" s="743" t="s">
        <v>60</v>
      </c>
      <c r="C484" s="736">
        <v>83275.81</v>
      </c>
      <c r="D484" s="736">
        <v>9864</v>
      </c>
      <c r="E484" s="749">
        <v>9864</v>
      </c>
      <c r="F484" s="736">
        <v>9843.64</v>
      </c>
      <c r="G484" s="749">
        <v>5000</v>
      </c>
      <c r="H484" s="749"/>
      <c r="I484" s="749"/>
      <c r="J484" s="736">
        <f t="shared" si="173"/>
        <v>5000</v>
      </c>
      <c r="K484" s="749"/>
      <c r="L484" s="749"/>
      <c r="M484" s="736">
        <f t="shared" si="174"/>
        <v>5000</v>
      </c>
      <c r="N484" s="736"/>
      <c r="O484" s="736"/>
      <c r="P484" s="736">
        <f t="shared" si="175"/>
        <v>5000</v>
      </c>
      <c r="Q484" s="783">
        <v>5000</v>
      </c>
      <c r="R484" s="738">
        <v>3449.29</v>
      </c>
      <c r="S484" s="784"/>
      <c r="T484" s="739">
        <v>1100121</v>
      </c>
      <c r="U484" s="745"/>
      <c r="V484" s="739">
        <v>1100122</v>
      </c>
    </row>
    <row r="485" spans="1:22" ht="15" x14ac:dyDescent="0.25">
      <c r="A485" s="739">
        <v>5691</v>
      </c>
      <c r="B485" s="743" t="s">
        <v>112</v>
      </c>
      <c r="C485" s="759">
        <v>95745</v>
      </c>
      <c r="D485" s="736">
        <v>125679.64</v>
      </c>
      <c r="E485" s="749">
        <v>125679.64</v>
      </c>
      <c r="F485" s="736">
        <v>103027</v>
      </c>
      <c r="G485" s="749">
        <v>30000</v>
      </c>
      <c r="H485" s="749"/>
      <c r="I485" s="749"/>
      <c r="J485" s="736">
        <f t="shared" si="173"/>
        <v>30000</v>
      </c>
      <c r="K485" s="749"/>
      <c r="L485" s="749"/>
      <c r="M485" s="736">
        <f t="shared" si="174"/>
        <v>30000</v>
      </c>
      <c r="N485" s="736"/>
      <c r="O485" s="736"/>
      <c r="P485" s="736">
        <f t="shared" si="175"/>
        <v>30000</v>
      </c>
      <c r="Q485" s="783">
        <v>30000</v>
      </c>
      <c r="R485" s="738">
        <v>13524.09</v>
      </c>
      <c r="S485" s="784"/>
      <c r="T485" s="739">
        <v>1500521</v>
      </c>
      <c r="U485" s="745"/>
      <c r="V485" s="739">
        <v>1500522</v>
      </c>
    </row>
    <row r="486" spans="1:22" ht="15" x14ac:dyDescent="0.25">
      <c r="A486" s="798" t="s">
        <v>166</v>
      </c>
      <c r="B486" s="799" t="s">
        <v>1550</v>
      </c>
      <c r="C486" s="759"/>
      <c r="D486" s="736"/>
      <c r="E486" s="749"/>
      <c r="F486" s="736"/>
      <c r="G486" s="749"/>
      <c r="H486" s="749"/>
      <c r="I486" s="749"/>
      <c r="J486" s="736"/>
      <c r="K486" s="749"/>
      <c r="L486" s="749"/>
      <c r="M486" s="736"/>
      <c r="N486" s="736"/>
      <c r="O486" s="736"/>
      <c r="P486" s="736"/>
      <c r="Q486" s="800">
        <f>Q487</f>
        <v>125000</v>
      </c>
      <c r="R486" s="801"/>
      <c r="S486" s="802"/>
      <c r="T486" s="803"/>
      <c r="U486" s="804"/>
      <c r="V486" s="798"/>
    </row>
    <row r="487" spans="1:22" ht="15" x14ac:dyDescent="0.25">
      <c r="A487" s="739">
        <v>4411</v>
      </c>
      <c r="B487" s="743" t="s">
        <v>34</v>
      </c>
      <c r="C487" s="759"/>
      <c r="D487" s="736"/>
      <c r="E487" s="749"/>
      <c r="F487" s="736"/>
      <c r="G487" s="749"/>
      <c r="H487" s="749"/>
      <c r="I487" s="749"/>
      <c r="J487" s="736"/>
      <c r="K487" s="749"/>
      <c r="L487" s="749"/>
      <c r="M487" s="736"/>
      <c r="N487" s="736"/>
      <c r="O487" s="736"/>
      <c r="P487" s="736"/>
      <c r="Q487" s="783">
        <v>125000</v>
      </c>
      <c r="R487" s="738"/>
      <c r="S487" s="784"/>
      <c r="T487" s="739">
        <v>1100121</v>
      </c>
      <c r="U487" s="744"/>
      <c r="V487" s="739">
        <v>1100122</v>
      </c>
    </row>
    <row r="488" spans="1:22" ht="15" x14ac:dyDescent="0.2">
      <c r="A488" s="728" t="s">
        <v>113</v>
      </c>
      <c r="B488" s="729" t="s">
        <v>1578</v>
      </c>
      <c r="C488" s="730">
        <f t="shared" ref="C488:S488" si="176">SUM(C489:C554)</f>
        <v>13633676.169999996</v>
      </c>
      <c r="D488" s="730">
        <f t="shared" si="176"/>
        <v>15225301.26</v>
      </c>
      <c r="E488" s="730">
        <f t="shared" si="176"/>
        <v>17405204.530000001</v>
      </c>
      <c r="F488" s="730">
        <f t="shared" si="176"/>
        <v>17038070.119999994</v>
      </c>
      <c r="G488" s="730">
        <f t="shared" si="176"/>
        <v>17715635.5</v>
      </c>
      <c r="H488" s="730">
        <f t="shared" si="176"/>
        <v>862157.83</v>
      </c>
      <c r="I488" s="730">
        <f t="shared" si="176"/>
        <v>0</v>
      </c>
      <c r="J488" s="730">
        <f t="shared" si="176"/>
        <v>18577793.329999998</v>
      </c>
      <c r="K488" s="730">
        <f t="shared" si="176"/>
        <v>180589.55</v>
      </c>
      <c r="L488" s="730">
        <f t="shared" si="176"/>
        <v>302422.53000000003</v>
      </c>
      <c r="M488" s="730">
        <f t="shared" si="176"/>
        <v>18455960.350000001</v>
      </c>
      <c r="N488" s="730">
        <f t="shared" si="176"/>
        <v>2875750</v>
      </c>
      <c r="O488" s="730">
        <f t="shared" si="176"/>
        <v>1325000</v>
      </c>
      <c r="P488" s="730">
        <f t="shared" si="176"/>
        <v>20006710.350000001</v>
      </c>
      <c r="Q488" s="748">
        <f>SUM(Q489:Q554)</f>
        <v>20448276.850000001</v>
      </c>
      <c r="R488" s="748">
        <f t="shared" si="176"/>
        <v>4490595.93</v>
      </c>
      <c r="S488" s="748">
        <f t="shared" si="176"/>
        <v>19173686.120000001</v>
      </c>
      <c r="T488" s="731"/>
      <c r="U488" s="732">
        <f>SUM(U489:U554)</f>
        <v>16476780.699999999</v>
      </c>
      <c r="V488" s="733"/>
    </row>
    <row r="489" spans="1:22" ht="15" x14ac:dyDescent="0.25">
      <c r="A489" s="734">
        <v>1131</v>
      </c>
      <c r="B489" s="735" t="s">
        <v>6</v>
      </c>
      <c r="C489" s="736">
        <v>913398.09</v>
      </c>
      <c r="D489" s="736">
        <v>943178.6</v>
      </c>
      <c r="E489" s="749">
        <v>1159794.48</v>
      </c>
      <c r="F489" s="736">
        <v>1228188.8999999999</v>
      </c>
      <c r="G489" s="736">
        <v>1184909.8</v>
      </c>
      <c r="H489" s="736"/>
      <c r="I489" s="736"/>
      <c r="J489" s="736">
        <f t="shared" ref="J489:J506" si="177">G489+H489-I489</f>
        <v>1184909.8</v>
      </c>
      <c r="K489" s="736">
        <v>5337.09</v>
      </c>
      <c r="L489" s="736"/>
      <c r="M489" s="736">
        <f t="shared" ref="M489:M506" si="178">J489+K489-L489</f>
        <v>1190246.8900000001</v>
      </c>
      <c r="N489" s="736"/>
      <c r="O489" s="736"/>
      <c r="P489" s="736">
        <f t="shared" ref="P489:P506" si="179">M489+N489-O489</f>
        <v>1190246.8900000001</v>
      </c>
      <c r="Q489" s="738">
        <v>1190246.8899999999</v>
      </c>
      <c r="R489" s="738"/>
      <c r="S489" s="751">
        <v>1354403.96</v>
      </c>
      <c r="T489" s="739">
        <v>1500521</v>
      </c>
      <c r="U489" s="779">
        <v>1218106.44</v>
      </c>
      <c r="V489" s="741">
        <v>1500522</v>
      </c>
    </row>
    <row r="490" spans="1:22" ht="15" x14ac:dyDescent="0.25">
      <c r="A490" s="734">
        <v>1132</v>
      </c>
      <c r="B490" s="735" t="s">
        <v>8</v>
      </c>
      <c r="C490" s="736">
        <v>1451331.12</v>
      </c>
      <c r="D490" s="736">
        <v>1455210.12</v>
      </c>
      <c r="E490" s="749">
        <v>1459585.12</v>
      </c>
      <c r="F490" s="736">
        <v>1509431.18</v>
      </c>
      <c r="G490" s="736">
        <v>1521789.4000000001</v>
      </c>
      <c r="H490" s="736"/>
      <c r="I490" s="736"/>
      <c r="J490" s="736">
        <f t="shared" si="177"/>
        <v>1521789.4000000001</v>
      </c>
      <c r="K490" s="736">
        <v>34594.230000000003</v>
      </c>
      <c r="L490" s="736"/>
      <c r="M490" s="736">
        <f t="shared" si="178"/>
        <v>1556383.6300000001</v>
      </c>
      <c r="N490" s="736"/>
      <c r="O490" s="736"/>
      <c r="P490" s="736">
        <f t="shared" si="179"/>
        <v>1556383.6300000001</v>
      </c>
      <c r="Q490" s="738">
        <v>1741524.06</v>
      </c>
      <c r="R490" s="738"/>
      <c r="S490" s="751">
        <v>1810321.24</v>
      </c>
      <c r="T490" s="739">
        <v>1500521</v>
      </c>
      <c r="U490" s="779">
        <v>1880456.62</v>
      </c>
      <c r="V490" s="741">
        <v>1500522</v>
      </c>
    </row>
    <row r="491" spans="1:22" ht="15" x14ac:dyDescent="0.25">
      <c r="A491" s="734">
        <v>1212</v>
      </c>
      <c r="B491" s="735" t="s">
        <v>53</v>
      </c>
      <c r="C491" s="736">
        <v>3842364.86</v>
      </c>
      <c r="D491" s="736">
        <v>4152877.2</v>
      </c>
      <c r="E491" s="749">
        <v>4988788.07</v>
      </c>
      <c r="F491" s="736">
        <v>5013618.96</v>
      </c>
      <c r="G491" s="736">
        <v>5366250</v>
      </c>
      <c r="H491" s="736"/>
      <c r="I491" s="736"/>
      <c r="J491" s="736">
        <f t="shared" si="177"/>
        <v>5366250</v>
      </c>
      <c r="K491" s="736"/>
      <c r="L491" s="736">
        <v>131568.03</v>
      </c>
      <c r="M491" s="736">
        <f t="shared" si="178"/>
        <v>5234681.97</v>
      </c>
      <c r="N491" s="736"/>
      <c r="O491" s="736"/>
      <c r="P491" s="736">
        <f t="shared" si="179"/>
        <v>5234681.97</v>
      </c>
      <c r="Q491" s="738">
        <v>4858206.0199999996</v>
      </c>
      <c r="R491" s="738"/>
      <c r="S491" s="751">
        <v>4545676.8</v>
      </c>
      <c r="T491" s="739">
        <v>1500521</v>
      </c>
      <c r="U491" s="779">
        <v>4405990.87</v>
      </c>
      <c r="V491" s="741">
        <v>1500522</v>
      </c>
    </row>
    <row r="492" spans="1:22" ht="15" x14ac:dyDescent="0.25">
      <c r="A492" s="734">
        <v>1321</v>
      </c>
      <c r="B492" s="735" t="s">
        <v>9</v>
      </c>
      <c r="C492" s="736">
        <v>153111.93</v>
      </c>
      <c r="D492" s="736">
        <v>159524.06</v>
      </c>
      <c r="E492" s="749">
        <v>201992.06</v>
      </c>
      <c r="F492" s="736">
        <v>179919.84</v>
      </c>
      <c r="G492" s="736">
        <v>183423.80000000002</v>
      </c>
      <c r="H492" s="736"/>
      <c r="I492" s="736"/>
      <c r="J492" s="736">
        <f t="shared" si="177"/>
        <v>183423.80000000002</v>
      </c>
      <c r="K492" s="736">
        <v>3872.46</v>
      </c>
      <c r="L492" s="736"/>
      <c r="M492" s="736">
        <f t="shared" si="178"/>
        <v>187296.26</v>
      </c>
      <c r="N492" s="736"/>
      <c r="O492" s="736"/>
      <c r="P492" s="736">
        <f t="shared" si="179"/>
        <v>187296.26</v>
      </c>
      <c r="Q492" s="738">
        <v>205169.31</v>
      </c>
      <c r="R492" s="738"/>
      <c r="S492" s="751">
        <v>204326.5</v>
      </c>
      <c r="T492" s="739">
        <v>1500521</v>
      </c>
      <c r="U492" s="779">
        <v>209561.17</v>
      </c>
      <c r="V492" s="741">
        <v>1500522</v>
      </c>
    </row>
    <row r="493" spans="1:22" ht="15" x14ac:dyDescent="0.25">
      <c r="A493" s="734">
        <v>1323</v>
      </c>
      <c r="B493" s="735" t="s">
        <v>11</v>
      </c>
      <c r="C493" s="736">
        <v>560058.93000000005</v>
      </c>
      <c r="D493" s="736">
        <v>587431.55000000005</v>
      </c>
      <c r="E493" s="749">
        <v>672392.16</v>
      </c>
      <c r="F493" s="736">
        <v>662078.66</v>
      </c>
      <c r="G493" s="736">
        <v>684359.79999999993</v>
      </c>
      <c r="H493" s="736"/>
      <c r="I493" s="736"/>
      <c r="J493" s="736">
        <f t="shared" si="177"/>
        <v>684359.79999999993</v>
      </c>
      <c r="K493" s="736">
        <v>6948.66</v>
      </c>
      <c r="L493" s="736"/>
      <c r="M493" s="736">
        <f t="shared" si="178"/>
        <v>691308.46</v>
      </c>
      <c r="N493" s="736"/>
      <c r="O493" s="736"/>
      <c r="P493" s="736">
        <f t="shared" si="179"/>
        <v>691308.46</v>
      </c>
      <c r="Q493" s="738">
        <v>691308.46</v>
      </c>
      <c r="R493" s="738"/>
      <c r="S493" s="751">
        <v>735712.2</v>
      </c>
      <c r="T493" s="739">
        <v>1500521</v>
      </c>
      <c r="U493" s="779">
        <v>710289.08</v>
      </c>
      <c r="V493" s="741">
        <v>1500522</v>
      </c>
    </row>
    <row r="494" spans="1:22" ht="15" x14ac:dyDescent="0.25">
      <c r="A494" s="734">
        <v>1413</v>
      </c>
      <c r="B494" s="735" t="s">
        <v>13</v>
      </c>
      <c r="C494" s="736">
        <v>1017457.09</v>
      </c>
      <c r="D494" s="736">
        <v>1277882.52</v>
      </c>
      <c r="E494" s="749">
        <v>1418232.52</v>
      </c>
      <c r="F494" s="736">
        <v>1381569.29</v>
      </c>
      <c r="G494" s="736">
        <v>1690548.3</v>
      </c>
      <c r="H494" s="736"/>
      <c r="I494" s="736"/>
      <c r="J494" s="736">
        <f t="shared" si="177"/>
        <v>1690548.3</v>
      </c>
      <c r="K494" s="736">
        <v>4082.46</v>
      </c>
      <c r="L494" s="736"/>
      <c r="M494" s="736">
        <f t="shared" si="178"/>
        <v>1694630.76</v>
      </c>
      <c r="N494" s="736"/>
      <c r="O494" s="736"/>
      <c r="P494" s="736">
        <f t="shared" si="179"/>
        <v>1694630.76</v>
      </c>
      <c r="Q494" s="738">
        <v>1694630.76</v>
      </c>
      <c r="R494" s="738"/>
      <c r="S494" s="751">
        <v>1762181.64</v>
      </c>
      <c r="T494" s="739">
        <v>1500521</v>
      </c>
      <c r="U494" s="779">
        <v>1631624.78</v>
      </c>
      <c r="V494" s="741">
        <v>1500522</v>
      </c>
    </row>
    <row r="495" spans="1:22" ht="15" x14ac:dyDescent="0.25">
      <c r="A495" s="734">
        <v>1421</v>
      </c>
      <c r="B495" s="735" t="s">
        <v>15</v>
      </c>
      <c r="C495" s="736">
        <v>346358.1</v>
      </c>
      <c r="D495" s="736">
        <v>388723.12</v>
      </c>
      <c r="E495" s="749">
        <v>392782.12</v>
      </c>
      <c r="F495" s="736">
        <v>421820.67</v>
      </c>
      <c r="G495" s="736">
        <v>484896.6</v>
      </c>
      <c r="H495" s="736"/>
      <c r="I495" s="736"/>
      <c r="J495" s="736">
        <f t="shared" si="177"/>
        <v>484896.6</v>
      </c>
      <c r="K495" s="736"/>
      <c r="L495" s="736">
        <v>371.53</v>
      </c>
      <c r="M495" s="736">
        <f t="shared" si="178"/>
        <v>484525.06999999995</v>
      </c>
      <c r="N495" s="736"/>
      <c r="O495" s="736"/>
      <c r="P495" s="736">
        <f t="shared" si="179"/>
        <v>484525.06999999995</v>
      </c>
      <c r="Q495" s="738">
        <v>484525.07</v>
      </c>
      <c r="R495" s="738"/>
      <c r="S495" s="751">
        <v>481010.64</v>
      </c>
      <c r="T495" s="739">
        <v>1500521</v>
      </c>
      <c r="U495" s="779">
        <v>492713.74</v>
      </c>
      <c r="V495" s="741">
        <v>1500522</v>
      </c>
    </row>
    <row r="496" spans="1:22" ht="15" x14ac:dyDescent="0.25">
      <c r="A496" s="734">
        <v>1431</v>
      </c>
      <c r="B496" s="735" t="s">
        <v>16</v>
      </c>
      <c r="C496" s="736">
        <v>398733.04</v>
      </c>
      <c r="D496" s="736">
        <v>400384.24</v>
      </c>
      <c r="E496" s="749">
        <v>411887.24</v>
      </c>
      <c r="F496" s="736">
        <v>443283.02</v>
      </c>
      <c r="G496" s="736">
        <v>499444.1</v>
      </c>
      <c r="H496" s="736"/>
      <c r="I496" s="736"/>
      <c r="J496" s="736">
        <f t="shared" si="177"/>
        <v>499444.1</v>
      </c>
      <c r="K496" s="736"/>
      <c r="L496" s="736">
        <v>482.97</v>
      </c>
      <c r="M496" s="736">
        <f t="shared" si="178"/>
        <v>498961.13</v>
      </c>
      <c r="N496" s="736"/>
      <c r="O496" s="736"/>
      <c r="P496" s="736">
        <f t="shared" si="179"/>
        <v>498961.13</v>
      </c>
      <c r="Q496" s="738">
        <v>498961.13</v>
      </c>
      <c r="R496" s="738"/>
      <c r="S496" s="751">
        <v>495441.48</v>
      </c>
      <c r="T496" s="739">
        <v>1500521</v>
      </c>
      <c r="U496" s="779">
        <v>517566.97</v>
      </c>
      <c r="V496" s="741">
        <v>1500522</v>
      </c>
    </row>
    <row r="497" spans="1:22" ht="15" x14ac:dyDescent="0.25">
      <c r="A497" s="734">
        <v>1511</v>
      </c>
      <c r="B497" s="735" t="s">
        <v>18</v>
      </c>
      <c r="C497" s="736">
        <v>56499.72</v>
      </c>
      <c r="D497" s="736">
        <v>60340.28</v>
      </c>
      <c r="E497" s="749">
        <v>65041.440000000002</v>
      </c>
      <c r="F497" s="736">
        <v>67250.94</v>
      </c>
      <c r="G497" s="736">
        <v>67092.5</v>
      </c>
      <c r="H497" s="736"/>
      <c r="I497" s="736"/>
      <c r="J497" s="736">
        <f t="shared" si="177"/>
        <v>67092.5</v>
      </c>
      <c r="K497" s="736">
        <v>1544.59</v>
      </c>
      <c r="L497" s="736"/>
      <c r="M497" s="736">
        <f t="shared" si="178"/>
        <v>68637.09</v>
      </c>
      <c r="N497" s="736"/>
      <c r="O497" s="736"/>
      <c r="P497" s="736">
        <f t="shared" si="179"/>
        <v>68637.09</v>
      </c>
      <c r="Q497" s="738">
        <v>68637.09</v>
      </c>
      <c r="R497" s="738"/>
      <c r="S497" s="751">
        <v>79537.64</v>
      </c>
      <c r="T497" s="739">
        <v>1500521</v>
      </c>
      <c r="U497" s="779">
        <v>75704.12</v>
      </c>
      <c r="V497" s="741">
        <v>1500522</v>
      </c>
    </row>
    <row r="498" spans="1:22" ht="15" x14ac:dyDescent="0.25">
      <c r="A498" s="734">
        <v>1541</v>
      </c>
      <c r="B498" s="735" t="s">
        <v>19</v>
      </c>
      <c r="C498" s="736">
        <v>297058.51</v>
      </c>
      <c r="D498" s="736">
        <v>344767.8</v>
      </c>
      <c r="E498" s="749">
        <v>362229.3</v>
      </c>
      <c r="F498" s="736">
        <v>372597.5</v>
      </c>
      <c r="G498" s="736">
        <v>451649.6</v>
      </c>
      <c r="H498" s="736"/>
      <c r="I498" s="736"/>
      <c r="J498" s="736">
        <f t="shared" si="177"/>
        <v>451649.6</v>
      </c>
      <c r="K498" s="736">
        <v>17191.810000000001</v>
      </c>
      <c r="L498" s="736"/>
      <c r="M498" s="736">
        <f t="shared" si="178"/>
        <v>468841.41</v>
      </c>
      <c r="N498" s="736"/>
      <c r="O498" s="736"/>
      <c r="P498" s="736">
        <f t="shared" si="179"/>
        <v>468841.41</v>
      </c>
      <c r="Q498" s="738">
        <v>468841.41</v>
      </c>
      <c r="R498" s="738"/>
      <c r="S498" s="751">
        <v>470169.7</v>
      </c>
      <c r="T498" s="739">
        <v>1500521</v>
      </c>
      <c r="U498" s="779">
        <v>424958.26</v>
      </c>
      <c r="V498" s="741">
        <v>1500522</v>
      </c>
    </row>
    <row r="499" spans="1:22" ht="15" x14ac:dyDescent="0.25">
      <c r="A499" s="734">
        <v>1592</v>
      </c>
      <c r="B499" s="735" t="s">
        <v>20</v>
      </c>
      <c r="C499" s="736">
        <v>576221.43999999994</v>
      </c>
      <c r="D499" s="736">
        <v>618406.88</v>
      </c>
      <c r="E499" s="749">
        <v>668659.18000000005</v>
      </c>
      <c r="F499" s="736">
        <v>691448.87</v>
      </c>
      <c r="G499" s="736">
        <v>688520.6</v>
      </c>
      <c r="H499" s="736"/>
      <c r="I499" s="736"/>
      <c r="J499" s="736">
        <f t="shared" si="177"/>
        <v>688520.6</v>
      </c>
      <c r="K499" s="736">
        <v>7018.25</v>
      </c>
      <c r="L499" s="736"/>
      <c r="M499" s="736">
        <f t="shared" si="178"/>
        <v>695538.85</v>
      </c>
      <c r="N499" s="736"/>
      <c r="O499" s="736"/>
      <c r="P499" s="736">
        <f t="shared" si="179"/>
        <v>695538.85</v>
      </c>
      <c r="Q499" s="738">
        <v>815599.46</v>
      </c>
      <c r="R499" s="738"/>
      <c r="S499" s="751">
        <v>812404.32</v>
      </c>
      <c r="T499" s="739">
        <v>1500521</v>
      </c>
      <c r="U499" s="779">
        <f>770894.65-270489</f>
        <v>500405.65</v>
      </c>
      <c r="V499" s="741">
        <v>1500522</v>
      </c>
    </row>
    <row r="500" spans="1:22" ht="15" x14ac:dyDescent="0.25">
      <c r="A500" s="734">
        <v>1592</v>
      </c>
      <c r="B500" s="735" t="s">
        <v>20</v>
      </c>
      <c r="C500" s="736"/>
      <c r="D500" s="736"/>
      <c r="E500" s="749"/>
      <c r="F500" s="736"/>
      <c r="G500" s="736"/>
      <c r="H500" s="736"/>
      <c r="I500" s="736"/>
      <c r="J500" s="736"/>
      <c r="K500" s="736"/>
      <c r="L500" s="736"/>
      <c r="M500" s="736"/>
      <c r="N500" s="736"/>
      <c r="O500" s="736"/>
      <c r="P500" s="736"/>
      <c r="Q500" s="738"/>
      <c r="R500" s="738"/>
      <c r="S500" s="751"/>
      <c r="T500" s="739"/>
      <c r="U500" s="779">
        <v>270489</v>
      </c>
      <c r="V500" s="741">
        <v>1500722</v>
      </c>
    </row>
    <row r="501" spans="1:22" ht="15" x14ac:dyDescent="0.2">
      <c r="A501" s="734">
        <v>2111</v>
      </c>
      <c r="B501" s="735" t="s">
        <v>22</v>
      </c>
      <c r="C501" s="736">
        <v>77457.679999999993</v>
      </c>
      <c r="D501" s="736">
        <v>70000</v>
      </c>
      <c r="E501" s="749">
        <v>49000</v>
      </c>
      <c r="F501" s="736">
        <v>45500</v>
      </c>
      <c r="G501" s="752">
        <v>70000</v>
      </c>
      <c r="H501" s="752"/>
      <c r="I501" s="752"/>
      <c r="J501" s="736">
        <f t="shared" si="177"/>
        <v>70000</v>
      </c>
      <c r="K501" s="752"/>
      <c r="L501" s="752"/>
      <c r="M501" s="736">
        <f t="shared" si="178"/>
        <v>70000</v>
      </c>
      <c r="N501" s="736"/>
      <c r="O501" s="736"/>
      <c r="P501" s="736">
        <f t="shared" si="179"/>
        <v>70000</v>
      </c>
      <c r="Q501" s="753">
        <v>59530.36</v>
      </c>
      <c r="R501" s="738">
        <v>51193.95</v>
      </c>
      <c r="S501" s="753">
        <v>90000</v>
      </c>
      <c r="T501" s="739">
        <v>1100121</v>
      </c>
      <c r="U501" s="754">
        <v>90000</v>
      </c>
      <c r="V501" s="741">
        <v>1100122</v>
      </c>
    </row>
    <row r="502" spans="1:22" ht="15" x14ac:dyDescent="0.2">
      <c r="A502" s="734">
        <v>2112</v>
      </c>
      <c r="B502" s="735" t="s">
        <v>39</v>
      </c>
      <c r="C502" s="736">
        <v>8949.9500000000007</v>
      </c>
      <c r="D502" s="736">
        <v>10000</v>
      </c>
      <c r="E502" s="749">
        <v>10000</v>
      </c>
      <c r="F502" s="736">
        <v>39692.639999999999</v>
      </c>
      <c r="G502" s="752">
        <v>10000</v>
      </c>
      <c r="H502" s="752"/>
      <c r="I502" s="752"/>
      <c r="J502" s="736">
        <f t="shared" si="177"/>
        <v>10000</v>
      </c>
      <c r="K502" s="752"/>
      <c r="L502" s="752"/>
      <c r="M502" s="736">
        <f t="shared" si="178"/>
        <v>10000</v>
      </c>
      <c r="N502" s="736">
        <v>10750</v>
      </c>
      <c r="O502" s="736"/>
      <c r="P502" s="736">
        <f t="shared" si="179"/>
        <v>20750</v>
      </c>
      <c r="Q502" s="753">
        <v>14652.4</v>
      </c>
      <c r="R502" s="738">
        <v>14652.4</v>
      </c>
      <c r="S502" s="753">
        <v>190000</v>
      </c>
      <c r="T502" s="739">
        <v>1100121</v>
      </c>
      <c r="U502" s="746">
        <v>190000</v>
      </c>
      <c r="V502" s="741">
        <v>1100122</v>
      </c>
    </row>
    <row r="503" spans="1:22" ht="15" x14ac:dyDescent="0.2">
      <c r="A503" s="739">
        <v>2112</v>
      </c>
      <c r="B503" s="743" t="s">
        <v>39</v>
      </c>
      <c r="C503" s="736"/>
      <c r="D503" s="736"/>
      <c r="E503" s="749"/>
      <c r="F503" s="736"/>
      <c r="G503" s="752"/>
      <c r="H503" s="752"/>
      <c r="I503" s="752"/>
      <c r="J503" s="736"/>
      <c r="K503" s="752"/>
      <c r="L503" s="752"/>
      <c r="M503" s="736"/>
      <c r="N503" s="736"/>
      <c r="O503" s="736"/>
      <c r="P503" s="736"/>
      <c r="Q503" s="753">
        <v>304500</v>
      </c>
      <c r="R503" s="753">
        <v>301200</v>
      </c>
      <c r="S503" s="753"/>
      <c r="T503" s="739">
        <v>1500521</v>
      </c>
      <c r="U503" s="745"/>
      <c r="V503" s="739">
        <v>1500522</v>
      </c>
    </row>
    <row r="504" spans="1:22" ht="15" x14ac:dyDescent="0.2">
      <c r="A504" s="734">
        <v>2121</v>
      </c>
      <c r="B504" s="735" t="s">
        <v>24</v>
      </c>
      <c r="C504" s="736">
        <v>84254</v>
      </c>
      <c r="D504" s="736">
        <v>60000</v>
      </c>
      <c r="E504" s="749">
        <v>60000</v>
      </c>
      <c r="F504" s="736">
        <v>57000</v>
      </c>
      <c r="G504" s="749">
        <v>60000</v>
      </c>
      <c r="H504" s="749"/>
      <c r="I504" s="749"/>
      <c r="J504" s="736">
        <f t="shared" si="177"/>
        <v>60000</v>
      </c>
      <c r="K504" s="749"/>
      <c r="L504" s="749"/>
      <c r="M504" s="736">
        <f t="shared" si="178"/>
        <v>60000</v>
      </c>
      <c r="N504" s="736"/>
      <c r="O504" s="736"/>
      <c r="P504" s="736">
        <f t="shared" si="179"/>
        <v>60000</v>
      </c>
      <c r="Q504" s="783">
        <v>55138</v>
      </c>
      <c r="R504" s="738">
        <v>52138</v>
      </c>
      <c r="S504" s="784">
        <v>40000</v>
      </c>
      <c r="T504" s="739">
        <v>1100121</v>
      </c>
      <c r="U504" s="742">
        <v>40000</v>
      </c>
      <c r="V504" s="741">
        <v>1100122</v>
      </c>
    </row>
    <row r="505" spans="1:22" ht="15" x14ac:dyDescent="0.2">
      <c r="A505" s="734">
        <v>2161</v>
      </c>
      <c r="B505" s="755" t="s">
        <v>1712</v>
      </c>
      <c r="C505" s="736"/>
      <c r="D505" s="736"/>
      <c r="E505" s="749"/>
      <c r="F505" s="736"/>
      <c r="G505" s="749">
        <v>60000</v>
      </c>
      <c r="H505" s="749"/>
      <c r="I505" s="749"/>
      <c r="J505" s="736">
        <f t="shared" si="177"/>
        <v>60000</v>
      </c>
      <c r="K505" s="749"/>
      <c r="L505" s="749"/>
      <c r="M505" s="736">
        <f t="shared" si="178"/>
        <v>60000</v>
      </c>
      <c r="N505" s="736"/>
      <c r="O505" s="736"/>
      <c r="P505" s="736">
        <f t="shared" si="179"/>
        <v>60000</v>
      </c>
      <c r="Q505" s="783">
        <v>60000</v>
      </c>
      <c r="R505" s="738">
        <v>23414.16</v>
      </c>
      <c r="S505" s="784">
        <v>60000</v>
      </c>
      <c r="T505" s="739">
        <v>1100121</v>
      </c>
      <c r="U505" s="742">
        <v>90000</v>
      </c>
      <c r="V505" s="741">
        <v>1100122</v>
      </c>
    </row>
    <row r="506" spans="1:22" ht="15" x14ac:dyDescent="0.2">
      <c r="A506" s="734">
        <v>2212</v>
      </c>
      <c r="B506" s="735" t="s">
        <v>40</v>
      </c>
      <c r="C506" s="736">
        <v>3453.01</v>
      </c>
      <c r="D506" s="736">
        <v>20000</v>
      </c>
      <c r="E506" s="749">
        <v>15000</v>
      </c>
      <c r="F506" s="736">
        <v>2036.41</v>
      </c>
      <c r="G506" s="749">
        <v>10000</v>
      </c>
      <c r="H506" s="749"/>
      <c r="I506" s="749"/>
      <c r="J506" s="736">
        <f t="shared" si="177"/>
        <v>10000</v>
      </c>
      <c r="K506" s="749"/>
      <c r="L506" s="749"/>
      <c r="M506" s="736">
        <f t="shared" si="178"/>
        <v>10000</v>
      </c>
      <c r="N506" s="736"/>
      <c r="O506" s="736">
        <v>5000</v>
      </c>
      <c r="P506" s="736">
        <f t="shared" si="179"/>
        <v>5000</v>
      </c>
      <c r="Q506" s="783">
        <v>1000</v>
      </c>
      <c r="R506" s="738">
        <v>498.8</v>
      </c>
      <c r="S506" s="784">
        <v>10000</v>
      </c>
      <c r="T506" s="739">
        <v>1100121</v>
      </c>
      <c r="U506" s="742">
        <v>10000</v>
      </c>
      <c r="V506" s="741">
        <v>1100122</v>
      </c>
    </row>
    <row r="507" spans="1:22" ht="15" x14ac:dyDescent="0.2">
      <c r="A507" s="734">
        <v>2231</v>
      </c>
      <c r="B507" s="735" t="s">
        <v>114</v>
      </c>
      <c r="C507" s="736"/>
      <c r="D507" s="736"/>
      <c r="E507" s="749"/>
      <c r="F507" s="736"/>
      <c r="G507" s="749"/>
      <c r="H507" s="749"/>
      <c r="I507" s="749"/>
      <c r="J507" s="736"/>
      <c r="K507" s="749"/>
      <c r="L507" s="749"/>
      <c r="M507" s="736"/>
      <c r="N507" s="736"/>
      <c r="O507" s="736"/>
      <c r="P507" s="736"/>
      <c r="Q507" s="783"/>
      <c r="R507" s="738"/>
      <c r="S507" s="784">
        <v>20000</v>
      </c>
      <c r="T507" s="739"/>
      <c r="U507" s="742">
        <v>20000</v>
      </c>
      <c r="V507" s="741">
        <v>1100122</v>
      </c>
    </row>
    <row r="508" spans="1:22" ht="15" x14ac:dyDescent="0.2">
      <c r="A508" s="734">
        <v>2421</v>
      </c>
      <c r="B508" s="735" t="s">
        <v>111</v>
      </c>
      <c r="C508" s="736"/>
      <c r="D508" s="736"/>
      <c r="E508" s="749"/>
      <c r="F508" s="736"/>
      <c r="G508" s="749"/>
      <c r="H508" s="749"/>
      <c r="I508" s="749"/>
      <c r="J508" s="736"/>
      <c r="K508" s="749"/>
      <c r="L508" s="749"/>
      <c r="M508" s="736"/>
      <c r="N508" s="736"/>
      <c r="O508" s="736"/>
      <c r="P508" s="736"/>
      <c r="Q508" s="783"/>
      <c r="R508" s="738"/>
      <c r="S508" s="784">
        <v>45000</v>
      </c>
      <c r="T508" s="739"/>
      <c r="U508" s="742">
        <v>45000</v>
      </c>
      <c r="V508" s="741">
        <v>1100122</v>
      </c>
    </row>
    <row r="509" spans="1:22" ht="15" x14ac:dyDescent="0.2">
      <c r="A509" s="734">
        <v>2461</v>
      </c>
      <c r="B509" s="735" t="s">
        <v>115</v>
      </c>
      <c r="C509" s="736"/>
      <c r="D509" s="736"/>
      <c r="E509" s="749"/>
      <c r="F509" s="736"/>
      <c r="G509" s="749"/>
      <c r="H509" s="749"/>
      <c r="I509" s="749"/>
      <c r="J509" s="736"/>
      <c r="K509" s="749"/>
      <c r="L509" s="749"/>
      <c r="M509" s="736"/>
      <c r="N509" s="736"/>
      <c r="O509" s="736"/>
      <c r="P509" s="736"/>
      <c r="Q509" s="783"/>
      <c r="R509" s="738"/>
      <c r="S509" s="784">
        <v>15000</v>
      </c>
      <c r="T509" s="739"/>
      <c r="U509" s="742">
        <v>15000</v>
      </c>
      <c r="V509" s="741">
        <v>1100122</v>
      </c>
    </row>
    <row r="510" spans="1:22" ht="15" x14ac:dyDescent="0.2">
      <c r="A510" s="734">
        <v>2491</v>
      </c>
      <c r="B510" s="735" t="s">
        <v>41</v>
      </c>
      <c r="C510" s="736">
        <v>54123.91</v>
      </c>
      <c r="D510" s="736">
        <v>50000</v>
      </c>
      <c r="E510" s="749">
        <v>50000</v>
      </c>
      <c r="F510" s="736">
        <v>49910.42</v>
      </c>
      <c r="G510" s="749">
        <v>100000</v>
      </c>
      <c r="H510" s="749"/>
      <c r="I510" s="749"/>
      <c r="J510" s="736">
        <f t="shared" ref="J510:J527" si="180">G510+H510-I510</f>
        <v>100000</v>
      </c>
      <c r="K510" s="749"/>
      <c r="L510" s="749"/>
      <c r="M510" s="736">
        <f t="shared" ref="M510:M527" si="181">J510+K510-L510</f>
        <v>100000</v>
      </c>
      <c r="N510" s="736">
        <v>38000</v>
      </c>
      <c r="O510" s="736"/>
      <c r="P510" s="736">
        <f t="shared" ref="P510:P537" si="182">M510+N510-O510</f>
        <v>138000</v>
      </c>
      <c r="Q510" s="783">
        <v>138000</v>
      </c>
      <c r="R510" s="738">
        <v>127687.94</v>
      </c>
      <c r="S510" s="784">
        <v>150000</v>
      </c>
      <c r="T510" s="739">
        <v>1100121</v>
      </c>
      <c r="U510" s="805">
        <v>80000</v>
      </c>
      <c r="V510" s="741">
        <v>1100122</v>
      </c>
    </row>
    <row r="511" spans="1:22" ht="30" x14ac:dyDescent="0.2">
      <c r="A511" s="734">
        <v>2612</v>
      </c>
      <c r="B511" s="735" t="s">
        <v>26</v>
      </c>
      <c r="C511" s="736">
        <v>1195356.9099999999</v>
      </c>
      <c r="D511" s="736">
        <v>1200000</v>
      </c>
      <c r="E511" s="749">
        <v>980000</v>
      </c>
      <c r="F511" s="736">
        <v>883204.52</v>
      </c>
      <c r="G511" s="749">
        <v>980000</v>
      </c>
      <c r="H511" s="749"/>
      <c r="I511" s="749"/>
      <c r="J511" s="736">
        <f t="shared" si="180"/>
        <v>980000</v>
      </c>
      <c r="K511" s="749"/>
      <c r="L511" s="749">
        <v>170000</v>
      </c>
      <c r="M511" s="736">
        <f t="shared" si="181"/>
        <v>810000</v>
      </c>
      <c r="N511" s="736"/>
      <c r="O511" s="736">
        <v>110000</v>
      </c>
      <c r="P511" s="736">
        <f t="shared" si="182"/>
        <v>700000</v>
      </c>
      <c r="Q511" s="783">
        <v>880000</v>
      </c>
      <c r="R511" s="738">
        <v>755911.95</v>
      </c>
      <c r="S511" s="738">
        <f>Q511</f>
        <v>880000</v>
      </c>
      <c r="T511" s="739">
        <v>1100121</v>
      </c>
      <c r="U511" s="746">
        <v>1100000</v>
      </c>
      <c r="V511" s="741">
        <v>1100122</v>
      </c>
    </row>
    <row r="512" spans="1:22" ht="15" x14ac:dyDescent="0.2">
      <c r="A512" s="734">
        <v>2614</v>
      </c>
      <c r="B512" s="735" t="s">
        <v>116</v>
      </c>
      <c r="C512" s="736"/>
      <c r="D512" s="736">
        <v>0</v>
      </c>
      <c r="E512" s="749">
        <v>49999.22</v>
      </c>
      <c r="F512" s="736">
        <v>30449.55</v>
      </c>
      <c r="G512" s="749">
        <v>60000</v>
      </c>
      <c r="H512" s="749"/>
      <c r="I512" s="749"/>
      <c r="J512" s="736">
        <f t="shared" si="180"/>
        <v>60000</v>
      </c>
      <c r="K512" s="749">
        <v>100000</v>
      </c>
      <c r="L512" s="749"/>
      <c r="M512" s="736">
        <f t="shared" si="181"/>
        <v>160000</v>
      </c>
      <c r="N512" s="736"/>
      <c r="O512" s="736"/>
      <c r="P512" s="736">
        <f t="shared" si="182"/>
        <v>160000</v>
      </c>
      <c r="Q512" s="783">
        <v>90000</v>
      </c>
      <c r="R512" s="738">
        <v>39552.58</v>
      </c>
      <c r="S512" s="738">
        <f>Q512</f>
        <v>90000</v>
      </c>
      <c r="T512" s="739">
        <v>1100121</v>
      </c>
      <c r="U512" s="746">
        <v>160000</v>
      </c>
      <c r="V512" s="741">
        <v>1100122</v>
      </c>
    </row>
    <row r="513" spans="1:22" ht="15" x14ac:dyDescent="0.2">
      <c r="A513" s="734">
        <v>2911</v>
      </c>
      <c r="B513" s="762" t="s">
        <v>60</v>
      </c>
      <c r="C513" s="736"/>
      <c r="D513" s="736"/>
      <c r="E513" s="749"/>
      <c r="F513" s="736"/>
      <c r="G513" s="749">
        <v>10000</v>
      </c>
      <c r="H513" s="749"/>
      <c r="I513" s="749"/>
      <c r="J513" s="736">
        <f t="shared" si="180"/>
        <v>10000</v>
      </c>
      <c r="K513" s="749"/>
      <c r="L513" s="749"/>
      <c r="M513" s="736">
        <f t="shared" si="181"/>
        <v>10000</v>
      </c>
      <c r="N513" s="736"/>
      <c r="O513" s="736"/>
      <c r="P513" s="736">
        <f t="shared" si="182"/>
        <v>10000</v>
      </c>
      <c r="Q513" s="783">
        <v>10000</v>
      </c>
      <c r="R513" s="738">
        <v>9877.2900000000009</v>
      </c>
      <c r="S513" s="783">
        <v>10000</v>
      </c>
      <c r="T513" s="739">
        <v>1100121</v>
      </c>
      <c r="U513" s="742">
        <v>10000</v>
      </c>
      <c r="V513" s="741">
        <v>1100122</v>
      </c>
    </row>
    <row r="514" spans="1:22" ht="15" x14ac:dyDescent="0.2">
      <c r="A514" s="734">
        <v>3111</v>
      </c>
      <c r="B514" s="735" t="s">
        <v>47</v>
      </c>
      <c r="C514" s="736">
        <v>69331</v>
      </c>
      <c r="D514" s="736">
        <v>135000</v>
      </c>
      <c r="E514" s="749">
        <v>115000</v>
      </c>
      <c r="F514" s="736">
        <v>70217</v>
      </c>
      <c r="G514" s="749">
        <v>160000</v>
      </c>
      <c r="H514" s="749"/>
      <c r="I514" s="749"/>
      <c r="J514" s="736">
        <f t="shared" si="180"/>
        <v>160000</v>
      </c>
      <c r="K514" s="749"/>
      <c r="L514" s="749"/>
      <c r="M514" s="736">
        <f t="shared" si="181"/>
        <v>160000</v>
      </c>
      <c r="N514" s="736"/>
      <c r="O514" s="736"/>
      <c r="P514" s="736">
        <f t="shared" si="182"/>
        <v>160000</v>
      </c>
      <c r="Q514" s="783">
        <v>160000</v>
      </c>
      <c r="R514" s="738">
        <v>99303</v>
      </c>
      <c r="S514" s="784">
        <v>160000</v>
      </c>
      <c r="T514" s="739">
        <v>1100121</v>
      </c>
      <c r="U514" s="746">
        <v>200000</v>
      </c>
      <c r="V514" s="741">
        <v>1100122</v>
      </c>
    </row>
    <row r="515" spans="1:22" ht="15" x14ac:dyDescent="0.2">
      <c r="A515" s="734">
        <v>3131</v>
      </c>
      <c r="B515" s="735" t="s">
        <v>61</v>
      </c>
      <c r="C515" s="736">
        <v>23670.05</v>
      </c>
      <c r="D515" s="736">
        <v>95000</v>
      </c>
      <c r="E515" s="749">
        <v>65000</v>
      </c>
      <c r="F515" s="736">
        <v>29272.83</v>
      </c>
      <c r="G515" s="749">
        <v>75000</v>
      </c>
      <c r="H515" s="749"/>
      <c r="I515" s="749"/>
      <c r="J515" s="736">
        <f t="shared" si="180"/>
        <v>75000</v>
      </c>
      <c r="K515" s="749"/>
      <c r="L515" s="749"/>
      <c r="M515" s="736">
        <f t="shared" si="181"/>
        <v>75000</v>
      </c>
      <c r="N515" s="736"/>
      <c r="O515" s="736"/>
      <c r="P515" s="736">
        <f t="shared" si="182"/>
        <v>75000</v>
      </c>
      <c r="Q515" s="783">
        <v>75000</v>
      </c>
      <c r="R515" s="738">
        <v>21505.78</v>
      </c>
      <c r="S515" s="784">
        <v>75000</v>
      </c>
      <c r="T515" s="739">
        <v>1100121</v>
      </c>
      <c r="U515" s="746">
        <v>75000</v>
      </c>
      <c r="V515" s="741">
        <v>1100122</v>
      </c>
    </row>
    <row r="516" spans="1:22" ht="15" x14ac:dyDescent="0.2">
      <c r="A516" s="734">
        <v>3141</v>
      </c>
      <c r="B516" s="735" t="s">
        <v>48</v>
      </c>
      <c r="C516" s="736">
        <v>95655.54</v>
      </c>
      <c r="D516" s="736">
        <v>138000</v>
      </c>
      <c r="E516" s="749">
        <v>128000</v>
      </c>
      <c r="F516" s="736">
        <v>92564.27</v>
      </c>
      <c r="G516" s="749">
        <v>140000</v>
      </c>
      <c r="H516" s="749"/>
      <c r="I516" s="749"/>
      <c r="J516" s="736">
        <f t="shared" si="180"/>
        <v>140000</v>
      </c>
      <c r="K516" s="749"/>
      <c r="L516" s="749"/>
      <c r="M516" s="736">
        <f t="shared" si="181"/>
        <v>140000</v>
      </c>
      <c r="N516" s="736"/>
      <c r="O516" s="736"/>
      <c r="P516" s="736">
        <f t="shared" si="182"/>
        <v>140000</v>
      </c>
      <c r="Q516" s="783">
        <v>140000</v>
      </c>
      <c r="R516" s="738">
        <v>53147.05</v>
      </c>
      <c r="S516" s="784">
        <v>140000</v>
      </c>
      <c r="T516" s="739">
        <v>1100121</v>
      </c>
      <c r="U516" s="746">
        <v>90000</v>
      </c>
      <c r="V516" s="741">
        <v>1100122</v>
      </c>
    </row>
    <row r="517" spans="1:22" ht="15" x14ac:dyDescent="0.2">
      <c r="A517" s="734">
        <v>3151</v>
      </c>
      <c r="B517" s="735" t="s">
        <v>28</v>
      </c>
      <c r="C517" s="736">
        <v>21355.42</v>
      </c>
      <c r="D517" s="736">
        <v>30000</v>
      </c>
      <c r="E517" s="749">
        <v>25000</v>
      </c>
      <c r="F517" s="736">
        <v>24999.03</v>
      </c>
      <c r="G517" s="749">
        <v>27000</v>
      </c>
      <c r="H517" s="749"/>
      <c r="I517" s="749"/>
      <c r="J517" s="736">
        <f t="shared" si="180"/>
        <v>27000</v>
      </c>
      <c r="K517" s="749"/>
      <c r="L517" s="749"/>
      <c r="M517" s="736">
        <f t="shared" si="181"/>
        <v>27000</v>
      </c>
      <c r="N517" s="736"/>
      <c r="O517" s="736"/>
      <c r="P517" s="736">
        <f t="shared" si="182"/>
        <v>27000</v>
      </c>
      <c r="Q517" s="783">
        <v>27000</v>
      </c>
      <c r="R517" s="738">
        <v>21020.69</v>
      </c>
      <c r="S517" s="784">
        <v>27000</v>
      </c>
      <c r="T517" s="739">
        <v>1100121</v>
      </c>
      <c r="U517" s="746">
        <v>36000</v>
      </c>
      <c r="V517" s="741">
        <v>1100122</v>
      </c>
    </row>
    <row r="518" spans="1:22" ht="15" x14ac:dyDescent="0.2">
      <c r="A518" s="739">
        <v>3172</v>
      </c>
      <c r="B518" s="743" t="s">
        <v>98</v>
      </c>
      <c r="C518" s="736"/>
      <c r="D518" s="736">
        <v>0</v>
      </c>
      <c r="E518" s="749">
        <v>445500</v>
      </c>
      <c r="F518" s="736">
        <v>439396.4</v>
      </c>
      <c r="G518" s="736"/>
      <c r="H518" s="736"/>
      <c r="I518" s="736"/>
      <c r="J518" s="736">
        <f t="shared" si="180"/>
        <v>0</v>
      </c>
      <c r="K518" s="736"/>
      <c r="L518" s="736"/>
      <c r="M518" s="736">
        <f t="shared" si="181"/>
        <v>0</v>
      </c>
      <c r="N518" s="736"/>
      <c r="O518" s="736"/>
      <c r="P518" s="738">
        <f t="shared" si="182"/>
        <v>0</v>
      </c>
      <c r="Q518" s="738"/>
      <c r="R518" s="738"/>
      <c r="S518" s="738"/>
      <c r="T518" s="739">
        <v>1100121</v>
      </c>
      <c r="U518" s="744"/>
      <c r="V518" s="739">
        <v>1100122</v>
      </c>
    </row>
    <row r="519" spans="1:22" ht="15" x14ac:dyDescent="0.2">
      <c r="A519" s="734">
        <v>3221</v>
      </c>
      <c r="B519" s="735" t="s">
        <v>99</v>
      </c>
      <c r="C519" s="736">
        <v>314617.7</v>
      </c>
      <c r="D519" s="736">
        <v>327202.89</v>
      </c>
      <c r="E519" s="749">
        <v>239383.89</v>
      </c>
      <c r="F519" s="736">
        <v>239383.35</v>
      </c>
      <c r="G519" s="736"/>
      <c r="H519" s="736"/>
      <c r="I519" s="736"/>
      <c r="J519" s="736">
        <f t="shared" si="180"/>
        <v>0</v>
      </c>
      <c r="K519" s="736"/>
      <c r="L519" s="736"/>
      <c r="M519" s="736">
        <f t="shared" si="181"/>
        <v>0</v>
      </c>
      <c r="N519" s="736"/>
      <c r="O519" s="736"/>
      <c r="P519" s="738">
        <f t="shared" si="182"/>
        <v>0</v>
      </c>
      <c r="Q519" s="738"/>
      <c r="R519" s="738"/>
      <c r="S519" s="738"/>
      <c r="T519" s="739">
        <v>1100121</v>
      </c>
      <c r="U519" s="740">
        <v>100801</v>
      </c>
      <c r="V519" s="741">
        <v>1100122</v>
      </c>
    </row>
    <row r="520" spans="1:22" ht="15" x14ac:dyDescent="0.2">
      <c r="A520" s="734">
        <v>3311</v>
      </c>
      <c r="B520" s="735" t="s">
        <v>117</v>
      </c>
      <c r="C520" s="736"/>
      <c r="D520" s="736">
        <v>10000</v>
      </c>
      <c r="E520" s="749">
        <v>10000</v>
      </c>
      <c r="F520" s="736">
        <v>0</v>
      </c>
      <c r="G520" s="749">
        <v>10000</v>
      </c>
      <c r="H520" s="749"/>
      <c r="I520" s="749"/>
      <c r="J520" s="736">
        <f t="shared" si="180"/>
        <v>10000</v>
      </c>
      <c r="K520" s="749"/>
      <c r="L520" s="749"/>
      <c r="M520" s="736">
        <f t="shared" si="181"/>
        <v>10000</v>
      </c>
      <c r="N520" s="736"/>
      <c r="O520" s="736">
        <v>5000</v>
      </c>
      <c r="P520" s="736">
        <f t="shared" si="182"/>
        <v>5000</v>
      </c>
      <c r="Q520" s="783">
        <v>5000</v>
      </c>
      <c r="R520" s="738"/>
      <c r="S520" s="784">
        <v>10000</v>
      </c>
      <c r="T520" s="739">
        <v>1100121</v>
      </c>
      <c r="U520" s="742">
        <v>10000</v>
      </c>
      <c r="V520" s="741">
        <v>1100122</v>
      </c>
    </row>
    <row r="521" spans="1:22" ht="30" x14ac:dyDescent="0.2">
      <c r="A521" s="734">
        <v>3361</v>
      </c>
      <c r="B521" s="735" t="s">
        <v>29</v>
      </c>
      <c r="C521" s="736">
        <v>4715.3999999999996</v>
      </c>
      <c r="D521" s="736">
        <v>7000</v>
      </c>
      <c r="E521" s="749">
        <v>7000</v>
      </c>
      <c r="F521" s="736">
        <v>458.2</v>
      </c>
      <c r="G521" s="749">
        <v>7000</v>
      </c>
      <c r="H521" s="749"/>
      <c r="I521" s="749"/>
      <c r="J521" s="736">
        <f t="shared" si="180"/>
        <v>7000</v>
      </c>
      <c r="K521" s="749"/>
      <c r="L521" s="749"/>
      <c r="M521" s="736">
        <f t="shared" si="181"/>
        <v>7000</v>
      </c>
      <c r="N521" s="736"/>
      <c r="O521" s="736">
        <v>3000</v>
      </c>
      <c r="P521" s="736">
        <f t="shared" si="182"/>
        <v>4000</v>
      </c>
      <c r="Q521" s="783">
        <v>4000</v>
      </c>
      <c r="R521" s="738"/>
      <c r="S521" s="784">
        <v>7000</v>
      </c>
      <c r="T521" s="739">
        <v>1100121</v>
      </c>
      <c r="U521" s="742">
        <v>7000</v>
      </c>
      <c r="V521" s="741">
        <v>1100122</v>
      </c>
    </row>
    <row r="522" spans="1:22" ht="15" x14ac:dyDescent="0.2">
      <c r="A522" s="739">
        <v>3391</v>
      </c>
      <c r="B522" s="743" t="s">
        <v>118</v>
      </c>
      <c r="C522" s="736"/>
      <c r="D522" s="736">
        <v>0</v>
      </c>
      <c r="E522" s="749">
        <v>222000</v>
      </c>
      <c r="F522" s="736">
        <v>221643.08</v>
      </c>
      <c r="G522" s="752">
        <v>300000</v>
      </c>
      <c r="H522" s="752"/>
      <c r="I522" s="752"/>
      <c r="J522" s="736">
        <f t="shared" si="180"/>
        <v>300000</v>
      </c>
      <c r="K522" s="752"/>
      <c r="L522" s="752"/>
      <c r="M522" s="736">
        <f t="shared" si="181"/>
        <v>300000</v>
      </c>
      <c r="N522" s="736"/>
      <c r="O522" s="736"/>
      <c r="P522" s="736">
        <f t="shared" si="182"/>
        <v>300000</v>
      </c>
      <c r="Q522" s="753">
        <v>362000</v>
      </c>
      <c r="R522" s="738">
        <v>287999.84000000003</v>
      </c>
      <c r="S522" s="753">
        <v>300000</v>
      </c>
      <c r="T522" s="739">
        <v>1100121</v>
      </c>
      <c r="U522" s="744"/>
      <c r="V522" s="739">
        <v>1100122</v>
      </c>
    </row>
    <row r="523" spans="1:22" ht="15" x14ac:dyDescent="0.2">
      <c r="A523" s="734">
        <v>3461</v>
      </c>
      <c r="B523" s="735" t="s">
        <v>119</v>
      </c>
      <c r="C523" s="736">
        <v>111360</v>
      </c>
      <c r="D523" s="736">
        <v>126672</v>
      </c>
      <c r="E523" s="749">
        <v>126672</v>
      </c>
      <c r="F523" s="736">
        <v>111360</v>
      </c>
      <c r="G523" s="749">
        <v>130000</v>
      </c>
      <c r="H523" s="749"/>
      <c r="I523" s="749"/>
      <c r="J523" s="736">
        <f t="shared" si="180"/>
        <v>130000</v>
      </c>
      <c r="K523" s="749"/>
      <c r="L523" s="749"/>
      <c r="M523" s="736">
        <f t="shared" si="181"/>
        <v>130000</v>
      </c>
      <c r="N523" s="736"/>
      <c r="O523" s="736"/>
      <c r="P523" s="736">
        <f t="shared" si="182"/>
        <v>130000</v>
      </c>
      <c r="Q523" s="783">
        <v>130000</v>
      </c>
      <c r="R523" s="738"/>
      <c r="S523" s="784">
        <v>130000</v>
      </c>
      <c r="T523" s="739">
        <v>1100121</v>
      </c>
      <c r="U523" s="742">
        <v>130000</v>
      </c>
      <c r="V523" s="741">
        <v>1100122</v>
      </c>
    </row>
    <row r="524" spans="1:22" ht="15" x14ac:dyDescent="0.2">
      <c r="A524" s="734">
        <v>3511</v>
      </c>
      <c r="B524" s="735" t="s">
        <v>49</v>
      </c>
      <c r="C524" s="736">
        <v>52799.21</v>
      </c>
      <c r="D524" s="736">
        <v>500000</v>
      </c>
      <c r="E524" s="749">
        <v>45718</v>
      </c>
      <c r="F524" s="736">
        <v>39892.400000000001</v>
      </c>
      <c r="G524" s="749">
        <v>100000</v>
      </c>
      <c r="H524" s="749"/>
      <c r="I524" s="749"/>
      <c r="J524" s="736">
        <f t="shared" si="180"/>
        <v>100000</v>
      </c>
      <c r="K524" s="749"/>
      <c r="L524" s="749"/>
      <c r="M524" s="736">
        <f t="shared" si="181"/>
        <v>100000</v>
      </c>
      <c r="N524" s="736"/>
      <c r="O524" s="736"/>
      <c r="P524" s="736">
        <f t="shared" si="182"/>
        <v>100000</v>
      </c>
      <c r="Q524" s="783">
        <v>220000</v>
      </c>
      <c r="R524" s="738">
        <v>93772.160000000003</v>
      </c>
      <c r="S524" s="784">
        <v>100000</v>
      </c>
      <c r="T524" s="739">
        <v>1100121</v>
      </c>
      <c r="U524" s="746">
        <v>15000</v>
      </c>
      <c r="V524" s="741">
        <v>1100122</v>
      </c>
    </row>
    <row r="525" spans="1:22" ht="15" x14ac:dyDescent="0.2">
      <c r="A525" s="734">
        <v>3521</v>
      </c>
      <c r="B525" s="762" t="s">
        <v>120</v>
      </c>
      <c r="C525" s="736"/>
      <c r="D525" s="736"/>
      <c r="E525" s="749"/>
      <c r="F525" s="736"/>
      <c r="G525" s="752">
        <v>20000</v>
      </c>
      <c r="H525" s="752"/>
      <c r="I525" s="752"/>
      <c r="J525" s="736">
        <f t="shared" si="180"/>
        <v>20000</v>
      </c>
      <c r="K525" s="752"/>
      <c r="L525" s="752"/>
      <c r="M525" s="736">
        <f t="shared" si="181"/>
        <v>20000</v>
      </c>
      <c r="N525" s="736"/>
      <c r="O525" s="736"/>
      <c r="P525" s="736">
        <f t="shared" si="182"/>
        <v>20000</v>
      </c>
      <c r="Q525" s="753">
        <v>20000</v>
      </c>
      <c r="R525" s="738">
        <v>19900</v>
      </c>
      <c r="S525" s="753">
        <v>20000</v>
      </c>
      <c r="T525" s="739">
        <v>1100121</v>
      </c>
      <c r="U525" s="754">
        <v>20000</v>
      </c>
      <c r="V525" s="741">
        <v>1100122</v>
      </c>
    </row>
    <row r="526" spans="1:22" ht="15" x14ac:dyDescent="0.2">
      <c r="A526" s="734">
        <v>3531</v>
      </c>
      <c r="B526" s="735" t="s">
        <v>121</v>
      </c>
      <c r="C526" s="736"/>
      <c r="D526" s="736">
        <v>0</v>
      </c>
      <c r="E526" s="749">
        <v>30000</v>
      </c>
      <c r="F526" s="736">
        <v>0</v>
      </c>
      <c r="G526" s="752">
        <v>10000</v>
      </c>
      <c r="H526" s="752"/>
      <c r="I526" s="752"/>
      <c r="J526" s="736">
        <f t="shared" si="180"/>
        <v>10000</v>
      </c>
      <c r="K526" s="752"/>
      <c r="L526" s="752"/>
      <c r="M526" s="736">
        <f t="shared" si="181"/>
        <v>10000</v>
      </c>
      <c r="N526" s="736"/>
      <c r="O526" s="736"/>
      <c r="P526" s="736">
        <f t="shared" si="182"/>
        <v>10000</v>
      </c>
      <c r="Q526" s="753">
        <v>10000</v>
      </c>
      <c r="R526" s="738">
        <v>10000</v>
      </c>
      <c r="S526" s="753">
        <v>20000</v>
      </c>
      <c r="T526" s="739">
        <v>1100121</v>
      </c>
      <c r="U526" s="754">
        <v>20000</v>
      </c>
      <c r="V526" s="741">
        <v>1100122</v>
      </c>
    </row>
    <row r="527" spans="1:22" ht="15" x14ac:dyDescent="0.2">
      <c r="A527" s="739">
        <v>3551</v>
      </c>
      <c r="B527" s="743" t="s">
        <v>30</v>
      </c>
      <c r="C527" s="736"/>
      <c r="D527" s="736"/>
      <c r="E527" s="749"/>
      <c r="F527" s="736"/>
      <c r="G527" s="752"/>
      <c r="H527" s="752">
        <v>827000</v>
      </c>
      <c r="I527" s="752"/>
      <c r="J527" s="736">
        <f t="shared" si="180"/>
        <v>827000</v>
      </c>
      <c r="K527" s="752"/>
      <c r="L527" s="752"/>
      <c r="M527" s="736">
        <f t="shared" si="181"/>
        <v>827000</v>
      </c>
      <c r="N527" s="736"/>
      <c r="O527" s="736">
        <v>827000</v>
      </c>
      <c r="P527" s="738">
        <f t="shared" si="182"/>
        <v>0</v>
      </c>
      <c r="Q527" s="753"/>
      <c r="R527" s="738"/>
      <c r="S527" s="738">
        <f>Q527</f>
        <v>0</v>
      </c>
      <c r="T527" s="739">
        <v>1100120</v>
      </c>
      <c r="U527" s="785"/>
      <c r="V527" s="739">
        <v>1100120</v>
      </c>
    </row>
    <row r="528" spans="1:22" ht="15" x14ac:dyDescent="0.2">
      <c r="A528" s="734">
        <v>5691</v>
      </c>
      <c r="B528" s="735" t="s">
        <v>1713</v>
      </c>
      <c r="C528" s="736"/>
      <c r="D528" s="736"/>
      <c r="E528" s="749"/>
      <c r="F528" s="736"/>
      <c r="G528" s="752"/>
      <c r="H528" s="752"/>
      <c r="I528" s="752"/>
      <c r="J528" s="736"/>
      <c r="K528" s="752"/>
      <c r="L528" s="752"/>
      <c r="M528" s="736"/>
      <c r="N528" s="736">
        <v>827000</v>
      </c>
      <c r="O528" s="736"/>
      <c r="P528" s="736">
        <f t="shared" si="182"/>
        <v>827000</v>
      </c>
      <c r="Q528" s="753">
        <v>827000</v>
      </c>
      <c r="R528" s="738"/>
      <c r="S528" s="753"/>
      <c r="T528" s="739">
        <v>1100120</v>
      </c>
      <c r="U528" s="740">
        <v>894000</v>
      </c>
      <c r="V528" s="741">
        <v>1100121</v>
      </c>
    </row>
    <row r="529" spans="1:22" ht="15" x14ac:dyDescent="0.2">
      <c r="A529" s="734">
        <v>3551</v>
      </c>
      <c r="B529" s="735" t="s">
        <v>30</v>
      </c>
      <c r="C529" s="736">
        <v>592021.07999999996</v>
      </c>
      <c r="D529" s="736">
        <v>800000</v>
      </c>
      <c r="E529" s="749">
        <v>750000</v>
      </c>
      <c r="F529" s="736">
        <v>498831.61</v>
      </c>
      <c r="G529" s="749">
        <v>750000</v>
      </c>
      <c r="H529" s="749"/>
      <c r="I529" s="749"/>
      <c r="J529" s="736">
        <f t="shared" ref="J529:J537" si="183">G529+H529-I529</f>
        <v>750000</v>
      </c>
      <c r="K529" s="749"/>
      <c r="L529" s="749"/>
      <c r="M529" s="736">
        <f t="shared" ref="M529:M537" si="184">J529+K529-L529</f>
        <v>750000</v>
      </c>
      <c r="N529" s="736"/>
      <c r="O529" s="736">
        <v>350000</v>
      </c>
      <c r="P529" s="736">
        <f t="shared" si="182"/>
        <v>400000</v>
      </c>
      <c r="Q529" s="783">
        <v>480000</v>
      </c>
      <c r="R529" s="738">
        <v>389949.28</v>
      </c>
      <c r="S529" s="738">
        <f>Q529</f>
        <v>480000</v>
      </c>
      <c r="T529" s="739">
        <v>1100121</v>
      </c>
      <c r="U529" s="746">
        <v>500000</v>
      </c>
      <c r="V529" s="741">
        <v>1100122</v>
      </c>
    </row>
    <row r="530" spans="1:22" ht="15" x14ac:dyDescent="0.2">
      <c r="A530" s="734">
        <v>3571</v>
      </c>
      <c r="B530" s="762" t="s">
        <v>65</v>
      </c>
      <c r="C530" s="736"/>
      <c r="D530" s="736"/>
      <c r="E530" s="749"/>
      <c r="F530" s="736"/>
      <c r="G530" s="752">
        <v>20000</v>
      </c>
      <c r="H530" s="752"/>
      <c r="I530" s="752"/>
      <c r="J530" s="736">
        <f t="shared" si="183"/>
        <v>20000</v>
      </c>
      <c r="K530" s="752"/>
      <c r="L530" s="752"/>
      <c r="M530" s="736">
        <f t="shared" si="184"/>
        <v>20000</v>
      </c>
      <c r="N530" s="736"/>
      <c r="O530" s="736"/>
      <c r="P530" s="736">
        <f t="shared" si="182"/>
        <v>20000</v>
      </c>
      <c r="Q530" s="753">
        <v>20000</v>
      </c>
      <c r="R530" s="738">
        <v>10208</v>
      </c>
      <c r="S530" s="753">
        <v>40000</v>
      </c>
      <c r="T530" s="739">
        <v>1100121</v>
      </c>
      <c r="U530" s="754">
        <v>40000</v>
      </c>
      <c r="V530" s="741">
        <v>1100122</v>
      </c>
    </row>
    <row r="531" spans="1:22" ht="15" x14ac:dyDescent="0.2">
      <c r="A531" s="734">
        <v>3611</v>
      </c>
      <c r="B531" s="735" t="s">
        <v>66</v>
      </c>
      <c r="C531" s="736">
        <v>19546</v>
      </c>
      <c r="D531" s="736">
        <v>20000</v>
      </c>
      <c r="E531" s="749">
        <v>20000</v>
      </c>
      <c r="F531" s="736">
        <v>20000</v>
      </c>
      <c r="G531" s="749">
        <v>20000</v>
      </c>
      <c r="H531" s="749"/>
      <c r="I531" s="749"/>
      <c r="J531" s="736">
        <f t="shared" si="183"/>
        <v>20000</v>
      </c>
      <c r="K531" s="749"/>
      <c r="L531" s="749"/>
      <c r="M531" s="736">
        <f t="shared" si="184"/>
        <v>20000</v>
      </c>
      <c r="N531" s="736"/>
      <c r="O531" s="736"/>
      <c r="P531" s="736">
        <f t="shared" si="182"/>
        <v>20000</v>
      </c>
      <c r="Q531" s="783">
        <v>6000</v>
      </c>
      <c r="R531" s="738"/>
      <c r="S531" s="784">
        <v>20000</v>
      </c>
      <c r="T531" s="739">
        <v>1100121</v>
      </c>
      <c r="U531" s="742">
        <v>20000</v>
      </c>
      <c r="V531" s="741">
        <v>1100122</v>
      </c>
    </row>
    <row r="532" spans="1:22" ht="15" x14ac:dyDescent="0.2">
      <c r="A532" s="734">
        <v>3691</v>
      </c>
      <c r="B532" s="735" t="s">
        <v>72</v>
      </c>
      <c r="C532" s="736">
        <v>2300</v>
      </c>
      <c r="D532" s="736">
        <v>2500</v>
      </c>
      <c r="E532" s="749">
        <v>2500</v>
      </c>
      <c r="F532" s="736">
        <v>2300</v>
      </c>
      <c r="G532" s="749">
        <v>3500</v>
      </c>
      <c r="H532" s="749"/>
      <c r="I532" s="749"/>
      <c r="J532" s="736">
        <f t="shared" si="183"/>
        <v>3500</v>
      </c>
      <c r="K532" s="749"/>
      <c r="L532" s="749"/>
      <c r="M532" s="736">
        <f t="shared" si="184"/>
        <v>3500</v>
      </c>
      <c r="N532" s="736"/>
      <c r="O532" s="736"/>
      <c r="P532" s="736">
        <f t="shared" si="182"/>
        <v>3500</v>
      </c>
      <c r="Q532" s="783">
        <v>3500</v>
      </c>
      <c r="R532" s="738"/>
      <c r="S532" s="784">
        <v>3500</v>
      </c>
      <c r="T532" s="739">
        <v>1100121</v>
      </c>
      <c r="U532" s="742">
        <v>3500</v>
      </c>
      <c r="V532" s="741">
        <v>1100122</v>
      </c>
    </row>
    <row r="533" spans="1:22" ht="15" x14ac:dyDescent="0.2">
      <c r="A533" s="739">
        <v>3721</v>
      </c>
      <c r="B533" s="743" t="s">
        <v>50</v>
      </c>
      <c r="C533" s="736"/>
      <c r="D533" s="736">
        <v>5000</v>
      </c>
      <c r="E533" s="749">
        <v>5000</v>
      </c>
      <c r="F533" s="736">
        <v>0</v>
      </c>
      <c r="G533" s="749">
        <v>5000</v>
      </c>
      <c r="H533" s="749"/>
      <c r="I533" s="749"/>
      <c r="J533" s="736">
        <f t="shared" si="183"/>
        <v>5000</v>
      </c>
      <c r="K533" s="749"/>
      <c r="L533" s="749"/>
      <c r="M533" s="736">
        <f t="shared" si="184"/>
        <v>5000</v>
      </c>
      <c r="N533" s="736"/>
      <c r="O533" s="736"/>
      <c r="P533" s="736">
        <f t="shared" si="182"/>
        <v>5000</v>
      </c>
      <c r="Q533" s="783">
        <v>5000</v>
      </c>
      <c r="R533" s="738"/>
      <c r="S533" s="784">
        <v>5000</v>
      </c>
      <c r="T533" s="739">
        <v>1100121</v>
      </c>
      <c r="U533" s="788"/>
      <c r="V533" s="739">
        <v>1100122</v>
      </c>
    </row>
    <row r="534" spans="1:22" ht="15" x14ac:dyDescent="0.2">
      <c r="A534" s="734">
        <v>3751</v>
      </c>
      <c r="B534" s="735" t="s">
        <v>44</v>
      </c>
      <c r="C534" s="736">
        <v>5913.54</v>
      </c>
      <c r="D534" s="736">
        <v>10000</v>
      </c>
      <c r="E534" s="749">
        <v>10000</v>
      </c>
      <c r="F534" s="736">
        <v>2042.62</v>
      </c>
      <c r="G534" s="749">
        <v>5000</v>
      </c>
      <c r="H534" s="749"/>
      <c r="I534" s="749"/>
      <c r="J534" s="736">
        <f t="shared" si="183"/>
        <v>5000</v>
      </c>
      <c r="K534" s="749"/>
      <c r="L534" s="749"/>
      <c r="M534" s="736">
        <f t="shared" si="184"/>
        <v>5000</v>
      </c>
      <c r="N534" s="736"/>
      <c r="O534" s="736"/>
      <c r="P534" s="736">
        <f t="shared" si="182"/>
        <v>5000</v>
      </c>
      <c r="Q534" s="783">
        <v>5000</v>
      </c>
      <c r="R534" s="738">
        <v>600</v>
      </c>
      <c r="S534" s="784">
        <v>5000</v>
      </c>
      <c r="T534" s="739">
        <v>1100121</v>
      </c>
      <c r="U534" s="742">
        <v>10000</v>
      </c>
      <c r="V534" s="741">
        <v>1100122</v>
      </c>
    </row>
    <row r="535" spans="1:22" ht="15" x14ac:dyDescent="0.2">
      <c r="A535" s="734">
        <v>3791</v>
      </c>
      <c r="B535" s="735" t="s">
        <v>45</v>
      </c>
      <c r="C535" s="736">
        <v>10901</v>
      </c>
      <c r="D535" s="736">
        <v>12000</v>
      </c>
      <c r="E535" s="749">
        <v>12000</v>
      </c>
      <c r="F535" s="736">
        <v>4348.0200000000004</v>
      </c>
      <c r="G535" s="749">
        <v>10000</v>
      </c>
      <c r="H535" s="749"/>
      <c r="I535" s="749"/>
      <c r="J535" s="736">
        <f t="shared" si="183"/>
        <v>10000</v>
      </c>
      <c r="K535" s="749"/>
      <c r="L535" s="749"/>
      <c r="M535" s="736">
        <f t="shared" si="184"/>
        <v>10000</v>
      </c>
      <c r="N535" s="736"/>
      <c r="O535" s="736">
        <v>5000</v>
      </c>
      <c r="P535" s="736">
        <f t="shared" si="182"/>
        <v>5000</v>
      </c>
      <c r="Q535" s="783">
        <v>5000</v>
      </c>
      <c r="R535" s="738">
        <v>1915</v>
      </c>
      <c r="S535" s="784">
        <v>10000</v>
      </c>
      <c r="T535" s="739">
        <v>1100121</v>
      </c>
      <c r="U535" s="740">
        <v>10000</v>
      </c>
      <c r="V535" s="741">
        <v>1100122</v>
      </c>
    </row>
    <row r="536" spans="1:22" ht="15" x14ac:dyDescent="0.2">
      <c r="A536" s="739">
        <v>3821</v>
      </c>
      <c r="B536" s="743" t="s">
        <v>31</v>
      </c>
      <c r="C536" s="736">
        <v>130254.46</v>
      </c>
      <c r="D536" s="736">
        <v>120000</v>
      </c>
      <c r="E536" s="749">
        <v>80000</v>
      </c>
      <c r="F536" s="736">
        <v>1195</v>
      </c>
      <c r="G536" s="749">
        <v>120000</v>
      </c>
      <c r="H536" s="749"/>
      <c r="I536" s="749"/>
      <c r="J536" s="736">
        <f t="shared" si="183"/>
        <v>120000</v>
      </c>
      <c r="K536" s="749"/>
      <c r="L536" s="749"/>
      <c r="M536" s="736">
        <f t="shared" si="184"/>
        <v>120000</v>
      </c>
      <c r="N536" s="736"/>
      <c r="O536" s="736"/>
      <c r="P536" s="736">
        <f t="shared" si="182"/>
        <v>120000</v>
      </c>
      <c r="Q536" s="783">
        <v>11000</v>
      </c>
      <c r="R536" s="738">
        <v>2086.6</v>
      </c>
      <c r="S536" s="784">
        <v>120000</v>
      </c>
      <c r="T536" s="739">
        <v>1100121</v>
      </c>
      <c r="U536" s="788">
        <v>0</v>
      </c>
      <c r="V536" s="739">
        <v>1100122</v>
      </c>
    </row>
    <row r="537" spans="1:22" ht="15" x14ac:dyDescent="0.2">
      <c r="A537" s="734">
        <v>3852</v>
      </c>
      <c r="B537" s="735" t="s">
        <v>32</v>
      </c>
      <c r="C537" s="736">
        <v>38735.019999999997</v>
      </c>
      <c r="D537" s="736">
        <v>50000</v>
      </c>
      <c r="E537" s="749">
        <v>50000</v>
      </c>
      <c r="F537" s="736">
        <v>21967.09</v>
      </c>
      <c r="G537" s="749">
        <v>50000</v>
      </c>
      <c r="H537" s="749"/>
      <c r="I537" s="749"/>
      <c r="J537" s="736">
        <f t="shared" si="183"/>
        <v>50000</v>
      </c>
      <c r="K537" s="749"/>
      <c r="L537" s="749"/>
      <c r="M537" s="736">
        <f t="shared" si="184"/>
        <v>50000</v>
      </c>
      <c r="N537" s="736"/>
      <c r="O537" s="736">
        <v>20000</v>
      </c>
      <c r="P537" s="736">
        <f t="shared" si="182"/>
        <v>30000</v>
      </c>
      <c r="Q537" s="783">
        <v>34000</v>
      </c>
      <c r="R537" s="738">
        <v>28336.43</v>
      </c>
      <c r="S537" s="784">
        <v>50000</v>
      </c>
      <c r="T537" s="739">
        <v>1100121</v>
      </c>
      <c r="U537" s="742">
        <v>50000</v>
      </c>
      <c r="V537" s="741">
        <v>1100122</v>
      </c>
    </row>
    <row r="538" spans="1:22" ht="15" x14ac:dyDescent="0.2">
      <c r="A538" s="734">
        <v>3591</v>
      </c>
      <c r="B538" s="735" t="s">
        <v>1714</v>
      </c>
      <c r="C538" s="736"/>
      <c r="D538" s="736"/>
      <c r="E538" s="749"/>
      <c r="F538" s="736"/>
      <c r="G538" s="749"/>
      <c r="H538" s="749"/>
      <c r="I538" s="749"/>
      <c r="J538" s="736"/>
      <c r="K538" s="749"/>
      <c r="L538" s="749"/>
      <c r="M538" s="736"/>
      <c r="N538" s="736"/>
      <c r="O538" s="736"/>
      <c r="P538" s="736"/>
      <c r="Q538" s="783"/>
      <c r="R538" s="738"/>
      <c r="S538" s="784">
        <v>10000</v>
      </c>
      <c r="T538" s="739"/>
      <c r="U538" s="740">
        <v>30000</v>
      </c>
      <c r="V538" s="741">
        <v>1100122</v>
      </c>
    </row>
    <row r="539" spans="1:22" ht="15" x14ac:dyDescent="0.2">
      <c r="A539" s="734">
        <v>3921</v>
      </c>
      <c r="B539" s="735" t="s">
        <v>33</v>
      </c>
      <c r="C539" s="736">
        <v>15980.31</v>
      </c>
      <c r="D539" s="736">
        <v>38200</v>
      </c>
      <c r="E539" s="749">
        <v>38200</v>
      </c>
      <c r="F539" s="736">
        <v>9176.84</v>
      </c>
      <c r="G539" s="749">
        <v>40251</v>
      </c>
      <c r="H539" s="749"/>
      <c r="I539" s="749"/>
      <c r="J539" s="736">
        <f>G539+H539-I539</f>
        <v>40251</v>
      </c>
      <c r="K539" s="749"/>
      <c r="L539" s="749"/>
      <c r="M539" s="736">
        <f>J539+K539-L539</f>
        <v>40251</v>
      </c>
      <c r="N539" s="736"/>
      <c r="O539" s="736"/>
      <c r="P539" s="736">
        <f>M539+N539-O539</f>
        <v>40251</v>
      </c>
      <c r="Q539" s="783">
        <v>40251</v>
      </c>
      <c r="R539" s="738">
        <v>19198.68</v>
      </c>
      <c r="S539" s="784">
        <v>40000</v>
      </c>
      <c r="T539" s="739">
        <v>1100121</v>
      </c>
      <c r="U539" s="740">
        <v>27613</v>
      </c>
      <c r="V539" s="741">
        <v>1100122</v>
      </c>
    </row>
    <row r="540" spans="1:22" ht="15" x14ac:dyDescent="0.2">
      <c r="A540" s="739">
        <v>3921</v>
      </c>
      <c r="B540" s="743" t="s">
        <v>33</v>
      </c>
      <c r="C540" s="736"/>
      <c r="D540" s="736"/>
      <c r="E540" s="749"/>
      <c r="F540" s="736"/>
      <c r="G540" s="749"/>
      <c r="H540" s="749"/>
      <c r="I540" s="749"/>
      <c r="J540" s="736"/>
      <c r="K540" s="749"/>
      <c r="L540" s="749"/>
      <c r="M540" s="736"/>
      <c r="N540" s="736"/>
      <c r="O540" s="736"/>
      <c r="P540" s="736"/>
      <c r="Q540" s="783"/>
      <c r="R540" s="738"/>
      <c r="S540" s="784"/>
      <c r="T540" s="739"/>
      <c r="U540" s="744"/>
      <c r="V540" s="739"/>
    </row>
    <row r="541" spans="1:22" ht="15" x14ac:dyDescent="0.2">
      <c r="A541" s="739">
        <v>3961</v>
      </c>
      <c r="B541" s="743" t="s">
        <v>122</v>
      </c>
      <c r="C541" s="736"/>
      <c r="D541" s="736">
        <v>0</v>
      </c>
      <c r="E541" s="749">
        <v>40847.730000000003</v>
      </c>
      <c r="F541" s="736">
        <v>40847.730000000003</v>
      </c>
      <c r="G541" s="736"/>
      <c r="H541" s="736"/>
      <c r="I541" s="736"/>
      <c r="J541" s="736">
        <f t="shared" ref="J541:J545" si="185">G541+H541-I541</f>
        <v>0</v>
      </c>
      <c r="K541" s="736"/>
      <c r="L541" s="736"/>
      <c r="M541" s="736">
        <f t="shared" ref="M541:M545" si="186">J541+K541-L541</f>
        <v>0</v>
      </c>
      <c r="N541" s="736"/>
      <c r="O541" s="736"/>
      <c r="P541" s="738">
        <f t="shared" ref="P541:P545" si="187">M541+N541-O541</f>
        <v>0</v>
      </c>
      <c r="Q541" s="738"/>
      <c r="R541" s="738"/>
      <c r="S541" s="738"/>
      <c r="T541" s="739">
        <v>1100121</v>
      </c>
      <c r="U541" s="745"/>
      <c r="V541" s="739">
        <v>1100122</v>
      </c>
    </row>
    <row r="542" spans="1:22" ht="15" x14ac:dyDescent="0.2">
      <c r="A542" s="739">
        <v>4411</v>
      </c>
      <c r="B542" s="743" t="s">
        <v>34</v>
      </c>
      <c r="C542" s="736"/>
      <c r="D542" s="736"/>
      <c r="E542" s="749"/>
      <c r="F542" s="736"/>
      <c r="G542" s="736"/>
      <c r="H542" s="736">
        <v>35157.83</v>
      </c>
      <c r="I542" s="736"/>
      <c r="J542" s="736">
        <f t="shared" si="185"/>
        <v>35157.83</v>
      </c>
      <c r="K542" s="736"/>
      <c r="L542" s="736"/>
      <c r="M542" s="736">
        <f t="shared" si="186"/>
        <v>35157.83</v>
      </c>
      <c r="N542" s="736"/>
      <c r="O542" s="736"/>
      <c r="P542" s="736">
        <f t="shared" si="187"/>
        <v>35157.83</v>
      </c>
      <c r="Q542" s="738">
        <v>35157.83</v>
      </c>
      <c r="R542" s="738">
        <v>35157.83</v>
      </c>
      <c r="S542" s="738"/>
      <c r="T542" s="739">
        <v>1100120</v>
      </c>
      <c r="U542" s="745"/>
      <c r="V542" s="739">
        <v>1100120</v>
      </c>
    </row>
    <row r="543" spans="1:22" ht="15" x14ac:dyDescent="0.2">
      <c r="A543" s="739">
        <v>4411</v>
      </c>
      <c r="B543" s="743" t="s">
        <v>34</v>
      </c>
      <c r="C543" s="736">
        <v>1047812.28</v>
      </c>
      <c r="D543" s="736">
        <v>1000000</v>
      </c>
      <c r="E543" s="749">
        <v>1000000</v>
      </c>
      <c r="F543" s="736">
        <v>1216122.3999999999</v>
      </c>
      <c r="G543" s="749">
        <v>1000000</v>
      </c>
      <c r="H543" s="749"/>
      <c r="I543" s="749"/>
      <c r="J543" s="736">
        <f t="shared" si="185"/>
        <v>1000000</v>
      </c>
      <c r="K543" s="749"/>
      <c r="L543" s="749"/>
      <c r="M543" s="736">
        <f t="shared" si="186"/>
        <v>1000000</v>
      </c>
      <c r="N543" s="736"/>
      <c r="O543" s="736"/>
      <c r="P543" s="736">
        <f t="shared" si="187"/>
        <v>1000000</v>
      </c>
      <c r="Q543" s="783">
        <v>1184097.6000000001</v>
      </c>
      <c r="R543" s="738">
        <v>1071000</v>
      </c>
      <c r="S543" s="784">
        <v>1200000</v>
      </c>
      <c r="T543" s="739">
        <v>1100121</v>
      </c>
      <c r="U543" s="745"/>
      <c r="V543" s="739">
        <v>1100122</v>
      </c>
    </row>
    <row r="544" spans="1:22" ht="15" x14ac:dyDescent="0.2">
      <c r="A544" s="739">
        <v>4411</v>
      </c>
      <c r="B544" s="743" t="s">
        <v>34</v>
      </c>
      <c r="C544" s="736"/>
      <c r="D544" s="736"/>
      <c r="E544" s="749"/>
      <c r="F544" s="736"/>
      <c r="G544" s="749"/>
      <c r="H544" s="749"/>
      <c r="I544" s="749"/>
      <c r="J544" s="736"/>
      <c r="K544" s="749"/>
      <c r="L544" s="749"/>
      <c r="M544" s="736"/>
      <c r="N544" s="736"/>
      <c r="O544" s="736"/>
      <c r="P544" s="736"/>
      <c r="Q544" s="783">
        <v>90831</v>
      </c>
      <c r="R544" s="738"/>
      <c r="S544" s="784"/>
      <c r="T544" s="739">
        <v>1500521</v>
      </c>
      <c r="U544" s="745"/>
      <c r="V544" s="739">
        <v>1500522</v>
      </c>
    </row>
    <row r="545" spans="1:22" ht="15" x14ac:dyDescent="0.2">
      <c r="A545" s="739">
        <v>5111</v>
      </c>
      <c r="B545" s="806" t="s">
        <v>1715</v>
      </c>
      <c r="C545" s="736"/>
      <c r="D545" s="736"/>
      <c r="E545" s="749"/>
      <c r="F545" s="736"/>
      <c r="G545" s="749">
        <v>380000</v>
      </c>
      <c r="H545" s="749"/>
      <c r="I545" s="749"/>
      <c r="J545" s="736">
        <f t="shared" si="185"/>
        <v>380000</v>
      </c>
      <c r="K545" s="749"/>
      <c r="L545" s="749"/>
      <c r="M545" s="736">
        <f t="shared" si="186"/>
        <v>380000</v>
      </c>
      <c r="N545" s="736"/>
      <c r="O545" s="736"/>
      <c r="P545" s="736">
        <f t="shared" si="187"/>
        <v>380000</v>
      </c>
      <c r="Q545" s="783">
        <v>78800</v>
      </c>
      <c r="R545" s="738">
        <v>78800</v>
      </c>
      <c r="S545" s="784">
        <v>85000</v>
      </c>
      <c r="T545" s="739">
        <v>1500521</v>
      </c>
      <c r="U545" s="744"/>
      <c r="V545" s="739">
        <v>1500522</v>
      </c>
    </row>
    <row r="546" spans="1:22" ht="15" x14ac:dyDescent="0.2">
      <c r="A546" s="739">
        <v>5151</v>
      </c>
      <c r="B546" s="743" t="s">
        <v>36</v>
      </c>
      <c r="C546" s="736"/>
      <c r="D546" s="736"/>
      <c r="E546" s="749"/>
      <c r="F546" s="736"/>
      <c r="G546" s="749"/>
      <c r="H546" s="749"/>
      <c r="I546" s="749"/>
      <c r="J546" s="736"/>
      <c r="K546" s="749"/>
      <c r="L546" s="749"/>
      <c r="M546" s="736"/>
      <c r="N546" s="736"/>
      <c r="O546" s="736"/>
      <c r="P546" s="736"/>
      <c r="Q546" s="783"/>
      <c r="R546" s="738"/>
      <c r="S546" s="784">
        <v>200000</v>
      </c>
      <c r="T546" s="739"/>
      <c r="U546" s="744"/>
      <c r="V546" s="739"/>
    </row>
    <row r="547" spans="1:22" ht="15" x14ac:dyDescent="0.2">
      <c r="A547" s="739">
        <v>5191</v>
      </c>
      <c r="B547" s="743" t="s">
        <v>69</v>
      </c>
      <c r="C547" s="736">
        <v>40519.870000000003</v>
      </c>
      <c r="D547" s="736"/>
      <c r="E547" s="736"/>
      <c r="F547" s="736"/>
      <c r="G547" s="736"/>
      <c r="H547" s="736"/>
      <c r="I547" s="736"/>
      <c r="J547" s="736">
        <f t="shared" ref="J547:J548" si="188">G547+H547-I547</f>
        <v>0</v>
      </c>
      <c r="K547" s="736"/>
      <c r="L547" s="736"/>
      <c r="M547" s="736">
        <f t="shared" ref="M547:M548" si="189">J547+K547-L547</f>
        <v>0</v>
      </c>
      <c r="N547" s="736"/>
      <c r="O547" s="736"/>
      <c r="P547" s="738">
        <f t="shared" ref="P547:P548" si="190">M547+N547-O547</f>
        <v>0</v>
      </c>
      <c r="Q547" s="738"/>
      <c r="R547" s="738"/>
      <c r="S547" s="738">
        <v>40000</v>
      </c>
      <c r="T547" s="739"/>
      <c r="U547" s="744"/>
      <c r="V547" s="739"/>
    </row>
    <row r="548" spans="1:22" ht="15" x14ac:dyDescent="0.2">
      <c r="A548" s="739">
        <v>5211</v>
      </c>
      <c r="B548" s="743" t="s">
        <v>71</v>
      </c>
      <c r="C548" s="736"/>
      <c r="D548" s="736">
        <v>0</v>
      </c>
      <c r="E548" s="749">
        <v>25000</v>
      </c>
      <c r="F548" s="736">
        <v>25000</v>
      </c>
      <c r="G548" s="736"/>
      <c r="H548" s="736"/>
      <c r="I548" s="736"/>
      <c r="J548" s="736">
        <f t="shared" si="188"/>
        <v>0</v>
      </c>
      <c r="K548" s="736"/>
      <c r="L548" s="736"/>
      <c r="M548" s="736">
        <f t="shared" si="189"/>
        <v>0</v>
      </c>
      <c r="N548" s="736"/>
      <c r="O548" s="736"/>
      <c r="P548" s="738">
        <f t="shared" si="190"/>
        <v>0</v>
      </c>
      <c r="Q548" s="738"/>
      <c r="R548" s="738"/>
      <c r="S548" s="738">
        <v>30000</v>
      </c>
      <c r="T548" s="739">
        <v>1100121</v>
      </c>
      <c r="U548" s="744"/>
      <c r="V548" s="739">
        <v>1100122</v>
      </c>
    </row>
    <row r="549" spans="1:22" ht="15" x14ac:dyDescent="0.2">
      <c r="A549" s="739">
        <v>5211</v>
      </c>
      <c r="B549" s="743" t="s">
        <v>71</v>
      </c>
      <c r="C549" s="736"/>
      <c r="D549" s="736"/>
      <c r="E549" s="749"/>
      <c r="F549" s="736"/>
      <c r="G549" s="736"/>
      <c r="H549" s="736"/>
      <c r="I549" s="736"/>
      <c r="J549" s="736"/>
      <c r="K549" s="736"/>
      <c r="L549" s="736"/>
      <c r="M549" s="736"/>
      <c r="N549" s="736"/>
      <c r="O549" s="736"/>
      <c r="P549" s="738"/>
      <c r="Q549" s="738"/>
      <c r="R549" s="738"/>
      <c r="S549" s="738">
        <v>50000</v>
      </c>
      <c r="T549" s="739"/>
      <c r="U549" s="744"/>
      <c r="V549" s="739"/>
    </row>
    <row r="550" spans="1:22" ht="15" x14ac:dyDescent="0.2">
      <c r="A550" s="739">
        <v>5411</v>
      </c>
      <c r="B550" s="743" t="s">
        <v>123</v>
      </c>
      <c r="C550" s="736"/>
      <c r="D550" s="736">
        <v>0</v>
      </c>
      <c r="E550" s="749">
        <v>720000</v>
      </c>
      <c r="F550" s="736">
        <v>718052</v>
      </c>
      <c r="G550" s="736"/>
      <c r="H550" s="736"/>
      <c r="I550" s="736"/>
      <c r="J550" s="736">
        <f>G550+H550-I550</f>
        <v>0</v>
      </c>
      <c r="K550" s="736"/>
      <c r="L550" s="736"/>
      <c r="M550" s="736">
        <f>J550+K550-L550</f>
        <v>0</v>
      </c>
      <c r="N550" s="736">
        <v>2000000</v>
      </c>
      <c r="O550" s="736"/>
      <c r="P550" s="736">
        <f>M550+N550-O550</f>
        <v>2000000</v>
      </c>
      <c r="Q550" s="738">
        <v>2000000</v>
      </c>
      <c r="R550" s="738">
        <v>731400</v>
      </c>
      <c r="S550" s="807">
        <v>1280000</v>
      </c>
      <c r="T550" s="739">
        <v>1100120</v>
      </c>
      <c r="U550" s="744">
        <v>0</v>
      </c>
      <c r="V550" s="739">
        <v>1100120</v>
      </c>
    </row>
    <row r="551" spans="1:22" ht="15" x14ac:dyDescent="0.2">
      <c r="A551" s="739">
        <v>5662</v>
      </c>
      <c r="B551" s="743" t="s">
        <v>1716</v>
      </c>
      <c r="C551" s="736"/>
      <c r="D551" s="736"/>
      <c r="E551" s="749"/>
      <c r="F551" s="736"/>
      <c r="G551" s="736"/>
      <c r="H551" s="736"/>
      <c r="I551" s="736"/>
      <c r="J551" s="736"/>
      <c r="K551" s="736"/>
      <c r="L551" s="736"/>
      <c r="M551" s="736"/>
      <c r="N551" s="736"/>
      <c r="O551" s="736"/>
      <c r="P551" s="736"/>
      <c r="Q551" s="738"/>
      <c r="R551" s="738"/>
      <c r="S551" s="738">
        <v>55000</v>
      </c>
      <c r="T551" s="739"/>
      <c r="U551" s="744"/>
      <c r="V551" s="739"/>
    </row>
    <row r="552" spans="1:22" ht="15" x14ac:dyDescent="0.2">
      <c r="A552" s="739">
        <v>5671</v>
      </c>
      <c r="B552" s="743" t="s">
        <v>1717</v>
      </c>
      <c r="C552" s="736"/>
      <c r="D552" s="736"/>
      <c r="E552" s="749"/>
      <c r="F552" s="736"/>
      <c r="G552" s="736"/>
      <c r="H552" s="736"/>
      <c r="I552" s="736"/>
      <c r="J552" s="736"/>
      <c r="K552" s="736"/>
      <c r="L552" s="736"/>
      <c r="M552" s="736"/>
      <c r="N552" s="736"/>
      <c r="O552" s="736"/>
      <c r="P552" s="736"/>
      <c r="Q552" s="738"/>
      <c r="R552" s="738"/>
      <c r="S552" s="738">
        <v>40000</v>
      </c>
      <c r="T552" s="739"/>
      <c r="U552" s="744"/>
      <c r="V552" s="739"/>
    </row>
    <row r="553" spans="1:22" ht="15" x14ac:dyDescent="0.2">
      <c r="A553" s="739">
        <v>5641</v>
      </c>
      <c r="B553" s="806" t="s">
        <v>124</v>
      </c>
      <c r="C553" s="736"/>
      <c r="D553" s="736"/>
      <c r="E553" s="749"/>
      <c r="F553" s="736"/>
      <c r="G553" s="752">
        <v>150000</v>
      </c>
      <c r="H553" s="752"/>
      <c r="I553" s="752"/>
      <c r="J553" s="736">
        <f t="shared" ref="J553:J554" si="191">G553+H553-I553</f>
        <v>150000</v>
      </c>
      <c r="K553" s="752"/>
      <c r="L553" s="752"/>
      <c r="M553" s="736">
        <f t="shared" ref="M553:M554" si="192">J553+K553-L553</f>
        <v>150000</v>
      </c>
      <c r="N553" s="736"/>
      <c r="O553" s="736"/>
      <c r="P553" s="736">
        <f t="shared" ref="P553:P554" si="193">M553+N553-O553</f>
        <v>150000</v>
      </c>
      <c r="Q553" s="753">
        <v>139169</v>
      </c>
      <c r="R553" s="738">
        <v>139168.51999999999</v>
      </c>
      <c r="S553" s="753">
        <v>70000</v>
      </c>
      <c r="T553" s="739">
        <v>1500521</v>
      </c>
      <c r="U553" s="744"/>
      <c r="V553" s="739">
        <v>1500522</v>
      </c>
    </row>
    <row r="554" spans="1:22" ht="15" x14ac:dyDescent="0.2">
      <c r="A554" s="739">
        <v>5651</v>
      </c>
      <c r="B554" s="743" t="s">
        <v>105</v>
      </c>
      <c r="C554" s="736"/>
      <c r="D554" s="736">
        <v>0</v>
      </c>
      <c r="E554" s="749">
        <v>177000</v>
      </c>
      <c r="F554" s="736">
        <v>129998.88</v>
      </c>
      <c r="G554" s="736"/>
      <c r="H554" s="736"/>
      <c r="I554" s="736"/>
      <c r="J554" s="736">
        <f t="shared" si="191"/>
        <v>0</v>
      </c>
      <c r="K554" s="736"/>
      <c r="L554" s="736"/>
      <c r="M554" s="736">
        <f t="shared" si="192"/>
        <v>0</v>
      </c>
      <c r="N554" s="736"/>
      <c r="O554" s="736"/>
      <c r="P554" s="738">
        <f t="shared" si="193"/>
        <v>0</v>
      </c>
      <c r="Q554" s="738"/>
      <c r="R554" s="738"/>
      <c r="S554" s="738"/>
      <c r="T554" s="739">
        <v>1100121</v>
      </c>
      <c r="U554" s="745"/>
      <c r="V554" s="739">
        <v>1100122</v>
      </c>
    </row>
    <row r="555" spans="1:22" ht="15" x14ac:dyDescent="0.2">
      <c r="A555" s="728" t="s">
        <v>125</v>
      </c>
      <c r="B555" s="729" t="s">
        <v>1527</v>
      </c>
      <c r="C555" s="730">
        <f t="shared" ref="C555:S555" si="194">SUM(C556)</f>
        <v>1000000</v>
      </c>
      <c r="D555" s="730">
        <f t="shared" si="194"/>
        <v>1000000</v>
      </c>
      <c r="E555" s="730">
        <f t="shared" si="194"/>
        <v>1000000</v>
      </c>
      <c r="F555" s="730">
        <f t="shared" si="194"/>
        <v>1000000</v>
      </c>
      <c r="G555" s="730">
        <f t="shared" si="194"/>
        <v>1000000</v>
      </c>
      <c r="H555" s="730">
        <f t="shared" si="194"/>
        <v>0</v>
      </c>
      <c r="I555" s="730">
        <f t="shared" si="194"/>
        <v>0</v>
      </c>
      <c r="J555" s="730">
        <f t="shared" si="194"/>
        <v>1000000</v>
      </c>
      <c r="K555" s="730">
        <f t="shared" si="194"/>
        <v>0</v>
      </c>
      <c r="L555" s="730">
        <f t="shared" si="194"/>
        <v>0</v>
      </c>
      <c r="M555" s="730">
        <f t="shared" si="194"/>
        <v>1000000</v>
      </c>
      <c r="N555" s="730">
        <f t="shared" si="194"/>
        <v>500000</v>
      </c>
      <c r="O555" s="730">
        <f t="shared" si="194"/>
        <v>0</v>
      </c>
      <c r="P555" s="730">
        <f t="shared" si="194"/>
        <v>1500000</v>
      </c>
      <c r="Q555" s="748">
        <f t="shared" si="194"/>
        <v>1000000</v>
      </c>
      <c r="R555" s="748">
        <f t="shared" si="194"/>
        <v>1000000</v>
      </c>
      <c r="S555" s="748">
        <f t="shared" si="194"/>
        <v>1000000</v>
      </c>
      <c r="T555" s="731"/>
      <c r="U555" s="732">
        <f>SUM(U556)</f>
        <v>1000000</v>
      </c>
      <c r="V555" s="733"/>
    </row>
    <row r="556" spans="1:22" ht="15" x14ac:dyDescent="0.2">
      <c r="A556" s="734">
        <v>4154</v>
      </c>
      <c r="B556" s="735" t="s">
        <v>126</v>
      </c>
      <c r="C556" s="736">
        <v>1000000</v>
      </c>
      <c r="D556" s="736">
        <v>1000000</v>
      </c>
      <c r="E556" s="749">
        <v>1000000</v>
      </c>
      <c r="F556" s="736">
        <v>1000000</v>
      </c>
      <c r="G556" s="752">
        <v>1000000</v>
      </c>
      <c r="H556" s="752"/>
      <c r="I556" s="752"/>
      <c r="J556" s="736">
        <f>G556+H556-I556</f>
        <v>1000000</v>
      </c>
      <c r="K556" s="752"/>
      <c r="L556" s="752"/>
      <c r="M556" s="736">
        <f>J556+K556-L556</f>
        <v>1000000</v>
      </c>
      <c r="N556" s="736">
        <v>500000</v>
      </c>
      <c r="O556" s="736"/>
      <c r="P556" s="736">
        <f>M556+N556-O556</f>
        <v>1500000</v>
      </c>
      <c r="Q556" s="753">
        <v>1000000</v>
      </c>
      <c r="R556" s="738">
        <v>1000000</v>
      </c>
      <c r="S556" s="753">
        <v>1000000</v>
      </c>
      <c r="T556" s="739">
        <v>1100121</v>
      </c>
      <c r="U556" s="754">
        <v>1000000</v>
      </c>
      <c r="V556" s="741">
        <v>1100122</v>
      </c>
    </row>
    <row r="557" spans="1:22" ht="15" x14ac:dyDescent="0.2">
      <c r="A557" s="728" t="s">
        <v>1718</v>
      </c>
      <c r="B557" s="729" t="s">
        <v>1533</v>
      </c>
      <c r="C557" s="730"/>
      <c r="D557" s="730"/>
      <c r="E557" s="730"/>
      <c r="F557" s="730">
        <f t="shared" ref="F557:S557" si="195">SUM(F558)</f>
        <v>0</v>
      </c>
      <c r="G557" s="730">
        <f t="shared" si="195"/>
        <v>750000</v>
      </c>
      <c r="H557" s="730">
        <f t="shared" si="195"/>
        <v>0</v>
      </c>
      <c r="I557" s="730">
        <f t="shared" si="195"/>
        <v>0</v>
      </c>
      <c r="J557" s="730">
        <f t="shared" si="195"/>
        <v>750000</v>
      </c>
      <c r="K557" s="730">
        <f t="shared" si="195"/>
        <v>0</v>
      </c>
      <c r="L557" s="730">
        <f t="shared" si="195"/>
        <v>0</v>
      </c>
      <c r="M557" s="730">
        <f t="shared" si="195"/>
        <v>750000</v>
      </c>
      <c r="N557" s="730">
        <f t="shared" si="195"/>
        <v>350000</v>
      </c>
      <c r="O557" s="730">
        <f t="shared" si="195"/>
        <v>0</v>
      </c>
      <c r="P557" s="730">
        <f t="shared" si="195"/>
        <v>1100000</v>
      </c>
      <c r="Q557" s="748">
        <f t="shared" si="195"/>
        <v>1100000</v>
      </c>
      <c r="R557" s="748">
        <f t="shared" si="195"/>
        <v>768989.79</v>
      </c>
      <c r="S557" s="748">
        <f t="shared" si="195"/>
        <v>1100000</v>
      </c>
      <c r="T557" s="731"/>
      <c r="U557" s="732">
        <f t="shared" ref="U557" si="196">SUM(U558)</f>
        <v>0</v>
      </c>
      <c r="V557" s="728"/>
    </row>
    <row r="558" spans="1:22" ht="15" x14ac:dyDescent="0.2">
      <c r="A558" s="808">
        <v>4411</v>
      </c>
      <c r="B558" s="806" t="s">
        <v>34</v>
      </c>
      <c r="C558" s="736"/>
      <c r="D558" s="736"/>
      <c r="E558" s="749"/>
      <c r="F558" s="736"/>
      <c r="G558" s="752">
        <v>750000</v>
      </c>
      <c r="H558" s="752"/>
      <c r="I558" s="752"/>
      <c r="J558" s="736">
        <f>G558+H558-I558</f>
        <v>750000</v>
      </c>
      <c r="K558" s="752"/>
      <c r="L558" s="752"/>
      <c r="M558" s="736">
        <f>J558+K558-L558</f>
        <v>750000</v>
      </c>
      <c r="N558" s="736">
        <v>350000</v>
      </c>
      <c r="O558" s="736"/>
      <c r="P558" s="736">
        <f>M558+N558-O558</f>
        <v>1100000</v>
      </c>
      <c r="Q558" s="753">
        <v>1100000</v>
      </c>
      <c r="R558" s="738">
        <v>768989.79</v>
      </c>
      <c r="S558" s="753">
        <v>1100000</v>
      </c>
      <c r="T558" s="739">
        <v>1100121</v>
      </c>
      <c r="U558" s="745"/>
      <c r="V558" s="739">
        <v>1100122</v>
      </c>
    </row>
    <row r="559" spans="1:22" ht="15" x14ac:dyDescent="0.2">
      <c r="A559" s="809"/>
      <c r="B559" s="810" t="s">
        <v>1719</v>
      </c>
      <c r="C559" s="811">
        <f t="shared" ref="C559:L559" si="197">SUM(C560:C561)</f>
        <v>3396410.8600000003</v>
      </c>
      <c r="D559" s="811">
        <f t="shared" si="197"/>
        <v>4076349.7599999993</v>
      </c>
      <c r="E559" s="811">
        <f t="shared" si="197"/>
        <v>3849777.7899999996</v>
      </c>
      <c r="F559" s="811">
        <f t="shared" si="197"/>
        <v>3696210.919999999</v>
      </c>
      <c r="G559" s="811">
        <f t="shared" si="197"/>
        <v>3545375.2</v>
      </c>
      <c r="H559" s="811">
        <f t="shared" si="197"/>
        <v>9213.2999999999993</v>
      </c>
      <c r="I559" s="811">
        <f t="shared" si="197"/>
        <v>0</v>
      </c>
      <c r="J559" s="811">
        <f t="shared" si="197"/>
        <v>3554588.5</v>
      </c>
      <c r="K559" s="811">
        <f t="shared" si="197"/>
        <v>88648.65</v>
      </c>
      <c r="L559" s="811">
        <f t="shared" si="197"/>
        <v>20000</v>
      </c>
      <c r="M559" s="811"/>
      <c r="N559" s="811">
        <f t="shared" ref="N559:P559" si="198">SUM(N560:N561)</f>
        <v>12000</v>
      </c>
      <c r="O559" s="811">
        <f t="shared" si="198"/>
        <v>12000</v>
      </c>
      <c r="P559" s="812">
        <f t="shared" si="198"/>
        <v>3623237.15</v>
      </c>
      <c r="Q559" s="812"/>
      <c r="R559" s="812"/>
      <c r="S559" s="812"/>
      <c r="T559" s="813"/>
      <c r="U559" s="814">
        <f>U560</f>
        <v>0</v>
      </c>
      <c r="V559" s="809"/>
    </row>
    <row r="560" spans="1:22" ht="15" x14ac:dyDescent="0.2">
      <c r="A560" s="739">
        <v>4411</v>
      </c>
      <c r="B560" s="806" t="s">
        <v>34</v>
      </c>
      <c r="C560" s="736"/>
      <c r="D560" s="736"/>
      <c r="E560" s="749"/>
      <c r="F560" s="736"/>
      <c r="G560" s="752"/>
      <c r="H560" s="752"/>
      <c r="I560" s="752"/>
      <c r="J560" s="736"/>
      <c r="K560" s="752"/>
      <c r="L560" s="752"/>
      <c r="M560" s="736"/>
      <c r="N560" s="736"/>
      <c r="O560" s="736"/>
      <c r="P560" s="736"/>
      <c r="Q560" s="753"/>
      <c r="R560" s="738"/>
      <c r="S560" s="815">
        <v>1000000</v>
      </c>
      <c r="T560" s="797"/>
      <c r="U560" s="744">
        <v>0</v>
      </c>
      <c r="V560" s="797"/>
    </row>
    <row r="561" spans="1:22" ht="15" x14ac:dyDescent="0.2">
      <c r="A561" s="724" t="s">
        <v>127</v>
      </c>
      <c r="B561" s="725" t="s">
        <v>128</v>
      </c>
      <c r="C561" s="721">
        <f t="shared" ref="C561:P561" si="199">SUM(C569)</f>
        <v>3396410.8600000003</v>
      </c>
      <c r="D561" s="721">
        <f t="shared" si="199"/>
        <v>4076349.7599999993</v>
      </c>
      <c r="E561" s="721">
        <f t="shared" si="199"/>
        <v>3849777.7899999996</v>
      </c>
      <c r="F561" s="721">
        <f t="shared" si="199"/>
        <v>3696210.919999999</v>
      </c>
      <c r="G561" s="721">
        <f t="shared" si="199"/>
        <v>3545375.2</v>
      </c>
      <c r="H561" s="721">
        <f t="shared" si="199"/>
        <v>9213.2999999999993</v>
      </c>
      <c r="I561" s="721">
        <f t="shared" si="199"/>
        <v>0</v>
      </c>
      <c r="J561" s="721">
        <f t="shared" si="199"/>
        <v>3554588.5</v>
      </c>
      <c r="K561" s="721">
        <f t="shared" si="199"/>
        <v>88648.65</v>
      </c>
      <c r="L561" s="721">
        <f t="shared" si="199"/>
        <v>20000</v>
      </c>
      <c r="M561" s="721">
        <f t="shared" si="199"/>
        <v>3623237.15</v>
      </c>
      <c r="N561" s="721">
        <f t="shared" si="199"/>
        <v>12000</v>
      </c>
      <c r="O561" s="721">
        <f t="shared" si="199"/>
        <v>12000</v>
      </c>
      <c r="P561" s="721">
        <f t="shared" si="199"/>
        <v>3623237.15</v>
      </c>
      <c r="Q561" s="756">
        <f>+Q562+Q569+Q609+Q611</f>
        <v>3542237.1499999994</v>
      </c>
      <c r="R561" s="756">
        <f t="shared" ref="R561:S561" si="200">+R562+R569+R609+R611</f>
        <v>290012.95000000007</v>
      </c>
      <c r="S561" s="756">
        <f t="shared" si="200"/>
        <v>7841610.9800000004</v>
      </c>
      <c r="T561" s="724"/>
      <c r="U561" s="726">
        <f>+U562+U569+U609+U611</f>
        <v>4340007.32</v>
      </c>
      <c r="V561" s="727"/>
    </row>
    <row r="562" spans="1:22" ht="15" x14ac:dyDescent="0.2">
      <c r="A562" s="809" t="s">
        <v>109</v>
      </c>
      <c r="B562" s="816" t="s">
        <v>1530</v>
      </c>
      <c r="C562" s="811"/>
      <c r="D562" s="811"/>
      <c r="E562" s="811"/>
      <c r="F562" s="811"/>
      <c r="G562" s="811"/>
      <c r="H562" s="811"/>
      <c r="I562" s="811"/>
      <c r="J562" s="811"/>
      <c r="K562" s="811"/>
      <c r="L562" s="811"/>
      <c r="M562" s="811"/>
      <c r="N562" s="811"/>
      <c r="O562" s="811"/>
      <c r="P562" s="811"/>
      <c r="Q562" s="817">
        <f>SUM(Q563:Q568)</f>
        <v>0</v>
      </c>
      <c r="R562" s="817">
        <f t="shared" ref="R562:S562" si="201">SUM(R563:R568)</f>
        <v>0</v>
      </c>
      <c r="S562" s="817">
        <f t="shared" si="201"/>
        <v>3500000</v>
      </c>
      <c r="T562" s="818"/>
      <c r="U562" s="819">
        <f>SUM(U563:U568)</f>
        <v>500000</v>
      </c>
      <c r="V562" s="820"/>
    </row>
    <row r="563" spans="1:22" ht="15" x14ac:dyDescent="0.2">
      <c r="A563" s="821">
        <v>2161</v>
      </c>
      <c r="B563" s="822" t="s">
        <v>59</v>
      </c>
      <c r="C563" s="823"/>
      <c r="D563" s="823"/>
      <c r="E563" s="823"/>
      <c r="F563" s="823"/>
      <c r="G563" s="823"/>
      <c r="H563" s="823"/>
      <c r="I563" s="823"/>
      <c r="J563" s="823"/>
      <c r="K563" s="823"/>
      <c r="L563" s="823"/>
      <c r="M563" s="823"/>
      <c r="N563" s="823"/>
      <c r="O563" s="823"/>
      <c r="P563" s="823"/>
      <c r="Q563" s="778">
        <v>0</v>
      </c>
      <c r="R563" s="778"/>
      <c r="S563" s="824">
        <v>30000</v>
      </c>
      <c r="T563" s="778"/>
      <c r="U563" s="825"/>
      <c r="V563" s="778"/>
    </row>
    <row r="564" spans="1:22" ht="15" x14ac:dyDescent="0.2">
      <c r="A564" s="821">
        <v>2391</v>
      </c>
      <c r="B564" s="822" t="s">
        <v>1720</v>
      </c>
      <c r="C564" s="823"/>
      <c r="D564" s="823"/>
      <c r="E564" s="823"/>
      <c r="F564" s="823"/>
      <c r="G564" s="823"/>
      <c r="H564" s="823"/>
      <c r="I564" s="823"/>
      <c r="J564" s="823"/>
      <c r="K564" s="823"/>
      <c r="L564" s="823"/>
      <c r="M564" s="823"/>
      <c r="N564" s="823"/>
      <c r="O564" s="823"/>
      <c r="P564" s="823"/>
      <c r="Q564" s="778">
        <v>0</v>
      </c>
      <c r="R564" s="778"/>
      <c r="S564" s="824">
        <v>100000</v>
      </c>
      <c r="T564" s="778"/>
      <c r="U564" s="826"/>
      <c r="V564" s="778"/>
    </row>
    <row r="565" spans="1:22" ht="15" x14ac:dyDescent="0.2">
      <c r="A565" s="821">
        <v>2421</v>
      </c>
      <c r="B565" s="822" t="s">
        <v>111</v>
      </c>
      <c r="C565" s="823"/>
      <c r="D565" s="823"/>
      <c r="E565" s="823"/>
      <c r="F565" s="823"/>
      <c r="G565" s="823"/>
      <c r="H565" s="823"/>
      <c r="I565" s="823"/>
      <c r="J565" s="823"/>
      <c r="K565" s="823"/>
      <c r="L565" s="823"/>
      <c r="M565" s="823"/>
      <c r="N565" s="823"/>
      <c r="O565" s="823"/>
      <c r="P565" s="823"/>
      <c r="Q565" s="778">
        <v>0</v>
      </c>
      <c r="R565" s="778"/>
      <c r="S565" s="824">
        <v>300000</v>
      </c>
      <c r="T565" s="778"/>
      <c r="U565" s="826"/>
      <c r="V565" s="778"/>
    </row>
    <row r="566" spans="1:22" ht="15" x14ac:dyDescent="0.2">
      <c r="A566" s="827">
        <v>2491</v>
      </c>
      <c r="B566" s="755" t="s">
        <v>1721</v>
      </c>
      <c r="C566" s="823"/>
      <c r="D566" s="823"/>
      <c r="E566" s="823"/>
      <c r="F566" s="823"/>
      <c r="G566" s="823"/>
      <c r="H566" s="823"/>
      <c r="I566" s="823"/>
      <c r="J566" s="823"/>
      <c r="K566" s="823"/>
      <c r="L566" s="823"/>
      <c r="M566" s="823"/>
      <c r="N566" s="823"/>
      <c r="O566" s="823"/>
      <c r="P566" s="823"/>
      <c r="Q566" s="778">
        <v>0</v>
      </c>
      <c r="R566" s="778"/>
      <c r="S566" s="796">
        <v>3000000</v>
      </c>
      <c r="T566" s="828"/>
      <c r="U566" s="746">
        <v>500000</v>
      </c>
      <c r="V566" s="741">
        <v>1100122</v>
      </c>
    </row>
    <row r="567" spans="1:22" ht="15" x14ac:dyDescent="0.2">
      <c r="A567" s="821">
        <v>2911</v>
      </c>
      <c r="B567" s="822" t="s">
        <v>60</v>
      </c>
      <c r="C567" s="823"/>
      <c r="D567" s="823"/>
      <c r="E567" s="823"/>
      <c r="F567" s="823"/>
      <c r="G567" s="823"/>
      <c r="H567" s="823"/>
      <c r="I567" s="823"/>
      <c r="J567" s="823"/>
      <c r="K567" s="823"/>
      <c r="L567" s="823"/>
      <c r="M567" s="823"/>
      <c r="N567" s="823"/>
      <c r="O567" s="823"/>
      <c r="P567" s="823"/>
      <c r="Q567" s="778">
        <v>0</v>
      </c>
      <c r="R567" s="778"/>
      <c r="S567" s="824">
        <v>10000</v>
      </c>
      <c r="T567" s="829"/>
      <c r="U567" s="826"/>
      <c r="V567" s="829"/>
    </row>
    <row r="568" spans="1:22" ht="15" x14ac:dyDescent="0.2">
      <c r="A568" s="821">
        <v>5691</v>
      </c>
      <c r="B568" s="822" t="s">
        <v>1713</v>
      </c>
      <c r="C568" s="823"/>
      <c r="D568" s="823"/>
      <c r="E568" s="823"/>
      <c r="F568" s="823"/>
      <c r="G568" s="823"/>
      <c r="H568" s="823"/>
      <c r="I568" s="823"/>
      <c r="J568" s="823"/>
      <c r="K568" s="823"/>
      <c r="L568" s="823"/>
      <c r="M568" s="823"/>
      <c r="N568" s="823"/>
      <c r="O568" s="823"/>
      <c r="P568" s="823"/>
      <c r="Q568" s="778">
        <v>0</v>
      </c>
      <c r="R568" s="778"/>
      <c r="S568" s="824">
        <v>60000</v>
      </c>
      <c r="T568" s="778"/>
      <c r="U568" s="826"/>
      <c r="V568" s="778"/>
    </row>
    <row r="569" spans="1:22" ht="15" x14ac:dyDescent="0.2">
      <c r="A569" s="728" t="s">
        <v>129</v>
      </c>
      <c r="B569" s="729" t="s">
        <v>1552</v>
      </c>
      <c r="C569" s="730">
        <f t="shared" ref="C569:P569" si="202">SUM(C570:C607)</f>
        <v>3396410.8600000003</v>
      </c>
      <c r="D569" s="730">
        <f t="shared" si="202"/>
        <v>4076349.7599999993</v>
      </c>
      <c r="E569" s="730">
        <f t="shared" si="202"/>
        <v>3849777.7899999996</v>
      </c>
      <c r="F569" s="730">
        <f t="shared" si="202"/>
        <v>3696210.919999999</v>
      </c>
      <c r="G569" s="730">
        <f t="shared" si="202"/>
        <v>3545375.2</v>
      </c>
      <c r="H569" s="730">
        <f t="shared" si="202"/>
        <v>9213.2999999999993</v>
      </c>
      <c r="I569" s="730">
        <f t="shared" si="202"/>
        <v>0</v>
      </c>
      <c r="J569" s="730">
        <f t="shared" si="202"/>
        <v>3554588.5</v>
      </c>
      <c r="K569" s="730">
        <f t="shared" si="202"/>
        <v>88648.65</v>
      </c>
      <c r="L569" s="730">
        <f t="shared" si="202"/>
        <v>20000</v>
      </c>
      <c r="M569" s="730">
        <f t="shared" si="202"/>
        <v>3623237.15</v>
      </c>
      <c r="N569" s="730">
        <f t="shared" si="202"/>
        <v>12000</v>
      </c>
      <c r="O569" s="730">
        <f t="shared" si="202"/>
        <v>12000</v>
      </c>
      <c r="P569" s="730">
        <f t="shared" si="202"/>
        <v>3623237.15</v>
      </c>
      <c r="Q569" s="748">
        <f>SUM(Q570:Q608)</f>
        <v>3542237.1499999994</v>
      </c>
      <c r="R569" s="748">
        <f t="shared" ref="R569:S569" si="203">SUM(R570:R608)</f>
        <v>290012.95000000007</v>
      </c>
      <c r="S569" s="748">
        <f t="shared" si="203"/>
        <v>4341610.9800000004</v>
      </c>
      <c r="T569" s="731"/>
      <c r="U569" s="732">
        <f>SUM(U570:U608)</f>
        <v>3540007.3200000008</v>
      </c>
      <c r="V569" s="733"/>
    </row>
    <row r="570" spans="1:22" ht="15" x14ac:dyDescent="0.25">
      <c r="A570" s="734">
        <v>1131</v>
      </c>
      <c r="B570" s="735" t="s">
        <v>6</v>
      </c>
      <c r="C570" s="736">
        <v>371166.95</v>
      </c>
      <c r="D570" s="736">
        <v>386487.92</v>
      </c>
      <c r="E570" s="749">
        <v>282522.25</v>
      </c>
      <c r="F570" s="736">
        <v>298840.94</v>
      </c>
      <c r="G570" s="736">
        <v>247787.4</v>
      </c>
      <c r="H570" s="736"/>
      <c r="I570" s="736"/>
      <c r="J570" s="736">
        <f t="shared" ref="J570:J585" si="204">G570+H570-I570</f>
        <v>247787.4</v>
      </c>
      <c r="K570" s="736">
        <v>1118.45</v>
      </c>
      <c r="L570" s="736"/>
      <c r="M570" s="736">
        <f t="shared" ref="M570:M585" si="205">J570+K570-L570</f>
        <v>248905.85</v>
      </c>
      <c r="N570" s="736"/>
      <c r="O570" s="736"/>
      <c r="P570" s="736">
        <f t="shared" ref="P570:P585" si="206">M570+N570-O570</f>
        <v>248905.85</v>
      </c>
      <c r="Q570" s="738">
        <v>248905.85</v>
      </c>
      <c r="R570" s="738"/>
      <c r="S570" s="751">
        <v>436821.84</v>
      </c>
      <c r="T570" s="739">
        <v>1500521</v>
      </c>
      <c r="U570" s="779">
        <v>264464.11</v>
      </c>
      <c r="V570" s="741">
        <v>1500522</v>
      </c>
    </row>
    <row r="571" spans="1:22" ht="15" x14ac:dyDescent="0.25">
      <c r="A571" s="734">
        <v>1132</v>
      </c>
      <c r="B571" s="735" t="s">
        <v>8</v>
      </c>
      <c r="C571" s="736">
        <v>951292.88</v>
      </c>
      <c r="D571" s="736">
        <v>1013434.24</v>
      </c>
      <c r="E571" s="749">
        <v>1015933.24</v>
      </c>
      <c r="F571" s="736">
        <v>1052812.6499999999</v>
      </c>
      <c r="G571" s="736">
        <v>1064652.7000000002</v>
      </c>
      <c r="H571" s="736"/>
      <c r="I571" s="736"/>
      <c r="J571" s="736">
        <f t="shared" si="204"/>
        <v>1064652.7000000002</v>
      </c>
      <c r="K571" s="736">
        <v>25037.040000000001</v>
      </c>
      <c r="L571" s="736"/>
      <c r="M571" s="736">
        <f t="shared" si="205"/>
        <v>1089689.7400000002</v>
      </c>
      <c r="N571" s="736"/>
      <c r="O571" s="736"/>
      <c r="P571" s="736">
        <f t="shared" si="206"/>
        <v>1089689.7400000002</v>
      </c>
      <c r="Q571" s="738">
        <v>1089689.74</v>
      </c>
      <c r="R571" s="738"/>
      <c r="S571" s="751">
        <v>1171395.68</v>
      </c>
      <c r="T571" s="739">
        <v>1500521</v>
      </c>
      <c r="U571" s="779">
        <v>1093045.74</v>
      </c>
      <c r="V571" s="741">
        <v>1500522</v>
      </c>
    </row>
    <row r="572" spans="1:22" ht="15" x14ac:dyDescent="0.25">
      <c r="A572" s="734">
        <v>1212</v>
      </c>
      <c r="B572" s="735" t="s">
        <v>53</v>
      </c>
      <c r="C572" s="736">
        <v>362022</v>
      </c>
      <c r="D572" s="736">
        <v>322696.8</v>
      </c>
      <c r="E572" s="749">
        <v>327947.8</v>
      </c>
      <c r="F572" s="736">
        <v>322704</v>
      </c>
      <c r="G572" s="736">
        <v>334000.8</v>
      </c>
      <c r="H572" s="736"/>
      <c r="I572" s="736"/>
      <c r="J572" s="736">
        <f t="shared" si="204"/>
        <v>334000.8</v>
      </c>
      <c r="K572" s="736">
        <v>5036.3999999999996</v>
      </c>
      <c r="L572" s="736"/>
      <c r="M572" s="736">
        <f t="shared" si="205"/>
        <v>339037.2</v>
      </c>
      <c r="N572" s="736"/>
      <c r="O572" s="736"/>
      <c r="P572" s="736">
        <f t="shared" si="206"/>
        <v>339037.2</v>
      </c>
      <c r="Q572" s="738">
        <v>339037.2</v>
      </c>
      <c r="R572" s="738"/>
      <c r="S572" s="751">
        <v>355881.6</v>
      </c>
      <c r="T572" s="739">
        <v>1500521</v>
      </c>
      <c r="U572" s="779">
        <v>351515.59</v>
      </c>
      <c r="V572" s="741">
        <v>1500522</v>
      </c>
    </row>
    <row r="573" spans="1:22" ht="15" x14ac:dyDescent="0.25">
      <c r="A573" s="734">
        <v>1321</v>
      </c>
      <c r="B573" s="735" t="s">
        <v>9</v>
      </c>
      <c r="C573" s="736">
        <v>82907.8</v>
      </c>
      <c r="D573" s="736">
        <v>89479.76</v>
      </c>
      <c r="E573" s="749">
        <v>88599.76</v>
      </c>
      <c r="F573" s="736">
        <v>81990.649999999994</v>
      </c>
      <c r="G573" s="736">
        <v>87783.400000000009</v>
      </c>
      <c r="H573" s="736"/>
      <c r="I573" s="736"/>
      <c r="J573" s="736">
        <f t="shared" si="204"/>
        <v>87783.400000000009</v>
      </c>
      <c r="K573" s="736">
        <v>2334.5100000000002</v>
      </c>
      <c r="L573" s="736"/>
      <c r="M573" s="736">
        <f t="shared" si="205"/>
        <v>90117.91</v>
      </c>
      <c r="N573" s="736"/>
      <c r="O573" s="736"/>
      <c r="P573" s="736">
        <f t="shared" si="206"/>
        <v>90117.91</v>
      </c>
      <c r="Q573" s="738">
        <v>90117.91</v>
      </c>
      <c r="R573" s="738"/>
      <c r="S573" s="751">
        <v>105046.9</v>
      </c>
      <c r="T573" s="739">
        <v>1500521</v>
      </c>
      <c r="U573" s="779">
        <v>92410.65</v>
      </c>
      <c r="V573" s="741">
        <v>1500522</v>
      </c>
    </row>
    <row r="574" spans="1:22" ht="15" x14ac:dyDescent="0.25">
      <c r="A574" s="734">
        <v>1323</v>
      </c>
      <c r="B574" s="735" t="s">
        <v>11</v>
      </c>
      <c r="C574" s="736">
        <v>245826.9</v>
      </c>
      <c r="D574" s="736">
        <v>254399.7</v>
      </c>
      <c r="E574" s="749">
        <v>254399.7</v>
      </c>
      <c r="F574" s="736">
        <v>237231</v>
      </c>
      <c r="G574" s="736">
        <v>238518.2</v>
      </c>
      <c r="H574" s="736"/>
      <c r="I574" s="736"/>
      <c r="J574" s="736">
        <f t="shared" si="204"/>
        <v>238518.2</v>
      </c>
      <c r="K574" s="736">
        <v>5804.01</v>
      </c>
      <c r="L574" s="736"/>
      <c r="M574" s="736">
        <f t="shared" si="205"/>
        <v>244322.21000000002</v>
      </c>
      <c r="N574" s="736"/>
      <c r="O574" s="736"/>
      <c r="P574" s="736">
        <f t="shared" si="206"/>
        <v>244322.21000000002</v>
      </c>
      <c r="Q574" s="738">
        <v>244322.21</v>
      </c>
      <c r="R574" s="738"/>
      <c r="S574" s="751">
        <v>290284.40000000002</v>
      </c>
      <c r="T574" s="739">
        <v>1500521</v>
      </c>
      <c r="U574" s="779">
        <v>240165.46</v>
      </c>
      <c r="V574" s="741">
        <v>1500522</v>
      </c>
    </row>
    <row r="575" spans="1:22" ht="15" x14ac:dyDescent="0.25">
      <c r="A575" s="734">
        <v>1413</v>
      </c>
      <c r="B575" s="735" t="s">
        <v>13</v>
      </c>
      <c r="C575" s="736">
        <v>323623.62</v>
      </c>
      <c r="D575" s="736">
        <v>375627.84</v>
      </c>
      <c r="E575" s="749">
        <v>344170.14</v>
      </c>
      <c r="F575" s="736">
        <v>337883.46</v>
      </c>
      <c r="G575" s="736">
        <v>392098.8</v>
      </c>
      <c r="H575" s="736"/>
      <c r="I575" s="736"/>
      <c r="J575" s="736">
        <f t="shared" si="204"/>
        <v>392098.8</v>
      </c>
      <c r="K575" s="736">
        <v>9124.69</v>
      </c>
      <c r="L575" s="736"/>
      <c r="M575" s="736">
        <f t="shared" si="205"/>
        <v>401223.49</v>
      </c>
      <c r="N575" s="736"/>
      <c r="O575" s="736"/>
      <c r="P575" s="736">
        <f t="shared" si="206"/>
        <v>401223.49</v>
      </c>
      <c r="Q575" s="738">
        <v>401223.49</v>
      </c>
      <c r="R575" s="738"/>
      <c r="S575" s="751">
        <v>494871</v>
      </c>
      <c r="T575" s="739">
        <v>1500521</v>
      </c>
      <c r="U575" s="779">
        <v>422689.9</v>
      </c>
      <c r="V575" s="741">
        <v>1500522</v>
      </c>
    </row>
    <row r="576" spans="1:22" ht="15" x14ac:dyDescent="0.25">
      <c r="A576" s="734">
        <v>1421</v>
      </c>
      <c r="B576" s="735" t="s">
        <v>15</v>
      </c>
      <c r="C576" s="736">
        <v>114791.29</v>
      </c>
      <c r="D576" s="736">
        <v>119693.44</v>
      </c>
      <c r="E576" s="749">
        <v>100545.44</v>
      </c>
      <c r="F576" s="736">
        <v>107639.65</v>
      </c>
      <c r="G576" s="736">
        <v>117513</v>
      </c>
      <c r="H576" s="736"/>
      <c r="I576" s="736"/>
      <c r="J576" s="736">
        <f t="shared" si="204"/>
        <v>117513</v>
      </c>
      <c r="K576" s="736">
        <v>2490.11</v>
      </c>
      <c r="L576" s="736"/>
      <c r="M576" s="736">
        <f t="shared" si="205"/>
        <v>120003.11</v>
      </c>
      <c r="N576" s="736"/>
      <c r="O576" s="736"/>
      <c r="P576" s="736">
        <f t="shared" si="206"/>
        <v>120003.11</v>
      </c>
      <c r="Q576" s="738">
        <v>120003.11</v>
      </c>
      <c r="R576" s="738"/>
      <c r="S576" s="751">
        <v>140917.07999999999</v>
      </c>
      <c r="T576" s="739">
        <v>1500521</v>
      </c>
      <c r="U576" s="779">
        <v>119850.35</v>
      </c>
      <c r="V576" s="741">
        <v>1500522</v>
      </c>
    </row>
    <row r="577" spans="1:22" ht="15" x14ac:dyDescent="0.25">
      <c r="A577" s="734">
        <v>1431</v>
      </c>
      <c r="B577" s="735" t="s">
        <v>16</v>
      </c>
      <c r="C577" s="736">
        <v>120186.22</v>
      </c>
      <c r="D577" s="736">
        <v>123283.86</v>
      </c>
      <c r="E577" s="749">
        <v>105424.86</v>
      </c>
      <c r="F577" s="736">
        <v>113559.51</v>
      </c>
      <c r="G577" s="736">
        <v>121038.5</v>
      </c>
      <c r="H577" s="736"/>
      <c r="I577" s="736"/>
      <c r="J577" s="736">
        <f t="shared" si="204"/>
        <v>121038.5</v>
      </c>
      <c r="K577" s="736">
        <v>2540.27</v>
      </c>
      <c r="L577" s="736"/>
      <c r="M577" s="736">
        <f t="shared" si="205"/>
        <v>123578.77</v>
      </c>
      <c r="N577" s="736"/>
      <c r="O577" s="736"/>
      <c r="P577" s="736">
        <f t="shared" si="206"/>
        <v>123578.77</v>
      </c>
      <c r="Q577" s="738">
        <v>123578.77</v>
      </c>
      <c r="R577" s="738"/>
      <c r="S577" s="751">
        <v>145144.56</v>
      </c>
      <c r="T577" s="739">
        <v>1500521</v>
      </c>
      <c r="U577" s="779">
        <v>120589.6</v>
      </c>
      <c r="V577" s="741">
        <v>1500522</v>
      </c>
    </row>
    <row r="578" spans="1:22" ht="15" x14ac:dyDescent="0.25">
      <c r="A578" s="734">
        <v>1511</v>
      </c>
      <c r="B578" s="735" t="s">
        <v>18</v>
      </c>
      <c r="C578" s="736">
        <v>32579.16</v>
      </c>
      <c r="D578" s="736">
        <v>35085.96</v>
      </c>
      <c r="E578" s="749">
        <v>32202.959999999999</v>
      </c>
      <c r="F578" s="736">
        <v>33314.089999999997</v>
      </c>
      <c r="G578" s="736">
        <v>32698.199999999997</v>
      </c>
      <c r="H578" s="736"/>
      <c r="I578" s="736"/>
      <c r="J578" s="736">
        <f t="shared" si="204"/>
        <v>32698.199999999997</v>
      </c>
      <c r="K578" s="736">
        <v>798.36</v>
      </c>
      <c r="L578" s="736"/>
      <c r="M578" s="736">
        <f t="shared" si="205"/>
        <v>33496.559999999998</v>
      </c>
      <c r="N578" s="736"/>
      <c r="O578" s="736"/>
      <c r="P578" s="736">
        <f t="shared" si="206"/>
        <v>33496.559999999998</v>
      </c>
      <c r="Q578" s="738">
        <v>33496.559999999998</v>
      </c>
      <c r="R578" s="738"/>
      <c r="S578" s="751">
        <v>40101.879999999997</v>
      </c>
      <c r="T578" s="739">
        <v>1500521</v>
      </c>
      <c r="U578" s="779">
        <v>32597.85</v>
      </c>
      <c r="V578" s="741">
        <v>1500522</v>
      </c>
    </row>
    <row r="579" spans="1:22" ht="15" x14ac:dyDescent="0.25">
      <c r="A579" s="734">
        <v>1541</v>
      </c>
      <c r="B579" s="735" t="s">
        <v>19</v>
      </c>
      <c r="C579" s="736">
        <v>133065.91</v>
      </c>
      <c r="D579" s="736">
        <v>150937.28</v>
      </c>
      <c r="E579" s="749">
        <v>124198.28</v>
      </c>
      <c r="F579" s="736">
        <v>127290.24000000001</v>
      </c>
      <c r="G579" s="736">
        <v>150084.20000000001</v>
      </c>
      <c r="H579" s="736"/>
      <c r="I579" s="736"/>
      <c r="J579" s="736">
        <f t="shared" si="204"/>
        <v>150084.20000000001</v>
      </c>
      <c r="K579" s="736">
        <v>5712.45</v>
      </c>
      <c r="L579" s="736"/>
      <c r="M579" s="736">
        <f t="shared" si="205"/>
        <v>155796.65000000002</v>
      </c>
      <c r="N579" s="736"/>
      <c r="O579" s="736"/>
      <c r="P579" s="736">
        <f t="shared" si="206"/>
        <v>155796.65000000002</v>
      </c>
      <c r="Q579" s="738">
        <v>155796.65</v>
      </c>
      <c r="R579" s="738"/>
      <c r="S579" s="751">
        <v>151043.88</v>
      </c>
      <c r="T579" s="739">
        <v>1500521</v>
      </c>
      <c r="U579" s="779">
        <v>144427.66</v>
      </c>
      <c r="V579" s="741">
        <v>1500522</v>
      </c>
    </row>
    <row r="580" spans="1:22" ht="15" x14ac:dyDescent="0.25">
      <c r="A580" s="734">
        <v>1592</v>
      </c>
      <c r="B580" s="735" t="s">
        <v>20</v>
      </c>
      <c r="C580" s="736">
        <v>328665.78000000003</v>
      </c>
      <c r="D580" s="736">
        <v>354222.96</v>
      </c>
      <c r="E580" s="749">
        <v>325833.36</v>
      </c>
      <c r="F580" s="736">
        <v>337080.92</v>
      </c>
      <c r="G580" s="736">
        <v>331200</v>
      </c>
      <c r="H580" s="736"/>
      <c r="I580" s="736"/>
      <c r="J580" s="736">
        <f t="shared" si="204"/>
        <v>331200</v>
      </c>
      <c r="K580" s="736">
        <v>8652.36</v>
      </c>
      <c r="L580" s="736"/>
      <c r="M580" s="736">
        <f t="shared" si="205"/>
        <v>339852.36</v>
      </c>
      <c r="N580" s="736"/>
      <c r="O580" s="736"/>
      <c r="P580" s="736">
        <f t="shared" si="206"/>
        <v>339852.36</v>
      </c>
      <c r="Q580" s="738">
        <v>339852.36</v>
      </c>
      <c r="R580" s="738"/>
      <c r="S580" s="751">
        <v>397102.16</v>
      </c>
      <c r="T580" s="739">
        <v>1500521</v>
      </c>
      <c r="U580" s="779">
        <v>331250.40999999997</v>
      </c>
      <c r="V580" s="741">
        <v>1500522</v>
      </c>
    </row>
    <row r="581" spans="1:22" ht="15" x14ac:dyDescent="0.2">
      <c r="A581" s="739">
        <v>2111</v>
      </c>
      <c r="B581" s="743" t="s">
        <v>22</v>
      </c>
      <c r="C581" s="736">
        <v>4998.28</v>
      </c>
      <c r="D581" s="736">
        <v>10000</v>
      </c>
      <c r="E581" s="749">
        <v>7000</v>
      </c>
      <c r="F581" s="736">
        <v>6500</v>
      </c>
      <c r="G581" s="736"/>
      <c r="H581" s="736"/>
      <c r="I581" s="736"/>
      <c r="J581" s="736">
        <f t="shared" si="204"/>
        <v>0</v>
      </c>
      <c r="K581" s="736"/>
      <c r="L581" s="736"/>
      <c r="M581" s="736">
        <f t="shared" si="205"/>
        <v>0</v>
      </c>
      <c r="N581" s="736"/>
      <c r="O581" s="736"/>
      <c r="P581" s="738">
        <f t="shared" si="206"/>
        <v>0</v>
      </c>
      <c r="Q581" s="738"/>
      <c r="R581" s="738"/>
      <c r="S581" s="738"/>
      <c r="T581" s="739">
        <v>1100121</v>
      </c>
      <c r="U581" s="745"/>
      <c r="V581" s="739">
        <v>1100122</v>
      </c>
    </row>
    <row r="582" spans="1:22" ht="15" x14ac:dyDescent="0.2">
      <c r="A582" s="739">
        <v>2112</v>
      </c>
      <c r="B582" s="743" t="s">
        <v>39</v>
      </c>
      <c r="C582" s="736"/>
      <c r="D582" s="736">
        <v>10000</v>
      </c>
      <c r="E582" s="749">
        <v>61000</v>
      </c>
      <c r="F582" s="736">
        <v>60680.02</v>
      </c>
      <c r="G582" s="736"/>
      <c r="H582" s="736"/>
      <c r="I582" s="736"/>
      <c r="J582" s="736">
        <f t="shared" si="204"/>
        <v>0</v>
      </c>
      <c r="K582" s="736"/>
      <c r="L582" s="736"/>
      <c r="M582" s="736">
        <f t="shared" si="205"/>
        <v>0</v>
      </c>
      <c r="N582" s="736"/>
      <c r="O582" s="736"/>
      <c r="P582" s="738">
        <f t="shared" si="206"/>
        <v>0</v>
      </c>
      <c r="Q582" s="738"/>
      <c r="R582" s="738"/>
      <c r="S582" s="738">
        <v>20000</v>
      </c>
      <c r="T582" s="739">
        <v>1100121</v>
      </c>
      <c r="U582" s="744"/>
      <c r="V582" s="739">
        <v>1100122</v>
      </c>
    </row>
    <row r="583" spans="1:22" ht="15" x14ac:dyDescent="0.2">
      <c r="A583" s="739">
        <v>2161</v>
      </c>
      <c r="B583" s="743" t="s">
        <v>59</v>
      </c>
      <c r="C583" s="736">
        <v>43974.03</v>
      </c>
      <c r="D583" s="736">
        <v>40000</v>
      </c>
      <c r="E583" s="749">
        <v>40000</v>
      </c>
      <c r="F583" s="736">
        <v>39972.03</v>
      </c>
      <c r="G583" s="736"/>
      <c r="H583" s="736"/>
      <c r="I583" s="736"/>
      <c r="J583" s="736">
        <f t="shared" si="204"/>
        <v>0</v>
      </c>
      <c r="K583" s="736"/>
      <c r="L583" s="736"/>
      <c r="M583" s="736">
        <f t="shared" si="205"/>
        <v>0</v>
      </c>
      <c r="N583" s="736"/>
      <c r="O583" s="736"/>
      <c r="P583" s="738">
        <f t="shared" si="206"/>
        <v>0</v>
      </c>
      <c r="Q583" s="738"/>
      <c r="R583" s="738"/>
      <c r="S583" s="738">
        <v>20000</v>
      </c>
      <c r="T583" s="739">
        <v>1100121</v>
      </c>
      <c r="U583" s="745"/>
      <c r="V583" s="739">
        <v>1100122</v>
      </c>
    </row>
    <row r="584" spans="1:22" ht="15" x14ac:dyDescent="0.2">
      <c r="A584" s="739">
        <v>2212</v>
      </c>
      <c r="B584" s="743" t="s">
        <v>40</v>
      </c>
      <c r="C584" s="736">
        <v>928</v>
      </c>
      <c r="D584" s="736">
        <v>6000</v>
      </c>
      <c r="E584" s="749">
        <v>6000</v>
      </c>
      <c r="F584" s="736">
        <v>0</v>
      </c>
      <c r="G584" s="736"/>
      <c r="H584" s="736"/>
      <c r="I584" s="736"/>
      <c r="J584" s="736">
        <f t="shared" si="204"/>
        <v>0</v>
      </c>
      <c r="K584" s="736"/>
      <c r="L584" s="736"/>
      <c r="M584" s="736">
        <f t="shared" si="205"/>
        <v>0</v>
      </c>
      <c r="N584" s="736"/>
      <c r="O584" s="736"/>
      <c r="P584" s="738">
        <f t="shared" si="206"/>
        <v>0</v>
      </c>
      <c r="Q584" s="738">
        <v>0</v>
      </c>
      <c r="R584" s="738"/>
      <c r="S584" s="738"/>
      <c r="T584" s="739">
        <v>1100121</v>
      </c>
      <c r="U584" s="745"/>
      <c r="V584" s="739">
        <v>1100122</v>
      </c>
    </row>
    <row r="585" spans="1:22" ht="15" x14ac:dyDescent="0.2">
      <c r="A585" s="739">
        <v>2231</v>
      </c>
      <c r="B585" s="743" t="s">
        <v>114</v>
      </c>
      <c r="C585" s="736"/>
      <c r="D585" s="736">
        <v>0</v>
      </c>
      <c r="E585" s="749">
        <v>30000</v>
      </c>
      <c r="F585" s="736">
        <v>29839</v>
      </c>
      <c r="G585" s="736"/>
      <c r="H585" s="736"/>
      <c r="I585" s="736"/>
      <c r="J585" s="736">
        <f t="shared" si="204"/>
        <v>0</v>
      </c>
      <c r="K585" s="736">
        <v>20000</v>
      </c>
      <c r="L585" s="736"/>
      <c r="M585" s="736">
        <f t="shared" si="205"/>
        <v>20000</v>
      </c>
      <c r="N585" s="736"/>
      <c r="O585" s="736"/>
      <c r="P585" s="736">
        <f t="shared" si="206"/>
        <v>20000</v>
      </c>
      <c r="Q585" s="738">
        <v>20000</v>
      </c>
      <c r="R585" s="738">
        <v>19996.349999999999</v>
      </c>
      <c r="S585" s="738">
        <v>20000</v>
      </c>
      <c r="T585" s="739">
        <v>1100121</v>
      </c>
      <c r="U585" s="745"/>
      <c r="V585" s="739">
        <v>1100122</v>
      </c>
    </row>
    <row r="586" spans="1:22" ht="15" x14ac:dyDescent="0.2">
      <c r="A586" s="739">
        <v>2391</v>
      </c>
      <c r="B586" s="743" t="s">
        <v>110</v>
      </c>
      <c r="C586" s="736"/>
      <c r="D586" s="736"/>
      <c r="E586" s="749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8"/>
      <c r="R586" s="738"/>
      <c r="S586" s="738"/>
      <c r="T586" s="739"/>
      <c r="U586" s="745"/>
      <c r="V586" s="739"/>
    </row>
    <row r="587" spans="1:22" ht="15" x14ac:dyDescent="0.2">
      <c r="A587" s="739">
        <v>2411</v>
      </c>
      <c r="B587" s="806" t="s">
        <v>130</v>
      </c>
      <c r="C587" s="736"/>
      <c r="D587" s="736"/>
      <c r="E587" s="749"/>
      <c r="F587" s="736"/>
      <c r="G587" s="736">
        <v>5000</v>
      </c>
      <c r="H587" s="736"/>
      <c r="I587" s="736"/>
      <c r="J587" s="736">
        <f t="shared" ref="J587:J602" si="207">G587+H587-I587</f>
        <v>5000</v>
      </c>
      <c r="K587" s="736"/>
      <c r="L587" s="736"/>
      <c r="M587" s="736">
        <f t="shared" ref="M587:M602" si="208">J587+K587-L587</f>
        <v>5000</v>
      </c>
      <c r="N587" s="736"/>
      <c r="O587" s="736">
        <v>5000</v>
      </c>
      <c r="P587" s="738">
        <f t="shared" ref="P587:P602" si="209">M587+N587-O587</f>
        <v>0</v>
      </c>
      <c r="Q587" s="738"/>
      <c r="R587" s="738"/>
      <c r="S587" s="738">
        <v>5000</v>
      </c>
      <c r="T587" s="739">
        <v>1100121</v>
      </c>
      <c r="U587" s="785"/>
      <c r="V587" s="739">
        <v>1100122</v>
      </c>
    </row>
    <row r="588" spans="1:22" ht="15" x14ac:dyDescent="0.2">
      <c r="A588" s="739">
        <v>2421</v>
      </c>
      <c r="B588" s="806" t="s">
        <v>111</v>
      </c>
      <c r="C588" s="736"/>
      <c r="D588" s="736"/>
      <c r="E588" s="749"/>
      <c r="F588" s="736"/>
      <c r="G588" s="736">
        <v>5000</v>
      </c>
      <c r="H588" s="736"/>
      <c r="I588" s="736"/>
      <c r="J588" s="736">
        <f t="shared" si="207"/>
        <v>5000</v>
      </c>
      <c r="K588" s="736"/>
      <c r="L588" s="736"/>
      <c r="M588" s="736">
        <f t="shared" si="208"/>
        <v>5000</v>
      </c>
      <c r="N588" s="736"/>
      <c r="O588" s="736">
        <v>5000</v>
      </c>
      <c r="P588" s="738">
        <f t="shared" si="209"/>
        <v>0</v>
      </c>
      <c r="Q588" s="738"/>
      <c r="R588" s="738"/>
      <c r="S588" s="738">
        <v>5000</v>
      </c>
      <c r="T588" s="739">
        <v>1100121</v>
      </c>
      <c r="U588" s="785"/>
      <c r="V588" s="739">
        <v>1100122</v>
      </c>
    </row>
    <row r="589" spans="1:22" ht="15" x14ac:dyDescent="0.2">
      <c r="A589" s="739">
        <v>2431</v>
      </c>
      <c r="B589" s="743" t="s">
        <v>1722</v>
      </c>
      <c r="C589" s="736">
        <v>6710</v>
      </c>
      <c r="D589" s="736"/>
      <c r="E589" s="736"/>
      <c r="F589" s="736"/>
      <c r="G589" s="736">
        <v>5000</v>
      </c>
      <c r="H589" s="736"/>
      <c r="I589" s="736"/>
      <c r="J589" s="736">
        <f t="shared" si="207"/>
        <v>5000</v>
      </c>
      <c r="K589" s="736"/>
      <c r="L589" s="736"/>
      <c r="M589" s="736">
        <f t="shared" si="208"/>
        <v>5000</v>
      </c>
      <c r="N589" s="736"/>
      <c r="O589" s="736">
        <v>2000</v>
      </c>
      <c r="P589" s="736">
        <f t="shared" si="209"/>
        <v>3000</v>
      </c>
      <c r="Q589" s="738">
        <v>3000</v>
      </c>
      <c r="R589" s="738">
        <v>2464.61</v>
      </c>
      <c r="S589" s="738">
        <v>5000</v>
      </c>
      <c r="T589" s="739">
        <v>1100121</v>
      </c>
      <c r="U589" s="785"/>
      <c r="V589" s="739">
        <v>1100122</v>
      </c>
    </row>
    <row r="590" spans="1:22" ht="15" x14ac:dyDescent="0.2">
      <c r="A590" s="830">
        <v>2491</v>
      </c>
      <c r="B590" s="831" t="s">
        <v>41</v>
      </c>
      <c r="C590" s="832">
        <v>19978.349999999999</v>
      </c>
      <c r="D590" s="832">
        <v>50000</v>
      </c>
      <c r="E590" s="833">
        <v>90000</v>
      </c>
      <c r="F590" s="832">
        <v>89603.92</v>
      </c>
      <c r="G590" s="834">
        <v>50000</v>
      </c>
      <c r="H590" s="834"/>
      <c r="I590" s="834"/>
      <c r="J590" s="832">
        <f t="shared" si="207"/>
        <v>50000</v>
      </c>
      <c r="K590" s="834"/>
      <c r="L590" s="834"/>
      <c r="M590" s="832">
        <f t="shared" si="208"/>
        <v>50000</v>
      </c>
      <c r="N590" s="832">
        <v>12000</v>
      </c>
      <c r="O590" s="832"/>
      <c r="P590" s="832">
        <f t="shared" si="209"/>
        <v>62000</v>
      </c>
      <c r="Q590" s="835">
        <v>62000</v>
      </c>
      <c r="R590" s="761">
        <v>49760</v>
      </c>
      <c r="S590" s="835">
        <v>62000</v>
      </c>
      <c r="T590" s="836">
        <v>1100121</v>
      </c>
      <c r="U590" s="754">
        <v>62000</v>
      </c>
      <c r="V590" s="741">
        <v>1100122</v>
      </c>
    </row>
    <row r="591" spans="1:22" ht="15" x14ac:dyDescent="0.2">
      <c r="A591" s="739">
        <v>2911</v>
      </c>
      <c r="B591" s="743" t="s">
        <v>60</v>
      </c>
      <c r="C591" s="736">
        <v>3600.26</v>
      </c>
      <c r="D591" s="736">
        <v>5000</v>
      </c>
      <c r="E591" s="749">
        <v>5000</v>
      </c>
      <c r="F591" s="736">
        <v>1500</v>
      </c>
      <c r="G591" s="752">
        <v>5000</v>
      </c>
      <c r="H591" s="752"/>
      <c r="I591" s="752"/>
      <c r="J591" s="736">
        <f t="shared" si="207"/>
        <v>5000</v>
      </c>
      <c r="K591" s="752"/>
      <c r="L591" s="752"/>
      <c r="M591" s="736">
        <f t="shared" si="208"/>
        <v>5000</v>
      </c>
      <c r="N591" s="736"/>
      <c r="O591" s="736"/>
      <c r="P591" s="736">
        <f t="shared" si="209"/>
        <v>5000</v>
      </c>
      <c r="Q591" s="753">
        <v>5000</v>
      </c>
      <c r="R591" s="738">
        <v>5000</v>
      </c>
      <c r="S591" s="753">
        <v>50000</v>
      </c>
      <c r="T591" s="739">
        <v>1100121</v>
      </c>
      <c r="U591" s="745"/>
      <c r="V591" s="739">
        <v>1100122</v>
      </c>
    </row>
    <row r="592" spans="1:22" ht="15" x14ac:dyDescent="0.2">
      <c r="A592" s="739">
        <v>2932</v>
      </c>
      <c r="B592" s="743" t="s">
        <v>1723</v>
      </c>
      <c r="C592" s="736"/>
      <c r="D592" s="736"/>
      <c r="E592" s="749"/>
      <c r="F592" s="736"/>
      <c r="G592" s="752"/>
      <c r="H592" s="752">
        <v>9213.2999999999993</v>
      </c>
      <c r="I592" s="752"/>
      <c r="J592" s="736">
        <f t="shared" si="207"/>
        <v>9213.2999999999993</v>
      </c>
      <c r="K592" s="752"/>
      <c r="L592" s="752"/>
      <c r="M592" s="736">
        <f t="shared" si="208"/>
        <v>9213.2999999999993</v>
      </c>
      <c r="N592" s="736"/>
      <c r="O592" s="736"/>
      <c r="P592" s="736">
        <f t="shared" si="209"/>
        <v>9213.2999999999993</v>
      </c>
      <c r="Q592" s="753">
        <v>9213.2999999999993</v>
      </c>
      <c r="R592" s="738"/>
      <c r="S592" s="753"/>
      <c r="T592" s="739">
        <v>1100120</v>
      </c>
      <c r="U592" s="745"/>
      <c r="V592" s="739">
        <v>1100120</v>
      </c>
    </row>
    <row r="593" spans="1:22" ht="15" x14ac:dyDescent="0.2">
      <c r="A593" s="739">
        <v>2932</v>
      </c>
      <c r="B593" s="743" t="s">
        <v>1723</v>
      </c>
      <c r="C593" s="736"/>
      <c r="D593" s="736">
        <v>0</v>
      </c>
      <c r="E593" s="749">
        <v>11000</v>
      </c>
      <c r="F593" s="736">
        <v>0</v>
      </c>
      <c r="G593" s="736"/>
      <c r="H593" s="736"/>
      <c r="I593" s="736"/>
      <c r="J593" s="736">
        <f t="shared" si="207"/>
        <v>0</v>
      </c>
      <c r="K593" s="736"/>
      <c r="L593" s="736"/>
      <c r="M593" s="736">
        <f t="shared" si="208"/>
        <v>0</v>
      </c>
      <c r="N593" s="736"/>
      <c r="O593" s="736"/>
      <c r="P593" s="738">
        <f t="shared" si="209"/>
        <v>0</v>
      </c>
      <c r="Q593" s="738">
        <v>0</v>
      </c>
      <c r="R593" s="738"/>
      <c r="S593" s="738"/>
      <c r="T593" s="739">
        <v>1100121</v>
      </c>
      <c r="U593" s="745"/>
      <c r="V593" s="739">
        <v>1100122</v>
      </c>
    </row>
    <row r="594" spans="1:22" ht="15" x14ac:dyDescent="0.2">
      <c r="A594" s="739">
        <v>3111</v>
      </c>
      <c r="B594" s="743" t="s">
        <v>47</v>
      </c>
      <c r="C594" s="736">
        <v>22895</v>
      </c>
      <c r="D594" s="736">
        <v>35000</v>
      </c>
      <c r="E594" s="749">
        <v>35000</v>
      </c>
      <c r="F594" s="736">
        <v>18523</v>
      </c>
      <c r="G594" s="752">
        <v>36000</v>
      </c>
      <c r="H594" s="752"/>
      <c r="I594" s="752"/>
      <c r="J594" s="736">
        <f t="shared" si="207"/>
        <v>36000</v>
      </c>
      <c r="K594" s="752"/>
      <c r="L594" s="752"/>
      <c r="M594" s="736">
        <f t="shared" si="208"/>
        <v>36000</v>
      </c>
      <c r="N594" s="736"/>
      <c r="O594" s="736"/>
      <c r="P594" s="736">
        <f t="shared" si="209"/>
        <v>36000</v>
      </c>
      <c r="Q594" s="753">
        <v>0</v>
      </c>
      <c r="R594" s="738"/>
      <c r="S594" s="753">
        <v>36000</v>
      </c>
      <c r="T594" s="739">
        <v>1100121</v>
      </c>
      <c r="U594" s="744"/>
      <c r="V594" s="739">
        <v>1100122</v>
      </c>
    </row>
    <row r="595" spans="1:22" ht="15" x14ac:dyDescent="0.2">
      <c r="A595" s="734">
        <v>3121</v>
      </c>
      <c r="B595" s="735" t="s">
        <v>131</v>
      </c>
      <c r="C595" s="736">
        <v>1713.6</v>
      </c>
      <c r="D595" s="736">
        <v>10000</v>
      </c>
      <c r="E595" s="749">
        <v>10000</v>
      </c>
      <c r="F595" s="736">
        <v>2493.63</v>
      </c>
      <c r="G595" s="752">
        <v>5000</v>
      </c>
      <c r="H595" s="752"/>
      <c r="I595" s="752"/>
      <c r="J595" s="736">
        <f t="shared" si="207"/>
        <v>5000</v>
      </c>
      <c r="K595" s="752"/>
      <c r="L595" s="752"/>
      <c r="M595" s="736">
        <f t="shared" si="208"/>
        <v>5000</v>
      </c>
      <c r="N595" s="736"/>
      <c r="O595" s="736"/>
      <c r="P595" s="736">
        <f t="shared" si="209"/>
        <v>5000</v>
      </c>
      <c r="Q595" s="753">
        <v>5000</v>
      </c>
      <c r="R595" s="738">
        <v>3415.3</v>
      </c>
      <c r="S595" s="753">
        <v>5000</v>
      </c>
      <c r="T595" s="739">
        <v>1100121</v>
      </c>
      <c r="U595" s="754">
        <v>5000</v>
      </c>
      <c r="V595" s="741">
        <v>1100122</v>
      </c>
    </row>
    <row r="596" spans="1:22" ht="15" x14ac:dyDescent="0.2">
      <c r="A596" s="734">
        <v>3511</v>
      </c>
      <c r="B596" s="735" t="s">
        <v>49</v>
      </c>
      <c r="C596" s="736">
        <v>119390.62</v>
      </c>
      <c r="D596" s="736">
        <v>200000</v>
      </c>
      <c r="E596" s="749">
        <v>200000</v>
      </c>
      <c r="F596" s="736">
        <v>190362.92</v>
      </c>
      <c r="G596" s="752">
        <v>100000</v>
      </c>
      <c r="H596" s="752"/>
      <c r="I596" s="752"/>
      <c r="J596" s="736">
        <f t="shared" si="207"/>
        <v>100000</v>
      </c>
      <c r="K596" s="752"/>
      <c r="L596" s="752"/>
      <c r="M596" s="736">
        <f t="shared" si="208"/>
        <v>100000</v>
      </c>
      <c r="N596" s="736"/>
      <c r="O596" s="736"/>
      <c r="P596" s="736">
        <f t="shared" si="209"/>
        <v>100000</v>
      </c>
      <c r="Q596" s="753">
        <v>100000</v>
      </c>
      <c r="R596" s="738">
        <v>98069.63</v>
      </c>
      <c r="S596" s="753">
        <v>100000</v>
      </c>
      <c r="T596" s="739">
        <v>1100121</v>
      </c>
      <c r="U596" s="754">
        <v>100000</v>
      </c>
      <c r="V596" s="741">
        <v>1100122</v>
      </c>
    </row>
    <row r="597" spans="1:22" ht="15" x14ac:dyDescent="0.2">
      <c r="A597" s="734">
        <v>3611</v>
      </c>
      <c r="B597" s="735" t="s">
        <v>66</v>
      </c>
      <c r="C597" s="736">
        <v>8137.4</v>
      </c>
      <c r="D597" s="736">
        <v>10000</v>
      </c>
      <c r="E597" s="749">
        <v>10000</v>
      </c>
      <c r="F597" s="736">
        <v>9929.92</v>
      </c>
      <c r="G597" s="752">
        <v>10000</v>
      </c>
      <c r="H597" s="752"/>
      <c r="I597" s="752"/>
      <c r="J597" s="736">
        <f t="shared" si="207"/>
        <v>10000</v>
      </c>
      <c r="K597" s="752"/>
      <c r="L597" s="752"/>
      <c r="M597" s="736">
        <f t="shared" si="208"/>
        <v>10000</v>
      </c>
      <c r="N597" s="736"/>
      <c r="O597" s="736"/>
      <c r="P597" s="736">
        <f t="shared" si="209"/>
        <v>10000</v>
      </c>
      <c r="Q597" s="753">
        <v>10000</v>
      </c>
      <c r="R597" s="738">
        <v>1763.41</v>
      </c>
      <c r="S597" s="753">
        <v>10000</v>
      </c>
      <c r="T597" s="739">
        <v>1100121</v>
      </c>
      <c r="U597" s="754">
        <v>10000</v>
      </c>
      <c r="V597" s="741">
        <v>1100122</v>
      </c>
    </row>
    <row r="598" spans="1:22" ht="15" x14ac:dyDescent="0.2">
      <c r="A598" s="734">
        <v>3821</v>
      </c>
      <c r="B598" s="735" t="s">
        <v>31</v>
      </c>
      <c r="C598" s="736">
        <v>97956.81</v>
      </c>
      <c r="D598" s="736">
        <v>150000</v>
      </c>
      <c r="E598" s="749">
        <v>150000</v>
      </c>
      <c r="F598" s="736">
        <v>70538.179999999993</v>
      </c>
      <c r="G598" s="752">
        <v>150000</v>
      </c>
      <c r="H598" s="752"/>
      <c r="I598" s="752"/>
      <c r="J598" s="736">
        <f t="shared" si="207"/>
        <v>150000</v>
      </c>
      <c r="K598" s="752"/>
      <c r="L598" s="752"/>
      <c r="M598" s="736">
        <f t="shared" si="208"/>
        <v>150000</v>
      </c>
      <c r="N598" s="736"/>
      <c r="O598" s="736"/>
      <c r="P598" s="736">
        <f t="shared" si="209"/>
        <v>150000</v>
      </c>
      <c r="Q598" s="753">
        <v>105000</v>
      </c>
      <c r="R598" s="738">
        <v>79830.62</v>
      </c>
      <c r="S598" s="753">
        <v>150000</v>
      </c>
      <c r="T598" s="739">
        <v>1100121</v>
      </c>
      <c r="U598" s="754">
        <v>150000</v>
      </c>
      <c r="V598" s="741">
        <v>1100122</v>
      </c>
    </row>
    <row r="599" spans="1:22" ht="15" x14ac:dyDescent="0.2">
      <c r="A599" s="739">
        <v>5111</v>
      </c>
      <c r="B599" s="743" t="s">
        <v>35</v>
      </c>
      <c r="C599" s="736"/>
      <c r="D599" s="736">
        <v>100000</v>
      </c>
      <c r="E599" s="749">
        <v>38000</v>
      </c>
      <c r="F599" s="736">
        <v>0</v>
      </c>
      <c r="G599" s="736"/>
      <c r="H599" s="736"/>
      <c r="I599" s="736"/>
      <c r="J599" s="736">
        <f t="shared" si="207"/>
        <v>0</v>
      </c>
      <c r="K599" s="736"/>
      <c r="L599" s="736"/>
      <c r="M599" s="736">
        <f t="shared" si="208"/>
        <v>0</v>
      </c>
      <c r="N599" s="736"/>
      <c r="O599" s="736"/>
      <c r="P599" s="738">
        <f t="shared" si="209"/>
        <v>0</v>
      </c>
      <c r="Q599" s="738"/>
      <c r="R599" s="738"/>
      <c r="S599" s="738"/>
      <c r="T599" s="739">
        <v>1100121</v>
      </c>
      <c r="U599" s="745"/>
      <c r="V599" s="739">
        <v>1100122</v>
      </c>
    </row>
    <row r="600" spans="1:22" ht="15" x14ac:dyDescent="0.2">
      <c r="A600" s="739">
        <v>5191</v>
      </c>
      <c r="B600" s="743" t="s">
        <v>69</v>
      </c>
      <c r="C600" s="736"/>
      <c r="D600" s="736">
        <v>100000</v>
      </c>
      <c r="E600" s="749">
        <v>70000</v>
      </c>
      <c r="F600" s="736">
        <v>66000</v>
      </c>
      <c r="G600" s="752">
        <v>20000</v>
      </c>
      <c r="H600" s="752"/>
      <c r="I600" s="752"/>
      <c r="J600" s="736">
        <f t="shared" si="207"/>
        <v>20000</v>
      </c>
      <c r="K600" s="752"/>
      <c r="L600" s="752">
        <v>20000</v>
      </c>
      <c r="M600" s="736">
        <f t="shared" si="208"/>
        <v>0</v>
      </c>
      <c r="N600" s="736"/>
      <c r="O600" s="736"/>
      <c r="P600" s="738">
        <f t="shared" si="209"/>
        <v>0</v>
      </c>
      <c r="Q600" s="753"/>
      <c r="R600" s="738"/>
      <c r="S600" s="753"/>
      <c r="T600" s="739">
        <v>1500521</v>
      </c>
      <c r="U600" s="745"/>
      <c r="V600" s="739">
        <v>1500522</v>
      </c>
    </row>
    <row r="601" spans="1:22" ht="15" x14ac:dyDescent="0.2">
      <c r="A601" s="739">
        <v>5192</v>
      </c>
      <c r="B601" s="743" t="s">
        <v>1724</v>
      </c>
      <c r="C601" s="736"/>
      <c r="D601" s="736">
        <v>18000</v>
      </c>
      <c r="E601" s="749">
        <v>18000</v>
      </c>
      <c r="F601" s="736">
        <v>12000.98</v>
      </c>
      <c r="G601" s="736"/>
      <c r="H601" s="736"/>
      <c r="I601" s="736"/>
      <c r="J601" s="736">
        <f t="shared" si="207"/>
        <v>0</v>
      </c>
      <c r="K601" s="736"/>
      <c r="L601" s="736"/>
      <c r="M601" s="736">
        <f t="shared" si="208"/>
        <v>0</v>
      </c>
      <c r="N601" s="736"/>
      <c r="O601" s="736"/>
      <c r="P601" s="738">
        <f t="shared" si="209"/>
        <v>0</v>
      </c>
      <c r="Q601" s="738"/>
      <c r="R601" s="738"/>
      <c r="S601" s="738"/>
      <c r="T601" s="739">
        <v>1100121</v>
      </c>
      <c r="U601" s="745"/>
      <c r="V601" s="739">
        <v>1100122</v>
      </c>
    </row>
    <row r="602" spans="1:22" ht="15" x14ac:dyDescent="0.2">
      <c r="A602" s="739">
        <v>5211</v>
      </c>
      <c r="B602" s="743" t="s">
        <v>71</v>
      </c>
      <c r="C602" s="736"/>
      <c r="D602" s="736">
        <v>20000</v>
      </c>
      <c r="E602" s="749">
        <v>20000</v>
      </c>
      <c r="F602" s="736">
        <v>19160.03</v>
      </c>
      <c r="G602" s="736"/>
      <c r="H602" s="736"/>
      <c r="I602" s="736"/>
      <c r="J602" s="736">
        <f t="shared" si="207"/>
        <v>0</v>
      </c>
      <c r="K602" s="736"/>
      <c r="L602" s="736"/>
      <c r="M602" s="736">
        <f t="shared" si="208"/>
        <v>0</v>
      </c>
      <c r="N602" s="736"/>
      <c r="O602" s="736"/>
      <c r="P602" s="738">
        <f t="shared" si="209"/>
        <v>0</v>
      </c>
      <c r="Q602" s="738"/>
      <c r="R602" s="738"/>
      <c r="S602" s="738"/>
      <c r="T602" s="739">
        <v>1100121</v>
      </c>
      <c r="U602" s="745"/>
      <c r="V602" s="739">
        <v>1100122</v>
      </c>
    </row>
    <row r="603" spans="1:22" ht="15" x14ac:dyDescent="0.2">
      <c r="A603" s="739">
        <v>5621</v>
      </c>
      <c r="B603" s="743" t="s">
        <v>1725</v>
      </c>
      <c r="C603" s="736"/>
      <c r="D603" s="736"/>
      <c r="E603" s="749"/>
      <c r="F603" s="736"/>
      <c r="G603" s="736"/>
      <c r="H603" s="736"/>
      <c r="I603" s="736"/>
      <c r="J603" s="736"/>
      <c r="K603" s="736"/>
      <c r="L603" s="736"/>
      <c r="M603" s="736"/>
      <c r="N603" s="736"/>
      <c r="O603" s="736"/>
      <c r="P603" s="738"/>
      <c r="Q603" s="738"/>
      <c r="R603" s="738"/>
      <c r="S603" s="738">
        <v>50000</v>
      </c>
      <c r="T603" s="739"/>
      <c r="U603" s="744"/>
      <c r="V603" s="739"/>
    </row>
    <row r="604" spans="1:22" ht="15" x14ac:dyDescent="0.2">
      <c r="A604" s="739">
        <v>5651</v>
      </c>
      <c r="B604" s="743" t="s">
        <v>1726</v>
      </c>
      <c r="C604" s="736"/>
      <c r="D604" s="736"/>
      <c r="E604" s="749"/>
      <c r="F604" s="736"/>
      <c r="G604" s="736"/>
      <c r="H604" s="736"/>
      <c r="I604" s="736"/>
      <c r="J604" s="736"/>
      <c r="K604" s="736"/>
      <c r="L604" s="736"/>
      <c r="M604" s="736"/>
      <c r="N604" s="736"/>
      <c r="O604" s="736"/>
      <c r="P604" s="738"/>
      <c r="Q604" s="738"/>
      <c r="R604" s="738"/>
      <c r="S604" s="738">
        <v>25000</v>
      </c>
      <c r="T604" s="739"/>
      <c r="U604" s="744"/>
      <c r="V604" s="739"/>
    </row>
    <row r="605" spans="1:22" ht="15" x14ac:dyDescent="0.2">
      <c r="A605" s="739">
        <v>5641</v>
      </c>
      <c r="B605" s="743" t="s">
        <v>124</v>
      </c>
      <c r="C605" s="736"/>
      <c r="D605" s="736">
        <v>50000</v>
      </c>
      <c r="E605" s="749">
        <v>10000</v>
      </c>
      <c r="F605" s="736">
        <v>9550</v>
      </c>
      <c r="G605" s="736"/>
      <c r="H605" s="736"/>
      <c r="I605" s="736"/>
      <c r="J605" s="736">
        <f t="shared" ref="J605:J607" si="210">G605+H605-I605</f>
        <v>0</v>
      </c>
      <c r="K605" s="736"/>
      <c r="L605" s="736"/>
      <c r="M605" s="736">
        <f t="shared" ref="M605:M607" si="211">J605+K605-L605</f>
        <v>0</v>
      </c>
      <c r="N605" s="736"/>
      <c r="O605" s="736"/>
      <c r="P605" s="738">
        <f t="shared" ref="P605:P607" si="212">M605+N605-O605</f>
        <v>0</v>
      </c>
      <c r="Q605" s="738"/>
      <c r="R605" s="738"/>
      <c r="S605" s="738"/>
      <c r="T605" s="739">
        <v>1100121</v>
      </c>
      <c r="U605" s="745"/>
      <c r="V605" s="739">
        <v>1100122</v>
      </c>
    </row>
    <row r="606" spans="1:22" ht="15" x14ac:dyDescent="0.2">
      <c r="A606" s="739">
        <v>5662</v>
      </c>
      <c r="B606" s="743" t="s">
        <v>1727</v>
      </c>
      <c r="C606" s="736"/>
      <c r="D606" s="736">
        <v>7000</v>
      </c>
      <c r="E606" s="749">
        <v>7000</v>
      </c>
      <c r="F606" s="736">
        <v>0</v>
      </c>
      <c r="G606" s="752">
        <v>7000</v>
      </c>
      <c r="H606" s="752"/>
      <c r="I606" s="752"/>
      <c r="J606" s="736">
        <f t="shared" si="210"/>
        <v>7000</v>
      </c>
      <c r="K606" s="752"/>
      <c r="L606" s="752"/>
      <c r="M606" s="736">
        <f t="shared" si="211"/>
        <v>7000</v>
      </c>
      <c r="N606" s="736"/>
      <c r="O606" s="736"/>
      <c r="P606" s="736">
        <f t="shared" si="212"/>
        <v>7000</v>
      </c>
      <c r="Q606" s="753">
        <v>7000</v>
      </c>
      <c r="R606" s="738">
        <v>7000</v>
      </c>
      <c r="S606" s="753">
        <v>20000</v>
      </c>
      <c r="T606" s="739">
        <v>1500521</v>
      </c>
      <c r="U606" s="744"/>
      <c r="V606" s="739">
        <v>1500522</v>
      </c>
    </row>
    <row r="607" spans="1:22" ht="15" x14ac:dyDescent="0.2">
      <c r="A607" s="739">
        <v>5671</v>
      </c>
      <c r="B607" s="743" t="s">
        <v>1728</v>
      </c>
      <c r="C607" s="736"/>
      <c r="D607" s="736">
        <v>30000</v>
      </c>
      <c r="E607" s="749">
        <v>30000</v>
      </c>
      <c r="F607" s="736">
        <v>19210.18</v>
      </c>
      <c r="G607" s="752">
        <v>30000</v>
      </c>
      <c r="H607" s="752"/>
      <c r="I607" s="752"/>
      <c r="J607" s="736">
        <f t="shared" si="210"/>
        <v>30000</v>
      </c>
      <c r="K607" s="752"/>
      <c r="L607" s="752"/>
      <c r="M607" s="736">
        <f t="shared" si="211"/>
        <v>30000</v>
      </c>
      <c r="N607" s="736"/>
      <c r="O607" s="736"/>
      <c r="P607" s="736">
        <f t="shared" si="212"/>
        <v>30000</v>
      </c>
      <c r="Q607" s="753">
        <v>30000</v>
      </c>
      <c r="R607" s="738">
        <v>22713.03</v>
      </c>
      <c r="S607" s="753">
        <v>30000</v>
      </c>
      <c r="T607" s="739">
        <v>1500521</v>
      </c>
      <c r="U607" s="744"/>
      <c r="V607" s="739">
        <v>1500522</v>
      </c>
    </row>
    <row r="608" spans="1:22" ht="15" x14ac:dyDescent="0.2">
      <c r="A608" s="739">
        <v>5691</v>
      </c>
      <c r="B608" s="743" t="s">
        <v>1713</v>
      </c>
      <c r="C608" s="736"/>
      <c r="D608" s="736"/>
      <c r="E608" s="749"/>
      <c r="F608" s="736"/>
      <c r="G608" s="752"/>
      <c r="H608" s="752"/>
      <c r="I608" s="752"/>
      <c r="J608" s="736"/>
      <c r="K608" s="752"/>
      <c r="L608" s="752"/>
      <c r="M608" s="736"/>
      <c r="N608" s="736"/>
      <c r="O608" s="736"/>
      <c r="P608" s="736"/>
      <c r="Q608" s="753"/>
      <c r="R608" s="738"/>
      <c r="S608" s="753"/>
      <c r="T608" s="739"/>
      <c r="U608" s="744"/>
      <c r="V608" s="739"/>
    </row>
    <row r="609" spans="1:22" ht="15" x14ac:dyDescent="0.2">
      <c r="A609" s="728" t="s">
        <v>1113</v>
      </c>
      <c r="B609" s="810" t="s">
        <v>1553</v>
      </c>
      <c r="C609" s="811">
        <f t="shared" ref="C609:P609" si="213">SUM(C610:C611)</f>
        <v>15188874.199999999</v>
      </c>
      <c r="D609" s="811">
        <f t="shared" si="213"/>
        <v>16473122.770000001</v>
      </c>
      <c r="E609" s="811">
        <f t="shared" si="213"/>
        <v>16682231.189999999</v>
      </c>
      <c r="F609" s="811">
        <f t="shared" si="213"/>
        <v>16534218.350000001</v>
      </c>
      <c r="G609" s="811">
        <f t="shared" si="213"/>
        <v>16736141</v>
      </c>
      <c r="H609" s="811">
        <f t="shared" si="213"/>
        <v>0</v>
      </c>
      <c r="I609" s="811">
        <f t="shared" si="213"/>
        <v>0</v>
      </c>
      <c r="J609" s="811">
        <f t="shared" si="213"/>
        <v>16736141</v>
      </c>
      <c r="K609" s="811">
        <f t="shared" si="213"/>
        <v>1574333.84</v>
      </c>
      <c r="L609" s="811">
        <f t="shared" si="213"/>
        <v>0</v>
      </c>
      <c r="M609" s="811">
        <f t="shared" si="213"/>
        <v>0</v>
      </c>
      <c r="N609" s="811">
        <f t="shared" si="213"/>
        <v>345300</v>
      </c>
      <c r="O609" s="811">
        <f t="shared" si="213"/>
        <v>0</v>
      </c>
      <c r="P609" s="812">
        <f t="shared" si="213"/>
        <v>18655774.84</v>
      </c>
      <c r="Q609" s="812">
        <f>+Q610</f>
        <v>0</v>
      </c>
      <c r="R609" s="812">
        <f t="shared" ref="R609:S609" si="214">+R610</f>
        <v>0</v>
      </c>
      <c r="S609" s="812">
        <f t="shared" si="214"/>
        <v>0</v>
      </c>
      <c r="T609" s="809"/>
      <c r="U609" s="814">
        <f>+U610</f>
        <v>80000</v>
      </c>
      <c r="V609" s="837"/>
    </row>
    <row r="610" spans="1:22" ht="15" x14ac:dyDescent="0.2">
      <c r="A610" s="734">
        <v>5211</v>
      </c>
      <c r="B610" s="735" t="s">
        <v>1729</v>
      </c>
      <c r="C610" s="736"/>
      <c r="D610" s="736"/>
      <c r="E610" s="749"/>
      <c r="F610" s="736"/>
      <c r="G610" s="752"/>
      <c r="H610" s="752"/>
      <c r="I610" s="752"/>
      <c r="J610" s="736"/>
      <c r="K610" s="752"/>
      <c r="L610" s="752"/>
      <c r="M610" s="736"/>
      <c r="N610" s="736"/>
      <c r="O610" s="736"/>
      <c r="P610" s="736"/>
      <c r="Q610" s="753"/>
      <c r="R610" s="738"/>
      <c r="S610" s="753"/>
      <c r="T610" s="739"/>
      <c r="U610" s="746">
        <v>80000</v>
      </c>
      <c r="V610" s="741">
        <v>1100122</v>
      </c>
    </row>
    <row r="611" spans="1:22" ht="15" x14ac:dyDescent="0.2">
      <c r="A611" s="728" t="s">
        <v>1110</v>
      </c>
      <c r="B611" s="816" t="s">
        <v>1554</v>
      </c>
      <c r="C611" s="811">
        <f t="shared" ref="C611:L611" si="215">SUM(C612:C616)</f>
        <v>15188874.199999999</v>
      </c>
      <c r="D611" s="811">
        <f t="shared" si="215"/>
        <v>16473122.770000001</v>
      </c>
      <c r="E611" s="811">
        <f t="shared" si="215"/>
        <v>16682231.189999999</v>
      </c>
      <c r="F611" s="811">
        <f t="shared" si="215"/>
        <v>16534218.350000001</v>
      </c>
      <c r="G611" s="811">
        <f t="shared" si="215"/>
        <v>16736141</v>
      </c>
      <c r="H611" s="811">
        <f t="shared" si="215"/>
        <v>0</v>
      </c>
      <c r="I611" s="811">
        <f t="shared" si="215"/>
        <v>0</v>
      </c>
      <c r="J611" s="811">
        <f t="shared" si="215"/>
        <v>16736141</v>
      </c>
      <c r="K611" s="811">
        <f t="shared" si="215"/>
        <v>1574333.84</v>
      </c>
      <c r="L611" s="811">
        <f t="shared" si="215"/>
        <v>0</v>
      </c>
      <c r="M611" s="811"/>
      <c r="N611" s="811">
        <f>SUM(N612:N616)</f>
        <v>345300</v>
      </c>
      <c r="O611" s="811">
        <f>SUM(O612:O616)</f>
        <v>0</v>
      </c>
      <c r="P611" s="812">
        <f>SUM(P612:P616)</f>
        <v>18655774.84</v>
      </c>
      <c r="Q611" s="812">
        <f>SUM(Q612:Q615)</f>
        <v>0</v>
      </c>
      <c r="R611" s="812">
        <f t="shared" ref="R611:S611" si="216">SUM(R612:R615)</f>
        <v>0</v>
      </c>
      <c r="S611" s="812">
        <f t="shared" si="216"/>
        <v>0</v>
      </c>
      <c r="T611" s="809"/>
      <c r="U611" s="814">
        <f>SUM(U612:U615)</f>
        <v>220000</v>
      </c>
      <c r="V611" s="837"/>
    </row>
    <row r="612" spans="1:22" ht="15" x14ac:dyDescent="0.2">
      <c r="A612" s="739">
        <v>4411</v>
      </c>
      <c r="B612" s="806" t="s">
        <v>34</v>
      </c>
      <c r="C612" s="736"/>
      <c r="D612" s="736"/>
      <c r="E612" s="749"/>
      <c r="F612" s="736"/>
      <c r="G612" s="752"/>
      <c r="H612" s="752"/>
      <c r="I612" s="752"/>
      <c r="J612" s="736"/>
      <c r="K612" s="752"/>
      <c r="L612" s="752"/>
      <c r="M612" s="736"/>
      <c r="N612" s="736"/>
      <c r="O612" s="736"/>
      <c r="P612" s="736"/>
      <c r="Q612" s="753"/>
      <c r="R612" s="738"/>
      <c r="S612" s="753"/>
      <c r="T612" s="739"/>
      <c r="U612" s="744">
        <v>0</v>
      </c>
      <c r="V612" s="739"/>
    </row>
    <row r="613" spans="1:22" ht="15" x14ac:dyDescent="0.2">
      <c r="A613" s="734">
        <v>2411</v>
      </c>
      <c r="B613" s="762" t="s">
        <v>130</v>
      </c>
      <c r="C613" s="736"/>
      <c r="D613" s="736"/>
      <c r="E613" s="749"/>
      <c r="F613" s="736"/>
      <c r="G613" s="752"/>
      <c r="H613" s="752"/>
      <c r="I613" s="752"/>
      <c r="J613" s="736"/>
      <c r="K613" s="752"/>
      <c r="L613" s="752"/>
      <c r="M613" s="736"/>
      <c r="N613" s="736"/>
      <c r="O613" s="736"/>
      <c r="P613" s="736"/>
      <c r="Q613" s="753"/>
      <c r="R613" s="738"/>
      <c r="S613" s="753"/>
      <c r="T613" s="739">
        <v>1100121</v>
      </c>
      <c r="U613" s="746">
        <v>100000</v>
      </c>
      <c r="V613" s="741">
        <v>1100122</v>
      </c>
    </row>
    <row r="614" spans="1:22" ht="15" x14ac:dyDescent="0.2">
      <c r="A614" s="734">
        <v>2421</v>
      </c>
      <c r="B614" s="762" t="s">
        <v>111</v>
      </c>
      <c r="C614" s="736"/>
      <c r="D614" s="736"/>
      <c r="E614" s="749"/>
      <c r="F614" s="736"/>
      <c r="G614" s="752"/>
      <c r="H614" s="752"/>
      <c r="I614" s="752"/>
      <c r="J614" s="736"/>
      <c r="K614" s="752"/>
      <c r="L614" s="752"/>
      <c r="M614" s="736"/>
      <c r="N614" s="736"/>
      <c r="O614" s="736"/>
      <c r="P614" s="736"/>
      <c r="Q614" s="753"/>
      <c r="R614" s="738"/>
      <c r="S614" s="753"/>
      <c r="T614" s="739">
        <v>1100121</v>
      </c>
      <c r="U614" s="746">
        <v>100000</v>
      </c>
      <c r="V614" s="741">
        <v>1100122</v>
      </c>
    </row>
    <row r="615" spans="1:22" ht="15" x14ac:dyDescent="0.2">
      <c r="A615" s="734">
        <v>2431</v>
      </c>
      <c r="B615" s="735" t="s">
        <v>1722</v>
      </c>
      <c r="C615" s="736"/>
      <c r="D615" s="736"/>
      <c r="E615" s="749"/>
      <c r="F615" s="736"/>
      <c r="G615" s="752"/>
      <c r="H615" s="752"/>
      <c r="I615" s="752"/>
      <c r="J615" s="736"/>
      <c r="K615" s="752"/>
      <c r="L615" s="752"/>
      <c r="M615" s="736"/>
      <c r="N615" s="736"/>
      <c r="O615" s="736"/>
      <c r="P615" s="736"/>
      <c r="Q615" s="753"/>
      <c r="R615" s="738"/>
      <c r="S615" s="753"/>
      <c r="T615" s="739">
        <v>1100121</v>
      </c>
      <c r="U615" s="838">
        <v>20000</v>
      </c>
      <c r="V615" s="741">
        <v>1100122</v>
      </c>
    </row>
    <row r="616" spans="1:22" ht="15" x14ac:dyDescent="0.2">
      <c r="A616" s="724" t="s">
        <v>132</v>
      </c>
      <c r="B616" s="725" t="s">
        <v>133</v>
      </c>
      <c r="C616" s="721">
        <f t="shared" ref="C616:S616" si="217">SUM(C617+C620+C622+C624+C627+C656)</f>
        <v>15188874.199999999</v>
      </c>
      <c r="D616" s="721">
        <f t="shared" si="217"/>
        <v>16473122.770000001</v>
      </c>
      <c r="E616" s="721">
        <f t="shared" si="217"/>
        <v>16682231.189999999</v>
      </c>
      <c r="F616" s="721">
        <f t="shared" si="217"/>
        <v>16534218.350000001</v>
      </c>
      <c r="G616" s="721">
        <f t="shared" si="217"/>
        <v>16736141</v>
      </c>
      <c r="H616" s="721">
        <f t="shared" si="217"/>
        <v>0</v>
      </c>
      <c r="I616" s="721">
        <f t="shared" si="217"/>
        <v>0</v>
      </c>
      <c r="J616" s="721">
        <f t="shared" si="217"/>
        <v>16736141</v>
      </c>
      <c r="K616" s="721">
        <f t="shared" si="217"/>
        <v>1574333.84</v>
      </c>
      <c r="L616" s="721">
        <f t="shared" si="217"/>
        <v>0</v>
      </c>
      <c r="M616" s="721">
        <f t="shared" si="217"/>
        <v>18310474.84</v>
      </c>
      <c r="N616" s="721">
        <f t="shared" si="217"/>
        <v>345300</v>
      </c>
      <c r="O616" s="721">
        <f t="shared" si="217"/>
        <v>0</v>
      </c>
      <c r="P616" s="721">
        <f t="shared" si="217"/>
        <v>18655774.84</v>
      </c>
      <c r="Q616" s="756">
        <f t="shared" si="217"/>
        <v>18491503.59</v>
      </c>
      <c r="R616" s="756">
        <f t="shared" si="217"/>
        <v>11755553.949999999</v>
      </c>
      <c r="S616" s="756">
        <f t="shared" si="217"/>
        <v>19880302.73</v>
      </c>
      <c r="T616" s="724"/>
      <c r="U616" s="726">
        <f t="shared" ref="U616" si="218">SUM(U617+U620+U622+U624+U627+U656)</f>
        <v>18121480.449999999</v>
      </c>
      <c r="V616" s="727"/>
    </row>
    <row r="617" spans="1:22" ht="15" x14ac:dyDescent="0.2">
      <c r="A617" s="728" t="s">
        <v>1730</v>
      </c>
      <c r="B617" s="729" t="s">
        <v>1731</v>
      </c>
      <c r="C617" s="730">
        <f t="shared" ref="C617:S617" si="219">SUM(C618:C619)</f>
        <v>932479.29</v>
      </c>
      <c r="D617" s="730">
        <f t="shared" si="219"/>
        <v>1000000</v>
      </c>
      <c r="E617" s="730">
        <f t="shared" si="219"/>
        <v>1000000</v>
      </c>
      <c r="F617" s="730">
        <f t="shared" si="219"/>
        <v>979451</v>
      </c>
      <c r="G617" s="730">
        <f t="shared" si="219"/>
        <v>0</v>
      </c>
      <c r="H617" s="730">
        <f t="shared" si="219"/>
        <v>0</v>
      </c>
      <c r="I617" s="730">
        <f t="shared" si="219"/>
        <v>0</v>
      </c>
      <c r="J617" s="730">
        <f t="shared" si="219"/>
        <v>0</v>
      </c>
      <c r="K617" s="730">
        <f t="shared" si="219"/>
        <v>0</v>
      </c>
      <c r="L617" s="730">
        <f t="shared" si="219"/>
        <v>0</v>
      </c>
      <c r="M617" s="730">
        <f t="shared" si="219"/>
        <v>0</v>
      </c>
      <c r="N617" s="730">
        <f t="shared" si="219"/>
        <v>0</v>
      </c>
      <c r="O617" s="730">
        <f t="shared" si="219"/>
        <v>0</v>
      </c>
      <c r="P617" s="748">
        <f t="shared" si="219"/>
        <v>0</v>
      </c>
      <c r="Q617" s="748">
        <f t="shared" si="219"/>
        <v>0</v>
      </c>
      <c r="R617" s="748">
        <f t="shared" si="219"/>
        <v>0</v>
      </c>
      <c r="S617" s="748">
        <f t="shared" si="219"/>
        <v>0</v>
      </c>
      <c r="T617" s="731"/>
      <c r="U617" s="732">
        <f t="shared" ref="U617" si="220">SUM(U618:U619)</f>
        <v>0</v>
      </c>
      <c r="V617" s="728"/>
    </row>
    <row r="618" spans="1:22" ht="15" x14ac:dyDescent="0.2">
      <c r="A618" s="739">
        <v>4431</v>
      </c>
      <c r="B618" s="743" t="s">
        <v>134</v>
      </c>
      <c r="C618" s="736">
        <v>932479.29</v>
      </c>
      <c r="D618" s="736">
        <v>0</v>
      </c>
      <c r="E618" s="749">
        <v>1000000</v>
      </c>
      <c r="F618" s="736">
        <v>979451</v>
      </c>
      <c r="G618" s="736"/>
      <c r="H618" s="736"/>
      <c r="I618" s="736"/>
      <c r="J618" s="736">
        <f t="shared" ref="J618:J619" si="221">G618+H618-I618</f>
        <v>0</v>
      </c>
      <c r="K618" s="736"/>
      <c r="L618" s="736"/>
      <c r="M618" s="736">
        <f t="shared" ref="M618:M619" si="222">J618+K618-L618</f>
        <v>0</v>
      </c>
      <c r="N618" s="736"/>
      <c r="O618" s="736"/>
      <c r="P618" s="738">
        <f t="shared" ref="P618:P619" si="223">M618+N618-O618</f>
        <v>0</v>
      </c>
      <c r="Q618" s="738"/>
      <c r="R618" s="738"/>
      <c r="S618" s="738"/>
      <c r="T618" s="739">
        <v>1100121</v>
      </c>
      <c r="U618" s="745"/>
      <c r="V618" s="739">
        <v>1100122</v>
      </c>
    </row>
    <row r="619" spans="1:22" ht="15" x14ac:dyDescent="0.2">
      <c r="A619" s="739">
        <v>4431</v>
      </c>
      <c r="B619" s="743" t="s">
        <v>134</v>
      </c>
      <c r="C619" s="736"/>
      <c r="D619" s="736">
        <v>1000000</v>
      </c>
      <c r="E619" s="736"/>
      <c r="F619" s="736">
        <v>0</v>
      </c>
      <c r="G619" s="736"/>
      <c r="H619" s="736"/>
      <c r="I619" s="736"/>
      <c r="J619" s="736">
        <f t="shared" si="221"/>
        <v>0</v>
      </c>
      <c r="K619" s="736"/>
      <c r="L619" s="736"/>
      <c r="M619" s="736">
        <f t="shared" si="222"/>
        <v>0</v>
      </c>
      <c r="N619" s="736"/>
      <c r="O619" s="736"/>
      <c r="P619" s="738">
        <f t="shared" si="223"/>
        <v>0</v>
      </c>
      <c r="Q619" s="738"/>
      <c r="R619" s="738"/>
      <c r="S619" s="738"/>
      <c r="T619" s="739">
        <v>2510121</v>
      </c>
      <c r="U619" s="745"/>
      <c r="V619" s="739">
        <v>2510122</v>
      </c>
    </row>
    <row r="620" spans="1:22" ht="15" x14ac:dyDescent="0.2">
      <c r="A620" s="728" t="s">
        <v>135</v>
      </c>
      <c r="B620" s="729" t="s">
        <v>1537</v>
      </c>
      <c r="C620" s="730">
        <f t="shared" ref="C620:S620" si="224">SUM(C621)</f>
        <v>1944000</v>
      </c>
      <c r="D620" s="730">
        <f t="shared" si="224"/>
        <v>2000000</v>
      </c>
      <c r="E620" s="730">
        <f t="shared" si="224"/>
        <v>1952400</v>
      </c>
      <c r="F620" s="730">
        <f t="shared" si="224"/>
        <v>1945200</v>
      </c>
      <c r="G620" s="730">
        <f t="shared" si="224"/>
        <v>2000000</v>
      </c>
      <c r="H620" s="730">
        <f t="shared" si="224"/>
        <v>0</v>
      </c>
      <c r="I620" s="730">
        <f t="shared" si="224"/>
        <v>0</v>
      </c>
      <c r="J620" s="730">
        <f t="shared" si="224"/>
        <v>2000000</v>
      </c>
      <c r="K620" s="730">
        <f t="shared" si="224"/>
        <v>0</v>
      </c>
      <c r="L620" s="730">
        <f t="shared" si="224"/>
        <v>0</v>
      </c>
      <c r="M620" s="730">
        <f t="shared" si="224"/>
        <v>2000000</v>
      </c>
      <c r="N620" s="730">
        <f t="shared" si="224"/>
        <v>345300</v>
      </c>
      <c r="O620" s="730">
        <f t="shared" si="224"/>
        <v>0</v>
      </c>
      <c r="P620" s="730">
        <f t="shared" si="224"/>
        <v>2345300</v>
      </c>
      <c r="Q620" s="748">
        <f t="shared" si="224"/>
        <v>1987200</v>
      </c>
      <c r="R620" s="748">
        <f t="shared" si="224"/>
        <v>1987200</v>
      </c>
      <c r="S620" s="748">
        <f t="shared" si="224"/>
        <v>2000000</v>
      </c>
      <c r="T620" s="731"/>
      <c r="U620" s="732">
        <f t="shared" ref="U620" si="225">SUM(U621)</f>
        <v>2000000</v>
      </c>
      <c r="V620" s="733"/>
    </row>
    <row r="621" spans="1:22" ht="15" x14ac:dyDescent="0.2">
      <c r="A621" s="734">
        <v>4421</v>
      </c>
      <c r="B621" s="735" t="s">
        <v>136</v>
      </c>
      <c r="C621" s="736">
        <v>1944000</v>
      </c>
      <c r="D621" s="736">
        <v>2000000</v>
      </c>
      <c r="E621" s="749">
        <v>1952400</v>
      </c>
      <c r="F621" s="736">
        <v>1945200</v>
      </c>
      <c r="G621" s="752">
        <v>2000000</v>
      </c>
      <c r="H621" s="752"/>
      <c r="I621" s="752"/>
      <c r="J621" s="736">
        <f>G621+H621-I621</f>
        <v>2000000</v>
      </c>
      <c r="K621" s="752"/>
      <c r="L621" s="752"/>
      <c r="M621" s="736">
        <f>J621+K621-L621</f>
        <v>2000000</v>
      </c>
      <c r="N621" s="736">
        <v>345300</v>
      </c>
      <c r="O621" s="736"/>
      <c r="P621" s="736">
        <f>M621+N621-O621</f>
        <v>2345300</v>
      </c>
      <c r="Q621" s="753">
        <v>1987200</v>
      </c>
      <c r="R621" s="738">
        <v>1987200</v>
      </c>
      <c r="S621" s="753">
        <v>2000000</v>
      </c>
      <c r="T621" s="739">
        <v>1100121</v>
      </c>
      <c r="U621" s="754">
        <v>2000000</v>
      </c>
      <c r="V621" s="741">
        <v>1100122</v>
      </c>
    </row>
    <row r="622" spans="1:22" ht="15" x14ac:dyDescent="0.2">
      <c r="A622" s="728" t="s">
        <v>137</v>
      </c>
      <c r="B622" s="729" t="s">
        <v>1538</v>
      </c>
      <c r="C622" s="730">
        <f t="shared" ref="C622:D622" si="226">SUM(C623)</f>
        <v>761440.59</v>
      </c>
      <c r="D622" s="730">
        <f t="shared" si="226"/>
        <v>1000000</v>
      </c>
      <c r="E622" s="730">
        <f>E623</f>
        <v>1027700</v>
      </c>
      <c r="F622" s="730">
        <f t="shared" ref="F622:S622" si="227">SUM(F623)</f>
        <v>890499.12</v>
      </c>
      <c r="G622" s="730">
        <f t="shared" si="227"/>
        <v>1000000</v>
      </c>
      <c r="H622" s="730">
        <f t="shared" si="227"/>
        <v>0</v>
      </c>
      <c r="I622" s="730">
        <f t="shared" si="227"/>
        <v>0</v>
      </c>
      <c r="J622" s="730">
        <f t="shared" si="227"/>
        <v>1000000</v>
      </c>
      <c r="K622" s="730">
        <f t="shared" si="227"/>
        <v>0</v>
      </c>
      <c r="L622" s="730">
        <f t="shared" si="227"/>
        <v>0</v>
      </c>
      <c r="M622" s="730">
        <f t="shared" si="227"/>
        <v>1000000</v>
      </c>
      <c r="N622" s="730">
        <f t="shared" si="227"/>
        <v>0</v>
      </c>
      <c r="O622" s="730">
        <f t="shared" si="227"/>
        <v>0</v>
      </c>
      <c r="P622" s="730">
        <f t="shared" si="227"/>
        <v>1000000</v>
      </c>
      <c r="Q622" s="748">
        <f t="shared" si="227"/>
        <v>1000000</v>
      </c>
      <c r="R622" s="748">
        <f t="shared" si="227"/>
        <v>981374.81</v>
      </c>
      <c r="S622" s="748">
        <f t="shared" si="227"/>
        <v>1000000</v>
      </c>
      <c r="T622" s="731"/>
      <c r="U622" s="732">
        <f t="shared" ref="U622" si="228">SUM(U623)</f>
        <v>1000000</v>
      </c>
      <c r="V622" s="733"/>
    </row>
    <row r="623" spans="1:22" ht="15" x14ac:dyDescent="0.2">
      <c r="A623" s="734">
        <v>4431</v>
      </c>
      <c r="B623" s="735" t="s">
        <v>134</v>
      </c>
      <c r="C623" s="736">
        <v>761440.59</v>
      </c>
      <c r="D623" s="736">
        <v>1000000</v>
      </c>
      <c r="E623" s="749">
        <v>1027700</v>
      </c>
      <c r="F623" s="736">
        <v>890499.12</v>
      </c>
      <c r="G623" s="752">
        <v>1000000</v>
      </c>
      <c r="H623" s="752"/>
      <c r="I623" s="752"/>
      <c r="J623" s="736">
        <f>G623+H623-I623</f>
        <v>1000000</v>
      </c>
      <c r="K623" s="752"/>
      <c r="L623" s="752"/>
      <c r="M623" s="736">
        <f>J623+K623-L623</f>
        <v>1000000</v>
      </c>
      <c r="N623" s="736"/>
      <c r="O623" s="736"/>
      <c r="P623" s="736">
        <f>M623+N623-O623</f>
        <v>1000000</v>
      </c>
      <c r="Q623" s="753">
        <v>1000000</v>
      </c>
      <c r="R623" s="738">
        <v>981374.81</v>
      </c>
      <c r="S623" s="753">
        <v>1000000</v>
      </c>
      <c r="T623" s="739">
        <v>1100121</v>
      </c>
      <c r="U623" s="754">
        <v>1000000</v>
      </c>
      <c r="V623" s="741">
        <v>1100122</v>
      </c>
    </row>
    <row r="624" spans="1:22" ht="15" x14ac:dyDescent="0.2">
      <c r="A624" s="728" t="s">
        <v>138</v>
      </c>
      <c r="B624" s="729" t="s">
        <v>1539</v>
      </c>
      <c r="C624" s="730">
        <f t="shared" ref="C624:S624" si="229">SUM(C625:C626)</f>
        <v>1988245.75</v>
      </c>
      <c r="D624" s="730">
        <f t="shared" si="229"/>
        <v>2000000</v>
      </c>
      <c r="E624" s="730">
        <f t="shared" si="229"/>
        <v>2000000</v>
      </c>
      <c r="F624" s="730">
        <f t="shared" si="229"/>
        <v>2002548.15</v>
      </c>
      <c r="G624" s="730">
        <f t="shared" si="229"/>
        <v>3000000</v>
      </c>
      <c r="H624" s="730">
        <f t="shared" si="229"/>
        <v>0</v>
      </c>
      <c r="I624" s="730">
        <f t="shared" si="229"/>
        <v>0</v>
      </c>
      <c r="J624" s="730">
        <f t="shared" si="229"/>
        <v>3000000</v>
      </c>
      <c r="K624" s="730">
        <f t="shared" si="229"/>
        <v>0</v>
      </c>
      <c r="L624" s="730">
        <f t="shared" si="229"/>
        <v>0</v>
      </c>
      <c r="M624" s="730">
        <f t="shared" si="229"/>
        <v>3000000</v>
      </c>
      <c r="N624" s="730">
        <f t="shared" si="229"/>
        <v>0</v>
      </c>
      <c r="O624" s="730">
        <f t="shared" si="229"/>
        <v>0</v>
      </c>
      <c r="P624" s="730">
        <f t="shared" si="229"/>
        <v>3000000</v>
      </c>
      <c r="Q624" s="748">
        <f t="shared" si="229"/>
        <v>3108600</v>
      </c>
      <c r="R624" s="748">
        <f t="shared" si="229"/>
        <v>1346864.52</v>
      </c>
      <c r="S624" s="748">
        <f t="shared" si="229"/>
        <v>3000000</v>
      </c>
      <c r="T624" s="731"/>
      <c r="U624" s="732">
        <f>SUM(U626:U626)</f>
        <v>3000000</v>
      </c>
      <c r="V624" s="733"/>
    </row>
    <row r="625" spans="1:22" ht="15" x14ac:dyDescent="0.2">
      <c r="A625" s="739">
        <v>4431</v>
      </c>
      <c r="B625" s="743" t="s">
        <v>134</v>
      </c>
      <c r="C625" s="736">
        <v>1988245.75</v>
      </c>
      <c r="D625" s="736">
        <v>0</v>
      </c>
      <c r="E625" s="749">
        <v>2000000</v>
      </c>
      <c r="F625" s="736">
        <v>6300</v>
      </c>
      <c r="G625" s="736"/>
      <c r="H625" s="736"/>
      <c r="I625" s="736"/>
      <c r="J625" s="736">
        <f t="shared" ref="J625:J626" si="230">G625+H625-I625</f>
        <v>0</v>
      </c>
      <c r="K625" s="736"/>
      <c r="L625" s="736"/>
      <c r="M625" s="736">
        <f t="shared" ref="M625:M626" si="231">J625+K625-L625</f>
        <v>0</v>
      </c>
      <c r="N625" s="736"/>
      <c r="O625" s="736"/>
      <c r="P625" s="738">
        <f t="shared" ref="P625:P626" si="232">M625+N625-O625</f>
        <v>0</v>
      </c>
      <c r="Q625" s="738"/>
      <c r="R625" s="738"/>
      <c r="S625" s="738">
        <v>3000000</v>
      </c>
      <c r="T625" s="739">
        <v>1100119</v>
      </c>
      <c r="U625" s="839"/>
      <c r="V625" s="739">
        <v>1100119</v>
      </c>
    </row>
    <row r="626" spans="1:22" ht="15" x14ac:dyDescent="0.2">
      <c r="A626" s="734">
        <v>4431</v>
      </c>
      <c r="B626" s="735" t="s">
        <v>134</v>
      </c>
      <c r="C626" s="736"/>
      <c r="D626" s="736">
        <v>2000000</v>
      </c>
      <c r="E626" s="736"/>
      <c r="F626" s="736">
        <v>1996248.15</v>
      </c>
      <c r="G626" s="752">
        <v>3000000</v>
      </c>
      <c r="H626" s="752"/>
      <c r="I626" s="752"/>
      <c r="J626" s="736">
        <f t="shared" si="230"/>
        <v>3000000</v>
      </c>
      <c r="K626" s="752"/>
      <c r="L626" s="752"/>
      <c r="M626" s="736">
        <f t="shared" si="231"/>
        <v>3000000</v>
      </c>
      <c r="N626" s="736"/>
      <c r="O626" s="736"/>
      <c r="P626" s="736">
        <f t="shared" si="232"/>
        <v>3000000</v>
      </c>
      <c r="Q626" s="753">
        <v>3108600</v>
      </c>
      <c r="R626" s="738">
        <v>1346864.52</v>
      </c>
      <c r="S626" s="753"/>
      <c r="T626" s="739">
        <v>1100121</v>
      </c>
      <c r="U626" s="742">
        <v>3000000</v>
      </c>
      <c r="V626" s="741">
        <v>1100122</v>
      </c>
    </row>
    <row r="627" spans="1:22" ht="15" x14ac:dyDescent="0.2">
      <c r="A627" s="728" t="s">
        <v>139</v>
      </c>
      <c r="B627" s="729" t="s">
        <v>1556</v>
      </c>
      <c r="C627" s="730">
        <f t="shared" ref="C627:S627" si="233">SUM(C628:C655)</f>
        <v>2207205.0699999998</v>
      </c>
      <c r="D627" s="730">
        <f t="shared" si="233"/>
        <v>2559051.37</v>
      </c>
      <c r="E627" s="730">
        <f t="shared" si="233"/>
        <v>2433847.6999999997</v>
      </c>
      <c r="F627" s="730">
        <f t="shared" si="233"/>
        <v>2391681.4900000002</v>
      </c>
      <c r="G627" s="730">
        <f t="shared" si="233"/>
        <v>2660954.9000000004</v>
      </c>
      <c r="H627" s="730">
        <f t="shared" si="233"/>
        <v>0</v>
      </c>
      <c r="I627" s="730">
        <f t="shared" si="233"/>
        <v>0</v>
      </c>
      <c r="J627" s="730">
        <f t="shared" si="233"/>
        <v>2660954.9000000004</v>
      </c>
      <c r="K627" s="730">
        <f t="shared" si="233"/>
        <v>33656.86</v>
      </c>
      <c r="L627" s="730">
        <f t="shared" si="233"/>
        <v>0</v>
      </c>
      <c r="M627" s="730">
        <f t="shared" si="233"/>
        <v>2694611.7600000002</v>
      </c>
      <c r="N627" s="730">
        <f t="shared" si="233"/>
        <v>0</v>
      </c>
      <c r="O627" s="730">
        <f t="shared" si="233"/>
        <v>0</v>
      </c>
      <c r="P627" s="730">
        <f t="shared" si="233"/>
        <v>2694611.7600000002</v>
      </c>
      <c r="Q627" s="748">
        <f t="shared" si="233"/>
        <v>2457672.1900000004</v>
      </c>
      <c r="R627" s="748">
        <f t="shared" si="233"/>
        <v>274301.02</v>
      </c>
      <c r="S627" s="748">
        <f t="shared" si="233"/>
        <v>2774819.41</v>
      </c>
      <c r="T627" s="731"/>
      <c r="U627" s="732">
        <f>SUM(U628:U655)</f>
        <v>2408288.04</v>
      </c>
      <c r="V627" s="733"/>
    </row>
    <row r="628" spans="1:22" ht="15" x14ac:dyDescent="0.25">
      <c r="A628" s="734">
        <v>1131</v>
      </c>
      <c r="B628" s="735" t="s">
        <v>6</v>
      </c>
      <c r="C628" s="736">
        <v>358799.16</v>
      </c>
      <c r="D628" s="736">
        <v>366435.16</v>
      </c>
      <c r="E628" s="749">
        <v>366435.16</v>
      </c>
      <c r="F628" s="736">
        <v>402832.04</v>
      </c>
      <c r="G628" s="736">
        <v>398683.39999999997</v>
      </c>
      <c r="H628" s="736"/>
      <c r="I628" s="736"/>
      <c r="J628" s="736">
        <f t="shared" ref="J628:J641" si="234">G628+H628-I628</f>
        <v>398683.39999999997</v>
      </c>
      <c r="K628" s="736">
        <v>1788.15</v>
      </c>
      <c r="L628" s="736"/>
      <c r="M628" s="736">
        <f t="shared" ref="M628:M641" si="235">J628+K628-L628</f>
        <v>400471.55</v>
      </c>
      <c r="N628" s="736"/>
      <c r="O628" s="736"/>
      <c r="P628" s="736">
        <f t="shared" ref="P628:P641" si="236">M628+N628-O628</f>
        <v>400471.55</v>
      </c>
      <c r="Q628" s="738">
        <v>400471.55</v>
      </c>
      <c r="R628" s="738"/>
      <c r="S628" s="751">
        <v>414144.64</v>
      </c>
      <c r="T628" s="739">
        <v>1500521</v>
      </c>
      <c r="U628" s="779">
        <v>434452.79</v>
      </c>
      <c r="V628" s="741">
        <v>1500522</v>
      </c>
    </row>
    <row r="629" spans="1:22" ht="15" x14ac:dyDescent="0.25">
      <c r="A629" s="734">
        <v>1132</v>
      </c>
      <c r="B629" s="735" t="s">
        <v>8</v>
      </c>
      <c r="C629" s="736">
        <v>47565.23</v>
      </c>
      <c r="D629" s="736">
        <v>53329.64</v>
      </c>
      <c r="E629" s="749">
        <v>53329.64</v>
      </c>
      <c r="F629" s="736">
        <v>55026.15</v>
      </c>
      <c r="G629" s="736">
        <v>56019.6</v>
      </c>
      <c r="H629" s="736"/>
      <c r="I629" s="736"/>
      <c r="J629" s="736">
        <f t="shared" si="234"/>
        <v>56019.6</v>
      </c>
      <c r="K629" s="736">
        <v>1978.46</v>
      </c>
      <c r="L629" s="736"/>
      <c r="M629" s="736">
        <f t="shared" si="235"/>
        <v>57998.06</v>
      </c>
      <c r="N629" s="736"/>
      <c r="O629" s="736"/>
      <c r="P629" s="736">
        <f t="shared" si="236"/>
        <v>57998.06</v>
      </c>
      <c r="Q629" s="738">
        <v>81408.600000000006</v>
      </c>
      <c r="R629" s="738"/>
      <c r="S629" s="751">
        <v>54970.15</v>
      </c>
      <c r="T629" s="739">
        <v>1500521</v>
      </c>
      <c r="U629" s="779">
        <v>51834.18</v>
      </c>
      <c r="V629" s="741">
        <v>1500522</v>
      </c>
    </row>
    <row r="630" spans="1:22" ht="15" x14ac:dyDescent="0.25">
      <c r="A630" s="734">
        <v>1212</v>
      </c>
      <c r="B630" s="735" t="s">
        <v>53</v>
      </c>
      <c r="C630" s="736">
        <v>579585.43999999994</v>
      </c>
      <c r="D630" s="736">
        <v>600937.19999999995</v>
      </c>
      <c r="E630" s="749">
        <v>610001.19999999995</v>
      </c>
      <c r="F630" s="736">
        <v>600236.14</v>
      </c>
      <c r="G630" s="736">
        <v>621979.19999999995</v>
      </c>
      <c r="H630" s="736"/>
      <c r="I630" s="736"/>
      <c r="J630" s="736">
        <f t="shared" si="234"/>
        <v>621979.19999999995</v>
      </c>
      <c r="K630" s="736">
        <v>2689.83</v>
      </c>
      <c r="L630" s="736"/>
      <c r="M630" s="736">
        <f t="shared" si="235"/>
        <v>624669.02999999991</v>
      </c>
      <c r="N630" s="736"/>
      <c r="O630" s="736"/>
      <c r="P630" s="736">
        <f t="shared" si="236"/>
        <v>624669.02999999991</v>
      </c>
      <c r="Q630" s="738">
        <v>526694.1</v>
      </c>
      <c r="R630" s="738"/>
      <c r="S630" s="751">
        <v>544701.6</v>
      </c>
      <c r="T630" s="739">
        <v>1500521</v>
      </c>
      <c r="U630" s="779">
        <v>513627.16</v>
      </c>
      <c r="V630" s="741">
        <v>1500522</v>
      </c>
    </row>
    <row r="631" spans="1:22" ht="15" x14ac:dyDescent="0.25">
      <c r="A631" s="734">
        <v>1321</v>
      </c>
      <c r="B631" s="735" t="s">
        <v>9</v>
      </c>
      <c r="C631" s="736">
        <v>29310.32</v>
      </c>
      <c r="D631" s="736">
        <v>31382.6</v>
      </c>
      <c r="E631" s="749">
        <v>36172.6</v>
      </c>
      <c r="F631" s="736">
        <v>32672.13</v>
      </c>
      <c r="G631" s="736">
        <v>35543.299999999996</v>
      </c>
      <c r="H631" s="736"/>
      <c r="I631" s="736"/>
      <c r="J631" s="736">
        <f t="shared" si="234"/>
        <v>35543.299999999996</v>
      </c>
      <c r="K631" s="736">
        <v>583.70000000000005</v>
      </c>
      <c r="L631" s="736"/>
      <c r="M631" s="736">
        <f t="shared" si="235"/>
        <v>36126.999999999993</v>
      </c>
      <c r="N631" s="736"/>
      <c r="O631" s="736"/>
      <c r="P631" s="736">
        <f t="shared" si="236"/>
        <v>36126.999999999993</v>
      </c>
      <c r="Q631" s="738">
        <v>36127</v>
      </c>
      <c r="R631" s="738"/>
      <c r="S631" s="751">
        <v>30138.080000000002</v>
      </c>
      <c r="T631" s="739">
        <v>1500521</v>
      </c>
      <c r="U631" s="779">
        <v>33129.160000000003</v>
      </c>
      <c r="V631" s="741">
        <v>1500522</v>
      </c>
    </row>
    <row r="632" spans="1:22" ht="15" x14ac:dyDescent="0.25">
      <c r="A632" s="734">
        <v>1323</v>
      </c>
      <c r="B632" s="735" t="s">
        <v>11</v>
      </c>
      <c r="C632" s="736">
        <v>104157.2</v>
      </c>
      <c r="D632" s="736">
        <v>106673.55</v>
      </c>
      <c r="E632" s="749">
        <v>108552.97</v>
      </c>
      <c r="F632" s="736">
        <v>107887.35</v>
      </c>
      <c r="G632" s="736">
        <v>111673.8</v>
      </c>
      <c r="H632" s="736"/>
      <c r="I632" s="736"/>
      <c r="J632" s="736">
        <f t="shared" si="234"/>
        <v>111673.8</v>
      </c>
      <c r="K632" s="736">
        <v>3201.13</v>
      </c>
      <c r="L632" s="736"/>
      <c r="M632" s="736">
        <f t="shared" si="235"/>
        <v>114874.93000000001</v>
      </c>
      <c r="N632" s="736"/>
      <c r="O632" s="736"/>
      <c r="P632" s="736">
        <f t="shared" si="236"/>
        <v>114874.93000000001</v>
      </c>
      <c r="Q632" s="738">
        <v>105684.14</v>
      </c>
      <c r="R632" s="738"/>
      <c r="S632" s="751">
        <v>101418.9</v>
      </c>
      <c r="T632" s="739">
        <v>1500521</v>
      </c>
      <c r="U632" s="779">
        <v>107990.34</v>
      </c>
      <c r="V632" s="741">
        <v>1500522</v>
      </c>
    </row>
    <row r="633" spans="1:22" ht="15" x14ac:dyDescent="0.25">
      <c r="A633" s="734">
        <v>1413</v>
      </c>
      <c r="B633" s="735" t="s">
        <v>13</v>
      </c>
      <c r="C633" s="736">
        <v>223280.4</v>
      </c>
      <c r="D633" s="736">
        <v>240498.16</v>
      </c>
      <c r="E633" s="749">
        <v>254099.16</v>
      </c>
      <c r="F633" s="736">
        <v>253745.39</v>
      </c>
      <c r="G633" s="736">
        <v>266489.3</v>
      </c>
      <c r="H633" s="736"/>
      <c r="I633" s="736"/>
      <c r="J633" s="736">
        <f t="shared" si="234"/>
        <v>266489.3</v>
      </c>
      <c r="K633" s="736">
        <v>7633.72</v>
      </c>
      <c r="L633" s="736"/>
      <c r="M633" s="736">
        <f t="shared" si="235"/>
        <v>274123.01999999996</v>
      </c>
      <c r="N633" s="736"/>
      <c r="O633" s="736"/>
      <c r="P633" s="736">
        <f t="shared" si="236"/>
        <v>274123.01999999996</v>
      </c>
      <c r="Q633" s="738">
        <v>248936.6</v>
      </c>
      <c r="R633" s="738"/>
      <c r="S633" s="751">
        <v>248768.04</v>
      </c>
      <c r="T633" s="739">
        <v>1500521</v>
      </c>
      <c r="U633" s="779">
        <v>234508.85</v>
      </c>
      <c r="V633" s="741">
        <v>1500522</v>
      </c>
    </row>
    <row r="634" spans="1:22" ht="15" x14ac:dyDescent="0.25">
      <c r="A634" s="734">
        <v>1421</v>
      </c>
      <c r="B634" s="735" t="s">
        <v>15</v>
      </c>
      <c r="C634" s="736">
        <v>67322.84</v>
      </c>
      <c r="D634" s="736">
        <v>68061.5</v>
      </c>
      <c r="E634" s="749">
        <v>65731.5</v>
      </c>
      <c r="F634" s="736">
        <v>71866.990000000005</v>
      </c>
      <c r="G634" s="736">
        <v>71474.100000000006</v>
      </c>
      <c r="H634" s="736"/>
      <c r="I634" s="736"/>
      <c r="J634" s="736">
        <f t="shared" si="234"/>
        <v>71474.100000000006</v>
      </c>
      <c r="K634" s="736">
        <v>1840.76</v>
      </c>
      <c r="L634" s="736"/>
      <c r="M634" s="736">
        <f t="shared" si="235"/>
        <v>73314.86</v>
      </c>
      <c r="N634" s="736"/>
      <c r="O634" s="736"/>
      <c r="P634" s="736">
        <f t="shared" si="236"/>
        <v>73314.86</v>
      </c>
      <c r="Q634" s="738">
        <v>67898.36</v>
      </c>
      <c r="R634" s="738"/>
      <c r="S634" s="751">
        <v>64177.08</v>
      </c>
      <c r="T634" s="739">
        <v>1500521</v>
      </c>
      <c r="U634" s="779">
        <v>67898.350000000006</v>
      </c>
      <c r="V634" s="741">
        <v>1500522</v>
      </c>
    </row>
    <row r="635" spans="1:22" ht="15" x14ac:dyDescent="0.25">
      <c r="A635" s="734">
        <v>1431</v>
      </c>
      <c r="B635" s="735" t="s">
        <v>16</v>
      </c>
      <c r="C635" s="736">
        <v>71428.679999999993</v>
      </c>
      <c r="D635" s="736">
        <v>70103.179999999993</v>
      </c>
      <c r="E635" s="749">
        <v>68920.179999999993</v>
      </c>
      <c r="F635" s="736">
        <v>75959.28</v>
      </c>
      <c r="G635" s="736">
        <v>73618.100000000006</v>
      </c>
      <c r="H635" s="736"/>
      <c r="I635" s="736"/>
      <c r="J635" s="736">
        <f t="shared" si="234"/>
        <v>73618.100000000006</v>
      </c>
      <c r="K635" s="736">
        <v>1881.24</v>
      </c>
      <c r="L635" s="736"/>
      <c r="M635" s="736">
        <f t="shared" si="235"/>
        <v>75499.340000000011</v>
      </c>
      <c r="N635" s="736"/>
      <c r="O635" s="736"/>
      <c r="P635" s="736">
        <f t="shared" si="236"/>
        <v>75499.340000000011</v>
      </c>
      <c r="Q635" s="738">
        <v>67901.570000000007</v>
      </c>
      <c r="R635" s="738"/>
      <c r="S635" s="751">
        <v>66102.36</v>
      </c>
      <c r="T635" s="739">
        <v>1500521</v>
      </c>
      <c r="U635" s="779">
        <v>67033.429999999993</v>
      </c>
      <c r="V635" s="741">
        <v>1500522</v>
      </c>
    </row>
    <row r="636" spans="1:22" ht="15" x14ac:dyDescent="0.25">
      <c r="A636" s="734">
        <v>1511</v>
      </c>
      <c r="B636" s="735" t="s">
        <v>18</v>
      </c>
      <c r="C636" s="736">
        <v>11015.75</v>
      </c>
      <c r="D636" s="736">
        <v>11888.24</v>
      </c>
      <c r="E636" s="749">
        <v>11888.24</v>
      </c>
      <c r="F636" s="736">
        <v>12305.82</v>
      </c>
      <c r="G636" s="736">
        <v>12481.6</v>
      </c>
      <c r="H636" s="736"/>
      <c r="I636" s="736"/>
      <c r="J636" s="736">
        <f t="shared" si="234"/>
        <v>12481.6</v>
      </c>
      <c r="K636" s="736">
        <v>421.95</v>
      </c>
      <c r="L636" s="736"/>
      <c r="M636" s="736">
        <f t="shared" si="235"/>
        <v>12903.550000000001</v>
      </c>
      <c r="N636" s="736"/>
      <c r="O636" s="736"/>
      <c r="P636" s="736">
        <f t="shared" si="236"/>
        <v>12903.550000000001</v>
      </c>
      <c r="Q636" s="738">
        <v>12903.55</v>
      </c>
      <c r="R636" s="738"/>
      <c r="S636" s="751">
        <v>11458.72</v>
      </c>
      <c r="T636" s="739">
        <v>1500521</v>
      </c>
      <c r="U636" s="779">
        <v>13163.45</v>
      </c>
      <c r="V636" s="741">
        <v>1500522</v>
      </c>
    </row>
    <row r="637" spans="1:22" ht="15" x14ac:dyDescent="0.25">
      <c r="A637" s="734">
        <v>1541</v>
      </c>
      <c r="B637" s="735" t="s">
        <v>19</v>
      </c>
      <c r="C637" s="736">
        <v>88997.93</v>
      </c>
      <c r="D637" s="736">
        <v>108407.78</v>
      </c>
      <c r="E637" s="749">
        <v>105731.69</v>
      </c>
      <c r="F637" s="736">
        <v>108930.22</v>
      </c>
      <c r="G637" s="736">
        <v>144234.70000000001</v>
      </c>
      <c r="H637" s="736"/>
      <c r="I637" s="736"/>
      <c r="J637" s="736">
        <f t="shared" si="234"/>
        <v>144234.70000000001</v>
      </c>
      <c r="K637" s="736">
        <v>5490.38</v>
      </c>
      <c r="L637" s="736"/>
      <c r="M637" s="736">
        <f t="shared" si="235"/>
        <v>149725.08000000002</v>
      </c>
      <c r="N637" s="736"/>
      <c r="O637" s="736"/>
      <c r="P637" s="736">
        <f t="shared" si="236"/>
        <v>149725.08000000002</v>
      </c>
      <c r="Q637" s="738">
        <v>135226.5</v>
      </c>
      <c r="R637" s="738"/>
      <c r="S637" s="751">
        <v>151711.04000000001</v>
      </c>
      <c r="T637" s="739">
        <v>1500521</v>
      </c>
      <c r="U637" s="779">
        <v>151711.04000000001</v>
      </c>
      <c r="V637" s="741">
        <v>1500522</v>
      </c>
    </row>
    <row r="638" spans="1:22" ht="15" x14ac:dyDescent="0.25">
      <c r="A638" s="734">
        <v>1592</v>
      </c>
      <c r="B638" s="735" t="s">
        <v>20</v>
      </c>
      <c r="C638" s="736">
        <v>161566.81</v>
      </c>
      <c r="D638" s="736">
        <v>174534.36</v>
      </c>
      <c r="E638" s="749">
        <v>174534.36</v>
      </c>
      <c r="F638" s="736">
        <v>180631.49</v>
      </c>
      <c r="G638" s="736">
        <v>183357.80000000002</v>
      </c>
      <c r="H638" s="736"/>
      <c r="I638" s="736"/>
      <c r="J638" s="736">
        <f t="shared" si="234"/>
        <v>183357.80000000002</v>
      </c>
      <c r="K638" s="736">
        <v>6147.54</v>
      </c>
      <c r="L638" s="736"/>
      <c r="M638" s="736">
        <f t="shared" si="235"/>
        <v>189505.34000000003</v>
      </c>
      <c r="N638" s="736"/>
      <c r="O638" s="736"/>
      <c r="P638" s="736">
        <f t="shared" si="236"/>
        <v>189505.34000000003</v>
      </c>
      <c r="Q638" s="738">
        <v>189505.34</v>
      </c>
      <c r="R638" s="738"/>
      <c r="S638" s="751">
        <v>158958.79999999999</v>
      </c>
      <c r="T638" s="739">
        <v>1500521</v>
      </c>
      <c r="U638" s="779">
        <v>180819.29</v>
      </c>
      <c r="V638" s="741">
        <v>1500522</v>
      </c>
    </row>
    <row r="639" spans="1:22" ht="15" x14ac:dyDescent="0.2">
      <c r="A639" s="734">
        <v>2111</v>
      </c>
      <c r="B639" s="735" t="s">
        <v>22</v>
      </c>
      <c r="C639" s="736">
        <v>9682.77</v>
      </c>
      <c r="D639" s="736">
        <v>10000</v>
      </c>
      <c r="E639" s="749">
        <v>7000</v>
      </c>
      <c r="F639" s="736">
        <v>6500</v>
      </c>
      <c r="G639" s="736"/>
      <c r="H639" s="736"/>
      <c r="I639" s="736"/>
      <c r="J639" s="736">
        <f t="shared" si="234"/>
        <v>0</v>
      </c>
      <c r="K639" s="736"/>
      <c r="L639" s="736"/>
      <c r="M639" s="736">
        <f t="shared" si="235"/>
        <v>0</v>
      </c>
      <c r="N639" s="736"/>
      <c r="O639" s="736"/>
      <c r="P639" s="738">
        <f t="shared" si="236"/>
        <v>0</v>
      </c>
      <c r="Q639" s="738"/>
      <c r="R639" s="738"/>
      <c r="S639" s="738">
        <v>10320</v>
      </c>
      <c r="T639" s="739">
        <v>1100121</v>
      </c>
      <c r="U639" s="742">
        <v>10320</v>
      </c>
      <c r="V639" s="741">
        <v>1100122</v>
      </c>
    </row>
    <row r="640" spans="1:22" ht="15" x14ac:dyDescent="0.2">
      <c r="A640" s="734">
        <v>2112</v>
      </c>
      <c r="B640" s="735" t="s">
        <v>39</v>
      </c>
      <c r="C640" s="736"/>
      <c r="D640" s="736">
        <v>20000</v>
      </c>
      <c r="E640" s="749">
        <v>20000</v>
      </c>
      <c r="F640" s="736">
        <v>17420</v>
      </c>
      <c r="G640" s="752">
        <v>20000</v>
      </c>
      <c r="H640" s="752"/>
      <c r="I640" s="752"/>
      <c r="J640" s="736">
        <f t="shared" si="234"/>
        <v>20000</v>
      </c>
      <c r="K640" s="752"/>
      <c r="L640" s="752"/>
      <c r="M640" s="736">
        <f t="shared" si="235"/>
        <v>20000</v>
      </c>
      <c r="N640" s="736"/>
      <c r="O640" s="736"/>
      <c r="P640" s="736">
        <f t="shared" si="236"/>
        <v>20000</v>
      </c>
      <c r="Q640" s="753">
        <v>20000</v>
      </c>
      <c r="R640" s="738">
        <v>3300</v>
      </c>
      <c r="S640" s="753">
        <v>20000</v>
      </c>
      <c r="T640" s="739">
        <v>1100121</v>
      </c>
      <c r="U640" s="754">
        <v>20000</v>
      </c>
      <c r="V640" s="741">
        <v>1100122</v>
      </c>
    </row>
    <row r="641" spans="1:22" ht="15" x14ac:dyDescent="0.2">
      <c r="A641" s="734">
        <v>2121</v>
      </c>
      <c r="B641" s="735" t="s">
        <v>24</v>
      </c>
      <c r="C641" s="736">
        <v>10725.82</v>
      </c>
      <c r="D641" s="736">
        <v>14000</v>
      </c>
      <c r="E641" s="749">
        <v>9800</v>
      </c>
      <c r="F641" s="736">
        <v>9100</v>
      </c>
      <c r="G641" s="752">
        <v>14000</v>
      </c>
      <c r="H641" s="752"/>
      <c r="I641" s="752"/>
      <c r="J641" s="736">
        <f t="shared" si="234"/>
        <v>14000</v>
      </c>
      <c r="K641" s="752"/>
      <c r="L641" s="752"/>
      <c r="M641" s="736">
        <f t="shared" si="235"/>
        <v>14000</v>
      </c>
      <c r="N641" s="736"/>
      <c r="O641" s="736"/>
      <c r="P641" s="736">
        <f t="shared" si="236"/>
        <v>14000</v>
      </c>
      <c r="Q641" s="753">
        <v>11814.88</v>
      </c>
      <c r="R641" s="738">
        <v>11114.88</v>
      </c>
      <c r="S641" s="753">
        <v>14000</v>
      </c>
      <c r="T641" s="739">
        <v>1100121</v>
      </c>
      <c r="U641" s="754">
        <v>14000</v>
      </c>
      <c r="V641" s="741">
        <v>1100122</v>
      </c>
    </row>
    <row r="642" spans="1:22" ht="15" x14ac:dyDescent="0.2">
      <c r="A642" s="734">
        <v>2491</v>
      </c>
      <c r="B642" s="735" t="s">
        <v>1721</v>
      </c>
      <c r="C642" s="736"/>
      <c r="D642" s="736"/>
      <c r="E642" s="749"/>
      <c r="F642" s="736"/>
      <c r="G642" s="752"/>
      <c r="H642" s="752"/>
      <c r="I642" s="752"/>
      <c r="J642" s="736"/>
      <c r="K642" s="752"/>
      <c r="L642" s="752"/>
      <c r="M642" s="736"/>
      <c r="N642" s="736"/>
      <c r="O642" s="736"/>
      <c r="P642" s="736"/>
      <c r="Q642" s="753"/>
      <c r="R642" s="738"/>
      <c r="S642" s="753">
        <v>25000</v>
      </c>
      <c r="T642" s="739"/>
      <c r="U642" s="754">
        <v>25000</v>
      </c>
      <c r="V642" s="741">
        <v>1100122</v>
      </c>
    </row>
    <row r="643" spans="1:22" ht="15" x14ac:dyDescent="0.2">
      <c r="A643" s="739">
        <v>2161</v>
      </c>
      <c r="B643" s="743" t="s">
        <v>59</v>
      </c>
      <c r="C643" s="736">
        <v>4966.05</v>
      </c>
      <c r="D643" s="736">
        <v>8000</v>
      </c>
      <c r="E643" s="749">
        <v>8000</v>
      </c>
      <c r="F643" s="736">
        <v>7354.87</v>
      </c>
      <c r="G643" s="736"/>
      <c r="H643" s="736"/>
      <c r="I643" s="736"/>
      <c r="J643" s="736">
        <f t="shared" ref="J643:J655" si="237">G643+H643-I643</f>
        <v>0</v>
      </c>
      <c r="K643" s="736"/>
      <c r="L643" s="736"/>
      <c r="M643" s="736">
        <f t="shared" ref="M643:M655" si="238">J643+K643-L643</f>
        <v>0</v>
      </c>
      <c r="N643" s="736"/>
      <c r="O643" s="736"/>
      <c r="P643" s="738">
        <f t="shared" ref="P643:P655" si="239">M643+N643-O643</f>
        <v>0</v>
      </c>
      <c r="Q643" s="738"/>
      <c r="R643" s="738"/>
      <c r="S643" s="738"/>
      <c r="T643" s="739">
        <v>1100121</v>
      </c>
      <c r="U643" s="745"/>
      <c r="V643" s="739">
        <v>1100122</v>
      </c>
    </row>
    <row r="644" spans="1:22" ht="15" x14ac:dyDescent="0.2">
      <c r="A644" s="734">
        <v>3111</v>
      </c>
      <c r="B644" s="735" t="s">
        <v>47</v>
      </c>
      <c r="C644" s="736">
        <v>160951</v>
      </c>
      <c r="D644" s="736">
        <v>200000</v>
      </c>
      <c r="E644" s="749">
        <v>180000</v>
      </c>
      <c r="F644" s="736">
        <v>127539</v>
      </c>
      <c r="G644" s="752">
        <v>200000</v>
      </c>
      <c r="H644" s="752"/>
      <c r="I644" s="752"/>
      <c r="J644" s="736">
        <f t="shared" si="237"/>
        <v>200000</v>
      </c>
      <c r="K644" s="752"/>
      <c r="L644" s="752"/>
      <c r="M644" s="736">
        <f t="shared" si="238"/>
        <v>200000</v>
      </c>
      <c r="N644" s="736"/>
      <c r="O644" s="736"/>
      <c r="P644" s="736">
        <f t="shared" si="239"/>
        <v>200000</v>
      </c>
      <c r="Q644" s="753">
        <v>200000</v>
      </c>
      <c r="R644" s="738">
        <v>72873</v>
      </c>
      <c r="S644" s="753">
        <v>207000</v>
      </c>
      <c r="T644" s="739">
        <v>1100121</v>
      </c>
      <c r="U644" s="746">
        <v>120000</v>
      </c>
      <c r="V644" s="741">
        <v>1100122</v>
      </c>
    </row>
    <row r="645" spans="1:22" ht="15" x14ac:dyDescent="0.2">
      <c r="A645" s="734">
        <v>3131</v>
      </c>
      <c r="B645" s="735" t="s">
        <v>61</v>
      </c>
      <c r="C645" s="736">
        <v>11978.42</v>
      </c>
      <c r="D645" s="736">
        <v>17800</v>
      </c>
      <c r="E645" s="749">
        <v>17800</v>
      </c>
      <c r="F645" s="736">
        <v>9400.25</v>
      </c>
      <c r="G645" s="752">
        <v>19000</v>
      </c>
      <c r="H645" s="752"/>
      <c r="I645" s="752"/>
      <c r="J645" s="736">
        <f t="shared" si="237"/>
        <v>19000</v>
      </c>
      <c r="K645" s="752"/>
      <c r="L645" s="752"/>
      <c r="M645" s="736">
        <f t="shared" si="238"/>
        <v>19000</v>
      </c>
      <c r="N645" s="736"/>
      <c r="O645" s="736"/>
      <c r="P645" s="736">
        <f t="shared" si="239"/>
        <v>19000</v>
      </c>
      <c r="Q645" s="753">
        <v>19000</v>
      </c>
      <c r="R645" s="738">
        <v>10708.58</v>
      </c>
      <c r="S645" s="753">
        <v>20700</v>
      </c>
      <c r="T645" s="739">
        <v>1100121</v>
      </c>
      <c r="U645" s="746">
        <v>17000</v>
      </c>
      <c r="V645" s="741">
        <v>1100122</v>
      </c>
    </row>
    <row r="646" spans="1:22" ht="15" x14ac:dyDescent="0.2">
      <c r="A646" s="734">
        <v>3141</v>
      </c>
      <c r="B646" s="735" t="s">
        <v>48</v>
      </c>
      <c r="C646" s="736">
        <v>50000</v>
      </c>
      <c r="D646" s="736">
        <v>67000</v>
      </c>
      <c r="E646" s="749">
        <v>67000</v>
      </c>
      <c r="F646" s="736">
        <v>61420.6</v>
      </c>
      <c r="G646" s="752">
        <v>70000</v>
      </c>
      <c r="H646" s="752"/>
      <c r="I646" s="752"/>
      <c r="J646" s="736">
        <f t="shared" si="237"/>
        <v>70000</v>
      </c>
      <c r="K646" s="752"/>
      <c r="L646" s="752"/>
      <c r="M646" s="736">
        <f t="shared" si="238"/>
        <v>70000</v>
      </c>
      <c r="N646" s="736"/>
      <c r="O646" s="736"/>
      <c r="P646" s="736">
        <f t="shared" si="239"/>
        <v>70000</v>
      </c>
      <c r="Q646" s="753">
        <v>70000</v>
      </c>
      <c r="R646" s="738">
        <v>42035.01</v>
      </c>
      <c r="S646" s="753">
        <v>72450</v>
      </c>
      <c r="T646" s="739">
        <v>1100121</v>
      </c>
      <c r="U646" s="746">
        <v>65000</v>
      </c>
      <c r="V646" s="741">
        <v>1100122</v>
      </c>
    </row>
    <row r="647" spans="1:22" ht="15" x14ac:dyDescent="0.2">
      <c r="A647" s="734">
        <v>3221</v>
      </c>
      <c r="B647" s="735" t="s">
        <v>99</v>
      </c>
      <c r="C647" s="736">
        <v>99860.28</v>
      </c>
      <c r="D647" s="736">
        <v>200000</v>
      </c>
      <c r="E647" s="749">
        <v>93069</v>
      </c>
      <c r="F647" s="736">
        <v>93063.87</v>
      </c>
      <c r="G647" s="752">
        <v>97000</v>
      </c>
      <c r="H647" s="752"/>
      <c r="I647" s="752"/>
      <c r="J647" s="736">
        <f t="shared" si="237"/>
        <v>97000</v>
      </c>
      <c r="K647" s="752"/>
      <c r="L647" s="752"/>
      <c r="M647" s="736">
        <f t="shared" si="238"/>
        <v>97000</v>
      </c>
      <c r="N647" s="736"/>
      <c r="O647" s="736"/>
      <c r="P647" s="736">
        <f t="shared" si="239"/>
        <v>97000</v>
      </c>
      <c r="Q647" s="753">
        <v>97000</v>
      </c>
      <c r="R647" s="738">
        <v>71991.399999999994</v>
      </c>
      <c r="S647" s="753">
        <v>190000</v>
      </c>
      <c r="T647" s="739">
        <v>1100121</v>
      </c>
      <c r="U647" s="754">
        <v>190000</v>
      </c>
      <c r="V647" s="741">
        <v>1100122</v>
      </c>
    </row>
    <row r="648" spans="1:22" ht="30" x14ac:dyDescent="0.2">
      <c r="A648" s="734">
        <v>3361</v>
      </c>
      <c r="B648" s="735" t="s">
        <v>29</v>
      </c>
      <c r="C648" s="736">
        <v>9515.6</v>
      </c>
      <c r="D648" s="736">
        <v>15000</v>
      </c>
      <c r="E648" s="749">
        <v>750</v>
      </c>
      <c r="F648" s="736">
        <v>0</v>
      </c>
      <c r="G648" s="752">
        <v>15000</v>
      </c>
      <c r="H648" s="752"/>
      <c r="I648" s="752"/>
      <c r="J648" s="736">
        <f t="shared" si="237"/>
        <v>15000</v>
      </c>
      <c r="K648" s="752"/>
      <c r="L648" s="752"/>
      <c r="M648" s="736">
        <f t="shared" si="238"/>
        <v>15000</v>
      </c>
      <c r="N648" s="736"/>
      <c r="O648" s="736"/>
      <c r="P648" s="736">
        <f t="shared" si="239"/>
        <v>15000</v>
      </c>
      <c r="Q648" s="753">
        <v>15000</v>
      </c>
      <c r="R648" s="738"/>
      <c r="S648" s="753">
        <v>15000</v>
      </c>
      <c r="T648" s="739">
        <v>1100121</v>
      </c>
      <c r="U648" s="754">
        <v>15000</v>
      </c>
      <c r="V648" s="741">
        <v>1100122</v>
      </c>
    </row>
    <row r="649" spans="1:22" ht="15" x14ac:dyDescent="0.2">
      <c r="A649" s="739">
        <v>3511</v>
      </c>
      <c r="B649" s="743" t="s">
        <v>49</v>
      </c>
      <c r="C649" s="736">
        <v>6496</v>
      </c>
      <c r="D649" s="736">
        <v>10000</v>
      </c>
      <c r="E649" s="749">
        <v>10000</v>
      </c>
      <c r="F649" s="736">
        <v>0</v>
      </c>
      <c r="G649" s="752">
        <v>10000</v>
      </c>
      <c r="H649" s="752"/>
      <c r="I649" s="752"/>
      <c r="J649" s="736">
        <f t="shared" si="237"/>
        <v>10000</v>
      </c>
      <c r="K649" s="752"/>
      <c r="L649" s="752"/>
      <c r="M649" s="736">
        <f t="shared" si="238"/>
        <v>10000</v>
      </c>
      <c r="N649" s="736"/>
      <c r="O649" s="736"/>
      <c r="P649" s="736">
        <f t="shared" si="239"/>
        <v>10000</v>
      </c>
      <c r="Q649" s="753">
        <v>10000</v>
      </c>
      <c r="R649" s="738"/>
      <c r="S649" s="753">
        <v>10000</v>
      </c>
      <c r="T649" s="739">
        <v>1100121</v>
      </c>
      <c r="U649" s="745"/>
      <c r="V649" s="739">
        <v>1100122</v>
      </c>
    </row>
    <row r="650" spans="1:22" ht="15" x14ac:dyDescent="0.2">
      <c r="A650" s="734">
        <v>3531</v>
      </c>
      <c r="B650" s="735" t="s">
        <v>121</v>
      </c>
      <c r="C650" s="736"/>
      <c r="D650" s="736">
        <v>5000</v>
      </c>
      <c r="E650" s="749">
        <v>5000</v>
      </c>
      <c r="F650" s="736">
        <v>4640</v>
      </c>
      <c r="G650" s="752">
        <v>5000</v>
      </c>
      <c r="H650" s="752"/>
      <c r="I650" s="752"/>
      <c r="J650" s="736">
        <f t="shared" si="237"/>
        <v>5000</v>
      </c>
      <c r="K650" s="752"/>
      <c r="L650" s="752"/>
      <c r="M650" s="736">
        <f t="shared" si="238"/>
        <v>5000</v>
      </c>
      <c r="N650" s="736"/>
      <c r="O650" s="736"/>
      <c r="P650" s="736">
        <f t="shared" si="239"/>
        <v>5000</v>
      </c>
      <c r="Q650" s="753">
        <v>5000</v>
      </c>
      <c r="R650" s="738"/>
      <c r="S650" s="753">
        <v>5000</v>
      </c>
      <c r="T650" s="739">
        <v>1100121</v>
      </c>
      <c r="U650" s="754">
        <v>5000</v>
      </c>
      <c r="V650" s="741">
        <v>1100122</v>
      </c>
    </row>
    <row r="651" spans="1:22" ht="15" x14ac:dyDescent="0.2">
      <c r="A651" s="734">
        <v>3591</v>
      </c>
      <c r="B651" s="762" t="s">
        <v>140</v>
      </c>
      <c r="C651" s="736"/>
      <c r="D651" s="736"/>
      <c r="E651" s="749"/>
      <c r="F651" s="736"/>
      <c r="G651" s="752">
        <v>5400</v>
      </c>
      <c r="H651" s="752"/>
      <c r="I651" s="752"/>
      <c r="J651" s="736">
        <f t="shared" si="237"/>
        <v>5400</v>
      </c>
      <c r="K651" s="752"/>
      <c r="L651" s="752"/>
      <c r="M651" s="736">
        <f t="shared" si="238"/>
        <v>5400</v>
      </c>
      <c r="N651" s="736"/>
      <c r="O651" s="736"/>
      <c r="P651" s="736">
        <f t="shared" si="239"/>
        <v>5400</v>
      </c>
      <c r="Q651" s="753">
        <v>5400</v>
      </c>
      <c r="R651" s="738">
        <v>4872</v>
      </c>
      <c r="S651" s="753">
        <v>10800</v>
      </c>
      <c r="T651" s="739">
        <v>1100121</v>
      </c>
      <c r="U651" s="754">
        <v>10800</v>
      </c>
      <c r="V651" s="741">
        <v>1100122</v>
      </c>
    </row>
    <row r="652" spans="1:22" ht="15" x14ac:dyDescent="0.2">
      <c r="A652" s="734">
        <v>3821</v>
      </c>
      <c r="B652" s="735" t="s">
        <v>31</v>
      </c>
      <c r="C652" s="736">
        <v>99999.37</v>
      </c>
      <c r="D652" s="736">
        <v>100000</v>
      </c>
      <c r="E652" s="749">
        <v>80032</v>
      </c>
      <c r="F652" s="736">
        <v>80031.39</v>
      </c>
      <c r="G652" s="752">
        <v>80000</v>
      </c>
      <c r="H652" s="752"/>
      <c r="I652" s="752"/>
      <c r="J652" s="736">
        <f t="shared" si="237"/>
        <v>80000</v>
      </c>
      <c r="K652" s="752"/>
      <c r="L652" s="752"/>
      <c r="M652" s="736">
        <f t="shared" si="238"/>
        <v>80000</v>
      </c>
      <c r="N652" s="736"/>
      <c r="O652" s="736"/>
      <c r="P652" s="736">
        <f t="shared" si="239"/>
        <v>80000</v>
      </c>
      <c r="Q652" s="753">
        <v>65000</v>
      </c>
      <c r="R652" s="738">
        <v>44306.15</v>
      </c>
      <c r="S652" s="840">
        <v>200000</v>
      </c>
      <c r="T652" s="787">
        <v>1100121</v>
      </c>
      <c r="U652" s="746">
        <v>60000</v>
      </c>
      <c r="V652" s="741">
        <v>1100122</v>
      </c>
    </row>
    <row r="653" spans="1:22" ht="15" x14ac:dyDescent="0.2">
      <c r="A653" s="739">
        <v>5151</v>
      </c>
      <c r="B653" s="806" t="s">
        <v>36</v>
      </c>
      <c r="C653" s="736"/>
      <c r="D653" s="736"/>
      <c r="E653" s="749"/>
      <c r="F653" s="736"/>
      <c r="G653" s="752">
        <v>80000</v>
      </c>
      <c r="H653" s="752"/>
      <c r="I653" s="752"/>
      <c r="J653" s="736">
        <f t="shared" si="237"/>
        <v>80000</v>
      </c>
      <c r="K653" s="752"/>
      <c r="L653" s="752"/>
      <c r="M653" s="736">
        <f t="shared" si="238"/>
        <v>80000</v>
      </c>
      <c r="N653" s="736"/>
      <c r="O653" s="736">
        <v>0</v>
      </c>
      <c r="P653" s="736">
        <f t="shared" si="239"/>
        <v>80000</v>
      </c>
      <c r="Q653" s="753"/>
      <c r="R653" s="738"/>
      <c r="S653" s="753">
        <v>80000</v>
      </c>
      <c r="T653" s="739">
        <v>1500521</v>
      </c>
      <c r="U653" s="744"/>
      <c r="V653" s="739">
        <v>1500522</v>
      </c>
    </row>
    <row r="654" spans="1:22" ht="15" x14ac:dyDescent="0.2">
      <c r="A654" s="739">
        <v>5191</v>
      </c>
      <c r="B654" s="743" t="s">
        <v>69</v>
      </c>
      <c r="C654" s="736"/>
      <c r="D654" s="736">
        <v>50000</v>
      </c>
      <c r="E654" s="749">
        <v>70000</v>
      </c>
      <c r="F654" s="736">
        <v>64612</v>
      </c>
      <c r="G654" s="752">
        <v>70000</v>
      </c>
      <c r="H654" s="752"/>
      <c r="I654" s="752"/>
      <c r="J654" s="736">
        <f t="shared" si="237"/>
        <v>70000</v>
      </c>
      <c r="K654" s="752"/>
      <c r="L654" s="752"/>
      <c r="M654" s="736">
        <f t="shared" si="238"/>
        <v>70000</v>
      </c>
      <c r="N654" s="736"/>
      <c r="O654" s="736"/>
      <c r="P654" s="736">
        <f t="shared" si="239"/>
        <v>70000</v>
      </c>
      <c r="Q654" s="753">
        <v>66700</v>
      </c>
      <c r="R654" s="738">
        <v>13100</v>
      </c>
      <c r="S654" s="753">
        <v>30000</v>
      </c>
      <c r="T654" s="739">
        <v>1500521</v>
      </c>
      <c r="U654" s="744"/>
      <c r="V654" s="739">
        <v>1500522</v>
      </c>
    </row>
    <row r="655" spans="1:22" ht="15" x14ac:dyDescent="0.2">
      <c r="A655" s="739">
        <v>5641</v>
      </c>
      <c r="B655" s="743" t="s">
        <v>124</v>
      </c>
      <c r="C655" s="736"/>
      <c r="D655" s="736">
        <v>10000</v>
      </c>
      <c r="E655" s="749">
        <v>10000</v>
      </c>
      <c r="F655" s="736">
        <v>8506.51</v>
      </c>
      <c r="G655" s="736"/>
      <c r="H655" s="736"/>
      <c r="I655" s="736"/>
      <c r="J655" s="736">
        <f t="shared" si="237"/>
        <v>0</v>
      </c>
      <c r="K655" s="736"/>
      <c r="L655" s="736"/>
      <c r="M655" s="736">
        <f t="shared" si="238"/>
        <v>0</v>
      </c>
      <c r="N655" s="736"/>
      <c r="O655" s="736"/>
      <c r="P655" s="738">
        <f t="shared" si="239"/>
        <v>0</v>
      </c>
      <c r="Q655" s="738"/>
      <c r="R655" s="738"/>
      <c r="S655" s="738">
        <v>18000</v>
      </c>
      <c r="T655" s="739">
        <v>1100121</v>
      </c>
      <c r="U655" s="744"/>
      <c r="V655" s="739">
        <v>1100122</v>
      </c>
    </row>
    <row r="656" spans="1:22" ht="15" x14ac:dyDescent="0.2">
      <c r="A656" s="728" t="s">
        <v>141</v>
      </c>
      <c r="B656" s="729" t="s">
        <v>1578</v>
      </c>
      <c r="C656" s="730">
        <f t="shared" ref="C656:S656" si="240">SUM(C657:C676)</f>
        <v>7355503.5</v>
      </c>
      <c r="D656" s="730">
        <f t="shared" si="240"/>
        <v>7914071.4000000004</v>
      </c>
      <c r="E656" s="730">
        <f t="shared" si="240"/>
        <v>8268283.4900000002</v>
      </c>
      <c r="F656" s="730">
        <f t="shared" si="240"/>
        <v>8324838.5900000008</v>
      </c>
      <c r="G656" s="730">
        <f t="shared" si="240"/>
        <v>8075186.0999999996</v>
      </c>
      <c r="H656" s="730">
        <f t="shared" si="240"/>
        <v>0</v>
      </c>
      <c r="I656" s="730">
        <f t="shared" si="240"/>
        <v>0</v>
      </c>
      <c r="J656" s="730">
        <f t="shared" si="240"/>
        <v>8075186.0999999996</v>
      </c>
      <c r="K656" s="730">
        <f t="shared" si="240"/>
        <v>1540676.98</v>
      </c>
      <c r="L656" s="730">
        <f t="shared" si="240"/>
        <v>0</v>
      </c>
      <c r="M656" s="730">
        <f t="shared" si="240"/>
        <v>9615863.0800000001</v>
      </c>
      <c r="N656" s="730">
        <f t="shared" si="240"/>
        <v>0</v>
      </c>
      <c r="O656" s="730">
        <f t="shared" si="240"/>
        <v>0</v>
      </c>
      <c r="P656" s="730">
        <f t="shared" si="240"/>
        <v>9615863.0800000001</v>
      </c>
      <c r="Q656" s="748">
        <f t="shared" si="240"/>
        <v>9938031.3999999985</v>
      </c>
      <c r="R656" s="748">
        <f t="shared" si="240"/>
        <v>7165813.5999999996</v>
      </c>
      <c r="S656" s="748">
        <f t="shared" si="240"/>
        <v>11105483.32</v>
      </c>
      <c r="T656" s="731"/>
      <c r="U656" s="732">
        <f>SUM(U657:U676)</f>
        <v>9713192.4100000001</v>
      </c>
      <c r="V656" s="733"/>
    </row>
    <row r="657" spans="1:22" ht="15" x14ac:dyDescent="0.25">
      <c r="A657" s="734">
        <v>1131</v>
      </c>
      <c r="B657" s="735" t="s">
        <v>6</v>
      </c>
      <c r="C657" s="736">
        <v>545353.28</v>
      </c>
      <c r="D657" s="736">
        <v>600916.68000000005</v>
      </c>
      <c r="E657" s="749">
        <v>600916.68000000005</v>
      </c>
      <c r="F657" s="736">
        <v>659693.25</v>
      </c>
      <c r="G657" s="736">
        <v>653803.29999999993</v>
      </c>
      <c r="H657" s="736"/>
      <c r="I657" s="736"/>
      <c r="J657" s="736">
        <f t="shared" ref="J657:J670" si="241">G657+H657-I657</f>
        <v>653803.29999999993</v>
      </c>
      <c r="K657" s="736">
        <v>2962.47</v>
      </c>
      <c r="L657" s="736"/>
      <c r="M657" s="736">
        <f t="shared" ref="M657:M670" si="242">J657+K657-L657</f>
        <v>656765.7699999999</v>
      </c>
      <c r="N657" s="736"/>
      <c r="O657" s="736"/>
      <c r="P657" s="736">
        <f t="shared" ref="P657:P670" si="243">M657+N657-O657</f>
        <v>656765.7699999999</v>
      </c>
      <c r="Q657" s="738">
        <v>649380.94999999995</v>
      </c>
      <c r="R657" s="738"/>
      <c r="S657" s="751">
        <v>679191.24</v>
      </c>
      <c r="T657" s="739">
        <v>1500521</v>
      </c>
      <c r="U657" s="779">
        <v>711654.42</v>
      </c>
      <c r="V657" s="741">
        <v>1500522</v>
      </c>
    </row>
    <row r="658" spans="1:22" ht="15" x14ac:dyDescent="0.25">
      <c r="A658" s="734">
        <v>1132</v>
      </c>
      <c r="B658" s="735" t="s">
        <v>8</v>
      </c>
      <c r="C658" s="736">
        <v>413915.52</v>
      </c>
      <c r="D658" s="736">
        <v>442241.8</v>
      </c>
      <c r="E658" s="749">
        <v>442241.8</v>
      </c>
      <c r="F658" s="736">
        <v>459285.01</v>
      </c>
      <c r="G658" s="736">
        <v>464584.19999999995</v>
      </c>
      <c r="H658" s="736"/>
      <c r="I658" s="736"/>
      <c r="J658" s="736">
        <f t="shared" si="241"/>
        <v>464584.19999999995</v>
      </c>
      <c r="K658" s="736">
        <v>3895.87</v>
      </c>
      <c r="L658" s="736"/>
      <c r="M658" s="736">
        <f t="shared" si="242"/>
        <v>468480.06999999995</v>
      </c>
      <c r="N658" s="736"/>
      <c r="O658" s="736"/>
      <c r="P658" s="736">
        <f t="shared" si="243"/>
        <v>468480.06999999995</v>
      </c>
      <c r="Q658" s="738">
        <v>526641.97</v>
      </c>
      <c r="R658" s="738"/>
      <c r="S658" s="751">
        <v>481400.92</v>
      </c>
      <c r="T658" s="739">
        <v>1500521</v>
      </c>
      <c r="U658" s="779">
        <v>483899.18</v>
      </c>
      <c r="V658" s="741">
        <v>1500522</v>
      </c>
    </row>
    <row r="659" spans="1:22" ht="15" x14ac:dyDescent="0.25">
      <c r="A659" s="734">
        <v>1321</v>
      </c>
      <c r="B659" s="735" t="s">
        <v>9</v>
      </c>
      <c r="C659" s="736">
        <v>54216.33</v>
      </c>
      <c r="D659" s="736">
        <v>59104.36</v>
      </c>
      <c r="E659" s="749">
        <v>59104.36</v>
      </c>
      <c r="F659" s="736">
        <v>59104.36</v>
      </c>
      <c r="G659" s="736">
        <v>63906.5</v>
      </c>
      <c r="H659" s="736"/>
      <c r="I659" s="736"/>
      <c r="J659" s="736">
        <f t="shared" si="241"/>
        <v>63906.5</v>
      </c>
      <c r="K659" s="736">
        <v>1732.93</v>
      </c>
      <c r="L659" s="736"/>
      <c r="M659" s="736">
        <f t="shared" si="242"/>
        <v>65639.429999999993</v>
      </c>
      <c r="N659" s="736"/>
      <c r="O659" s="736"/>
      <c r="P659" s="736">
        <f t="shared" si="243"/>
        <v>65639.429999999993</v>
      </c>
      <c r="Q659" s="738">
        <v>65639.429999999993</v>
      </c>
      <c r="R659" s="738"/>
      <c r="S659" s="751">
        <v>69639.08</v>
      </c>
      <c r="T659" s="739">
        <v>1500521</v>
      </c>
      <c r="U659" s="779">
        <v>65666.27</v>
      </c>
      <c r="V659" s="741">
        <v>1500522</v>
      </c>
    </row>
    <row r="660" spans="1:22" ht="15" x14ac:dyDescent="0.25">
      <c r="A660" s="734">
        <v>1323</v>
      </c>
      <c r="B660" s="735" t="s">
        <v>11</v>
      </c>
      <c r="C660" s="736">
        <v>178764</v>
      </c>
      <c r="D660" s="736">
        <v>184994</v>
      </c>
      <c r="E660" s="749">
        <v>184994</v>
      </c>
      <c r="F660" s="736">
        <v>187776</v>
      </c>
      <c r="G660" s="736">
        <v>194341</v>
      </c>
      <c r="H660" s="736"/>
      <c r="I660" s="736"/>
      <c r="J660" s="736">
        <f t="shared" si="241"/>
        <v>194341</v>
      </c>
      <c r="K660" s="736">
        <v>4468.6400000000003</v>
      </c>
      <c r="L660" s="736"/>
      <c r="M660" s="736">
        <f t="shared" si="242"/>
        <v>198809.64</v>
      </c>
      <c r="N660" s="736"/>
      <c r="O660" s="736"/>
      <c r="P660" s="736">
        <f t="shared" si="243"/>
        <v>198809.64</v>
      </c>
      <c r="Q660" s="738">
        <v>198809.64</v>
      </c>
      <c r="R660" s="738"/>
      <c r="S660" s="751">
        <v>206066.5</v>
      </c>
      <c r="T660" s="739">
        <v>1500521</v>
      </c>
      <c r="U660" s="779">
        <v>206173.93</v>
      </c>
      <c r="V660" s="741">
        <v>1500522</v>
      </c>
    </row>
    <row r="661" spans="1:22" ht="15" x14ac:dyDescent="0.25">
      <c r="A661" s="734">
        <v>1413</v>
      </c>
      <c r="B661" s="735" t="s">
        <v>13</v>
      </c>
      <c r="C661" s="736">
        <v>204096.07</v>
      </c>
      <c r="D661" s="736">
        <v>247846.88</v>
      </c>
      <c r="E661" s="749">
        <v>245036.88</v>
      </c>
      <c r="F661" s="736">
        <v>242169.16</v>
      </c>
      <c r="G661" s="736">
        <v>289824.59999999998</v>
      </c>
      <c r="H661" s="736"/>
      <c r="I661" s="736"/>
      <c r="J661" s="736">
        <f t="shared" si="241"/>
        <v>289824.59999999998</v>
      </c>
      <c r="K661" s="736">
        <v>6039.91</v>
      </c>
      <c r="L661" s="736"/>
      <c r="M661" s="736">
        <f t="shared" si="242"/>
        <v>295864.50999999995</v>
      </c>
      <c r="N661" s="736"/>
      <c r="O661" s="736"/>
      <c r="P661" s="736">
        <f t="shared" si="243"/>
        <v>295864.50999999995</v>
      </c>
      <c r="Q661" s="738">
        <v>295864.51</v>
      </c>
      <c r="R661" s="738"/>
      <c r="S661" s="751">
        <v>323762.88</v>
      </c>
      <c r="T661" s="739">
        <v>1500521</v>
      </c>
      <c r="U661" s="779">
        <v>305158.13</v>
      </c>
      <c r="V661" s="741">
        <v>1500522</v>
      </c>
    </row>
    <row r="662" spans="1:22" ht="15" x14ac:dyDescent="0.25">
      <c r="A662" s="734">
        <v>1421</v>
      </c>
      <c r="B662" s="735" t="s">
        <v>15</v>
      </c>
      <c r="C662" s="736">
        <v>70577.52</v>
      </c>
      <c r="D662" s="736">
        <v>77383.179999999993</v>
      </c>
      <c r="E662" s="749">
        <v>70248.179999999993</v>
      </c>
      <c r="F662" s="736">
        <v>75485.23</v>
      </c>
      <c r="G662" s="736">
        <v>85649.600000000006</v>
      </c>
      <c r="H662" s="736"/>
      <c r="I662" s="736"/>
      <c r="J662" s="736">
        <f t="shared" si="241"/>
        <v>85649.600000000006</v>
      </c>
      <c r="K662" s="736">
        <v>1548.43</v>
      </c>
      <c r="L662" s="736"/>
      <c r="M662" s="736">
        <f t="shared" si="242"/>
        <v>87198.03</v>
      </c>
      <c r="N662" s="736"/>
      <c r="O662" s="736"/>
      <c r="P662" s="736">
        <f t="shared" si="243"/>
        <v>87198.03</v>
      </c>
      <c r="Q662" s="738">
        <v>87198.03</v>
      </c>
      <c r="R662" s="738"/>
      <c r="S662" s="751">
        <v>90638.04</v>
      </c>
      <c r="T662" s="739">
        <v>1500521</v>
      </c>
      <c r="U662" s="779">
        <v>80405.56</v>
      </c>
      <c r="V662" s="741">
        <v>1500522</v>
      </c>
    </row>
    <row r="663" spans="1:22" ht="15" x14ac:dyDescent="0.25">
      <c r="A663" s="734">
        <v>1431</v>
      </c>
      <c r="B663" s="735" t="s">
        <v>16</v>
      </c>
      <c r="C663" s="736">
        <v>72695.039999999994</v>
      </c>
      <c r="D663" s="736">
        <v>79704.62</v>
      </c>
      <c r="E663" s="749">
        <v>73696.62</v>
      </c>
      <c r="F663" s="736">
        <v>79790.289999999994</v>
      </c>
      <c r="G663" s="736">
        <v>88218.6</v>
      </c>
      <c r="H663" s="736"/>
      <c r="I663" s="736"/>
      <c r="J663" s="736">
        <f t="shared" si="241"/>
        <v>88218.6</v>
      </c>
      <c r="K663" s="736">
        <v>1577.62</v>
      </c>
      <c r="L663" s="736"/>
      <c r="M663" s="736">
        <f t="shared" si="242"/>
        <v>89796.22</v>
      </c>
      <c r="N663" s="736"/>
      <c r="O663" s="736"/>
      <c r="P663" s="736">
        <f t="shared" si="243"/>
        <v>89796.22</v>
      </c>
      <c r="Q663" s="738">
        <v>89796.22</v>
      </c>
      <c r="R663" s="738"/>
      <c r="S663" s="751">
        <v>93357.24</v>
      </c>
      <c r="T663" s="739">
        <v>1500521</v>
      </c>
      <c r="U663" s="779">
        <v>80332.740000000005</v>
      </c>
      <c r="V663" s="741">
        <v>1500522</v>
      </c>
    </row>
    <row r="664" spans="1:22" ht="15" x14ac:dyDescent="0.25">
      <c r="A664" s="734">
        <v>1511</v>
      </c>
      <c r="B664" s="735" t="s">
        <v>18</v>
      </c>
      <c r="C664" s="736">
        <v>24985.59</v>
      </c>
      <c r="D664" s="736">
        <v>26932.36</v>
      </c>
      <c r="E664" s="749">
        <v>26932.36</v>
      </c>
      <c r="F664" s="736">
        <v>27887.52</v>
      </c>
      <c r="G664" s="736">
        <v>28293.8</v>
      </c>
      <c r="H664" s="736"/>
      <c r="I664" s="736"/>
      <c r="J664" s="736">
        <f t="shared" si="241"/>
        <v>28293.8</v>
      </c>
      <c r="K664" s="736">
        <v>650.78</v>
      </c>
      <c r="L664" s="736"/>
      <c r="M664" s="736">
        <f t="shared" si="242"/>
        <v>28944.579999999998</v>
      </c>
      <c r="N664" s="736"/>
      <c r="O664" s="736"/>
      <c r="P664" s="736">
        <f t="shared" si="243"/>
        <v>28944.579999999998</v>
      </c>
      <c r="Q664" s="738">
        <v>28944.58</v>
      </c>
      <c r="R664" s="738"/>
      <c r="S664" s="751">
        <v>29997.24</v>
      </c>
      <c r="T664" s="739">
        <v>1500521</v>
      </c>
      <c r="U664" s="779">
        <v>29065.54</v>
      </c>
      <c r="V664" s="741">
        <v>1500522</v>
      </c>
    </row>
    <row r="665" spans="1:22" ht="15" x14ac:dyDescent="0.25">
      <c r="A665" s="734">
        <v>1541</v>
      </c>
      <c r="B665" s="735" t="s">
        <v>19</v>
      </c>
      <c r="C665" s="736">
        <v>158952.82999999999</v>
      </c>
      <c r="D665" s="736">
        <v>189349.68</v>
      </c>
      <c r="E665" s="749">
        <v>185934.77</v>
      </c>
      <c r="F665" s="736">
        <v>191577.5</v>
      </c>
      <c r="G665" s="736">
        <v>250613.1</v>
      </c>
      <c r="H665" s="736"/>
      <c r="I665" s="736"/>
      <c r="J665" s="736">
        <f t="shared" si="241"/>
        <v>250613.1</v>
      </c>
      <c r="K665" s="736">
        <v>9539.58</v>
      </c>
      <c r="L665" s="736"/>
      <c r="M665" s="736">
        <f t="shared" si="242"/>
        <v>260152.68</v>
      </c>
      <c r="N665" s="736"/>
      <c r="O665" s="736"/>
      <c r="P665" s="736">
        <f t="shared" si="243"/>
        <v>260152.68</v>
      </c>
      <c r="Q665" s="738">
        <v>242678.33</v>
      </c>
      <c r="R665" s="738"/>
      <c r="S665" s="751">
        <v>262833.21999999997</v>
      </c>
      <c r="T665" s="739">
        <v>1500521</v>
      </c>
      <c r="U665" s="779">
        <v>262833.21999999997</v>
      </c>
      <c r="V665" s="741">
        <v>1500522</v>
      </c>
    </row>
    <row r="666" spans="1:22" ht="15" x14ac:dyDescent="0.25">
      <c r="A666" s="734">
        <v>1592</v>
      </c>
      <c r="B666" s="735" t="s">
        <v>20</v>
      </c>
      <c r="C666" s="736">
        <v>281553.07</v>
      </c>
      <c r="D666" s="736">
        <v>303597.84000000003</v>
      </c>
      <c r="E666" s="749">
        <v>303597.84000000003</v>
      </c>
      <c r="F666" s="736">
        <v>314316.79999999999</v>
      </c>
      <c r="G666" s="736">
        <v>318951.39999999997</v>
      </c>
      <c r="H666" s="736"/>
      <c r="I666" s="736"/>
      <c r="J666" s="736">
        <f t="shared" si="241"/>
        <v>318951.39999999997</v>
      </c>
      <c r="K666" s="736">
        <v>8260.75</v>
      </c>
      <c r="L666" s="736"/>
      <c r="M666" s="736">
        <f t="shared" si="242"/>
        <v>327212.14999999997</v>
      </c>
      <c r="N666" s="736"/>
      <c r="O666" s="736"/>
      <c r="P666" s="736">
        <f t="shared" si="243"/>
        <v>327212.14999999997</v>
      </c>
      <c r="Q666" s="738">
        <v>366577.74</v>
      </c>
      <c r="R666" s="738"/>
      <c r="S666" s="751">
        <v>339571.96</v>
      </c>
      <c r="T666" s="739">
        <v>1500521</v>
      </c>
      <c r="U666" s="779">
        <v>329803.42</v>
      </c>
      <c r="V666" s="741">
        <v>1500522</v>
      </c>
    </row>
    <row r="667" spans="1:22" ht="15" x14ac:dyDescent="0.2">
      <c r="A667" s="739">
        <v>2111</v>
      </c>
      <c r="B667" s="743" t="s">
        <v>22</v>
      </c>
      <c r="C667" s="736">
        <v>4639.58</v>
      </c>
      <c r="D667" s="736">
        <v>5000</v>
      </c>
      <c r="E667" s="749">
        <v>3500</v>
      </c>
      <c r="F667" s="736">
        <v>3250</v>
      </c>
      <c r="G667" s="736"/>
      <c r="H667" s="736"/>
      <c r="I667" s="736"/>
      <c r="J667" s="736">
        <f t="shared" si="241"/>
        <v>0</v>
      </c>
      <c r="K667" s="736"/>
      <c r="L667" s="736"/>
      <c r="M667" s="736">
        <f t="shared" si="242"/>
        <v>0</v>
      </c>
      <c r="N667" s="736"/>
      <c r="O667" s="736"/>
      <c r="P667" s="738">
        <f t="shared" si="243"/>
        <v>0</v>
      </c>
      <c r="Q667" s="738"/>
      <c r="R667" s="738"/>
      <c r="S667" s="738"/>
      <c r="T667" s="739">
        <v>1100121</v>
      </c>
      <c r="U667" s="745"/>
      <c r="V667" s="739">
        <v>1100122</v>
      </c>
    </row>
    <row r="668" spans="1:22" ht="15" x14ac:dyDescent="0.2">
      <c r="A668" s="739">
        <v>2121</v>
      </c>
      <c r="B668" s="743" t="s">
        <v>24</v>
      </c>
      <c r="C668" s="736"/>
      <c r="D668" s="736">
        <v>10000</v>
      </c>
      <c r="E668" s="749">
        <v>7000</v>
      </c>
      <c r="F668" s="736">
        <v>6851.12</v>
      </c>
      <c r="G668" s="736"/>
      <c r="H668" s="736"/>
      <c r="I668" s="736"/>
      <c r="J668" s="736">
        <f t="shared" si="241"/>
        <v>0</v>
      </c>
      <c r="K668" s="736"/>
      <c r="L668" s="736"/>
      <c r="M668" s="736">
        <f t="shared" si="242"/>
        <v>0</v>
      </c>
      <c r="N668" s="736"/>
      <c r="O668" s="736"/>
      <c r="P668" s="738">
        <f t="shared" si="243"/>
        <v>0</v>
      </c>
      <c r="Q668" s="738"/>
      <c r="R668" s="738"/>
      <c r="S668" s="738"/>
      <c r="T668" s="739">
        <v>1100121</v>
      </c>
      <c r="U668" s="745"/>
      <c r="V668" s="739">
        <v>1100122</v>
      </c>
    </row>
    <row r="669" spans="1:22" ht="15" x14ac:dyDescent="0.2">
      <c r="A669" s="739">
        <v>3611</v>
      </c>
      <c r="B669" s="743" t="s">
        <v>66</v>
      </c>
      <c r="C669" s="736"/>
      <c r="D669" s="736">
        <v>10000</v>
      </c>
      <c r="E669" s="749">
        <v>10000</v>
      </c>
      <c r="F669" s="736">
        <v>9978.4500000000007</v>
      </c>
      <c r="G669" s="752">
        <v>10000</v>
      </c>
      <c r="H669" s="752"/>
      <c r="I669" s="752"/>
      <c r="J669" s="736">
        <f t="shared" si="241"/>
        <v>10000</v>
      </c>
      <c r="K669" s="752"/>
      <c r="L669" s="752"/>
      <c r="M669" s="736">
        <f t="shared" si="242"/>
        <v>10000</v>
      </c>
      <c r="N669" s="736"/>
      <c r="O669" s="736"/>
      <c r="P669" s="736">
        <f t="shared" si="243"/>
        <v>10000</v>
      </c>
      <c r="Q669" s="753">
        <v>10000</v>
      </c>
      <c r="R669" s="738">
        <v>2300</v>
      </c>
      <c r="S669" s="753">
        <v>10000</v>
      </c>
      <c r="T669" s="739">
        <v>1100121</v>
      </c>
      <c r="U669" s="841"/>
      <c r="V669" s="739">
        <v>1100122</v>
      </c>
    </row>
    <row r="670" spans="1:22" ht="15" x14ac:dyDescent="0.2">
      <c r="A670" s="734">
        <v>3751</v>
      </c>
      <c r="B670" s="735" t="s">
        <v>44</v>
      </c>
      <c r="C670" s="736">
        <v>600</v>
      </c>
      <c r="D670" s="736">
        <v>3000</v>
      </c>
      <c r="E670" s="749">
        <v>3000</v>
      </c>
      <c r="F670" s="736">
        <v>1068</v>
      </c>
      <c r="G670" s="752">
        <v>3000</v>
      </c>
      <c r="H670" s="752"/>
      <c r="I670" s="752"/>
      <c r="J670" s="736">
        <f t="shared" si="241"/>
        <v>3000</v>
      </c>
      <c r="K670" s="752"/>
      <c r="L670" s="752"/>
      <c r="M670" s="736">
        <f t="shared" si="242"/>
        <v>3000</v>
      </c>
      <c r="N670" s="736"/>
      <c r="O670" s="736"/>
      <c r="P670" s="736">
        <f t="shared" si="243"/>
        <v>3000</v>
      </c>
      <c r="Q670" s="753">
        <v>3000</v>
      </c>
      <c r="R670" s="738"/>
      <c r="S670" s="753">
        <v>3000</v>
      </c>
      <c r="T670" s="739">
        <v>1100121</v>
      </c>
      <c r="U670" s="754">
        <v>3000</v>
      </c>
      <c r="V670" s="741">
        <v>1100122</v>
      </c>
    </row>
    <row r="671" spans="1:22" ht="15" x14ac:dyDescent="0.2">
      <c r="A671" s="739">
        <v>4411</v>
      </c>
      <c r="B671" s="743" t="s">
        <v>1732</v>
      </c>
      <c r="C671" s="736"/>
      <c r="D671" s="736"/>
      <c r="E671" s="749"/>
      <c r="F671" s="736"/>
      <c r="G671" s="752"/>
      <c r="H671" s="752"/>
      <c r="I671" s="752"/>
      <c r="J671" s="736"/>
      <c r="K671" s="752"/>
      <c r="L671" s="752"/>
      <c r="M671" s="736"/>
      <c r="N671" s="736"/>
      <c r="O671" s="736"/>
      <c r="P671" s="736"/>
      <c r="Q671" s="753"/>
      <c r="R671" s="738"/>
      <c r="S671" s="842">
        <v>1000000</v>
      </c>
      <c r="T671" s="739"/>
      <c r="U671" s="841">
        <v>0</v>
      </c>
      <c r="V671" s="739"/>
    </row>
    <row r="672" spans="1:22" ht="15" x14ac:dyDescent="0.2">
      <c r="A672" s="739">
        <v>4154</v>
      </c>
      <c r="B672" s="743" t="s">
        <v>126</v>
      </c>
      <c r="C672" s="736"/>
      <c r="D672" s="736">
        <v>0</v>
      </c>
      <c r="E672" s="749">
        <v>3500000</v>
      </c>
      <c r="F672" s="736">
        <v>3499500</v>
      </c>
      <c r="G672" s="736"/>
      <c r="H672" s="736"/>
      <c r="I672" s="736"/>
      <c r="J672" s="736">
        <f t="shared" ref="J672:J676" si="244">G672+H672-I672</f>
        <v>0</v>
      </c>
      <c r="K672" s="736"/>
      <c r="L672" s="736"/>
      <c r="M672" s="736">
        <f t="shared" ref="M672:M676" si="245">J672+K672-L672</f>
        <v>0</v>
      </c>
      <c r="N672" s="736"/>
      <c r="O672" s="736"/>
      <c r="P672" s="738">
        <f t="shared" ref="P672:P676" si="246">M672+N672-O672</f>
        <v>0</v>
      </c>
      <c r="Q672" s="738"/>
      <c r="R672" s="738"/>
      <c r="S672" s="738"/>
      <c r="T672" s="739">
        <v>1100121</v>
      </c>
      <c r="U672" s="745"/>
      <c r="V672" s="739">
        <v>1100122</v>
      </c>
    </row>
    <row r="673" spans="1:22" ht="15" x14ac:dyDescent="0.2">
      <c r="A673" s="739">
        <v>4421</v>
      </c>
      <c r="B673" s="743" t="s">
        <v>136</v>
      </c>
      <c r="C673" s="736">
        <v>4834202</v>
      </c>
      <c r="D673" s="736">
        <v>0</v>
      </c>
      <c r="E673" s="749">
        <v>300000</v>
      </c>
      <c r="F673" s="736">
        <v>293700</v>
      </c>
      <c r="G673" s="752"/>
      <c r="H673" s="752"/>
      <c r="I673" s="752"/>
      <c r="J673" s="736">
        <f t="shared" si="244"/>
        <v>0</v>
      </c>
      <c r="K673" s="752"/>
      <c r="L673" s="752"/>
      <c r="M673" s="736">
        <f t="shared" si="245"/>
        <v>0</v>
      </c>
      <c r="N673" s="736"/>
      <c r="O673" s="736"/>
      <c r="P673" s="738">
        <f t="shared" si="246"/>
        <v>0</v>
      </c>
      <c r="Q673" s="753"/>
      <c r="R673" s="738"/>
      <c r="S673" s="753"/>
      <c r="T673" s="739">
        <v>1100119</v>
      </c>
      <c r="U673" s="745"/>
      <c r="V673" s="739">
        <v>1100119</v>
      </c>
    </row>
    <row r="674" spans="1:22" ht="15" x14ac:dyDescent="0.2">
      <c r="A674" s="734">
        <v>4421</v>
      </c>
      <c r="B674" s="735" t="s">
        <v>136</v>
      </c>
      <c r="C674" s="736"/>
      <c r="D674" s="736">
        <v>5000000</v>
      </c>
      <c r="E674" s="749">
        <v>1556400</v>
      </c>
      <c r="F674" s="736">
        <v>1562700</v>
      </c>
      <c r="G674" s="752">
        <v>5000000</v>
      </c>
      <c r="H674" s="752"/>
      <c r="I674" s="752"/>
      <c r="J674" s="736">
        <f t="shared" si="244"/>
        <v>5000000</v>
      </c>
      <c r="K674" s="752">
        <v>1500000</v>
      </c>
      <c r="L674" s="752"/>
      <c r="M674" s="736">
        <f t="shared" si="245"/>
        <v>6500000</v>
      </c>
      <c r="N674" s="736"/>
      <c r="O674" s="736"/>
      <c r="P674" s="736">
        <f t="shared" si="246"/>
        <v>6500000</v>
      </c>
      <c r="Q674" s="753">
        <v>6749500</v>
      </c>
      <c r="R674" s="738">
        <v>6749500</v>
      </c>
      <c r="S674" s="753">
        <v>6845300</v>
      </c>
      <c r="T674" s="739">
        <v>1100121</v>
      </c>
      <c r="U674" s="754">
        <v>6500000</v>
      </c>
      <c r="V674" s="741">
        <v>1100122</v>
      </c>
    </row>
    <row r="675" spans="1:22" ht="15" x14ac:dyDescent="0.2">
      <c r="A675" s="734">
        <v>4431</v>
      </c>
      <c r="B675" s="735" t="s">
        <v>134</v>
      </c>
      <c r="C675" s="736">
        <v>510952.67</v>
      </c>
      <c r="D675" s="736">
        <v>624000</v>
      </c>
      <c r="E675" s="749">
        <v>645680</v>
      </c>
      <c r="F675" s="736">
        <v>615305.9</v>
      </c>
      <c r="G675" s="752">
        <v>624000</v>
      </c>
      <c r="H675" s="752"/>
      <c r="I675" s="752"/>
      <c r="J675" s="736">
        <f t="shared" si="244"/>
        <v>624000</v>
      </c>
      <c r="K675" s="752"/>
      <c r="L675" s="752"/>
      <c r="M675" s="736">
        <f t="shared" si="245"/>
        <v>624000</v>
      </c>
      <c r="N675" s="736"/>
      <c r="O675" s="736"/>
      <c r="P675" s="736">
        <f t="shared" si="246"/>
        <v>624000</v>
      </c>
      <c r="Q675" s="753">
        <v>624000</v>
      </c>
      <c r="R675" s="738">
        <v>414013.6</v>
      </c>
      <c r="S675" s="753">
        <v>655200</v>
      </c>
      <c r="T675" s="739">
        <v>1100121</v>
      </c>
      <c r="U675" s="754">
        <v>655200</v>
      </c>
      <c r="V675" s="741">
        <v>1100122</v>
      </c>
    </row>
    <row r="676" spans="1:22" ht="15" x14ac:dyDescent="0.2">
      <c r="A676" s="739">
        <v>5111</v>
      </c>
      <c r="B676" s="743" t="s">
        <v>35</v>
      </c>
      <c r="C676" s="736"/>
      <c r="D676" s="736">
        <v>50000</v>
      </c>
      <c r="E676" s="749">
        <v>50000</v>
      </c>
      <c r="F676" s="736">
        <v>35400</v>
      </c>
      <c r="G676" s="736"/>
      <c r="H676" s="736"/>
      <c r="I676" s="736"/>
      <c r="J676" s="736">
        <f t="shared" si="244"/>
        <v>0</v>
      </c>
      <c r="K676" s="736"/>
      <c r="L676" s="736"/>
      <c r="M676" s="736">
        <f t="shared" si="245"/>
        <v>0</v>
      </c>
      <c r="N676" s="736"/>
      <c r="O676" s="736"/>
      <c r="P676" s="738">
        <f t="shared" si="246"/>
        <v>0</v>
      </c>
      <c r="Q676" s="738"/>
      <c r="R676" s="738"/>
      <c r="S676" s="738">
        <v>15525</v>
      </c>
      <c r="T676" s="739">
        <v>1100121</v>
      </c>
      <c r="U676" s="744"/>
      <c r="V676" s="739">
        <v>1100122</v>
      </c>
    </row>
    <row r="677" spans="1:22" ht="15" x14ac:dyDescent="0.2">
      <c r="A677" s="724" t="s">
        <v>142</v>
      </c>
      <c r="B677" s="725" t="s">
        <v>143</v>
      </c>
      <c r="C677" s="721">
        <f t="shared" ref="C677:P677" si="247">SUM(C678+C748+C779)</f>
        <v>6666856.5600000005</v>
      </c>
      <c r="D677" s="721">
        <f t="shared" si="247"/>
        <v>7691185.2199999997</v>
      </c>
      <c r="E677" s="721">
        <f t="shared" si="247"/>
        <v>9333223.9700000007</v>
      </c>
      <c r="F677" s="721">
        <f t="shared" si="247"/>
        <v>6616783.3499999996</v>
      </c>
      <c r="G677" s="721">
        <f t="shared" si="247"/>
        <v>9751509.3000000007</v>
      </c>
      <c r="H677" s="721">
        <f t="shared" si="247"/>
        <v>2444705.84</v>
      </c>
      <c r="I677" s="721">
        <f t="shared" si="247"/>
        <v>2117553</v>
      </c>
      <c r="J677" s="721">
        <f t="shared" si="247"/>
        <v>10078662.140000001</v>
      </c>
      <c r="K677" s="721">
        <f t="shared" si="247"/>
        <v>504412.12</v>
      </c>
      <c r="L677" s="721">
        <f t="shared" si="247"/>
        <v>434000</v>
      </c>
      <c r="M677" s="721">
        <f t="shared" si="247"/>
        <v>10149074.26</v>
      </c>
      <c r="N677" s="721">
        <f t="shared" si="247"/>
        <v>51740.84</v>
      </c>
      <c r="O677" s="721">
        <f t="shared" si="247"/>
        <v>76900.83</v>
      </c>
      <c r="P677" s="721">
        <f t="shared" si="247"/>
        <v>10123914.27</v>
      </c>
      <c r="Q677" s="756">
        <f>+Q678+Q698+Q702+Q730+Q733+Q748</f>
        <v>10100997.959999999</v>
      </c>
      <c r="R677" s="756">
        <f>+R678+R698+R702+R721+R730+R733+R748</f>
        <v>10843186.810000001</v>
      </c>
      <c r="S677" s="756">
        <f>+S678+S698+S702+S721+S730+S733+S748</f>
        <v>27253310.200000003</v>
      </c>
      <c r="T677" s="724"/>
      <c r="U677" s="726">
        <f>+U678+U698+U702+U721+U730+U733+U748</f>
        <v>8367732.1400000006</v>
      </c>
      <c r="V677" s="727"/>
    </row>
    <row r="678" spans="1:22" ht="15" x14ac:dyDescent="0.2">
      <c r="A678" s="728" t="s">
        <v>144</v>
      </c>
      <c r="B678" s="729" t="s">
        <v>1557</v>
      </c>
      <c r="C678" s="730">
        <f t="shared" ref="C678:S678" si="248">SUM(C679:C747)</f>
        <v>3904953.1900000004</v>
      </c>
      <c r="D678" s="730">
        <f t="shared" si="248"/>
        <v>4550267</v>
      </c>
      <c r="E678" s="730">
        <f t="shared" si="248"/>
        <v>6393291.2300000004</v>
      </c>
      <c r="F678" s="730">
        <f t="shared" si="248"/>
        <v>3747797.9100000006</v>
      </c>
      <c r="G678" s="730">
        <f t="shared" si="248"/>
        <v>6590275.2000000002</v>
      </c>
      <c r="H678" s="730">
        <f t="shared" si="248"/>
        <v>2427965</v>
      </c>
      <c r="I678" s="730">
        <f t="shared" si="248"/>
        <v>2117553</v>
      </c>
      <c r="J678" s="730">
        <f t="shared" si="248"/>
        <v>6900687.2000000002</v>
      </c>
      <c r="K678" s="730">
        <f t="shared" si="248"/>
        <v>245460.62</v>
      </c>
      <c r="L678" s="730">
        <f t="shared" si="248"/>
        <v>434000</v>
      </c>
      <c r="M678" s="730">
        <f t="shared" si="248"/>
        <v>6712147.8200000003</v>
      </c>
      <c r="N678" s="730">
        <f t="shared" si="248"/>
        <v>0</v>
      </c>
      <c r="O678" s="730">
        <f t="shared" si="248"/>
        <v>25159.99</v>
      </c>
      <c r="P678" s="730">
        <f t="shared" si="248"/>
        <v>6686987.8300000001</v>
      </c>
      <c r="Q678" s="748">
        <f>SUM(Q679:Q747)</f>
        <v>6566673.8599999994</v>
      </c>
      <c r="R678" s="748">
        <f t="shared" si="248"/>
        <v>6738554.3000000007</v>
      </c>
      <c r="S678" s="748">
        <f t="shared" si="248"/>
        <v>16022532.1</v>
      </c>
      <c r="T678" s="731"/>
      <c r="U678" s="732">
        <f>SUM(U679:U697)</f>
        <v>2687329.9800000004</v>
      </c>
      <c r="V678" s="733"/>
    </row>
    <row r="679" spans="1:22" ht="15" x14ac:dyDescent="0.25">
      <c r="A679" s="734">
        <v>1131</v>
      </c>
      <c r="B679" s="735" t="s">
        <v>6</v>
      </c>
      <c r="C679" s="736">
        <v>339759.22</v>
      </c>
      <c r="D679" s="736">
        <v>347878.44</v>
      </c>
      <c r="E679" s="749">
        <v>347878.44</v>
      </c>
      <c r="F679" s="736">
        <v>388213.71</v>
      </c>
      <c r="G679" s="736">
        <v>378495.3</v>
      </c>
      <c r="H679" s="736"/>
      <c r="I679" s="736"/>
      <c r="J679" s="736">
        <f t="shared" ref="J679:J703" si="249">G679+H679-I679</f>
        <v>378495.3</v>
      </c>
      <c r="K679" s="736">
        <v>1697.05</v>
      </c>
      <c r="L679" s="736"/>
      <c r="M679" s="736">
        <f t="shared" ref="M679:M703" si="250">J679+K679-L679</f>
        <v>380192.35</v>
      </c>
      <c r="N679" s="736"/>
      <c r="O679" s="736"/>
      <c r="P679" s="736">
        <f t="shared" ref="P679:P703" si="251">M679+N679-O679</f>
        <v>380192.35</v>
      </c>
      <c r="Q679" s="738">
        <v>375898.53</v>
      </c>
      <c r="R679" s="738"/>
      <c r="S679" s="751">
        <v>393163.68</v>
      </c>
      <c r="T679" s="739">
        <v>1500521</v>
      </c>
      <c r="U679" s="779">
        <v>411978.62</v>
      </c>
      <c r="V679" s="741">
        <v>1500522</v>
      </c>
    </row>
    <row r="680" spans="1:22" ht="15" x14ac:dyDescent="0.25">
      <c r="A680" s="734">
        <v>1132</v>
      </c>
      <c r="B680" s="735" t="s">
        <v>8</v>
      </c>
      <c r="C680" s="736">
        <v>675972.99</v>
      </c>
      <c r="D680" s="736">
        <v>469476.28</v>
      </c>
      <c r="E680" s="749">
        <v>469476.28</v>
      </c>
      <c r="F680" s="736">
        <v>486477.81</v>
      </c>
      <c r="G680" s="736">
        <v>493201.8</v>
      </c>
      <c r="H680" s="736"/>
      <c r="I680" s="736"/>
      <c r="J680" s="736">
        <f t="shared" si="249"/>
        <v>493201.8</v>
      </c>
      <c r="K680" s="736">
        <v>17389.13</v>
      </c>
      <c r="L680" s="736"/>
      <c r="M680" s="736">
        <f t="shared" si="250"/>
        <v>510590.93</v>
      </c>
      <c r="N680" s="736"/>
      <c r="O680" s="736"/>
      <c r="P680" s="736">
        <f t="shared" si="251"/>
        <v>510590.93</v>
      </c>
      <c r="Q680" s="738">
        <v>505243.03</v>
      </c>
      <c r="R680" s="738"/>
      <c r="S680" s="751">
        <v>895454.56</v>
      </c>
      <c r="T680" s="739">
        <v>1500521</v>
      </c>
      <c r="U680" s="779">
        <v>844370.17</v>
      </c>
      <c r="V680" s="741">
        <v>1500522</v>
      </c>
    </row>
    <row r="681" spans="1:22" ht="15" x14ac:dyDescent="0.25">
      <c r="A681" s="734">
        <v>1321</v>
      </c>
      <c r="B681" s="735" t="s">
        <v>9</v>
      </c>
      <c r="C681" s="736">
        <v>66901.66</v>
      </c>
      <c r="D681" s="736">
        <v>56626.68</v>
      </c>
      <c r="E681" s="749">
        <v>56626.68</v>
      </c>
      <c r="F681" s="736">
        <v>56626.68</v>
      </c>
      <c r="G681" s="736">
        <v>59646</v>
      </c>
      <c r="H681" s="736"/>
      <c r="I681" s="736"/>
      <c r="J681" s="736">
        <f t="shared" si="249"/>
        <v>59646</v>
      </c>
      <c r="K681" s="736">
        <v>1998.8</v>
      </c>
      <c r="L681" s="736"/>
      <c r="M681" s="736">
        <f t="shared" si="250"/>
        <v>61644.800000000003</v>
      </c>
      <c r="N681" s="736"/>
      <c r="O681" s="736"/>
      <c r="P681" s="736">
        <f t="shared" si="251"/>
        <v>61644.800000000003</v>
      </c>
      <c r="Q681" s="738">
        <v>61644.800000000003</v>
      </c>
      <c r="R681" s="738"/>
      <c r="S681" s="751">
        <v>82334.22</v>
      </c>
      <c r="T681" s="739">
        <v>1500521</v>
      </c>
      <c r="U681" s="779">
        <v>77637.17</v>
      </c>
      <c r="V681" s="741">
        <v>1500522</v>
      </c>
    </row>
    <row r="682" spans="1:22" ht="15" x14ac:dyDescent="0.25">
      <c r="A682" s="734">
        <v>1323</v>
      </c>
      <c r="B682" s="735" t="s">
        <v>11</v>
      </c>
      <c r="C682" s="736">
        <v>178296</v>
      </c>
      <c r="D682" s="736">
        <v>150183.5</v>
      </c>
      <c r="E682" s="749">
        <v>150183.5</v>
      </c>
      <c r="F682" s="736">
        <v>152436</v>
      </c>
      <c r="G682" s="736">
        <v>157772</v>
      </c>
      <c r="H682" s="736"/>
      <c r="I682" s="736"/>
      <c r="J682" s="736">
        <f t="shared" si="249"/>
        <v>157772</v>
      </c>
      <c r="K682" s="736">
        <v>5286.03</v>
      </c>
      <c r="L682" s="736"/>
      <c r="M682" s="736">
        <f t="shared" si="250"/>
        <v>163058.03</v>
      </c>
      <c r="N682" s="736"/>
      <c r="O682" s="736"/>
      <c r="P682" s="736">
        <f t="shared" si="251"/>
        <v>163058.03</v>
      </c>
      <c r="Q682" s="738">
        <v>163058.03</v>
      </c>
      <c r="R682" s="738"/>
      <c r="S682" s="751">
        <v>229657.5</v>
      </c>
      <c r="T682" s="739">
        <v>1500521</v>
      </c>
      <c r="U682" s="779">
        <v>216555.87</v>
      </c>
      <c r="V682" s="741">
        <v>1500522</v>
      </c>
    </row>
    <row r="683" spans="1:22" ht="15" x14ac:dyDescent="0.25">
      <c r="A683" s="734">
        <v>1413</v>
      </c>
      <c r="B683" s="735" t="s">
        <v>13</v>
      </c>
      <c r="C683" s="736">
        <v>218389.51</v>
      </c>
      <c r="D683" s="736">
        <v>218124.2</v>
      </c>
      <c r="E683" s="749">
        <v>211525.2</v>
      </c>
      <c r="F683" s="736">
        <v>208889.53</v>
      </c>
      <c r="G683" s="736">
        <v>244525.5</v>
      </c>
      <c r="H683" s="736"/>
      <c r="I683" s="736"/>
      <c r="J683" s="736">
        <f t="shared" si="249"/>
        <v>244525.5</v>
      </c>
      <c r="K683" s="736">
        <v>7962.08</v>
      </c>
      <c r="L683" s="736"/>
      <c r="M683" s="736">
        <f t="shared" si="250"/>
        <v>252487.58</v>
      </c>
      <c r="N683" s="736"/>
      <c r="O683" s="736"/>
      <c r="P683" s="736">
        <f t="shared" si="251"/>
        <v>252487.58</v>
      </c>
      <c r="Q683" s="738">
        <v>252487.58</v>
      </c>
      <c r="R683" s="738"/>
      <c r="S683" s="751">
        <v>361360.32</v>
      </c>
      <c r="T683" s="739">
        <v>1500521</v>
      </c>
      <c r="U683" s="779">
        <v>340593.95</v>
      </c>
      <c r="V683" s="741">
        <v>1500522</v>
      </c>
    </row>
    <row r="684" spans="1:22" ht="15" x14ac:dyDescent="0.25">
      <c r="A684" s="734">
        <v>1421</v>
      </c>
      <c r="B684" s="735" t="s">
        <v>15</v>
      </c>
      <c r="C684" s="736">
        <v>73290.61</v>
      </c>
      <c r="D684" s="736">
        <v>66033.960000000006</v>
      </c>
      <c r="E684" s="749">
        <v>57696.959999999999</v>
      </c>
      <c r="F684" s="736">
        <v>62077.38</v>
      </c>
      <c r="G684" s="736">
        <v>69771.900000000009</v>
      </c>
      <c r="H684" s="736"/>
      <c r="I684" s="736"/>
      <c r="J684" s="736">
        <f t="shared" si="249"/>
        <v>69771.900000000009</v>
      </c>
      <c r="K684" s="736">
        <v>2219.27</v>
      </c>
      <c r="L684" s="736"/>
      <c r="M684" s="736">
        <f t="shared" si="250"/>
        <v>71991.170000000013</v>
      </c>
      <c r="N684" s="736"/>
      <c r="O684" s="736"/>
      <c r="P684" s="736">
        <f t="shared" si="251"/>
        <v>71991.170000000013</v>
      </c>
      <c r="Q684" s="738">
        <v>71991.17</v>
      </c>
      <c r="R684" s="738"/>
      <c r="S684" s="751">
        <v>101026.8</v>
      </c>
      <c r="T684" s="739">
        <v>1500521</v>
      </c>
      <c r="U684" s="779">
        <v>87109.32</v>
      </c>
      <c r="V684" s="741">
        <v>1500522</v>
      </c>
    </row>
    <row r="685" spans="1:22" ht="15" x14ac:dyDescent="0.25">
      <c r="A685" s="734">
        <v>1431</v>
      </c>
      <c r="B685" s="735" t="s">
        <v>16</v>
      </c>
      <c r="C685" s="736">
        <v>77851.839999999997</v>
      </c>
      <c r="D685" s="736">
        <v>68014.98</v>
      </c>
      <c r="E685" s="749">
        <v>60592.98</v>
      </c>
      <c r="F685" s="736">
        <v>65753.34</v>
      </c>
      <c r="G685" s="736">
        <v>71864.900000000009</v>
      </c>
      <c r="H685" s="736"/>
      <c r="I685" s="736"/>
      <c r="J685" s="736">
        <f t="shared" si="249"/>
        <v>71864.900000000009</v>
      </c>
      <c r="K685" s="736">
        <v>2271.3200000000002</v>
      </c>
      <c r="L685" s="736"/>
      <c r="M685" s="736">
        <f t="shared" si="250"/>
        <v>74136.220000000016</v>
      </c>
      <c r="N685" s="736"/>
      <c r="O685" s="736"/>
      <c r="P685" s="736">
        <f t="shared" si="251"/>
        <v>74136.220000000016</v>
      </c>
      <c r="Q685" s="738">
        <v>74136.22</v>
      </c>
      <c r="R685" s="738"/>
      <c r="S685" s="751">
        <v>104057.76</v>
      </c>
      <c r="T685" s="739">
        <v>1500521</v>
      </c>
      <c r="U685" s="779">
        <v>83567.55</v>
      </c>
      <c r="V685" s="741">
        <v>1500522</v>
      </c>
    </row>
    <row r="686" spans="1:22" ht="15" x14ac:dyDescent="0.25">
      <c r="A686" s="734">
        <v>1511</v>
      </c>
      <c r="B686" s="735" t="s">
        <v>18</v>
      </c>
      <c r="C686" s="736">
        <v>25325.82</v>
      </c>
      <c r="D686" s="736">
        <v>21872.76</v>
      </c>
      <c r="E686" s="749">
        <v>21872.76</v>
      </c>
      <c r="F686" s="736">
        <v>22627.59</v>
      </c>
      <c r="G686" s="736">
        <v>22964.799999999999</v>
      </c>
      <c r="H686" s="736"/>
      <c r="I686" s="736"/>
      <c r="J686" s="736">
        <f t="shared" si="249"/>
        <v>22964.799999999999</v>
      </c>
      <c r="K686" s="736">
        <v>769.45</v>
      </c>
      <c r="L686" s="736"/>
      <c r="M686" s="736">
        <f t="shared" si="250"/>
        <v>23734.25</v>
      </c>
      <c r="N686" s="736"/>
      <c r="O686" s="736"/>
      <c r="P686" s="736">
        <f t="shared" si="251"/>
        <v>23734.25</v>
      </c>
      <c r="Q686" s="738">
        <v>23734.25</v>
      </c>
      <c r="R686" s="738"/>
      <c r="S686" s="751">
        <v>33437.040000000001</v>
      </c>
      <c r="T686" s="739">
        <v>1500521</v>
      </c>
      <c r="U686" s="779">
        <v>31529.5</v>
      </c>
      <c r="V686" s="741">
        <v>1500522</v>
      </c>
    </row>
    <row r="687" spans="1:22" ht="15" x14ac:dyDescent="0.25">
      <c r="A687" s="734">
        <v>1541</v>
      </c>
      <c r="B687" s="735" t="s">
        <v>19</v>
      </c>
      <c r="C687" s="736">
        <v>194562.43</v>
      </c>
      <c r="D687" s="736">
        <v>204075.04</v>
      </c>
      <c r="E687" s="749">
        <v>205346.78</v>
      </c>
      <c r="F687" s="736">
        <v>211731.65</v>
      </c>
      <c r="G687" s="736">
        <v>266650.3</v>
      </c>
      <c r="H687" s="736"/>
      <c r="I687" s="736"/>
      <c r="J687" s="736">
        <f t="shared" si="249"/>
        <v>266650.3</v>
      </c>
      <c r="K687" s="736">
        <v>10148.969999999999</v>
      </c>
      <c r="L687" s="736"/>
      <c r="M687" s="736">
        <f t="shared" si="250"/>
        <v>276799.26999999996</v>
      </c>
      <c r="N687" s="736"/>
      <c r="O687" s="736"/>
      <c r="P687" s="736">
        <f t="shared" si="251"/>
        <v>276799.26999999996</v>
      </c>
      <c r="Q687" s="738">
        <v>259423.39</v>
      </c>
      <c r="R687" s="738"/>
      <c r="S687" s="751">
        <v>264851.86</v>
      </c>
      <c r="T687" s="739">
        <v>1500521</v>
      </c>
      <c r="U687" s="779">
        <v>264851.86</v>
      </c>
      <c r="V687" s="741">
        <v>1500522</v>
      </c>
    </row>
    <row r="688" spans="1:22" ht="15" x14ac:dyDescent="0.25">
      <c r="A688" s="734">
        <v>1592</v>
      </c>
      <c r="B688" s="735" t="s">
        <v>20</v>
      </c>
      <c r="C688" s="736">
        <v>297500.46000000002</v>
      </c>
      <c r="D688" s="736">
        <v>275981.15999999997</v>
      </c>
      <c r="E688" s="749">
        <v>275981.15999999997</v>
      </c>
      <c r="F688" s="736">
        <v>285499.55</v>
      </c>
      <c r="G688" s="736">
        <v>289929.69999999995</v>
      </c>
      <c r="H688" s="736"/>
      <c r="I688" s="736"/>
      <c r="J688" s="736">
        <f t="shared" si="249"/>
        <v>289929.69999999995</v>
      </c>
      <c r="K688" s="736">
        <v>9718.52</v>
      </c>
      <c r="L688" s="736"/>
      <c r="M688" s="736">
        <f t="shared" si="250"/>
        <v>299648.21999999997</v>
      </c>
      <c r="N688" s="736"/>
      <c r="O688" s="736"/>
      <c r="P688" s="736">
        <f t="shared" si="251"/>
        <v>299648.21999999997</v>
      </c>
      <c r="Q688" s="738">
        <v>321351.84999999998</v>
      </c>
      <c r="R688" s="738"/>
      <c r="S688" s="751">
        <v>383288.36</v>
      </c>
      <c r="T688" s="739">
        <v>1500521</v>
      </c>
      <c r="U688" s="779">
        <v>329135.96999999997</v>
      </c>
      <c r="V688" s="741">
        <v>1500522</v>
      </c>
    </row>
    <row r="689" spans="1:22" ht="15" x14ac:dyDescent="0.2">
      <c r="A689" s="739">
        <v>2491</v>
      </c>
      <c r="B689" s="743" t="s">
        <v>41</v>
      </c>
      <c r="C689" s="736"/>
      <c r="D689" s="736"/>
      <c r="E689" s="749"/>
      <c r="F689" s="736"/>
      <c r="G689" s="736"/>
      <c r="H689" s="736"/>
      <c r="I689" s="736"/>
      <c r="J689" s="736"/>
      <c r="K689" s="736"/>
      <c r="L689" s="736"/>
      <c r="M689" s="736"/>
      <c r="N689" s="736"/>
      <c r="O689" s="736"/>
      <c r="P689" s="736"/>
      <c r="Q689" s="738"/>
      <c r="R689" s="738"/>
      <c r="S689" s="843">
        <v>50000</v>
      </c>
      <c r="T689" s="787"/>
      <c r="U689" s="750">
        <v>0</v>
      </c>
      <c r="V689" s="787"/>
    </row>
    <row r="690" spans="1:22" ht="15" x14ac:dyDescent="0.2">
      <c r="A690" s="739">
        <v>2531</v>
      </c>
      <c r="B690" s="743" t="s">
        <v>145</v>
      </c>
      <c r="C690" s="736"/>
      <c r="D690" s="736"/>
      <c r="E690" s="749"/>
      <c r="F690" s="736"/>
      <c r="G690" s="736"/>
      <c r="H690" s="736"/>
      <c r="I690" s="736"/>
      <c r="J690" s="736"/>
      <c r="K690" s="736"/>
      <c r="L690" s="736"/>
      <c r="M690" s="736"/>
      <c r="N690" s="736"/>
      <c r="O690" s="736"/>
      <c r="P690" s="736"/>
      <c r="Q690" s="738"/>
      <c r="R690" s="738"/>
      <c r="S690" s="843">
        <v>30000</v>
      </c>
      <c r="T690" s="787"/>
      <c r="U690" s="750">
        <v>0</v>
      </c>
      <c r="V690" s="787"/>
    </row>
    <row r="691" spans="1:22" ht="15" x14ac:dyDescent="0.2">
      <c r="A691" s="739">
        <v>3821</v>
      </c>
      <c r="B691" s="743" t="s">
        <v>31</v>
      </c>
      <c r="C691" s="736"/>
      <c r="D691" s="736"/>
      <c r="E691" s="749"/>
      <c r="F691" s="736"/>
      <c r="G691" s="736"/>
      <c r="H691" s="736"/>
      <c r="I691" s="736"/>
      <c r="J691" s="736"/>
      <c r="K691" s="736"/>
      <c r="L691" s="736"/>
      <c r="M691" s="736"/>
      <c r="N691" s="736"/>
      <c r="O691" s="736"/>
      <c r="P691" s="736"/>
      <c r="Q691" s="738"/>
      <c r="R691" s="738"/>
      <c r="S691" s="843">
        <v>15000</v>
      </c>
      <c r="T691" s="787"/>
      <c r="U691" s="750">
        <v>0</v>
      </c>
      <c r="V691" s="787"/>
    </row>
    <row r="692" spans="1:22" ht="15" x14ac:dyDescent="0.2">
      <c r="A692" s="739">
        <v>5691</v>
      </c>
      <c r="B692" s="743" t="s">
        <v>112</v>
      </c>
      <c r="C692" s="736"/>
      <c r="D692" s="736"/>
      <c r="E692" s="749"/>
      <c r="F692" s="736"/>
      <c r="G692" s="736"/>
      <c r="H692" s="736"/>
      <c r="I692" s="736"/>
      <c r="J692" s="736"/>
      <c r="K692" s="736"/>
      <c r="L692" s="736"/>
      <c r="M692" s="736"/>
      <c r="N692" s="736"/>
      <c r="O692" s="736"/>
      <c r="P692" s="736"/>
      <c r="Q692" s="738"/>
      <c r="R692" s="738"/>
      <c r="S692" s="844">
        <v>400000</v>
      </c>
      <c r="T692" s="778"/>
      <c r="U692" s="750">
        <v>0</v>
      </c>
      <c r="V692" s="778"/>
    </row>
    <row r="693" spans="1:22" ht="15" x14ac:dyDescent="0.2">
      <c r="A693" s="739">
        <v>5411</v>
      </c>
      <c r="B693" s="743" t="s">
        <v>123</v>
      </c>
      <c r="C693" s="736"/>
      <c r="D693" s="736"/>
      <c r="E693" s="749"/>
      <c r="F693" s="736"/>
      <c r="G693" s="736"/>
      <c r="H693" s="736"/>
      <c r="I693" s="736"/>
      <c r="J693" s="736"/>
      <c r="K693" s="736"/>
      <c r="L693" s="736"/>
      <c r="M693" s="736"/>
      <c r="N693" s="736"/>
      <c r="O693" s="736"/>
      <c r="P693" s="736"/>
      <c r="Q693" s="738"/>
      <c r="R693" s="738"/>
      <c r="S693" s="845">
        <v>2000000</v>
      </c>
      <c r="T693" s="739"/>
      <c r="U693" s="750">
        <v>0</v>
      </c>
      <c r="V693" s="739"/>
    </row>
    <row r="694" spans="1:22" ht="15" x14ac:dyDescent="0.2">
      <c r="A694" s="739">
        <v>5311</v>
      </c>
      <c r="B694" s="743" t="s">
        <v>1733</v>
      </c>
      <c r="C694" s="736"/>
      <c r="D694" s="736"/>
      <c r="E694" s="749"/>
      <c r="F694" s="736"/>
      <c r="G694" s="752"/>
      <c r="H694" s="752"/>
      <c r="I694" s="752"/>
      <c r="J694" s="736"/>
      <c r="K694" s="752"/>
      <c r="L694" s="752"/>
      <c r="M694" s="736"/>
      <c r="N694" s="736"/>
      <c r="O694" s="736"/>
      <c r="P694" s="736"/>
      <c r="Q694" s="753"/>
      <c r="R694" s="738"/>
      <c r="S694" s="846">
        <v>100000</v>
      </c>
      <c r="T694" s="787"/>
      <c r="U694" s="841">
        <v>0</v>
      </c>
      <c r="V694" s="787"/>
    </row>
    <row r="695" spans="1:22" ht="15" x14ac:dyDescent="0.2">
      <c r="A695" s="739">
        <v>2613</v>
      </c>
      <c r="B695" s="743" t="s">
        <v>146</v>
      </c>
      <c r="C695" s="736"/>
      <c r="D695" s="736"/>
      <c r="E695" s="749"/>
      <c r="F695" s="736"/>
      <c r="G695" s="752"/>
      <c r="H695" s="752"/>
      <c r="I695" s="752"/>
      <c r="J695" s="736"/>
      <c r="K695" s="752"/>
      <c r="L695" s="752"/>
      <c r="M695" s="736"/>
      <c r="N695" s="736"/>
      <c r="O695" s="736"/>
      <c r="P695" s="736"/>
      <c r="Q695" s="753"/>
      <c r="R695" s="738"/>
      <c r="S695" s="753"/>
      <c r="T695" s="739"/>
      <c r="U695" s="841"/>
      <c r="V695" s="739"/>
    </row>
    <row r="696" spans="1:22" ht="15" x14ac:dyDescent="0.2">
      <c r="A696" s="739">
        <v>3551</v>
      </c>
      <c r="B696" s="743" t="s">
        <v>30</v>
      </c>
      <c r="C696" s="736"/>
      <c r="D696" s="736"/>
      <c r="E696" s="749"/>
      <c r="F696" s="736"/>
      <c r="G696" s="752"/>
      <c r="H696" s="752"/>
      <c r="I696" s="752"/>
      <c r="J696" s="736"/>
      <c r="K696" s="752"/>
      <c r="L696" s="752"/>
      <c r="M696" s="736"/>
      <c r="N696" s="736"/>
      <c r="O696" s="736"/>
      <c r="P696" s="736"/>
      <c r="Q696" s="753"/>
      <c r="R696" s="738"/>
      <c r="S696" s="753"/>
      <c r="T696" s="739"/>
      <c r="U696" s="841"/>
      <c r="V696" s="739"/>
    </row>
    <row r="697" spans="1:22" ht="15" x14ac:dyDescent="0.2">
      <c r="A697" s="739">
        <v>3921</v>
      </c>
      <c r="B697" s="743" t="s">
        <v>1734</v>
      </c>
      <c r="C697" s="736"/>
      <c r="D697" s="736"/>
      <c r="E697" s="749"/>
      <c r="F697" s="736"/>
      <c r="G697" s="752"/>
      <c r="H697" s="752"/>
      <c r="I697" s="752"/>
      <c r="J697" s="736"/>
      <c r="K697" s="752"/>
      <c r="L697" s="752"/>
      <c r="M697" s="736"/>
      <c r="N697" s="736"/>
      <c r="O697" s="736"/>
      <c r="P697" s="736"/>
      <c r="Q697" s="753"/>
      <c r="R697" s="738"/>
      <c r="S697" s="753"/>
      <c r="T697" s="739"/>
      <c r="U697" s="841"/>
      <c r="V697" s="739"/>
    </row>
    <row r="698" spans="1:22" ht="15" x14ac:dyDescent="0.2">
      <c r="A698" s="809" t="s">
        <v>222</v>
      </c>
      <c r="B698" s="816" t="s">
        <v>1559</v>
      </c>
      <c r="C698" s="847"/>
      <c r="D698" s="847"/>
      <c r="E698" s="848"/>
      <c r="F698" s="847"/>
      <c r="G698" s="847"/>
      <c r="H698" s="847"/>
      <c r="I698" s="847"/>
      <c r="J698" s="847"/>
      <c r="K698" s="847"/>
      <c r="L698" s="847"/>
      <c r="M698" s="847"/>
      <c r="N698" s="847"/>
      <c r="O698" s="847"/>
      <c r="P698" s="849"/>
      <c r="Q698" s="850"/>
      <c r="R698" s="850">
        <f t="shared" ref="R698:S698" si="252">SUM(R699:R701)</f>
        <v>0</v>
      </c>
      <c r="S698" s="850">
        <f t="shared" si="252"/>
        <v>902900</v>
      </c>
      <c r="T698" s="851"/>
      <c r="U698" s="814">
        <f>SUM(U699:U701)</f>
        <v>19000</v>
      </c>
      <c r="V698" s="852"/>
    </row>
    <row r="699" spans="1:22" ht="15" x14ac:dyDescent="0.2">
      <c r="A699" s="734">
        <v>2112</v>
      </c>
      <c r="B699" s="735" t="s">
        <v>39</v>
      </c>
      <c r="C699" s="736">
        <v>25860.39</v>
      </c>
      <c r="D699" s="736">
        <v>0</v>
      </c>
      <c r="E699" s="749">
        <v>2828.08</v>
      </c>
      <c r="F699" s="736">
        <v>2828.08</v>
      </c>
      <c r="G699" s="752">
        <v>2900</v>
      </c>
      <c r="H699" s="752"/>
      <c r="I699" s="752"/>
      <c r="J699" s="736">
        <f t="shared" ref="J699:J701" si="253">G699+H699-I699</f>
        <v>2900</v>
      </c>
      <c r="K699" s="752"/>
      <c r="L699" s="752"/>
      <c r="M699" s="736">
        <f t="shared" ref="M699:M701" si="254">J699+K699-L699</f>
        <v>2900</v>
      </c>
      <c r="N699" s="736"/>
      <c r="O699" s="736"/>
      <c r="P699" s="736">
        <f t="shared" ref="P699:P701" si="255">M699+N699-O699</f>
        <v>2900</v>
      </c>
      <c r="Q699" s="753">
        <v>2900</v>
      </c>
      <c r="R699" s="738"/>
      <c r="S699" s="753">
        <v>2900</v>
      </c>
      <c r="T699" s="739">
        <v>1100121</v>
      </c>
      <c r="U699" s="740">
        <v>4000</v>
      </c>
      <c r="V699" s="741">
        <v>1100122</v>
      </c>
    </row>
    <row r="700" spans="1:22" ht="15" x14ac:dyDescent="0.2">
      <c r="A700" s="734">
        <v>2121</v>
      </c>
      <c r="B700" s="735" t="s">
        <v>24</v>
      </c>
      <c r="C700" s="736">
        <v>5022.68</v>
      </c>
      <c r="D700" s="736">
        <v>2000</v>
      </c>
      <c r="E700" s="749">
        <v>1400</v>
      </c>
      <c r="F700" s="736">
        <v>1230.48</v>
      </c>
      <c r="G700" s="736"/>
      <c r="H700" s="736"/>
      <c r="I700" s="736"/>
      <c r="J700" s="736">
        <f t="shared" si="253"/>
        <v>0</v>
      </c>
      <c r="K700" s="736"/>
      <c r="L700" s="736"/>
      <c r="M700" s="736">
        <f t="shared" si="254"/>
        <v>0</v>
      </c>
      <c r="N700" s="736"/>
      <c r="O700" s="736"/>
      <c r="P700" s="738">
        <f t="shared" si="255"/>
        <v>0</v>
      </c>
      <c r="Q700" s="738"/>
      <c r="R700" s="738"/>
      <c r="S700" s="738"/>
      <c r="T700" s="739">
        <v>1100121</v>
      </c>
      <c r="U700" s="740">
        <v>15000</v>
      </c>
      <c r="V700" s="741">
        <v>1100122</v>
      </c>
    </row>
    <row r="701" spans="1:22" ht="15" x14ac:dyDescent="0.2">
      <c r="A701" s="739">
        <v>5411</v>
      </c>
      <c r="B701" s="743" t="s">
        <v>123</v>
      </c>
      <c r="C701" s="736"/>
      <c r="D701" s="736">
        <v>0</v>
      </c>
      <c r="E701" s="749">
        <v>2130000</v>
      </c>
      <c r="F701" s="736">
        <v>0</v>
      </c>
      <c r="G701" s="736">
        <v>2117553</v>
      </c>
      <c r="H701" s="736"/>
      <c r="I701" s="736">
        <v>2117553</v>
      </c>
      <c r="J701" s="736">
        <f t="shared" si="253"/>
        <v>0</v>
      </c>
      <c r="K701" s="736"/>
      <c r="L701" s="736"/>
      <c r="M701" s="736">
        <f t="shared" si="254"/>
        <v>0</v>
      </c>
      <c r="N701" s="736"/>
      <c r="O701" s="736"/>
      <c r="P701" s="738">
        <f t="shared" si="255"/>
        <v>0</v>
      </c>
      <c r="Q701" s="738"/>
      <c r="R701" s="738"/>
      <c r="S701" s="807">
        <v>900000</v>
      </c>
      <c r="T701" s="787">
        <v>1100119</v>
      </c>
      <c r="U701" s="750">
        <v>0</v>
      </c>
      <c r="V701" s="787">
        <v>1100119</v>
      </c>
    </row>
    <row r="702" spans="1:22" ht="15" x14ac:dyDescent="0.2">
      <c r="A702" s="809" t="s">
        <v>1111</v>
      </c>
      <c r="B702" s="810" t="s">
        <v>1561</v>
      </c>
      <c r="C702" s="847"/>
      <c r="D702" s="847"/>
      <c r="E702" s="848"/>
      <c r="F702" s="847"/>
      <c r="G702" s="847"/>
      <c r="H702" s="847"/>
      <c r="I702" s="847"/>
      <c r="J702" s="847"/>
      <c r="K702" s="847"/>
      <c r="L702" s="847"/>
      <c r="M702" s="847"/>
      <c r="N702" s="847"/>
      <c r="O702" s="847"/>
      <c r="P702" s="849"/>
      <c r="Q702" s="850"/>
      <c r="R702" s="850">
        <f t="shared" ref="R702:S702" si="256">SUM(R703:R720)</f>
        <v>1181193.5099999998</v>
      </c>
      <c r="S702" s="850">
        <f t="shared" si="256"/>
        <v>1726550</v>
      </c>
      <c r="T702" s="851"/>
      <c r="U702" s="814">
        <f>SUM(U703:U720)</f>
        <v>180000</v>
      </c>
      <c r="V702" s="852"/>
    </row>
    <row r="703" spans="1:22" ht="15" x14ac:dyDescent="0.2">
      <c r="A703" s="739">
        <v>2111</v>
      </c>
      <c r="B703" s="743" t="s">
        <v>22</v>
      </c>
      <c r="C703" s="736">
        <v>14573.86</v>
      </c>
      <c r="D703" s="736">
        <v>15000</v>
      </c>
      <c r="E703" s="749">
        <v>10500</v>
      </c>
      <c r="F703" s="736">
        <v>9750</v>
      </c>
      <c r="G703" s="736"/>
      <c r="H703" s="736"/>
      <c r="I703" s="736"/>
      <c r="J703" s="736">
        <f t="shared" si="249"/>
        <v>0</v>
      </c>
      <c r="K703" s="736"/>
      <c r="L703" s="736"/>
      <c r="M703" s="736">
        <f t="shared" si="250"/>
        <v>0</v>
      </c>
      <c r="N703" s="736"/>
      <c r="O703" s="736"/>
      <c r="P703" s="738">
        <f t="shared" si="251"/>
        <v>0</v>
      </c>
      <c r="Q703" s="738"/>
      <c r="R703" s="738"/>
      <c r="S703" s="738"/>
      <c r="T703" s="739">
        <v>1100121</v>
      </c>
      <c r="U703" s="745"/>
      <c r="V703" s="739">
        <v>1100122</v>
      </c>
    </row>
    <row r="704" spans="1:22" ht="15" x14ac:dyDescent="0.2">
      <c r="A704" s="739">
        <v>2212</v>
      </c>
      <c r="B704" s="743" t="s">
        <v>40</v>
      </c>
      <c r="C704" s="736"/>
      <c r="D704" s="736"/>
      <c r="E704" s="749"/>
      <c r="F704" s="736"/>
      <c r="G704" s="752"/>
      <c r="H704" s="752"/>
      <c r="I704" s="752"/>
      <c r="J704" s="736"/>
      <c r="K704" s="752"/>
      <c r="L704" s="752"/>
      <c r="M704" s="736"/>
      <c r="N704" s="736"/>
      <c r="O704" s="736"/>
      <c r="P704" s="736"/>
      <c r="Q704" s="753"/>
      <c r="R704" s="738"/>
      <c r="S704" s="753">
        <v>20000</v>
      </c>
      <c r="T704" s="739"/>
      <c r="U704" s="745"/>
      <c r="V704" s="739"/>
    </row>
    <row r="705" spans="1:22" ht="15" x14ac:dyDescent="0.2">
      <c r="A705" s="739">
        <v>2161</v>
      </c>
      <c r="B705" s="743" t="s">
        <v>59</v>
      </c>
      <c r="C705" s="736">
        <v>29611.279999999999</v>
      </c>
      <c r="D705" s="736">
        <v>10000</v>
      </c>
      <c r="E705" s="749">
        <v>10000</v>
      </c>
      <c r="F705" s="736">
        <v>9691.2199999999993</v>
      </c>
      <c r="G705" s="736"/>
      <c r="H705" s="736"/>
      <c r="I705" s="736"/>
      <c r="J705" s="736">
        <f t="shared" ref="J705:J744" si="257">G705+H705-I705</f>
        <v>0</v>
      </c>
      <c r="K705" s="736"/>
      <c r="L705" s="736"/>
      <c r="M705" s="736">
        <f t="shared" ref="M705:M744" si="258">J705+K705-L705</f>
        <v>0</v>
      </c>
      <c r="N705" s="736"/>
      <c r="O705" s="736"/>
      <c r="P705" s="738">
        <f t="shared" ref="P705:P744" si="259">M705+N705-O705</f>
        <v>0</v>
      </c>
      <c r="Q705" s="738"/>
      <c r="R705" s="738"/>
      <c r="S705" s="738"/>
      <c r="T705" s="739">
        <v>1100121</v>
      </c>
      <c r="U705" s="745"/>
      <c r="V705" s="739">
        <v>1100122</v>
      </c>
    </row>
    <row r="706" spans="1:22" ht="15" x14ac:dyDescent="0.2">
      <c r="A706" s="739">
        <v>2411</v>
      </c>
      <c r="B706" s="743" t="s">
        <v>130</v>
      </c>
      <c r="C706" s="736"/>
      <c r="D706" s="736">
        <v>0</v>
      </c>
      <c r="E706" s="749">
        <v>5000</v>
      </c>
      <c r="F706" s="736">
        <v>3808</v>
      </c>
      <c r="G706" s="736"/>
      <c r="H706" s="736"/>
      <c r="I706" s="736"/>
      <c r="J706" s="736">
        <f t="shared" si="257"/>
        <v>0</v>
      </c>
      <c r="K706" s="736"/>
      <c r="L706" s="736"/>
      <c r="M706" s="736">
        <f t="shared" si="258"/>
        <v>0</v>
      </c>
      <c r="N706" s="736"/>
      <c r="O706" s="736"/>
      <c r="P706" s="738">
        <f t="shared" si="259"/>
        <v>0</v>
      </c>
      <c r="Q706" s="738"/>
      <c r="R706" s="738"/>
      <c r="S706" s="738"/>
      <c r="T706" s="739">
        <v>1100121</v>
      </c>
      <c r="U706" s="745"/>
      <c r="V706" s="739">
        <v>1100122</v>
      </c>
    </row>
    <row r="707" spans="1:22" ht="15" x14ac:dyDescent="0.2">
      <c r="A707" s="739">
        <v>2421</v>
      </c>
      <c r="B707" s="743" t="s">
        <v>111</v>
      </c>
      <c r="C707" s="736"/>
      <c r="D707" s="736">
        <v>0</v>
      </c>
      <c r="E707" s="749">
        <v>5000</v>
      </c>
      <c r="F707" s="736">
        <v>4941</v>
      </c>
      <c r="G707" s="736"/>
      <c r="H707" s="736"/>
      <c r="I707" s="736"/>
      <c r="J707" s="736">
        <f t="shared" si="257"/>
        <v>0</v>
      </c>
      <c r="K707" s="736"/>
      <c r="L707" s="736"/>
      <c r="M707" s="736">
        <f t="shared" si="258"/>
        <v>0</v>
      </c>
      <c r="N707" s="736"/>
      <c r="O707" s="736"/>
      <c r="P707" s="738">
        <f t="shared" si="259"/>
        <v>0</v>
      </c>
      <c r="Q707" s="738"/>
      <c r="R707" s="738"/>
      <c r="S707" s="738"/>
      <c r="T707" s="739">
        <v>1100121</v>
      </c>
      <c r="U707" s="745"/>
      <c r="V707" s="739">
        <v>1100122</v>
      </c>
    </row>
    <row r="708" spans="1:22" ht="15" x14ac:dyDescent="0.2">
      <c r="A708" s="739">
        <v>2491</v>
      </c>
      <c r="B708" s="743" t="s">
        <v>41</v>
      </c>
      <c r="C708" s="736"/>
      <c r="D708" s="736"/>
      <c r="E708" s="749"/>
      <c r="F708" s="736"/>
      <c r="G708" s="736"/>
      <c r="H708" s="736">
        <f>57705+2707</f>
        <v>60412</v>
      </c>
      <c r="I708" s="736"/>
      <c r="J708" s="736">
        <f t="shared" si="257"/>
        <v>60412</v>
      </c>
      <c r="K708" s="736"/>
      <c r="L708" s="736"/>
      <c r="M708" s="736">
        <f t="shared" si="258"/>
        <v>60412</v>
      </c>
      <c r="N708" s="736"/>
      <c r="O708" s="736"/>
      <c r="P708" s="736">
        <f t="shared" si="259"/>
        <v>60412</v>
      </c>
      <c r="Q708" s="738">
        <v>60412</v>
      </c>
      <c r="R708" s="738">
        <v>60412</v>
      </c>
      <c r="S708" s="738"/>
      <c r="T708" s="739">
        <v>1100120</v>
      </c>
      <c r="U708" s="745"/>
      <c r="V708" s="739">
        <v>1100120</v>
      </c>
    </row>
    <row r="709" spans="1:22" ht="15" x14ac:dyDescent="0.2">
      <c r="A709" s="734">
        <v>2491</v>
      </c>
      <c r="B709" s="735" t="s">
        <v>41</v>
      </c>
      <c r="C709" s="736">
        <v>122080.99</v>
      </c>
      <c r="D709" s="736">
        <v>150000</v>
      </c>
      <c r="E709" s="749">
        <v>150000</v>
      </c>
      <c r="F709" s="736">
        <v>89065.58</v>
      </c>
      <c r="G709" s="752">
        <v>150000</v>
      </c>
      <c r="H709" s="752"/>
      <c r="I709" s="752"/>
      <c r="J709" s="736">
        <f t="shared" si="257"/>
        <v>150000</v>
      </c>
      <c r="K709" s="752"/>
      <c r="L709" s="752"/>
      <c r="M709" s="736">
        <f t="shared" si="258"/>
        <v>150000</v>
      </c>
      <c r="N709" s="736"/>
      <c r="O709" s="736"/>
      <c r="P709" s="736">
        <f t="shared" si="259"/>
        <v>150000</v>
      </c>
      <c r="Q709" s="753">
        <v>150000</v>
      </c>
      <c r="R709" s="738">
        <v>149451.89000000001</v>
      </c>
      <c r="S709" s="753">
        <v>155250</v>
      </c>
      <c r="T709" s="739">
        <v>1100121</v>
      </c>
      <c r="U709" s="746">
        <v>150000</v>
      </c>
      <c r="V709" s="741">
        <v>1100122</v>
      </c>
    </row>
    <row r="710" spans="1:22" ht="15" x14ac:dyDescent="0.2">
      <c r="A710" s="739">
        <v>2522</v>
      </c>
      <c r="B710" s="743" t="s">
        <v>147</v>
      </c>
      <c r="C710" s="736">
        <v>759789.93</v>
      </c>
      <c r="D710" s="736">
        <v>1000000</v>
      </c>
      <c r="E710" s="749">
        <v>930000</v>
      </c>
      <c r="F710" s="736">
        <v>907918.8</v>
      </c>
      <c r="G710" s="752">
        <v>1000000</v>
      </c>
      <c r="H710" s="752"/>
      <c r="I710" s="752"/>
      <c r="J710" s="736">
        <f t="shared" si="257"/>
        <v>1000000</v>
      </c>
      <c r="K710" s="752"/>
      <c r="L710" s="752">
        <v>234000</v>
      </c>
      <c r="M710" s="736">
        <f t="shared" si="258"/>
        <v>766000</v>
      </c>
      <c r="N710" s="736"/>
      <c r="O710" s="736"/>
      <c r="P710" s="736">
        <f t="shared" si="259"/>
        <v>766000</v>
      </c>
      <c r="Q710" s="753">
        <v>716000</v>
      </c>
      <c r="R710" s="738">
        <v>715499.2</v>
      </c>
      <c r="S710" s="753">
        <v>1000000</v>
      </c>
      <c r="T710" s="739">
        <v>1100121</v>
      </c>
      <c r="U710" s="745"/>
      <c r="V710" s="739">
        <v>1100122</v>
      </c>
    </row>
    <row r="711" spans="1:22" ht="15" x14ac:dyDescent="0.2">
      <c r="A711" s="739">
        <v>2531</v>
      </c>
      <c r="B711" s="743" t="s">
        <v>145</v>
      </c>
      <c r="C711" s="736">
        <v>152915.76999999999</v>
      </c>
      <c r="D711" s="736">
        <v>150000</v>
      </c>
      <c r="E711" s="749">
        <v>150000</v>
      </c>
      <c r="F711" s="736">
        <v>174533.58</v>
      </c>
      <c r="G711" s="752">
        <v>150000</v>
      </c>
      <c r="H711" s="752"/>
      <c r="I711" s="752"/>
      <c r="J711" s="736">
        <f t="shared" si="257"/>
        <v>150000</v>
      </c>
      <c r="K711" s="752"/>
      <c r="L711" s="752"/>
      <c r="M711" s="736">
        <f t="shared" si="258"/>
        <v>150000</v>
      </c>
      <c r="N711" s="736"/>
      <c r="O711" s="736"/>
      <c r="P711" s="736">
        <f t="shared" si="259"/>
        <v>150000</v>
      </c>
      <c r="Q711" s="753">
        <v>150000</v>
      </c>
      <c r="R711" s="738">
        <v>149976.79</v>
      </c>
      <c r="S711" s="753">
        <v>155250</v>
      </c>
      <c r="T711" s="739">
        <v>1100121</v>
      </c>
      <c r="U711" s="745"/>
      <c r="V711" s="739">
        <v>1100122</v>
      </c>
    </row>
    <row r="712" spans="1:22" ht="15" x14ac:dyDescent="0.2">
      <c r="A712" s="739">
        <v>2541</v>
      </c>
      <c r="B712" s="743" t="s">
        <v>148</v>
      </c>
      <c r="C712" s="736">
        <v>29968.27</v>
      </c>
      <c r="D712" s="736">
        <v>40000</v>
      </c>
      <c r="E712" s="749">
        <v>40000</v>
      </c>
      <c r="F712" s="736">
        <v>39960.629999999997</v>
      </c>
      <c r="G712" s="752">
        <v>40000</v>
      </c>
      <c r="H712" s="752"/>
      <c r="I712" s="752"/>
      <c r="J712" s="736">
        <f t="shared" si="257"/>
        <v>40000</v>
      </c>
      <c r="K712" s="752"/>
      <c r="L712" s="752"/>
      <c r="M712" s="736">
        <f t="shared" si="258"/>
        <v>40000</v>
      </c>
      <c r="N712" s="736"/>
      <c r="O712" s="736"/>
      <c r="P712" s="736">
        <f t="shared" si="259"/>
        <v>40000</v>
      </c>
      <c r="Q712" s="753">
        <v>40000</v>
      </c>
      <c r="R712" s="738">
        <v>17339.990000000002</v>
      </c>
      <c r="S712" s="753">
        <v>150000</v>
      </c>
      <c r="T712" s="739">
        <v>1100121</v>
      </c>
      <c r="U712" s="745"/>
      <c r="V712" s="739">
        <v>1100122</v>
      </c>
    </row>
    <row r="713" spans="1:22" ht="15" x14ac:dyDescent="0.2">
      <c r="A713" s="739">
        <v>2613</v>
      </c>
      <c r="B713" s="743" t="s">
        <v>146</v>
      </c>
      <c r="C713" s="736"/>
      <c r="D713" s="736">
        <v>60000</v>
      </c>
      <c r="E713" s="749">
        <v>60000</v>
      </c>
      <c r="F713" s="736">
        <v>428.91</v>
      </c>
      <c r="G713" s="752">
        <v>10000</v>
      </c>
      <c r="H713" s="752"/>
      <c r="I713" s="752"/>
      <c r="J713" s="736">
        <f t="shared" si="257"/>
        <v>10000</v>
      </c>
      <c r="K713" s="752">
        <v>40000</v>
      </c>
      <c r="L713" s="752"/>
      <c r="M713" s="736">
        <f t="shared" si="258"/>
        <v>50000</v>
      </c>
      <c r="N713" s="736"/>
      <c r="O713" s="736"/>
      <c r="P713" s="736">
        <f t="shared" si="259"/>
        <v>50000</v>
      </c>
      <c r="Q713" s="753">
        <v>40000</v>
      </c>
      <c r="R713" s="738">
        <v>9797.18</v>
      </c>
      <c r="S713" s="738">
        <f>Q713</f>
        <v>40000</v>
      </c>
      <c r="T713" s="739">
        <v>1100121</v>
      </c>
      <c r="U713" s="745"/>
      <c r="V713" s="739">
        <v>1100122</v>
      </c>
    </row>
    <row r="714" spans="1:22" ht="15" x14ac:dyDescent="0.2">
      <c r="A714" s="734">
        <v>2721</v>
      </c>
      <c r="B714" s="735" t="s">
        <v>149</v>
      </c>
      <c r="C714" s="736">
        <v>20000</v>
      </c>
      <c r="D714" s="736">
        <v>30000</v>
      </c>
      <c r="E714" s="749">
        <v>30000</v>
      </c>
      <c r="F714" s="736">
        <v>25888.07</v>
      </c>
      <c r="G714" s="752">
        <v>30000</v>
      </c>
      <c r="H714" s="752"/>
      <c r="I714" s="752"/>
      <c r="J714" s="736">
        <f t="shared" si="257"/>
        <v>30000</v>
      </c>
      <c r="K714" s="752"/>
      <c r="L714" s="752"/>
      <c r="M714" s="736">
        <f t="shared" si="258"/>
        <v>30000</v>
      </c>
      <c r="N714" s="736"/>
      <c r="O714" s="736">
        <v>25159.99</v>
      </c>
      <c r="P714" s="736">
        <f t="shared" si="259"/>
        <v>4840.0099999999984</v>
      </c>
      <c r="Q714" s="753">
        <v>4840.01</v>
      </c>
      <c r="R714" s="738">
        <v>4840.01</v>
      </c>
      <c r="S714" s="753">
        <v>31050</v>
      </c>
      <c r="T714" s="739">
        <v>1100121</v>
      </c>
      <c r="U714" s="746">
        <v>10000</v>
      </c>
      <c r="V714" s="741">
        <v>1100122</v>
      </c>
    </row>
    <row r="715" spans="1:22" ht="15" x14ac:dyDescent="0.2">
      <c r="A715" s="739">
        <v>2951</v>
      </c>
      <c r="B715" s="743" t="s">
        <v>150</v>
      </c>
      <c r="C715" s="736"/>
      <c r="D715" s="736">
        <v>5000</v>
      </c>
      <c r="E715" s="749">
        <v>5000</v>
      </c>
      <c r="F715" s="736">
        <v>0</v>
      </c>
      <c r="G715" s="752">
        <v>5000</v>
      </c>
      <c r="H715" s="752"/>
      <c r="I715" s="752"/>
      <c r="J715" s="736">
        <f t="shared" si="257"/>
        <v>5000</v>
      </c>
      <c r="K715" s="752"/>
      <c r="L715" s="752"/>
      <c r="M715" s="736">
        <f t="shared" si="258"/>
        <v>5000</v>
      </c>
      <c r="N715" s="736"/>
      <c r="O715" s="736"/>
      <c r="P715" s="736">
        <f t="shared" si="259"/>
        <v>5000</v>
      </c>
      <c r="Q715" s="753">
        <v>5000</v>
      </c>
      <c r="R715" s="738">
        <v>3420</v>
      </c>
      <c r="S715" s="753">
        <v>5000</v>
      </c>
      <c r="T715" s="739">
        <v>1100121</v>
      </c>
      <c r="U715" s="745"/>
      <c r="V715" s="739">
        <v>1100122</v>
      </c>
    </row>
    <row r="716" spans="1:22" ht="15" x14ac:dyDescent="0.2">
      <c r="A716" s="739">
        <v>3511</v>
      </c>
      <c r="B716" s="743" t="s">
        <v>49</v>
      </c>
      <c r="C716" s="736">
        <v>137612.66</v>
      </c>
      <c r="D716" s="736">
        <v>0</v>
      </c>
      <c r="E716" s="749">
        <v>16382.41</v>
      </c>
      <c r="F716" s="736">
        <v>16382.41</v>
      </c>
      <c r="G716" s="736"/>
      <c r="H716" s="736"/>
      <c r="I716" s="736"/>
      <c r="J716" s="736">
        <f t="shared" si="257"/>
        <v>0</v>
      </c>
      <c r="K716" s="736"/>
      <c r="L716" s="736"/>
      <c r="M716" s="736">
        <f t="shared" si="258"/>
        <v>0</v>
      </c>
      <c r="N716" s="736"/>
      <c r="O716" s="736"/>
      <c r="P716" s="738">
        <f t="shared" si="259"/>
        <v>0</v>
      </c>
      <c r="Q716" s="738"/>
      <c r="R716" s="738"/>
      <c r="S716" s="738"/>
      <c r="T716" s="739">
        <v>1100119</v>
      </c>
      <c r="U716" s="745"/>
      <c r="V716" s="739">
        <v>1100119</v>
      </c>
    </row>
    <row r="717" spans="1:22" ht="15" x14ac:dyDescent="0.2">
      <c r="A717" s="739">
        <v>3511</v>
      </c>
      <c r="B717" s="743" t="s">
        <v>49</v>
      </c>
      <c r="C717" s="736"/>
      <c r="D717" s="736">
        <v>20000</v>
      </c>
      <c r="E717" s="749">
        <v>10000</v>
      </c>
      <c r="F717" s="736">
        <v>10000</v>
      </c>
      <c r="G717" s="736"/>
      <c r="H717" s="736"/>
      <c r="I717" s="736"/>
      <c r="J717" s="736">
        <f t="shared" si="257"/>
        <v>0</v>
      </c>
      <c r="K717" s="736"/>
      <c r="L717" s="736"/>
      <c r="M717" s="736">
        <f t="shared" si="258"/>
        <v>0</v>
      </c>
      <c r="N717" s="736"/>
      <c r="O717" s="736"/>
      <c r="P717" s="738">
        <f t="shared" si="259"/>
        <v>0</v>
      </c>
      <c r="Q717" s="738"/>
      <c r="R717" s="738"/>
      <c r="S717" s="738"/>
      <c r="T717" s="739">
        <v>1100121</v>
      </c>
      <c r="U717" s="745"/>
      <c r="V717" s="739">
        <v>1100122</v>
      </c>
    </row>
    <row r="718" spans="1:22" ht="15" x14ac:dyDescent="0.2">
      <c r="A718" s="739">
        <v>3571</v>
      </c>
      <c r="B718" s="743" t="s">
        <v>65</v>
      </c>
      <c r="C718" s="736"/>
      <c r="D718" s="736">
        <v>10000</v>
      </c>
      <c r="E718" s="749">
        <v>10000</v>
      </c>
      <c r="F718" s="736">
        <v>0</v>
      </c>
      <c r="G718" s="736"/>
      <c r="H718" s="736"/>
      <c r="I718" s="736"/>
      <c r="J718" s="736">
        <f t="shared" si="257"/>
        <v>0</v>
      </c>
      <c r="K718" s="736"/>
      <c r="L718" s="736"/>
      <c r="M718" s="736">
        <f t="shared" si="258"/>
        <v>0</v>
      </c>
      <c r="N718" s="736"/>
      <c r="O718" s="736"/>
      <c r="P718" s="738">
        <f t="shared" si="259"/>
        <v>0</v>
      </c>
      <c r="Q718" s="738"/>
      <c r="R718" s="738"/>
      <c r="S718" s="738"/>
      <c r="T718" s="739">
        <v>1100121</v>
      </c>
      <c r="U718" s="745"/>
      <c r="V718" s="739">
        <v>1100122</v>
      </c>
    </row>
    <row r="719" spans="1:22" ht="15" x14ac:dyDescent="0.2">
      <c r="A719" s="734">
        <v>3611</v>
      </c>
      <c r="B719" s="735" t="s">
        <v>66</v>
      </c>
      <c r="C719" s="736">
        <v>95801.34</v>
      </c>
      <c r="D719" s="736">
        <v>80000</v>
      </c>
      <c r="E719" s="749">
        <v>150000</v>
      </c>
      <c r="F719" s="736">
        <v>149999.87</v>
      </c>
      <c r="G719" s="752">
        <v>140000</v>
      </c>
      <c r="H719" s="752"/>
      <c r="I719" s="752"/>
      <c r="J719" s="736">
        <f t="shared" si="257"/>
        <v>140000</v>
      </c>
      <c r="K719" s="752"/>
      <c r="L719" s="752"/>
      <c r="M719" s="736">
        <f t="shared" si="258"/>
        <v>140000</v>
      </c>
      <c r="N719" s="736"/>
      <c r="O719" s="736"/>
      <c r="P719" s="736">
        <f t="shared" si="259"/>
        <v>140000</v>
      </c>
      <c r="Q719" s="753">
        <v>110000</v>
      </c>
      <c r="R719" s="738">
        <v>68249.3</v>
      </c>
      <c r="S719" s="753">
        <v>140000</v>
      </c>
      <c r="T719" s="739">
        <v>1100121</v>
      </c>
      <c r="U719" s="746">
        <v>20000</v>
      </c>
      <c r="V719" s="741">
        <v>1100122</v>
      </c>
    </row>
    <row r="720" spans="1:22" ht="15" x14ac:dyDescent="0.2">
      <c r="A720" s="739">
        <v>3821</v>
      </c>
      <c r="B720" s="743" t="s">
        <v>31</v>
      </c>
      <c r="C720" s="736">
        <v>26159.99</v>
      </c>
      <c r="D720" s="736">
        <v>30000</v>
      </c>
      <c r="E720" s="749">
        <v>0</v>
      </c>
      <c r="F720" s="736">
        <v>0</v>
      </c>
      <c r="G720" s="752">
        <v>30000</v>
      </c>
      <c r="H720" s="752"/>
      <c r="I720" s="752"/>
      <c r="J720" s="736">
        <f t="shared" si="257"/>
        <v>30000</v>
      </c>
      <c r="K720" s="752"/>
      <c r="L720" s="752"/>
      <c r="M720" s="736">
        <f t="shared" si="258"/>
        <v>30000</v>
      </c>
      <c r="N720" s="736"/>
      <c r="O720" s="736"/>
      <c r="P720" s="736">
        <f t="shared" si="259"/>
        <v>30000</v>
      </c>
      <c r="Q720">
        <v>5000</v>
      </c>
      <c r="R720" s="738">
        <v>2207.15</v>
      </c>
      <c r="S720" s="753">
        <v>30000</v>
      </c>
      <c r="T720" s="739">
        <v>1100121</v>
      </c>
      <c r="U720" s="745"/>
      <c r="V720" s="739">
        <v>1100122</v>
      </c>
    </row>
    <row r="721" spans="1:22" ht="15" x14ac:dyDescent="0.2">
      <c r="A721" s="809" t="s">
        <v>1112</v>
      </c>
      <c r="B721" s="810" t="s">
        <v>1562</v>
      </c>
      <c r="C721" s="853"/>
      <c r="D721" s="853"/>
      <c r="E721" s="854"/>
      <c r="F721" s="853"/>
      <c r="G721" s="855"/>
      <c r="H721" s="855"/>
      <c r="I721" s="855"/>
      <c r="J721" s="853"/>
      <c r="K721" s="855"/>
      <c r="L721" s="855"/>
      <c r="M721" s="853"/>
      <c r="N721" s="853"/>
      <c r="O721" s="853"/>
      <c r="P721" s="853"/>
      <c r="Q721" s="856"/>
      <c r="R721" s="857">
        <f t="shared" ref="R721:S721" si="260">SUM(R722:R729)</f>
        <v>21837</v>
      </c>
      <c r="S721" s="857">
        <f t="shared" si="260"/>
        <v>1375000</v>
      </c>
      <c r="T721" s="858"/>
      <c r="U721" s="859">
        <f>SUM(U722:U729)</f>
        <v>710000</v>
      </c>
      <c r="V721" s="837"/>
    </row>
    <row r="722" spans="1:22" ht="15" x14ac:dyDescent="0.2">
      <c r="A722" s="734">
        <v>4411</v>
      </c>
      <c r="B722" s="735" t="s">
        <v>34</v>
      </c>
      <c r="C722" s="736">
        <v>337705.49</v>
      </c>
      <c r="D722" s="736">
        <v>600000</v>
      </c>
      <c r="E722" s="749">
        <v>600000</v>
      </c>
      <c r="F722" s="736">
        <v>243211.04</v>
      </c>
      <c r="G722" s="752">
        <v>600000</v>
      </c>
      <c r="H722" s="752"/>
      <c r="I722" s="752"/>
      <c r="J722" s="736">
        <f t="shared" si="257"/>
        <v>600000</v>
      </c>
      <c r="K722" s="752"/>
      <c r="L722" s="752"/>
      <c r="M722" s="736">
        <f t="shared" si="258"/>
        <v>600000</v>
      </c>
      <c r="N722" s="736"/>
      <c r="O722" s="736"/>
      <c r="P722" s="736">
        <f t="shared" si="259"/>
        <v>600000</v>
      </c>
      <c r="Q722" s="753">
        <v>600000</v>
      </c>
      <c r="R722" s="738">
        <v>21837</v>
      </c>
      <c r="S722" s="753">
        <v>600000</v>
      </c>
      <c r="T722" s="739">
        <v>1100121</v>
      </c>
      <c r="U722" s="754">
        <v>600000</v>
      </c>
      <c r="V722" s="741">
        <v>1100122</v>
      </c>
    </row>
    <row r="723" spans="1:22" ht="15" x14ac:dyDescent="0.2">
      <c r="A723" s="739">
        <v>2491</v>
      </c>
      <c r="B723" s="743" t="s">
        <v>41</v>
      </c>
      <c r="C723" s="736"/>
      <c r="D723" s="736"/>
      <c r="E723" s="749"/>
      <c r="F723" s="736"/>
      <c r="G723" s="752"/>
      <c r="H723" s="752"/>
      <c r="I723" s="752"/>
      <c r="J723" s="736"/>
      <c r="K723" s="752"/>
      <c r="L723" s="752"/>
      <c r="M723" s="736"/>
      <c r="N723" s="736"/>
      <c r="O723" s="736"/>
      <c r="P723" s="736"/>
      <c r="Q723" s="753"/>
      <c r="R723" s="738"/>
      <c r="S723" s="846">
        <v>200000</v>
      </c>
      <c r="T723" s="787"/>
      <c r="U723" s="841">
        <v>0</v>
      </c>
      <c r="V723" s="787"/>
    </row>
    <row r="724" spans="1:22" ht="15" x14ac:dyDescent="0.2">
      <c r="A724" s="739">
        <v>3611</v>
      </c>
      <c r="B724" s="743" t="s">
        <v>66</v>
      </c>
      <c r="C724" s="736"/>
      <c r="D724" s="736"/>
      <c r="E724" s="749"/>
      <c r="F724" s="736"/>
      <c r="G724" s="752"/>
      <c r="H724" s="752"/>
      <c r="I724" s="752"/>
      <c r="J724" s="736"/>
      <c r="K724" s="752"/>
      <c r="L724" s="752"/>
      <c r="M724" s="736"/>
      <c r="N724" s="736"/>
      <c r="O724" s="736"/>
      <c r="P724" s="736"/>
      <c r="Q724" s="753"/>
      <c r="R724" s="738"/>
      <c r="S724" s="846">
        <v>120000</v>
      </c>
      <c r="T724" s="787"/>
      <c r="U724" s="841">
        <v>0</v>
      </c>
      <c r="V724" s="787"/>
    </row>
    <row r="725" spans="1:22" ht="15" x14ac:dyDescent="0.2">
      <c r="A725" s="739">
        <v>3821</v>
      </c>
      <c r="B725" s="743" t="s">
        <v>31</v>
      </c>
      <c r="C725" s="736"/>
      <c r="D725" s="736"/>
      <c r="E725" s="749"/>
      <c r="F725" s="736"/>
      <c r="G725" s="752"/>
      <c r="H725" s="752"/>
      <c r="I725" s="752"/>
      <c r="J725" s="736"/>
      <c r="K725" s="752"/>
      <c r="L725" s="752"/>
      <c r="M725" s="736"/>
      <c r="N725" s="736"/>
      <c r="O725" s="736"/>
      <c r="P725" s="736"/>
      <c r="Q725" s="753"/>
      <c r="R725" s="738"/>
      <c r="S725" s="846">
        <v>15000</v>
      </c>
      <c r="T725" s="787"/>
      <c r="U725" s="841">
        <v>0</v>
      </c>
      <c r="V725" s="787"/>
    </row>
    <row r="726" spans="1:22" ht="15" x14ac:dyDescent="0.2">
      <c r="A726" s="734">
        <v>2531</v>
      </c>
      <c r="B726" s="735" t="s">
        <v>145</v>
      </c>
      <c r="C726" s="736"/>
      <c r="D726" s="736"/>
      <c r="E726" s="749"/>
      <c r="F726" s="736"/>
      <c r="G726" s="752"/>
      <c r="H726" s="752"/>
      <c r="I726" s="752"/>
      <c r="J726" s="736"/>
      <c r="K726" s="752"/>
      <c r="L726" s="752"/>
      <c r="M726" s="736"/>
      <c r="N726" s="736"/>
      <c r="O726" s="736"/>
      <c r="P726" s="736"/>
      <c r="Q726" s="753"/>
      <c r="R726" s="738"/>
      <c r="S726" s="846">
        <v>250000</v>
      </c>
      <c r="T726" s="787"/>
      <c r="U726" s="754">
        <v>70000</v>
      </c>
      <c r="V726" s="741">
        <v>1100122</v>
      </c>
    </row>
    <row r="727" spans="1:22" ht="15" x14ac:dyDescent="0.2">
      <c r="A727" s="734">
        <v>2541</v>
      </c>
      <c r="B727" s="735" t="s">
        <v>148</v>
      </c>
      <c r="C727" s="736"/>
      <c r="D727" s="736"/>
      <c r="E727" s="749"/>
      <c r="F727" s="736"/>
      <c r="G727" s="752"/>
      <c r="H727" s="752"/>
      <c r="I727" s="752"/>
      <c r="J727" s="736"/>
      <c r="K727" s="752"/>
      <c r="L727" s="752"/>
      <c r="M727" s="736"/>
      <c r="N727" s="736"/>
      <c r="O727" s="736"/>
      <c r="P727" s="736"/>
      <c r="Q727" s="753"/>
      <c r="R727" s="738"/>
      <c r="S727" s="846">
        <v>150000</v>
      </c>
      <c r="T727" s="787"/>
      <c r="U727" s="754">
        <v>30000</v>
      </c>
      <c r="V727" s="741">
        <v>1100122</v>
      </c>
    </row>
    <row r="728" spans="1:22" ht="15" x14ac:dyDescent="0.2">
      <c r="A728" s="734">
        <v>2951</v>
      </c>
      <c r="B728" s="735" t="s">
        <v>150</v>
      </c>
      <c r="C728" s="736"/>
      <c r="D728" s="736"/>
      <c r="E728" s="749"/>
      <c r="F728" s="736"/>
      <c r="G728" s="752"/>
      <c r="H728" s="752"/>
      <c r="I728" s="752"/>
      <c r="J728" s="736"/>
      <c r="K728" s="752"/>
      <c r="L728" s="752"/>
      <c r="M728" s="736"/>
      <c r="N728" s="736"/>
      <c r="O728" s="736"/>
      <c r="P728" s="736"/>
      <c r="Q728" s="753"/>
      <c r="R728" s="738"/>
      <c r="S728" s="753"/>
      <c r="T728" s="739"/>
      <c r="U728" s="754">
        <v>10000</v>
      </c>
      <c r="V728" s="741">
        <v>1100122</v>
      </c>
    </row>
    <row r="729" spans="1:22" ht="15" x14ac:dyDescent="0.2">
      <c r="A729" s="739">
        <v>3611</v>
      </c>
      <c r="B729" s="743" t="s">
        <v>66</v>
      </c>
      <c r="C729" s="736"/>
      <c r="D729" s="736"/>
      <c r="E729" s="749"/>
      <c r="F729" s="736"/>
      <c r="G729" s="752"/>
      <c r="H729" s="752"/>
      <c r="I729" s="752"/>
      <c r="J729" s="736"/>
      <c r="K729" s="752"/>
      <c r="L729" s="752"/>
      <c r="M729" s="736"/>
      <c r="N729" s="736"/>
      <c r="O729" s="736"/>
      <c r="P729" s="736"/>
      <c r="Q729" s="753"/>
      <c r="R729" s="738"/>
      <c r="S729" s="846">
        <v>40000</v>
      </c>
      <c r="T729" s="787"/>
      <c r="U729" s="841">
        <v>0</v>
      </c>
      <c r="V729" s="787"/>
    </row>
    <row r="730" spans="1:22" ht="15" x14ac:dyDescent="0.2">
      <c r="A730" s="809" t="s">
        <v>1114</v>
      </c>
      <c r="B730" s="810" t="s">
        <v>1563</v>
      </c>
      <c r="C730" s="847"/>
      <c r="D730" s="847"/>
      <c r="E730" s="848"/>
      <c r="F730" s="847"/>
      <c r="G730" s="860"/>
      <c r="H730" s="860"/>
      <c r="I730" s="860"/>
      <c r="J730" s="847"/>
      <c r="K730" s="860"/>
      <c r="L730" s="860"/>
      <c r="M730" s="847"/>
      <c r="N730" s="847"/>
      <c r="O730" s="847"/>
      <c r="P730" s="847"/>
      <c r="Q730" s="857">
        <f>+Q731+Q732</f>
        <v>0</v>
      </c>
      <c r="R730" s="857">
        <f t="shared" ref="R730:S730" si="261">+R731+R732</f>
        <v>0</v>
      </c>
      <c r="S730" s="857">
        <f t="shared" si="261"/>
        <v>40000</v>
      </c>
      <c r="T730" s="858"/>
      <c r="U730" s="859">
        <f>+U731+U732</f>
        <v>5000</v>
      </c>
      <c r="V730" s="837"/>
    </row>
    <row r="731" spans="1:22" ht="15" x14ac:dyDescent="0.2">
      <c r="A731" s="790">
        <v>2721</v>
      </c>
      <c r="B731" s="735" t="s">
        <v>149</v>
      </c>
      <c r="C731" s="792"/>
      <c r="D731" s="792"/>
      <c r="E731" s="793"/>
      <c r="F731" s="792"/>
      <c r="G731" s="861"/>
      <c r="H731" s="861"/>
      <c r="I731" s="861"/>
      <c r="J731" s="792"/>
      <c r="K731" s="861"/>
      <c r="L731" s="861"/>
      <c r="M731" s="792"/>
      <c r="N731" s="792"/>
      <c r="O731" s="792"/>
      <c r="P731" s="792"/>
      <c r="Q731" s="862"/>
      <c r="R731" s="795"/>
      <c r="S731" s="846">
        <v>20000</v>
      </c>
      <c r="T731" s="739"/>
      <c r="U731" s="754">
        <v>5000</v>
      </c>
      <c r="V731" s="741">
        <v>1100122</v>
      </c>
    </row>
    <row r="732" spans="1:22" ht="15" x14ac:dyDescent="0.2">
      <c r="A732" s="863">
        <v>3611</v>
      </c>
      <c r="B732" s="743" t="s">
        <v>66</v>
      </c>
      <c r="C732" s="792"/>
      <c r="D732" s="792"/>
      <c r="E732" s="793"/>
      <c r="F732" s="792"/>
      <c r="G732" s="861"/>
      <c r="H732" s="861"/>
      <c r="I732" s="861"/>
      <c r="J732" s="792"/>
      <c r="K732" s="861"/>
      <c r="L732" s="861"/>
      <c r="M732" s="792"/>
      <c r="N732" s="792"/>
      <c r="O732" s="792"/>
      <c r="P732" s="792"/>
      <c r="Q732" s="862"/>
      <c r="R732" s="795"/>
      <c r="S732" s="846">
        <v>20000</v>
      </c>
      <c r="T732" s="787"/>
      <c r="U732" s="841">
        <v>0</v>
      </c>
      <c r="V732" s="787"/>
    </row>
    <row r="733" spans="1:22" ht="15" x14ac:dyDescent="0.2">
      <c r="A733" s="809" t="s">
        <v>1115</v>
      </c>
      <c r="B733" s="810" t="s">
        <v>1564</v>
      </c>
      <c r="C733" s="847"/>
      <c r="D733" s="847"/>
      <c r="E733" s="848"/>
      <c r="F733" s="847"/>
      <c r="G733" s="860"/>
      <c r="H733" s="860"/>
      <c r="I733" s="860"/>
      <c r="J733" s="847"/>
      <c r="K733" s="860"/>
      <c r="L733" s="860"/>
      <c r="M733" s="847"/>
      <c r="N733" s="847"/>
      <c r="O733" s="847"/>
      <c r="P733" s="847"/>
      <c r="Q733" s="857"/>
      <c r="R733" s="857">
        <f t="shared" ref="R733:S733" si="262">SUM(R734:R747)</f>
        <v>2166246.64</v>
      </c>
      <c r="S733" s="857">
        <f t="shared" si="262"/>
        <v>1245000</v>
      </c>
      <c r="T733" s="851"/>
      <c r="U733" s="859">
        <f>SUM(U734:U747)</f>
        <v>830000</v>
      </c>
      <c r="V733" s="852"/>
    </row>
    <row r="734" spans="1:22" ht="15" x14ac:dyDescent="0.2">
      <c r="A734" s="790">
        <v>2522</v>
      </c>
      <c r="B734" s="735" t="s">
        <v>147</v>
      </c>
      <c r="C734" s="792"/>
      <c r="D734" s="792"/>
      <c r="E734" s="793"/>
      <c r="F734" s="792"/>
      <c r="G734" s="861"/>
      <c r="H734" s="861"/>
      <c r="I734" s="861"/>
      <c r="J734" s="792"/>
      <c r="K734" s="861"/>
      <c r="L734" s="861"/>
      <c r="M734" s="792"/>
      <c r="N734" s="792"/>
      <c r="O734" s="792"/>
      <c r="P734" s="792"/>
      <c r="Q734" s="862"/>
      <c r="R734" s="795"/>
      <c r="S734" s="846">
        <v>1035000</v>
      </c>
      <c r="T734" s="787"/>
      <c r="U734" s="754">
        <v>750000</v>
      </c>
      <c r="V734" s="741">
        <v>1100122</v>
      </c>
    </row>
    <row r="735" spans="1:22" ht="15" x14ac:dyDescent="0.2">
      <c r="A735" s="790">
        <v>2531</v>
      </c>
      <c r="B735" s="735" t="s">
        <v>145</v>
      </c>
      <c r="C735" s="792"/>
      <c r="D735" s="792"/>
      <c r="E735" s="793"/>
      <c r="F735" s="792"/>
      <c r="G735" s="861"/>
      <c r="H735" s="861"/>
      <c r="I735" s="861"/>
      <c r="J735" s="792"/>
      <c r="K735" s="861"/>
      <c r="L735" s="861"/>
      <c r="M735" s="792"/>
      <c r="N735" s="792"/>
      <c r="O735" s="792"/>
      <c r="P735" s="792"/>
      <c r="Q735" s="862"/>
      <c r="R735" s="795"/>
      <c r="S735" s="862"/>
      <c r="T735" s="863"/>
      <c r="U735" s="754">
        <v>10000</v>
      </c>
      <c r="V735" s="741">
        <v>1100122</v>
      </c>
    </row>
    <row r="736" spans="1:22" ht="15" x14ac:dyDescent="0.2">
      <c r="A736" s="863">
        <v>2613</v>
      </c>
      <c r="B736" s="743" t="s">
        <v>146</v>
      </c>
      <c r="C736" s="792"/>
      <c r="D736" s="792"/>
      <c r="E736" s="793"/>
      <c r="F736" s="792"/>
      <c r="G736" s="861"/>
      <c r="H736" s="861"/>
      <c r="I736" s="861"/>
      <c r="J736" s="792"/>
      <c r="K736" s="861"/>
      <c r="L736" s="861"/>
      <c r="M736" s="792"/>
      <c r="N736" s="792"/>
      <c r="O736" s="792"/>
      <c r="P736" s="792"/>
      <c r="Q736" s="862">
        <v>0</v>
      </c>
      <c r="R736" s="795"/>
      <c r="S736" s="862"/>
      <c r="T736" s="863"/>
      <c r="U736" s="841"/>
      <c r="V736" s="739"/>
    </row>
    <row r="737" spans="1:22" ht="15" x14ac:dyDescent="0.2">
      <c r="A737" s="790">
        <v>2721</v>
      </c>
      <c r="B737" s="735" t="s">
        <v>149</v>
      </c>
      <c r="C737" s="792"/>
      <c r="D737" s="792"/>
      <c r="E737" s="793"/>
      <c r="F737" s="792"/>
      <c r="G737" s="861"/>
      <c r="H737" s="861"/>
      <c r="I737" s="861"/>
      <c r="J737" s="792"/>
      <c r="K737" s="861"/>
      <c r="L737" s="861"/>
      <c r="M737" s="792"/>
      <c r="N737" s="792"/>
      <c r="O737" s="792"/>
      <c r="P737" s="792"/>
      <c r="Q737" s="862">
        <v>0</v>
      </c>
      <c r="R737" s="795"/>
      <c r="S737" s="862"/>
      <c r="T737" s="863"/>
      <c r="U737" s="754">
        <v>10000</v>
      </c>
      <c r="V737" s="741">
        <v>1100122</v>
      </c>
    </row>
    <row r="738" spans="1:22" ht="15" x14ac:dyDescent="0.2">
      <c r="A738" s="790">
        <v>3571</v>
      </c>
      <c r="B738" s="735" t="s">
        <v>65</v>
      </c>
      <c r="C738" s="792"/>
      <c r="D738" s="792"/>
      <c r="E738" s="793"/>
      <c r="F738" s="792"/>
      <c r="G738" s="861"/>
      <c r="H738" s="861"/>
      <c r="I738" s="861"/>
      <c r="J738" s="792"/>
      <c r="K738" s="861"/>
      <c r="L738" s="861"/>
      <c r="M738" s="792"/>
      <c r="N738" s="792"/>
      <c r="O738" s="792"/>
      <c r="P738" s="792"/>
      <c r="Q738" s="862">
        <v>0</v>
      </c>
      <c r="R738" s="795"/>
      <c r="S738" s="862"/>
      <c r="T738" s="863"/>
      <c r="U738" s="754">
        <v>20000</v>
      </c>
      <c r="V738" s="741">
        <v>1100122</v>
      </c>
    </row>
    <row r="739" spans="1:22" ht="15" x14ac:dyDescent="0.2">
      <c r="A739" s="863">
        <v>3611</v>
      </c>
      <c r="B739" s="743" t="s">
        <v>66</v>
      </c>
      <c r="C739" s="792"/>
      <c r="D739" s="792"/>
      <c r="E739" s="793"/>
      <c r="F739" s="792"/>
      <c r="G739" s="861"/>
      <c r="H739" s="861"/>
      <c r="I739" s="861"/>
      <c r="J739" s="792"/>
      <c r="K739" s="861"/>
      <c r="L739" s="861"/>
      <c r="M739" s="792"/>
      <c r="N739" s="792"/>
      <c r="O739" s="792"/>
      <c r="P739" s="792"/>
      <c r="Q739" s="862">
        <v>0</v>
      </c>
      <c r="R739" s="795"/>
      <c r="S739" s="846">
        <v>40000</v>
      </c>
      <c r="T739" s="787"/>
      <c r="U739" s="841">
        <v>0</v>
      </c>
      <c r="V739" s="787"/>
    </row>
    <row r="740" spans="1:22" ht="15" x14ac:dyDescent="0.2">
      <c r="A740" s="790">
        <v>5691</v>
      </c>
      <c r="B740" s="735" t="s">
        <v>112</v>
      </c>
      <c r="C740" s="792"/>
      <c r="D740" s="792"/>
      <c r="E740" s="793"/>
      <c r="F740" s="792"/>
      <c r="G740" s="861"/>
      <c r="H740" s="861"/>
      <c r="I740" s="861"/>
      <c r="J740" s="792"/>
      <c r="K740" s="861"/>
      <c r="L740" s="861"/>
      <c r="M740" s="792"/>
      <c r="N740" s="792"/>
      <c r="O740" s="792"/>
      <c r="P740" s="792"/>
      <c r="Q740" s="862"/>
      <c r="R740" s="795"/>
      <c r="S740" s="862"/>
      <c r="T740" s="863"/>
      <c r="U740" s="754">
        <v>40000</v>
      </c>
      <c r="V740" s="741">
        <v>1100122</v>
      </c>
    </row>
    <row r="741" spans="1:22" ht="15" x14ac:dyDescent="0.2">
      <c r="A741" s="739">
        <v>5311</v>
      </c>
      <c r="B741" s="743" t="s">
        <v>1733</v>
      </c>
      <c r="C741" s="736"/>
      <c r="D741" s="736">
        <v>20000</v>
      </c>
      <c r="E741" s="749">
        <v>20000</v>
      </c>
      <c r="F741" s="736">
        <v>0</v>
      </c>
      <c r="G741" s="752">
        <v>20000</v>
      </c>
      <c r="H741" s="752"/>
      <c r="I741" s="752"/>
      <c r="J741" s="736">
        <f t="shared" si="257"/>
        <v>20000</v>
      </c>
      <c r="K741" s="752"/>
      <c r="L741" s="752"/>
      <c r="M741" s="736">
        <f t="shared" si="258"/>
        <v>20000</v>
      </c>
      <c r="N741" s="736"/>
      <c r="O741" s="736"/>
      <c r="P741" s="736">
        <f t="shared" si="259"/>
        <v>20000</v>
      </c>
      <c r="Q741" s="753">
        <v>20000</v>
      </c>
      <c r="R741" s="738">
        <v>17411.990000000002</v>
      </c>
      <c r="S741" s="753">
        <v>50000</v>
      </c>
      <c r="T741" s="739">
        <v>1500521</v>
      </c>
      <c r="U741" s="745"/>
      <c r="V741" s="739">
        <v>1500522</v>
      </c>
    </row>
    <row r="742" spans="1:22" ht="15" x14ac:dyDescent="0.2">
      <c r="A742" s="739">
        <v>5411</v>
      </c>
      <c r="B742" s="743" t="s">
        <v>123</v>
      </c>
      <c r="C742" s="736"/>
      <c r="D742" s="736"/>
      <c r="E742" s="749"/>
      <c r="F742" s="736"/>
      <c r="G742" s="752"/>
      <c r="H742" s="749">
        <v>250000</v>
      </c>
      <c r="I742" s="752"/>
      <c r="J742" s="736">
        <f t="shared" si="257"/>
        <v>250000</v>
      </c>
      <c r="K742" s="749">
        <v>146000</v>
      </c>
      <c r="L742" s="752"/>
      <c r="M742" s="736">
        <f t="shared" si="258"/>
        <v>396000</v>
      </c>
      <c r="N742" s="736"/>
      <c r="O742" s="736"/>
      <c r="P742" s="736">
        <f t="shared" si="259"/>
        <v>396000</v>
      </c>
      <c r="Q742" s="753">
        <v>396000</v>
      </c>
      <c r="R742" s="738"/>
      <c r="S742" s="753"/>
      <c r="T742" s="739">
        <v>1100120</v>
      </c>
      <c r="U742" s="745"/>
      <c r="V742" s="739">
        <v>1100120</v>
      </c>
    </row>
    <row r="743" spans="1:22" ht="15" x14ac:dyDescent="0.2">
      <c r="A743" s="739">
        <v>5411</v>
      </c>
      <c r="B743" s="743" t="s">
        <v>123</v>
      </c>
      <c r="C743" s="736"/>
      <c r="D743" s="736"/>
      <c r="E743" s="749"/>
      <c r="F743" s="736"/>
      <c r="G743" s="752"/>
      <c r="H743" s="752">
        <v>2117553</v>
      </c>
      <c r="I743" s="752"/>
      <c r="J743" s="736">
        <f t="shared" si="257"/>
        <v>2117553</v>
      </c>
      <c r="K743" s="752"/>
      <c r="L743" s="752"/>
      <c r="M743" s="736">
        <f t="shared" si="258"/>
        <v>2117553</v>
      </c>
      <c r="N743" s="736"/>
      <c r="O743" s="736"/>
      <c r="P743" s="736">
        <f t="shared" si="259"/>
        <v>2117553</v>
      </c>
      <c r="Q743" s="753">
        <v>2117553</v>
      </c>
      <c r="R743" s="738">
        <v>2117553</v>
      </c>
      <c r="S743" s="753"/>
      <c r="T743" s="739">
        <v>1100119</v>
      </c>
      <c r="U743" s="745"/>
      <c r="V743" s="739">
        <v>1100119</v>
      </c>
    </row>
    <row r="744" spans="1:22" ht="15" x14ac:dyDescent="0.2">
      <c r="A744" s="739">
        <v>5411</v>
      </c>
      <c r="B744" s="743" t="s">
        <v>123</v>
      </c>
      <c r="C744" s="736"/>
      <c r="D744" s="736">
        <v>250000</v>
      </c>
      <c r="E744" s="749">
        <v>0</v>
      </c>
      <c r="F744" s="736">
        <v>0</v>
      </c>
      <c r="G744" s="736">
        <v>200000</v>
      </c>
      <c r="H744" s="736"/>
      <c r="I744" s="789"/>
      <c r="J744" s="736">
        <f t="shared" si="257"/>
        <v>200000</v>
      </c>
      <c r="K744" s="736"/>
      <c r="L744" s="789">
        <v>200000</v>
      </c>
      <c r="M744" s="736">
        <f t="shared" si="258"/>
        <v>0</v>
      </c>
      <c r="N744" s="736"/>
      <c r="O744" s="736"/>
      <c r="P744" s="738">
        <f t="shared" si="259"/>
        <v>0</v>
      </c>
      <c r="Q744" s="738"/>
      <c r="R744" s="738"/>
      <c r="S744" s="738"/>
      <c r="T744" s="739">
        <v>1500521</v>
      </c>
      <c r="U744" s="745"/>
      <c r="V744" s="739">
        <v>1500522</v>
      </c>
    </row>
    <row r="745" spans="1:22" ht="15" x14ac:dyDescent="0.2">
      <c r="A745" s="739">
        <v>5491</v>
      </c>
      <c r="B745" s="743" t="s">
        <v>1735</v>
      </c>
      <c r="C745" s="736"/>
      <c r="D745" s="736"/>
      <c r="E745" s="749"/>
      <c r="F745" s="736"/>
      <c r="G745" s="736"/>
      <c r="H745" s="736"/>
      <c r="I745" s="789"/>
      <c r="J745" s="736"/>
      <c r="K745" s="736"/>
      <c r="L745" s="789"/>
      <c r="M745" s="736"/>
      <c r="N745" s="736"/>
      <c r="O745" s="736"/>
      <c r="P745" s="738"/>
      <c r="Q745" s="738"/>
      <c r="R745" s="738"/>
      <c r="S745" s="738">
        <v>80000</v>
      </c>
      <c r="T745" s="739"/>
      <c r="U745" s="745"/>
      <c r="V745" s="739"/>
    </row>
    <row r="746" spans="1:22" ht="15" x14ac:dyDescent="0.2">
      <c r="A746" s="739">
        <v>5691</v>
      </c>
      <c r="B746" s="743" t="s">
        <v>112</v>
      </c>
      <c r="C746" s="736"/>
      <c r="D746" s="736">
        <v>0</v>
      </c>
      <c r="E746" s="749">
        <v>200000</v>
      </c>
      <c r="F746" s="736">
        <v>117827</v>
      </c>
      <c r="G746" s="752">
        <v>40000</v>
      </c>
      <c r="H746" s="752"/>
      <c r="I746" s="752"/>
      <c r="J746" s="736">
        <f t="shared" ref="J746:J747" si="263">G746+H746-I746</f>
        <v>40000</v>
      </c>
      <c r="K746" s="752"/>
      <c r="L746" s="752"/>
      <c r="M746" s="736">
        <f t="shared" ref="M746:M747" si="264">J746+K746-L746</f>
        <v>40000</v>
      </c>
      <c r="N746" s="736"/>
      <c r="O746" s="736"/>
      <c r="P746" s="736">
        <f t="shared" ref="P746:P747" si="265">M746+N746-O746</f>
        <v>40000</v>
      </c>
      <c r="Q746" s="753">
        <v>40000</v>
      </c>
      <c r="R746" s="738">
        <v>31281.65</v>
      </c>
      <c r="S746" s="753">
        <v>40000</v>
      </c>
      <c r="T746" s="739">
        <v>1500521</v>
      </c>
      <c r="U746" s="745"/>
      <c r="V746" s="739">
        <v>1500522</v>
      </c>
    </row>
    <row r="747" spans="1:22" ht="15" x14ac:dyDescent="0.2">
      <c r="A747" s="739">
        <v>5691</v>
      </c>
      <c r="B747" s="743" t="s">
        <v>112</v>
      </c>
      <c r="C747" s="736"/>
      <c r="D747" s="736">
        <v>200000</v>
      </c>
      <c r="E747" s="736"/>
      <c r="F747" s="736">
        <v>0</v>
      </c>
      <c r="G747" s="736"/>
      <c r="H747" s="736"/>
      <c r="I747" s="736"/>
      <c r="J747" s="736">
        <f t="shared" si="263"/>
        <v>0</v>
      </c>
      <c r="K747" s="736"/>
      <c r="L747" s="736"/>
      <c r="M747" s="736">
        <f t="shared" si="264"/>
        <v>0</v>
      </c>
      <c r="N747" s="736"/>
      <c r="O747" s="736"/>
      <c r="P747" s="738">
        <f t="shared" si="265"/>
        <v>0</v>
      </c>
      <c r="Q747" s="738"/>
      <c r="R747" s="738"/>
      <c r="S747" s="738"/>
      <c r="T747" s="739">
        <v>1100121</v>
      </c>
      <c r="U747" s="745"/>
      <c r="V747" s="739">
        <v>1100122</v>
      </c>
    </row>
    <row r="748" spans="1:22" ht="15" x14ac:dyDescent="0.2">
      <c r="A748" s="728" t="s">
        <v>151</v>
      </c>
      <c r="B748" s="729" t="s">
        <v>1558</v>
      </c>
      <c r="C748" s="730">
        <f t="shared" ref="C748:S748" si="266">SUM(C749:C778)</f>
        <v>2761903.3699999996</v>
      </c>
      <c r="D748" s="730">
        <f t="shared" si="266"/>
        <v>3140918.2199999997</v>
      </c>
      <c r="E748" s="730">
        <f t="shared" si="266"/>
        <v>2939932.7399999998</v>
      </c>
      <c r="F748" s="730">
        <f t="shared" si="266"/>
        <v>2868985.439999999</v>
      </c>
      <c r="G748" s="730">
        <f t="shared" si="266"/>
        <v>3161234.1</v>
      </c>
      <c r="H748" s="730">
        <f t="shared" si="266"/>
        <v>16740.84</v>
      </c>
      <c r="I748" s="730">
        <f t="shared" si="266"/>
        <v>0</v>
      </c>
      <c r="J748" s="730">
        <f t="shared" si="266"/>
        <v>3177974.94</v>
      </c>
      <c r="K748" s="730">
        <f t="shared" si="266"/>
        <v>258951.5</v>
      </c>
      <c r="L748" s="730">
        <f t="shared" si="266"/>
        <v>0</v>
      </c>
      <c r="M748" s="730">
        <f t="shared" si="266"/>
        <v>3436926.44</v>
      </c>
      <c r="N748" s="730">
        <f t="shared" si="266"/>
        <v>51740.84</v>
      </c>
      <c r="O748" s="730">
        <f t="shared" si="266"/>
        <v>51740.84</v>
      </c>
      <c r="P748" s="730">
        <f t="shared" si="266"/>
        <v>3436926.44</v>
      </c>
      <c r="Q748" s="748">
        <f t="shared" si="266"/>
        <v>3534324.1</v>
      </c>
      <c r="R748" s="748">
        <f t="shared" si="266"/>
        <v>735355.35999999987</v>
      </c>
      <c r="S748" s="748">
        <f t="shared" si="266"/>
        <v>5941328.0999999996</v>
      </c>
      <c r="T748" s="731"/>
      <c r="U748" s="732">
        <f>SUM(U749:U778)</f>
        <v>3936402.16</v>
      </c>
      <c r="V748" s="733"/>
    </row>
    <row r="749" spans="1:22" ht="15" x14ac:dyDescent="0.25">
      <c r="A749" s="734">
        <v>1131</v>
      </c>
      <c r="B749" s="735" t="s">
        <v>6</v>
      </c>
      <c r="C749" s="736">
        <v>618321.81000000006</v>
      </c>
      <c r="D749" s="736">
        <v>622137.88</v>
      </c>
      <c r="E749" s="749">
        <v>623816.88</v>
      </c>
      <c r="F749" s="736">
        <v>700459.17</v>
      </c>
      <c r="G749" s="736">
        <v>676901.79999999993</v>
      </c>
      <c r="H749" s="736"/>
      <c r="I749" s="736"/>
      <c r="J749" s="736">
        <f t="shared" ref="J749:J778" si="267">G749+H749-I749</f>
        <v>676901.79999999993</v>
      </c>
      <c r="K749" s="736">
        <v>3040.19</v>
      </c>
      <c r="L749" s="736"/>
      <c r="M749" s="736">
        <f t="shared" ref="M749:M778" si="268">J749+K749-L749</f>
        <v>679941.98999999987</v>
      </c>
      <c r="N749" s="736"/>
      <c r="O749" s="736"/>
      <c r="P749" s="736">
        <f t="shared" ref="P749:P778" si="269">M749+N749-O749</f>
        <v>679941.98999999987</v>
      </c>
      <c r="Q749" s="738">
        <v>658873.51</v>
      </c>
      <c r="R749" s="738"/>
      <c r="S749" s="751">
        <v>703153.36</v>
      </c>
      <c r="T749" s="739">
        <v>1500521</v>
      </c>
      <c r="U749" s="779">
        <v>721005.72</v>
      </c>
      <c r="V749" s="741">
        <v>1500522</v>
      </c>
    </row>
    <row r="750" spans="1:22" ht="15" x14ac:dyDescent="0.25">
      <c r="A750" s="734">
        <v>1132</v>
      </c>
      <c r="B750" s="735" t="s">
        <v>8</v>
      </c>
      <c r="C750" s="736">
        <v>39700.699999999997</v>
      </c>
      <c r="D750" s="736">
        <v>186030.2</v>
      </c>
      <c r="E750" s="749">
        <v>29192.080000000002</v>
      </c>
      <c r="F750" s="736">
        <v>0</v>
      </c>
      <c r="G750" s="736"/>
      <c r="H750" s="736"/>
      <c r="I750" s="736"/>
      <c r="J750" s="736">
        <f t="shared" si="267"/>
        <v>0</v>
      </c>
      <c r="K750" s="736">
        <v>205827.78</v>
      </c>
      <c r="L750" s="736"/>
      <c r="M750" s="736">
        <f t="shared" si="268"/>
        <v>205827.78</v>
      </c>
      <c r="N750" s="736"/>
      <c r="O750" s="736"/>
      <c r="P750" s="736">
        <f t="shared" si="269"/>
        <v>205827.78</v>
      </c>
      <c r="Q750" s="738">
        <v>231690.4</v>
      </c>
      <c r="R750" s="738"/>
      <c r="S750" s="738">
        <v>449332.52</v>
      </c>
      <c r="T750" s="739">
        <v>1500521</v>
      </c>
      <c r="U750" s="779">
        <v>444883.68</v>
      </c>
      <c r="V750" s="741">
        <v>1500522</v>
      </c>
    </row>
    <row r="751" spans="1:22" ht="15" x14ac:dyDescent="0.25">
      <c r="A751" s="734">
        <v>1212</v>
      </c>
      <c r="B751" s="735" t="s">
        <v>53</v>
      </c>
      <c r="C751" s="736">
        <v>63214.8</v>
      </c>
      <c r="D751" s="736">
        <v>65664</v>
      </c>
      <c r="E751" s="749">
        <v>66732</v>
      </c>
      <c r="F751" s="736">
        <v>65664</v>
      </c>
      <c r="G751" s="736">
        <v>67960.800000000003</v>
      </c>
      <c r="H751" s="736"/>
      <c r="I751" s="736"/>
      <c r="J751" s="736">
        <f t="shared" si="267"/>
        <v>67960.800000000003</v>
      </c>
      <c r="K751" s="736">
        <v>1031.1300000000001</v>
      </c>
      <c r="L751" s="736"/>
      <c r="M751" s="736">
        <f t="shared" si="268"/>
        <v>68991.930000000008</v>
      </c>
      <c r="N751" s="736"/>
      <c r="O751" s="736"/>
      <c r="P751" s="736">
        <f t="shared" si="269"/>
        <v>68991.930000000008</v>
      </c>
      <c r="Q751" s="738">
        <v>68991.929999999993</v>
      </c>
      <c r="R751" s="738"/>
      <c r="S751" s="751">
        <v>72417.600000000006</v>
      </c>
      <c r="T751" s="739">
        <v>1500521</v>
      </c>
      <c r="U751" s="779">
        <v>71530.42</v>
      </c>
      <c r="V751" s="741">
        <v>1500522</v>
      </c>
    </row>
    <row r="752" spans="1:22" ht="15" x14ac:dyDescent="0.25">
      <c r="A752" s="734">
        <v>1321</v>
      </c>
      <c r="B752" s="735" t="s">
        <v>9</v>
      </c>
      <c r="C752" s="736">
        <v>50037.17</v>
      </c>
      <c r="D752" s="736">
        <v>53585.84</v>
      </c>
      <c r="E752" s="749">
        <v>53585.84</v>
      </c>
      <c r="F752" s="736">
        <v>52829.31</v>
      </c>
      <c r="G752" s="736">
        <v>56541</v>
      </c>
      <c r="H752" s="736"/>
      <c r="I752" s="736"/>
      <c r="J752" s="736">
        <f t="shared" si="267"/>
        <v>56541</v>
      </c>
      <c r="K752" s="736">
        <v>1886.92</v>
      </c>
      <c r="L752" s="736"/>
      <c r="M752" s="736">
        <f t="shared" si="268"/>
        <v>58427.92</v>
      </c>
      <c r="N752" s="736"/>
      <c r="O752" s="736"/>
      <c r="P752" s="736">
        <f t="shared" si="269"/>
        <v>58427.92</v>
      </c>
      <c r="Q752" s="738">
        <v>63786.75</v>
      </c>
      <c r="R752" s="738"/>
      <c r="S752" s="751">
        <v>85251.520000000004</v>
      </c>
      <c r="T752" s="739">
        <v>1500521</v>
      </c>
      <c r="U752" s="779">
        <v>77319.59</v>
      </c>
      <c r="V752" s="741">
        <v>1500522</v>
      </c>
    </row>
    <row r="753" spans="1:22" ht="15" x14ac:dyDescent="0.25">
      <c r="A753" s="734">
        <v>1323</v>
      </c>
      <c r="B753" s="735" t="s">
        <v>11</v>
      </c>
      <c r="C753" s="736">
        <v>136873.45000000001</v>
      </c>
      <c r="D753" s="736">
        <v>135026.5</v>
      </c>
      <c r="E753" s="749">
        <v>135026.5</v>
      </c>
      <c r="F753" s="736">
        <v>136992</v>
      </c>
      <c r="G753" s="736">
        <v>141806.70000000001</v>
      </c>
      <c r="H753" s="736"/>
      <c r="I753" s="736"/>
      <c r="J753" s="736">
        <f t="shared" si="267"/>
        <v>141806.70000000001</v>
      </c>
      <c r="K753" s="736">
        <v>4721.46</v>
      </c>
      <c r="L753" s="736"/>
      <c r="M753" s="736">
        <f t="shared" si="268"/>
        <v>146528.16</v>
      </c>
      <c r="N753" s="736"/>
      <c r="O753" s="736"/>
      <c r="P753" s="736">
        <f t="shared" si="269"/>
        <v>146528.16</v>
      </c>
      <c r="Q753" s="738">
        <v>176958.02</v>
      </c>
      <c r="R753" s="738"/>
      <c r="S753" s="751">
        <v>229095.9</v>
      </c>
      <c r="T753" s="739">
        <v>1500521</v>
      </c>
      <c r="U753" s="779">
        <v>204645.36</v>
      </c>
      <c r="V753" s="741">
        <v>1500522</v>
      </c>
    </row>
    <row r="754" spans="1:22" ht="15" x14ac:dyDescent="0.25">
      <c r="A754" s="734">
        <v>1413</v>
      </c>
      <c r="B754" s="735" t="s">
        <v>13</v>
      </c>
      <c r="C754" s="736">
        <v>200731.4</v>
      </c>
      <c r="D754" s="736">
        <v>224466.92</v>
      </c>
      <c r="E754" s="749">
        <v>220286.92</v>
      </c>
      <c r="F754" s="736">
        <v>217159.46</v>
      </c>
      <c r="G754" s="736">
        <v>249306.30000000002</v>
      </c>
      <c r="H754" s="736"/>
      <c r="I754" s="736"/>
      <c r="J754" s="736">
        <f t="shared" si="267"/>
        <v>249306.30000000002</v>
      </c>
      <c r="K754" s="736">
        <v>6504.05</v>
      </c>
      <c r="L754" s="736"/>
      <c r="M754" s="736">
        <f t="shared" si="268"/>
        <v>255810.35</v>
      </c>
      <c r="N754" s="736"/>
      <c r="O754" s="736"/>
      <c r="P754" s="736">
        <f t="shared" si="269"/>
        <v>255810.35</v>
      </c>
      <c r="Q754" s="738">
        <v>255810.35</v>
      </c>
      <c r="R754" s="738"/>
      <c r="S754" s="751">
        <v>391838.28</v>
      </c>
      <c r="T754" s="739">
        <v>1500521</v>
      </c>
      <c r="U754" s="779">
        <v>348700.99</v>
      </c>
      <c r="V754" s="741">
        <v>1500522</v>
      </c>
    </row>
    <row r="755" spans="1:22" ht="15" x14ac:dyDescent="0.25">
      <c r="A755" s="734">
        <v>1421</v>
      </c>
      <c r="B755" s="735" t="s">
        <v>15</v>
      </c>
      <c r="C755" s="736">
        <v>60490.879999999997</v>
      </c>
      <c r="D755" s="736">
        <v>61749.279999999999</v>
      </c>
      <c r="E755" s="749">
        <v>55823.28</v>
      </c>
      <c r="F755" s="736">
        <v>59795.95</v>
      </c>
      <c r="G755" s="736">
        <v>65321.599999999999</v>
      </c>
      <c r="H755" s="736"/>
      <c r="I755" s="736"/>
      <c r="J755" s="736">
        <f t="shared" si="267"/>
        <v>65321.599999999999</v>
      </c>
      <c r="K755" s="736">
        <v>1457.8</v>
      </c>
      <c r="L755" s="736"/>
      <c r="M755" s="736">
        <f t="shared" si="268"/>
        <v>66779.399999999994</v>
      </c>
      <c r="N755" s="736"/>
      <c r="O755" s="736"/>
      <c r="P755" s="736">
        <f t="shared" si="269"/>
        <v>66779.399999999994</v>
      </c>
      <c r="Q755" s="738">
        <v>66779.399999999994</v>
      </c>
      <c r="R755" s="738"/>
      <c r="S755" s="751">
        <v>103190.04</v>
      </c>
      <c r="T755" s="739">
        <v>1500521</v>
      </c>
      <c r="U755" s="779">
        <v>79091.38</v>
      </c>
      <c r="V755" s="741">
        <v>1500522</v>
      </c>
    </row>
    <row r="756" spans="1:22" ht="15" x14ac:dyDescent="0.25">
      <c r="A756" s="734">
        <v>1431</v>
      </c>
      <c r="B756" s="735" t="s">
        <v>16</v>
      </c>
      <c r="C756" s="736">
        <v>64321.78</v>
      </c>
      <c r="D756" s="736">
        <v>63601.760000000002</v>
      </c>
      <c r="E756" s="749">
        <v>58559.76</v>
      </c>
      <c r="F756" s="736">
        <v>63257.47</v>
      </c>
      <c r="G756" s="736">
        <v>67281.200000000012</v>
      </c>
      <c r="H756" s="736"/>
      <c r="I756" s="736"/>
      <c r="J756" s="736">
        <f t="shared" si="267"/>
        <v>67281.200000000012</v>
      </c>
      <c r="K756" s="736">
        <v>1488.02</v>
      </c>
      <c r="L756" s="736"/>
      <c r="M756" s="736">
        <f t="shared" si="268"/>
        <v>68769.220000000016</v>
      </c>
      <c r="N756" s="736"/>
      <c r="O756" s="736"/>
      <c r="P756" s="736">
        <f t="shared" si="269"/>
        <v>68769.220000000016</v>
      </c>
      <c r="Q756" s="738">
        <v>68769.22</v>
      </c>
      <c r="R756" s="738"/>
      <c r="S756" s="751">
        <v>106285.92</v>
      </c>
      <c r="T756" s="739">
        <v>1500521</v>
      </c>
      <c r="U756" s="779">
        <v>80114.19</v>
      </c>
      <c r="V756" s="741">
        <v>1500522</v>
      </c>
    </row>
    <row r="757" spans="1:22" ht="15" x14ac:dyDescent="0.25">
      <c r="A757" s="734">
        <v>1511</v>
      </c>
      <c r="B757" s="735" t="s">
        <v>18</v>
      </c>
      <c r="C757" s="736">
        <v>18553.7</v>
      </c>
      <c r="D757" s="736">
        <v>19259.240000000002</v>
      </c>
      <c r="E757" s="749">
        <v>19259.240000000002</v>
      </c>
      <c r="F757" s="736">
        <v>19950.669999999998</v>
      </c>
      <c r="G757" s="736">
        <v>20234.8</v>
      </c>
      <c r="H757" s="736"/>
      <c r="I757" s="736"/>
      <c r="J757" s="736">
        <f t="shared" si="267"/>
        <v>20234.8</v>
      </c>
      <c r="K757" s="736">
        <v>677.98</v>
      </c>
      <c r="L757" s="736"/>
      <c r="M757" s="736">
        <f t="shared" si="268"/>
        <v>20912.78</v>
      </c>
      <c r="N757" s="736"/>
      <c r="O757" s="736"/>
      <c r="P757" s="736">
        <f t="shared" si="269"/>
        <v>20912.78</v>
      </c>
      <c r="Q757" s="738">
        <v>25936.66</v>
      </c>
      <c r="R757" s="738"/>
      <c r="S757" s="751">
        <v>32912.879999999997</v>
      </c>
      <c r="T757" s="739">
        <v>1500521</v>
      </c>
      <c r="U757" s="779">
        <v>25630.32</v>
      </c>
      <c r="V757" s="741">
        <v>1500522</v>
      </c>
    </row>
    <row r="758" spans="1:22" ht="15" x14ac:dyDescent="0.25">
      <c r="A758" s="734">
        <v>1541</v>
      </c>
      <c r="B758" s="735" t="s">
        <v>19</v>
      </c>
      <c r="C758" s="736">
        <v>347773.16</v>
      </c>
      <c r="D758" s="736">
        <v>404459.64</v>
      </c>
      <c r="E758" s="749">
        <v>401024.8</v>
      </c>
      <c r="F758" s="736">
        <v>413727.63</v>
      </c>
      <c r="G758" s="736">
        <v>533711.1</v>
      </c>
      <c r="H758" s="736"/>
      <c r="I758" s="736"/>
      <c r="J758" s="736">
        <f t="shared" si="267"/>
        <v>533711.1</v>
      </c>
      <c r="K758" s="736">
        <v>20314.91</v>
      </c>
      <c r="L758" s="736"/>
      <c r="M758" s="736">
        <f t="shared" si="268"/>
        <v>554026.01</v>
      </c>
      <c r="N758" s="736"/>
      <c r="O758" s="736"/>
      <c r="P758" s="736">
        <f t="shared" si="269"/>
        <v>554026.01</v>
      </c>
      <c r="Q758" s="738">
        <v>465594.02</v>
      </c>
      <c r="R758" s="738"/>
      <c r="S758" s="751">
        <v>475084.48</v>
      </c>
      <c r="T758" s="739">
        <v>1500521</v>
      </c>
      <c r="U758" s="779">
        <v>468468.26</v>
      </c>
      <c r="V758" s="741">
        <v>1500522</v>
      </c>
    </row>
    <row r="759" spans="1:22" ht="15" x14ac:dyDescent="0.25">
      <c r="A759" s="734">
        <v>1592</v>
      </c>
      <c r="B759" s="735" t="s">
        <v>20</v>
      </c>
      <c r="C759" s="736">
        <v>322532.3</v>
      </c>
      <c r="D759" s="736">
        <v>340936.96000000002</v>
      </c>
      <c r="E759" s="749">
        <v>340936.96000000002</v>
      </c>
      <c r="F759" s="736">
        <v>353025.05</v>
      </c>
      <c r="G759" s="736">
        <v>358168.8</v>
      </c>
      <c r="H759" s="736"/>
      <c r="I759" s="736"/>
      <c r="J759" s="736">
        <f t="shared" si="267"/>
        <v>358168.8</v>
      </c>
      <c r="K759" s="736">
        <v>12001.26</v>
      </c>
      <c r="L759" s="736"/>
      <c r="M759" s="736">
        <f t="shared" si="268"/>
        <v>370170.06</v>
      </c>
      <c r="N759" s="736"/>
      <c r="O759" s="736"/>
      <c r="P759" s="736">
        <f t="shared" si="269"/>
        <v>370170.06</v>
      </c>
      <c r="Q759" s="738">
        <v>430721.32</v>
      </c>
      <c r="R759" s="738"/>
      <c r="S759" s="751">
        <v>493365.6</v>
      </c>
      <c r="T759" s="739">
        <v>1500521</v>
      </c>
      <c r="U759" s="779">
        <v>402612.25</v>
      </c>
      <c r="V759" s="741">
        <v>1500522</v>
      </c>
    </row>
    <row r="760" spans="1:22" ht="15" x14ac:dyDescent="0.2">
      <c r="A760" s="734">
        <v>2111</v>
      </c>
      <c r="B760" s="735" t="s">
        <v>22</v>
      </c>
      <c r="C760" s="736">
        <v>1944.84</v>
      </c>
      <c r="D760" s="736">
        <v>3000</v>
      </c>
      <c r="E760" s="749">
        <v>2100</v>
      </c>
      <c r="F760" s="736">
        <v>1950</v>
      </c>
      <c r="G760" s="752">
        <v>3000</v>
      </c>
      <c r="H760" s="752"/>
      <c r="I760" s="752"/>
      <c r="J760" s="736">
        <f t="shared" si="267"/>
        <v>3000</v>
      </c>
      <c r="K760" s="752"/>
      <c r="L760" s="752"/>
      <c r="M760" s="736">
        <f t="shared" si="268"/>
        <v>3000</v>
      </c>
      <c r="N760" s="736"/>
      <c r="O760" s="736"/>
      <c r="P760" s="736">
        <f t="shared" si="269"/>
        <v>3000</v>
      </c>
      <c r="Q760" s="753">
        <v>3000</v>
      </c>
      <c r="R760" s="738">
        <v>2695.46</v>
      </c>
      <c r="S760" s="753"/>
      <c r="T760" s="739">
        <v>1100121</v>
      </c>
      <c r="U760" s="740">
        <v>3000</v>
      </c>
      <c r="V760" s="741">
        <v>1100122</v>
      </c>
    </row>
    <row r="761" spans="1:22" ht="15" x14ac:dyDescent="0.2">
      <c r="A761" s="734">
        <v>2121</v>
      </c>
      <c r="B761" s="735" t="s">
        <v>24</v>
      </c>
      <c r="C761" s="736">
        <v>6525</v>
      </c>
      <c r="D761" s="736">
        <v>3000</v>
      </c>
      <c r="E761" s="749">
        <v>2100</v>
      </c>
      <c r="F761" s="736">
        <v>1820.12</v>
      </c>
      <c r="G761" s="752">
        <v>3000</v>
      </c>
      <c r="H761" s="752"/>
      <c r="I761" s="752"/>
      <c r="J761" s="736">
        <f t="shared" si="267"/>
        <v>3000</v>
      </c>
      <c r="K761" s="752"/>
      <c r="L761" s="752"/>
      <c r="M761" s="736">
        <f t="shared" si="268"/>
        <v>3000</v>
      </c>
      <c r="N761" s="736"/>
      <c r="O761" s="736"/>
      <c r="P761" s="736">
        <f t="shared" si="269"/>
        <v>3000</v>
      </c>
      <c r="Q761" s="753">
        <v>2671.68</v>
      </c>
      <c r="R761" s="738">
        <v>2521.6799999999998</v>
      </c>
      <c r="S761" s="753"/>
      <c r="T761" s="739">
        <v>1100121</v>
      </c>
      <c r="U761" s="740">
        <v>3000</v>
      </c>
      <c r="V761" s="741">
        <v>1100122</v>
      </c>
    </row>
    <row r="762" spans="1:22" ht="15" x14ac:dyDescent="0.2">
      <c r="A762" s="734">
        <v>2161</v>
      </c>
      <c r="B762" s="735" t="s">
        <v>59</v>
      </c>
      <c r="C762" s="736">
        <v>24655.75</v>
      </c>
      <c r="D762" s="736">
        <v>40000</v>
      </c>
      <c r="E762" s="749">
        <v>40000</v>
      </c>
      <c r="F762" s="736">
        <v>21586.89</v>
      </c>
      <c r="G762" s="752">
        <v>40000</v>
      </c>
      <c r="H762" s="752"/>
      <c r="I762" s="752"/>
      <c r="J762" s="736">
        <f t="shared" si="267"/>
        <v>40000</v>
      </c>
      <c r="K762" s="752"/>
      <c r="L762" s="752"/>
      <c r="M762" s="736">
        <f t="shared" si="268"/>
        <v>40000</v>
      </c>
      <c r="N762" s="736"/>
      <c r="O762" s="736"/>
      <c r="P762" s="736">
        <f t="shared" si="269"/>
        <v>40000</v>
      </c>
      <c r="Q762" s="753">
        <v>40000</v>
      </c>
      <c r="R762" s="738">
        <v>39998.6</v>
      </c>
      <c r="S762" s="753">
        <v>41400</v>
      </c>
      <c r="T762" s="739">
        <v>1100121</v>
      </c>
      <c r="U762" s="754">
        <v>41400</v>
      </c>
      <c r="V762" s="741">
        <v>1100122</v>
      </c>
    </row>
    <row r="763" spans="1:22" ht="15" x14ac:dyDescent="0.2">
      <c r="A763" s="734">
        <v>2221</v>
      </c>
      <c r="B763" s="735" t="s">
        <v>152</v>
      </c>
      <c r="C763" s="736">
        <v>77664.66</v>
      </c>
      <c r="D763" s="736">
        <v>100000</v>
      </c>
      <c r="E763" s="749">
        <v>15000</v>
      </c>
      <c r="F763" s="736">
        <v>14400</v>
      </c>
      <c r="G763" s="752">
        <v>65000</v>
      </c>
      <c r="H763" s="752"/>
      <c r="I763" s="752"/>
      <c r="J763" s="736">
        <f t="shared" si="267"/>
        <v>65000</v>
      </c>
      <c r="K763" s="752"/>
      <c r="L763" s="752"/>
      <c r="M763" s="736">
        <f t="shared" si="268"/>
        <v>65000</v>
      </c>
      <c r="N763" s="738">
        <v>16740.84</v>
      </c>
      <c r="O763" s="736"/>
      <c r="P763" s="736">
        <f t="shared" si="269"/>
        <v>81740.84</v>
      </c>
      <c r="Q763" s="753">
        <v>101740.84</v>
      </c>
      <c r="R763" s="738">
        <v>63580</v>
      </c>
      <c r="S763" s="753">
        <v>105000</v>
      </c>
      <c r="T763" s="739">
        <v>1100121</v>
      </c>
      <c r="U763" s="740">
        <v>100000</v>
      </c>
      <c r="V763" s="741">
        <v>1100122</v>
      </c>
    </row>
    <row r="764" spans="1:22" ht="15" x14ac:dyDescent="0.2">
      <c r="A764" s="734">
        <v>2491</v>
      </c>
      <c r="B764" s="735" t="s">
        <v>41</v>
      </c>
      <c r="C764" s="736">
        <v>29109.98</v>
      </c>
      <c r="D764" s="736">
        <v>40000</v>
      </c>
      <c r="E764" s="749">
        <v>35000</v>
      </c>
      <c r="F764" s="736">
        <v>34992.78</v>
      </c>
      <c r="G764" s="752">
        <v>35000</v>
      </c>
      <c r="H764" s="752"/>
      <c r="I764" s="752"/>
      <c r="J764" s="736">
        <f t="shared" si="267"/>
        <v>35000</v>
      </c>
      <c r="K764" s="752"/>
      <c r="L764" s="752"/>
      <c r="M764" s="736">
        <f t="shared" si="268"/>
        <v>35000</v>
      </c>
      <c r="N764" s="736"/>
      <c r="O764" s="736"/>
      <c r="P764" s="736">
        <f t="shared" si="269"/>
        <v>35000</v>
      </c>
      <c r="Q764" s="753">
        <v>35000</v>
      </c>
      <c r="R764" s="738">
        <v>23275.03</v>
      </c>
      <c r="S764" s="753">
        <v>35000</v>
      </c>
      <c r="T764" s="739">
        <v>1100121</v>
      </c>
      <c r="U764" s="754">
        <v>35000</v>
      </c>
      <c r="V764" s="741">
        <v>1100122</v>
      </c>
    </row>
    <row r="765" spans="1:22" ht="15" x14ac:dyDescent="0.2">
      <c r="A765" s="734">
        <v>2531</v>
      </c>
      <c r="B765" s="735" t="s">
        <v>145</v>
      </c>
      <c r="C765" s="736">
        <v>325912.26</v>
      </c>
      <c r="D765" s="736">
        <v>300000</v>
      </c>
      <c r="E765" s="749">
        <v>300000</v>
      </c>
      <c r="F765" s="736">
        <v>291449.99</v>
      </c>
      <c r="G765" s="752">
        <v>300000</v>
      </c>
      <c r="H765" s="752"/>
      <c r="I765" s="752"/>
      <c r="J765" s="736">
        <f t="shared" si="267"/>
        <v>300000</v>
      </c>
      <c r="K765" s="752"/>
      <c r="L765" s="752"/>
      <c r="M765" s="736">
        <f t="shared" si="268"/>
        <v>300000</v>
      </c>
      <c r="N765" s="736">
        <v>25000</v>
      </c>
      <c r="O765" s="736"/>
      <c r="P765" s="736">
        <f t="shared" si="269"/>
        <v>325000</v>
      </c>
      <c r="Q765" s="753">
        <v>355000</v>
      </c>
      <c r="R765" s="738">
        <v>276086.44</v>
      </c>
      <c r="S765" s="753">
        <v>450000</v>
      </c>
      <c r="T765" s="739">
        <v>1100121</v>
      </c>
      <c r="U765" s="740">
        <v>350000</v>
      </c>
      <c r="V765" s="741">
        <v>1100122</v>
      </c>
    </row>
    <row r="766" spans="1:22" ht="15" x14ac:dyDescent="0.2">
      <c r="A766" s="739">
        <v>2541</v>
      </c>
      <c r="B766" s="743" t="s">
        <v>148</v>
      </c>
      <c r="C766" s="736"/>
      <c r="D766" s="736">
        <v>0</v>
      </c>
      <c r="E766" s="749">
        <v>8616.48</v>
      </c>
      <c r="F766" s="736">
        <v>8616.48</v>
      </c>
      <c r="G766" s="736"/>
      <c r="H766" s="736"/>
      <c r="I766" s="736"/>
      <c r="J766" s="736">
        <f t="shared" si="267"/>
        <v>0</v>
      </c>
      <c r="K766" s="736"/>
      <c r="L766" s="736"/>
      <c r="M766" s="736">
        <f t="shared" si="268"/>
        <v>0</v>
      </c>
      <c r="N766" s="736"/>
      <c r="O766" s="736"/>
      <c r="P766" s="738">
        <f t="shared" si="269"/>
        <v>0</v>
      </c>
      <c r="Q766" s="738"/>
      <c r="R766" s="738"/>
      <c r="S766" s="738"/>
      <c r="T766" s="739">
        <v>1100119</v>
      </c>
      <c r="U766" s="745"/>
      <c r="V766" s="739">
        <v>1100119</v>
      </c>
    </row>
    <row r="767" spans="1:22" ht="15" x14ac:dyDescent="0.2">
      <c r="A767" s="734">
        <v>2541</v>
      </c>
      <c r="B767" s="735" t="s">
        <v>148</v>
      </c>
      <c r="C767" s="736">
        <v>12916</v>
      </c>
      <c r="D767" s="736">
        <v>30000</v>
      </c>
      <c r="E767" s="749">
        <v>30000</v>
      </c>
      <c r="F767" s="736">
        <v>29995.54</v>
      </c>
      <c r="G767" s="752">
        <v>30000</v>
      </c>
      <c r="H767" s="752"/>
      <c r="I767" s="752"/>
      <c r="J767" s="736">
        <f t="shared" si="267"/>
        <v>30000</v>
      </c>
      <c r="K767" s="752"/>
      <c r="L767" s="752"/>
      <c r="M767" s="736">
        <f t="shared" si="268"/>
        <v>30000</v>
      </c>
      <c r="N767" s="736">
        <v>10000</v>
      </c>
      <c r="O767" s="736"/>
      <c r="P767" s="736">
        <f t="shared" si="269"/>
        <v>40000</v>
      </c>
      <c r="Q767" s="753">
        <v>70000</v>
      </c>
      <c r="R767" s="738">
        <v>29651.4</v>
      </c>
      <c r="S767" s="753">
        <v>150000</v>
      </c>
      <c r="T767" s="739">
        <v>1100121</v>
      </c>
      <c r="U767" s="740">
        <v>100000</v>
      </c>
      <c r="V767" s="741">
        <v>1100122</v>
      </c>
    </row>
    <row r="768" spans="1:22" ht="15" x14ac:dyDescent="0.25">
      <c r="A768" s="739">
        <v>2721</v>
      </c>
      <c r="B768" s="743" t="s">
        <v>149</v>
      </c>
      <c r="C768" s="736"/>
      <c r="D768" s="736"/>
      <c r="E768" s="749"/>
      <c r="F768" s="736"/>
      <c r="G768" s="752"/>
      <c r="H768" s="759">
        <v>16740.84</v>
      </c>
      <c r="I768" s="752"/>
      <c r="J768" s="736">
        <f t="shared" si="267"/>
        <v>16740.84</v>
      </c>
      <c r="K768" s="759"/>
      <c r="L768" s="752"/>
      <c r="M768" s="736">
        <f t="shared" si="268"/>
        <v>16740.84</v>
      </c>
      <c r="N768" s="736"/>
      <c r="O768" s="738">
        <v>16740.84</v>
      </c>
      <c r="P768" s="738">
        <f t="shared" si="269"/>
        <v>0</v>
      </c>
      <c r="Q768" s="753"/>
      <c r="R768" s="738"/>
      <c r="S768" s="753"/>
      <c r="T768" s="864">
        <v>1100120</v>
      </c>
      <c r="U768" s="745"/>
      <c r="V768" s="864">
        <v>1100120</v>
      </c>
    </row>
    <row r="769" spans="1:22" ht="15" x14ac:dyDescent="0.2">
      <c r="A769" s="734">
        <v>2721</v>
      </c>
      <c r="B769" s="735" t="s">
        <v>149</v>
      </c>
      <c r="C769" s="736">
        <v>24940.73</v>
      </c>
      <c r="D769" s="736">
        <v>25000</v>
      </c>
      <c r="E769" s="749">
        <v>25000</v>
      </c>
      <c r="F769" s="736">
        <v>8158.71</v>
      </c>
      <c r="G769" s="752">
        <v>25000</v>
      </c>
      <c r="H769" s="752"/>
      <c r="I769" s="752"/>
      <c r="J769" s="736">
        <f t="shared" si="267"/>
        <v>25000</v>
      </c>
      <c r="K769" s="752"/>
      <c r="L769" s="752"/>
      <c r="M769" s="736">
        <f t="shared" si="268"/>
        <v>25000</v>
      </c>
      <c r="N769" s="736"/>
      <c r="O769" s="736">
        <v>25000</v>
      </c>
      <c r="P769" s="738">
        <f t="shared" si="269"/>
        <v>0</v>
      </c>
      <c r="Q769" s="753"/>
      <c r="R769" s="738"/>
      <c r="S769" s="753">
        <v>25000</v>
      </c>
      <c r="T769" s="739">
        <v>1100121</v>
      </c>
      <c r="U769" s="754">
        <v>25000</v>
      </c>
      <c r="V769" s="741">
        <v>1100122</v>
      </c>
    </row>
    <row r="770" spans="1:22" ht="15" x14ac:dyDescent="0.2">
      <c r="A770" s="734">
        <v>2911</v>
      </c>
      <c r="B770" s="735" t="s">
        <v>60</v>
      </c>
      <c r="C770" s="736">
        <v>9970.0400000000009</v>
      </c>
      <c r="D770" s="736">
        <v>15000</v>
      </c>
      <c r="E770" s="749">
        <v>15000</v>
      </c>
      <c r="F770" s="736">
        <v>14523.87</v>
      </c>
      <c r="G770" s="752">
        <v>15000</v>
      </c>
      <c r="H770" s="752"/>
      <c r="I770" s="752"/>
      <c r="J770" s="736">
        <f t="shared" si="267"/>
        <v>15000</v>
      </c>
      <c r="K770" s="752"/>
      <c r="L770" s="752"/>
      <c r="M770" s="736">
        <f t="shared" si="268"/>
        <v>15000</v>
      </c>
      <c r="N770" s="736"/>
      <c r="O770" s="736"/>
      <c r="P770" s="736">
        <f t="shared" si="269"/>
        <v>15000</v>
      </c>
      <c r="Q770" s="753">
        <v>15000</v>
      </c>
      <c r="R770" s="738">
        <v>14653.86</v>
      </c>
      <c r="S770" s="753">
        <v>15000</v>
      </c>
      <c r="T770" s="739">
        <v>1100121</v>
      </c>
      <c r="U770" s="754">
        <v>15000</v>
      </c>
      <c r="V770" s="741">
        <v>1100122</v>
      </c>
    </row>
    <row r="771" spans="1:22" ht="15" x14ac:dyDescent="0.2">
      <c r="A771" s="734">
        <v>3121</v>
      </c>
      <c r="B771" s="735" t="s">
        <v>131</v>
      </c>
      <c r="C771" s="736">
        <v>140278.19</v>
      </c>
      <c r="D771" s="736">
        <v>130000</v>
      </c>
      <c r="E771" s="749">
        <v>130000</v>
      </c>
      <c r="F771" s="736">
        <v>103830.34</v>
      </c>
      <c r="G771" s="752">
        <v>130000</v>
      </c>
      <c r="H771" s="752"/>
      <c r="I771" s="752"/>
      <c r="J771" s="736">
        <f t="shared" si="267"/>
        <v>130000</v>
      </c>
      <c r="K771" s="752"/>
      <c r="L771" s="752"/>
      <c r="M771" s="736">
        <f t="shared" si="268"/>
        <v>130000</v>
      </c>
      <c r="N771" s="736"/>
      <c r="O771" s="736"/>
      <c r="P771" s="736">
        <f t="shared" si="269"/>
        <v>130000</v>
      </c>
      <c r="Q771" s="753">
        <v>130000</v>
      </c>
      <c r="R771" s="738">
        <v>89718.18</v>
      </c>
      <c r="S771" s="753">
        <v>130000</v>
      </c>
      <c r="T771" s="739">
        <v>1100121</v>
      </c>
      <c r="U771" s="754">
        <v>130000</v>
      </c>
      <c r="V771" s="741">
        <v>1100122</v>
      </c>
    </row>
    <row r="772" spans="1:22" ht="15" x14ac:dyDescent="0.2">
      <c r="A772" s="734">
        <v>3511</v>
      </c>
      <c r="B772" s="735" t="s">
        <v>49</v>
      </c>
      <c r="C772" s="736">
        <v>85500</v>
      </c>
      <c r="D772" s="736">
        <v>50000</v>
      </c>
      <c r="E772" s="749">
        <v>50000</v>
      </c>
      <c r="F772" s="736">
        <v>50000</v>
      </c>
      <c r="G772" s="752">
        <v>50000</v>
      </c>
      <c r="H772" s="752"/>
      <c r="I772" s="752"/>
      <c r="J772" s="736">
        <f t="shared" si="267"/>
        <v>50000</v>
      </c>
      <c r="K772" s="752"/>
      <c r="L772" s="752"/>
      <c r="M772" s="736">
        <f t="shared" si="268"/>
        <v>50000</v>
      </c>
      <c r="N772" s="736"/>
      <c r="O772" s="736"/>
      <c r="P772" s="736">
        <f t="shared" si="269"/>
        <v>50000</v>
      </c>
      <c r="Q772" s="753">
        <v>50000</v>
      </c>
      <c r="R772" s="738">
        <v>44216.34</v>
      </c>
      <c r="S772" s="753">
        <v>50000</v>
      </c>
      <c r="T772" s="739">
        <v>1100121</v>
      </c>
      <c r="U772" s="754">
        <v>50000</v>
      </c>
      <c r="V772" s="741">
        <v>1100122</v>
      </c>
    </row>
    <row r="773" spans="1:22" ht="15" x14ac:dyDescent="0.2">
      <c r="A773" s="734">
        <v>3571</v>
      </c>
      <c r="B773" s="735" t="s">
        <v>65</v>
      </c>
      <c r="C773" s="736">
        <v>39173.199999999997</v>
      </c>
      <c r="D773" s="736">
        <v>160000</v>
      </c>
      <c r="E773" s="749">
        <v>160000</v>
      </c>
      <c r="F773" s="736">
        <v>115838.01</v>
      </c>
      <c r="G773" s="752">
        <v>160000</v>
      </c>
      <c r="H773" s="752"/>
      <c r="I773" s="752"/>
      <c r="J773" s="736">
        <f t="shared" si="267"/>
        <v>160000</v>
      </c>
      <c r="K773" s="752"/>
      <c r="L773" s="752"/>
      <c r="M773" s="736">
        <f t="shared" si="268"/>
        <v>160000</v>
      </c>
      <c r="N773" s="736"/>
      <c r="O773" s="736"/>
      <c r="P773" s="736">
        <f t="shared" si="269"/>
        <v>160000</v>
      </c>
      <c r="Q773" s="753">
        <v>160000</v>
      </c>
      <c r="R773" s="738">
        <v>99611.520000000004</v>
      </c>
      <c r="S773" s="753">
        <v>160000</v>
      </c>
      <c r="T773" s="739">
        <v>1100121</v>
      </c>
      <c r="U773" s="754">
        <v>160000</v>
      </c>
      <c r="V773" s="741">
        <v>1100122</v>
      </c>
    </row>
    <row r="774" spans="1:22" ht="15" x14ac:dyDescent="0.2">
      <c r="A774" s="739">
        <v>3581</v>
      </c>
      <c r="B774" s="743" t="s">
        <v>153</v>
      </c>
      <c r="C774" s="736"/>
      <c r="D774" s="736">
        <v>0</v>
      </c>
      <c r="E774" s="749">
        <v>4872</v>
      </c>
      <c r="F774" s="736">
        <v>4872</v>
      </c>
      <c r="G774" s="736"/>
      <c r="H774" s="736"/>
      <c r="I774" s="736"/>
      <c r="J774" s="736">
        <f t="shared" si="267"/>
        <v>0</v>
      </c>
      <c r="K774" s="736"/>
      <c r="L774" s="736"/>
      <c r="M774" s="736">
        <f t="shared" si="268"/>
        <v>0</v>
      </c>
      <c r="N774" s="736"/>
      <c r="O774" s="736"/>
      <c r="P774" s="738">
        <f t="shared" si="269"/>
        <v>0</v>
      </c>
      <c r="Q774" s="738"/>
      <c r="R774" s="738"/>
      <c r="S774" s="738"/>
      <c r="T774" s="739">
        <v>1100119</v>
      </c>
      <c r="U774" s="745"/>
      <c r="V774" s="739">
        <v>1100119</v>
      </c>
    </row>
    <row r="775" spans="1:22" ht="15" x14ac:dyDescent="0.2">
      <c r="A775" s="739">
        <v>3581</v>
      </c>
      <c r="B775" s="743" t="s">
        <v>153</v>
      </c>
      <c r="C775" s="736"/>
      <c r="D775" s="736">
        <v>8000</v>
      </c>
      <c r="E775" s="749">
        <v>8000</v>
      </c>
      <c r="F775" s="736">
        <v>0</v>
      </c>
      <c r="G775" s="752">
        <v>8000</v>
      </c>
      <c r="H775" s="752"/>
      <c r="I775" s="752"/>
      <c r="J775" s="736">
        <f t="shared" si="267"/>
        <v>8000</v>
      </c>
      <c r="K775" s="752"/>
      <c r="L775" s="752"/>
      <c r="M775" s="736">
        <f t="shared" si="268"/>
        <v>8000</v>
      </c>
      <c r="N775" s="736"/>
      <c r="O775" s="736"/>
      <c r="P775" s="736">
        <f t="shared" si="269"/>
        <v>8000</v>
      </c>
      <c r="Q775" s="753">
        <v>8000</v>
      </c>
      <c r="R775" s="738"/>
      <c r="S775" s="753">
        <v>8000</v>
      </c>
      <c r="T775" s="739">
        <v>1100121</v>
      </c>
      <c r="U775" s="745"/>
      <c r="V775" s="739">
        <v>1100122</v>
      </c>
    </row>
    <row r="776" spans="1:22" ht="15" x14ac:dyDescent="0.2">
      <c r="A776" s="739">
        <v>3611</v>
      </c>
      <c r="B776" s="743" t="s">
        <v>66</v>
      </c>
      <c r="C776" s="736">
        <v>18831</v>
      </c>
      <c r="D776" s="736">
        <v>20000</v>
      </c>
      <c r="E776" s="749">
        <v>20000</v>
      </c>
      <c r="F776" s="736">
        <v>20000</v>
      </c>
      <c r="G776" s="752">
        <v>20000</v>
      </c>
      <c r="H776" s="752"/>
      <c r="I776" s="752"/>
      <c r="J776" s="736">
        <f t="shared" si="267"/>
        <v>20000</v>
      </c>
      <c r="K776" s="752"/>
      <c r="L776" s="752"/>
      <c r="M776" s="736">
        <f t="shared" si="268"/>
        <v>20000</v>
      </c>
      <c r="N776" s="736"/>
      <c r="O776" s="736"/>
      <c r="P776" s="736">
        <f t="shared" si="269"/>
        <v>20000</v>
      </c>
      <c r="Q776" s="753">
        <v>20000</v>
      </c>
      <c r="R776" s="738">
        <v>19499.82</v>
      </c>
      <c r="S776" s="846">
        <v>20000</v>
      </c>
      <c r="T776" s="787">
        <v>1100121</v>
      </c>
      <c r="U776" s="744">
        <v>0</v>
      </c>
      <c r="V776" s="787">
        <v>1100122</v>
      </c>
    </row>
    <row r="777" spans="1:22" ht="15" x14ac:dyDescent="0.2">
      <c r="A777" s="739">
        <v>5671</v>
      </c>
      <c r="B777" s="743" t="s">
        <v>1728</v>
      </c>
      <c r="C777" s="736">
        <v>7237</v>
      </c>
      <c r="D777" s="736">
        <v>10000</v>
      </c>
      <c r="E777" s="749">
        <v>10000</v>
      </c>
      <c r="F777" s="736">
        <v>0</v>
      </c>
      <c r="G777" s="752">
        <v>10000</v>
      </c>
      <c r="H777" s="752"/>
      <c r="I777" s="752"/>
      <c r="J777" s="736">
        <f t="shared" si="267"/>
        <v>10000</v>
      </c>
      <c r="K777" s="752"/>
      <c r="L777" s="752"/>
      <c r="M777" s="736">
        <f t="shared" si="268"/>
        <v>10000</v>
      </c>
      <c r="N777" s="736"/>
      <c r="O777" s="736">
        <v>10000</v>
      </c>
      <c r="P777" s="738">
        <f t="shared" si="269"/>
        <v>0</v>
      </c>
      <c r="Q777" s="753"/>
      <c r="R777" s="738"/>
      <c r="S777" s="753">
        <v>10000</v>
      </c>
      <c r="T777" s="739">
        <v>1500521</v>
      </c>
      <c r="U777" s="744"/>
      <c r="V777" s="739">
        <v>1500522</v>
      </c>
    </row>
    <row r="778" spans="1:22" ht="15" x14ac:dyDescent="0.2">
      <c r="A778" s="739">
        <v>5691</v>
      </c>
      <c r="B778" s="743" t="s">
        <v>112</v>
      </c>
      <c r="C778" s="736">
        <v>34693.57</v>
      </c>
      <c r="D778" s="736">
        <v>30000</v>
      </c>
      <c r="E778" s="749">
        <v>80000</v>
      </c>
      <c r="F778" s="736">
        <v>64090</v>
      </c>
      <c r="G778" s="752">
        <v>30000</v>
      </c>
      <c r="H778" s="752"/>
      <c r="I778" s="752"/>
      <c r="J778" s="736">
        <f t="shared" si="267"/>
        <v>30000</v>
      </c>
      <c r="K778" s="752"/>
      <c r="L778" s="752"/>
      <c r="M778" s="736">
        <f t="shared" si="268"/>
        <v>30000</v>
      </c>
      <c r="N778" s="736"/>
      <c r="O778" s="736"/>
      <c r="P778" s="736">
        <f t="shared" si="269"/>
        <v>30000</v>
      </c>
      <c r="Q778" s="753">
        <v>30000</v>
      </c>
      <c r="R778" s="738">
        <v>29847.03</v>
      </c>
      <c r="S778" s="846">
        <v>1600000</v>
      </c>
      <c r="T778" s="787">
        <v>1500521</v>
      </c>
      <c r="U778" s="841">
        <v>0</v>
      </c>
      <c r="V778" s="787">
        <v>1500522</v>
      </c>
    </row>
    <row r="779" spans="1:22" ht="15" x14ac:dyDescent="0.2">
      <c r="A779" s="728" t="s">
        <v>129</v>
      </c>
      <c r="B779" s="729" t="s">
        <v>1552</v>
      </c>
      <c r="C779" s="730">
        <f t="shared" ref="C779:S779" si="270">SUM(C780)</f>
        <v>0</v>
      </c>
      <c r="D779" s="730">
        <f t="shared" si="270"/>
        <v>0</v>
      </c>
      <c r="E779" s="730">
        <f t="shared" si="270"/>
        <v>0</v>
      </c>
      <c r="F779" s="730">
        <f t="shared" si="270"/>
        <v>0</v>
      </c>
      <c r="G779" s="730">
        <f t="shared" si="270"/>
        <v>0</v>
      </c>
      <c r="H779" s="730">
        <f t="shared" si="270"/>
        <v>0</v>
      </c>
      <c r="I779" s="730">
        <f t="shared" si="270"/>
        <v>0</v>
      </c>
      <c r="J779" s="730">
        <f t="shared" si="270"/>
        <v>0</v>
      </c>
      <c r="K779" s="730">
        <f t="shared" si="270"/>
        <v>0</v>
      </c>
      <c r="L779" s="730">
        <f t="shared" si="270"/>
        <v>0</v>
      </c>
      <c r="M779" s="730">
        <f t="shared" si="270"/>
        <v>0</v>
      </c>
      <c r="N779" s="730">
        <f t="shared" si="270"/>
        <v>0</v>
      </c>
      <c r="O779" s="730">
        <f t="shared" si="270"/>
        <v>0</v>
      </c>
      <c r="P779" s="748">
        <f t="shared" si="270"/>
        <v>0</v>
      </c>
      <c r="Q779" s="748">
        <f t="shared" si="270"/>
        <v>0</v>
      </c>
      <c r="R779" s="748">
        <f t="shared" si="270"/>
        <v>0</v>
      </c>
      <c r="S779" s="748">
        <f t="shared" si="270"/>
        <v>0</v>
      </c>
      <c r="T779" s="731"/>
      <c r="U779" s="732">
        <f t="shared" ref="U779" si="271">SUM(U780)</f>
        <v>0</v>
      </c>
      <c r="V779" s="728"/>
    </row>
    <row r="780" spans="1:22" ht="15" x14ac:dyDescent="0.2">
      <c r="A780" s="739">
        <v>2231</v>
      </c>
      <c r="B780" s="743" t="s">
        <v>114</v>
      </c>
      <c r="C780" s="736"/>
      <c r="D780" s="736">
        <v>0</v>
      </c>
      <c r="E780" s="736"/>
      <c r="F780" s="736">
        <v>0</v>
      </c>
      <c r="G780" s="736"/>
      <c r="H780" s="736"/>
      <c r="I780" s="736"/>
      <c r="J780" s="736">
        <f>G780+H780-I780</f>
        <v>0</v>
      </c>
      <c r="K780" s="736"/>
      <c r="L780" s="736"/>
      <c r="M780" s="736">
        <f>J780+K780-L780</f>
        <v>0</v>
      </c>
      <c r="N780" s="736"/>
      <c r="O780" s="736"/>
      <c r="P780" s="738">
        <f>M780+N780-O780</f>
        <v>0</v>
      </c>
      <c r="Q780" s="738"/>
      <c r="R780" s="738"/>
      <c r="S780" s="738"/>
      <c r="T780" s="739">
        <v>1100121</v>
      </c>
      <c r="U780" s="745"/>
      <c r="V780" s="739">
        <v>1100122</v>
      </c>
    </row>
    <row r="781" spans="1:22" ht="15" x14ac:dyDescent="0.2">
      <c r="A781" s="724" t="s">
        <v>154</v>
      </c>
      <c r="B781" s="725" t="s">
        <v>155</v>
      </c>
      <c r="C781" s="721">
        <f>C782+C784+C806</f>
        <v>3625750.05</v>
      </c>
      <c r="D781" s="721">
        <f>D782+D784</f>
        <v>2239998.6799999997</v>
      </c>
      <c r="E781" s="721">
        <f>E782+E784+E806</f>
        <v>2393298.0699999998</v>
      </c>
      <c r="F781" s="721">
        <f>F782+F784</f>
        <v>2397408.35</v>
      </c>
      <c r="G781" s="721">
        <f t="shared" ref="G781:P781" si="272">G782+G784+G809+G812+G815+G824+G828+G830+G834+G838</f>
        <v>10886886.699999999</v>
      </c>
      <c r="H781" s="721">
        <f t="shared" si="272"/>
        <v>0</v>
      </c>
      <c r="I781" s="721">
        <f t="shared" si="272"/>
        <v>0</v>
      </c>
      <c r="J781" s="721">
        <f t="shared" si="272"/>
        <v>10886886.699999999</v>
      </c>
      <c r="K781" s="721">
        <f t="shared" si="272"/>
        <v>65839.66</v>
      </c>
      <c r="L781" s="721">
        <f t="shared" si="272"/>
        <v>0</v>
      </c>
      <c r="M781" s="721">
        <f t="shared" si="272"/>
        <v>10652726.359999999</v>
      </c>
      <c r="N781" s="721">
        <f t="shared" si="272"/>
        <v>410000</v>
      </c>
      <c r="O781" s="721">
        <f t="shared" si="272"/>
        <v>360750</v>
      </c>
      <c r="P781" s="721">
        <f t="shared" si="272"/>
        <v>10701976.359999999</v>
      </c>
      <c r="Q781" s="756">
        <f>+Q782+Q784+Q809+Q812+Q815+Q824+Q828+Q830+Q834+Q838+Q853+Q855</f>
        <v>11690905.18</v>
      </c>
      <c r="R781" s="756">
        <f>R782+R784+R809+R812+R815+R824+R828+R830+R834+R838</f>
        <v>4352837.4399999995</v>
      </c>
      <c r="S781" s="756">
        <f>S782+S784+S809+S812+S815+S824+S828+S830+S834+S838+S853+S855</f>
        <v>32073396.859999999</v>
      </c>
      <c r="T781" s="724"/>
      <c r="U781" s="726">
        <f>U782+U784+U807+U809+U812+U815+U824+U828+U830+U834+U838+U853+U855+U858+U860+U862</f>
        <v>18820543.920000002</v>
      </c>
      <c r="V781" s="727"/>
    </row>
    <row r="782" spans="1:22" ht="15" x14ac:dyDescent="0.2">
      <c r="A782" s="728" t="s">
        <v>1710</v>
      </c>
      <c r="B782" s="729" t="s">
        <v>1711</v>
      </c>
      <c r="C782" s="730">
        <f t="shared" ref="C782:S782" si="273">C783</f>
        <v>1500000</v>
      </c>
      <c r="D782" s="730">
        <f t="shared" si="273"/>
        <v>0</v>
      </c>
      <c r="E782" s="730">
        <f t="shared" si="273"/>
        <v>0</v>
      </c>
      <c r="F782" s="730">
        <f t="shared" si="273"/>
        <v>0</v>
      </c>
      <c r="G782" s="730">
        <f t="shared" si="273"/>
        <v>0</v>
      </c>
      <c r="H782" s="730">
        <f t="shared" si="273"/>
        <v>0</v>
      </c>
      <c r="I782" s="730">
        <f t="shared" si="273"/>
        <v>0</v>
      </c>
      <c r="J782" s="730">
        <f t="shared" si="273"/>
        <v>0</v>
      </c>
      <c r="K782" s="730">
        <f t="shared" si="273"/>
        <v>0</v>
      </c>
      <c r="L782" s="730">
        <f t="shared" si="273"/>
        <v>0</v>
      </c>
      <c r="M782" s="730">
        <f t="shared" si="273"/>
        <v>0</v>
      </c>
      <c r="N782" s="730">
        <f t="shared" si="273"/>
        <v>0</v>
      </c>
      <c r="O782" s="730">
        <f t="shared" si="273"/>
        <v>0</v>
      </c>
      <c r="P782" s="748">
        <f t="shared" si="273"/>
        <v>0</v>
      </c>
      <c r="Q782" s="748">
        <f t="shared" si="273"/>
        <v>0</v>
      </c>
      <c r="R782" s="748">
        <f t="shared" si="273"/>
        <v>0</v>
      </c>
      <c r="S782" s="748">
        <f t="shared" si="273"/>
        <v>0</v>
      </c>
      <c r="T782" s="731"/>
      <c r="U782" s="732">
        <f t="shared" ref="U782" si="274">U783</f>
        <v>0</v>
      </c>
      <c r="V782" s="728"/>
    </row>
    <row r="783" spans="1:22" ht="15" x14ac:dyDescent="0.2">
      <c r="A783" s="739">
        <v>4411</v>
      </c>
      <c r="B783" s="743" t="s">
        <v>34</v>
      </c>
      <c r="C783" s="736">
        <v>1500000</v>
      </c>
      <c r="D783" s="736"/>
      <c r="E783" s="736"/>
      <c r="F783" s="736"/>
      <c r="G783" s="736"/>
      <c r="H783" s="736"/>
      <c r="I783" s="736"/>
      <c r="J783" s="736">
        <f>G783+H783-I783</f>
        <v>0</v>
      </c>
      <c r="K783" s="736"/>
      <c r="L783" s="736"/>
      <c r="M783" s="736">
        <f>J783+K783-L783</f>
        <v>0</v>
      </c>
      <c r="N783" s="736"/>
      <c r="O783" s="736"/>
      <c r="P783" s="738">
        <f>M783+N783-O783</f>
        <v>0</v>
      </c>
      <c r="Q783" s="738"/>
      <c r="R783" s="738"/>
      <c r="S783" s="738"/>
      <c r="T783" s="739"/>
      <c r="U783" s="745"/>
      <c r="V783" s="739"/>
    </row>
    <row r="784" spans="1:22" ht="15" x14ac:dyDescent="0.2">
      <c r="A784" s="728" t="s">
        <v>156</v>
      </c>
      <c r="B784" s="729" t="s">
        <v>1578</v>
      </c>
      <c r="C784" s="730">
        <f t="shared" ref="C784:S784" si="275">SUM(C785:C806)</f>
        <v>2125750.0499999998</v>
      </c>
      <c r="D784" s="730">
        <f t="shared" si="275"/>
        <v>2239998.6799999997</v>
      </c>
      <c r="E784" s="730">
        <f t="shared" si="275"/>
        <v>2393298.0699999998</v>
      </c>
      <c r="F784" s="730">
        <f t="shared" si="275"/>
        <v>2397408.35</v>
      </c>
      <c r="G784" s="730">
        <f t="shared" si="275"/>
        <v>2578086.6999999997</v>
      </c>
      <c r="H784" s="730">
        <f t="shared" si="275"/>
        <v>0</v>
      </c>
      <c r="I784" s="730">
        <f t="shared" si="275"/>
        <v>0</v>
      </c>
      <c r="J784" s="730">
        <f t="shared" si="275"/>
        <v>2578086.6999999997</v>
      </c>
      <c r="K784" s="730">
        <f t="shared" si="275"/>
        <v>65839.66</v>
      </c>
      <c r="L784" s="730">
        <f t="shared" si="275"/>
        <v>0</v>
      </c>
      <c r="M784" s="730">
        <f t="shared" si="275"/>
        <v>2343926.3599999994</v>
      </c>
      <c r="N784" s="730">
        <f t="shared" si="275"/>
        <v>0</v>
      </c>
      <c r="O784" s="730">
        <f t="shared" si="275"/>
        <v>10750</v>
      </c>
      <c r="P784" s="730">
        <f t="shared" si="275"/>
        <v>2333176.3599999994</v>
      </c>
      <c r="Q784" s="748">
        <f>SUM(Q785:Q808)</f>
        <v>3232249.98</v>
      </c>
      <c r="R784" s="748">
        <f t="shared" si="275"/>
        <v>154757.44</v>
      </c>
      <c r="S784" s="748">
        <f t="shared" si="275"/>
        <v>4473396.8600000003</v>
      </c>
      <c r="T784" s="731"/>
      <c r="U784" s="732">
        <f>SUM(U785:U806)</f>
        <v>2690543.92</v>
      </c>
      <c r="V784" s="733"/>
    </row>
    <row r="785" spans="1:22" ht="15" x14ac:dyDescent="0.25">
      <c r="A785" s="734">
        <v>1131</v>
      </c>
      <c r="B785" s="735" t="s">
        <v>6</v>
      </c>
      <c r="C785" s="736">
        <v>361340.27</v>
      </c>
      <c r="D785" s="736">
        <v>371858.76</v>
      </c>
      <c r="E785" s="749">
        <v>371858.76</v>
      </c>
      <c r="F785" s="736">
        <v>405192.18</v>
      </c>
      <c r="G785" s="736">
        <v>404587.1</v>
      </c>
      <c r="H785" s="736"/>
      <c r="I785" s="736"/>
      <c r="J785" s="736">
        <f t="shared" ref="J785:J795" si="276">G785+H785-I785</f>
        <v>404587.1</v>
      </c>
      <c r="K785" s="736">
        <v>1811.05</v>
      </c>
      <c r="L785" s="736"/>
      <c r="M785" s="736">
        <f t="shared" ref="M785:M795" si="277">J785+K785-L785</f>
        <v>406398.14999999997</v>
      </c>
      <c r="N785" s="736"/>
      <c r="O785" s="736"/>
      <c r="P785" s="736">
        <f t="shared" ref="P785:P795" si="278">M785+N785-O785</f>
        <v>406398.14999999997</v>
      </c>
      <c r="Q785" s="738">
        <v>400155.09</v>
      </c>
      <c r="R785" s="738"/>
      <c r="S785" s="751">
        <v>420259.84000000003</v>
      </c>
      <c r="T785" s="739">
        <v>1500521</v>
      </c>
      <c r="U785" s="779">
        <v>412109.27</v>
      </c>
      <c r="V785" s="741">
        <v>1500522</v>
      </c>
    </row>
    <row r="786" spans="1:22" ht="15" x14ac:dyDescent="0.25">
      <c r="A786" s="734">
        <v>1132</v>
      </c>
      <c r="B786" s="735" t="s">
        <v>8</v>
      </c>
      <c r="C786" s="736">
        <v>613564.43000000005</v>
      </c>
      <c r="D786" s="736">
        <v>626473.12</v>
      </c>
      <c r="E786" s="749">
        <v>626473.12</v>
      </c>
      <c r="F786" s="736">
        <v>648847.74</v>
      </c>
      <c r="G786" s="736">
        <v>658141.19999999995</v>
      </c>
      <c r="H786" s="736"/>
      <c r="I786" s="736"/>
      <c r="J786" s="736">
        <f t="shared" si="276"/>
        <v>658141.19999999995</v>
      </c>
      <c r="K786" s="736">
        <v>23176.78</v>
      </c>
      <c r="L786" s="736"/>
      <c r="M786" s="736">
        <f t="shared" si="277"/>
        <v>681317.98</v>
      </c>
      <c r="N786" s="736"/>
      <c r="O786" s="736"/>
      <c r="P786" s="736">
        <f t="shared" si="278"/>
        <v>681317.98</v>
      </c>
      <c r="Q786" s="738">
        <v>672755.49</v>
      </c>
      <c r="R786" s="738"/>
      <c r="S786" s="751">
        <v>1438899.28</v>
      </c>
      <c r="T786" s="739">
        <v>1500521</v>
      </c>
      <c r="U786" s="779">
        <v>685443.65</v>
      </c>
      <c r="V786" s="741">
        <v>1500522</v>
      </c>
    </row>
    <row r="787" spans="1:22" ht="15" x14ac:dyDescent="0.25">
      <c r="A787" s="734">
        <v>1321</v>
      </c>
      <c r="B787" s="735" t="s">
        <v>9</v>
      </c>
      <c r="C787" s="736">
        <v>51241.87</v>
      </c>
      <c r="D787" s="736">
        <v>52234.04</v>
      </c>
      <c r="E787" s="749">
        <v>52234.04</v>
      </c>
      <c r="F787" s="736">
        <v>52234.04</v>
      </c>
      <c r="G787" s="736">
        <v>55960.299999999996</v>
      </c>
      <c r="H787" s="736"/>
      <c r="I787" s="736"/>
      <c r="J787" s="736">
        <f t="shared" si="276"/>
        <v>55960.299999999996</v>
      </c>
      <c r="K787" s="736">
        <v>1873.06</v>
      </c>
      <c r="L787" s="736"/>
      <c r="M787" s="736">
        <f t="shared" si="277"/>
        <v>57833.359999999993</v>
      </c>
      <c r="N787" s="736"/>
      <c r="O787" s="736"/>
      <c r="P787" s="736">
        <f t="shared" si="278"/>
        <v>57833.359999999993</v>
      </c>
      <c r="Q787" s="738">
        <v>57833.36</v>
      </c>
      <c r="R787" s="738"/>
      <c r="S787" s="751">
        <v>99433.06</v>
      </c>
      <c r="T787" s="739">
        <v>1500521</v>
      </c>
      <c r="U787" s="779">
        <v>60765.9</v>
      </c>
      <c r="V787" s="741">
        <v>1500522</v>
      </c>
    </row>
    <row r="788" spans="1:22" ht="15" x14ac:dyDescent="0.25">
      <c r="A788" s="734">
        <v>1323</v>
      </c>
      <c r="B788" s="735" t="s">
        <v>11</v>
      </c>
      <c r="C788" s="736">
        <v>173671</v>
      </c>
      <c r="D788" s="736">
        <v>173765.5</v>
      </c>
      <c r="E788" s="749">
        <v>173765.5</v>
      </c>
      <c r="F788" s="736">
        <v>176364</v>
      </c>
      <c r="G788" s="736">
        <v>182546</v>
      </c>
      <c r="H788" s="736"/>
      <c r="I788" s="736"/>
      <c r="J788" s="736">
        <f t="shared" si="276"/>
        <v>182546</v>
      </c>
      <c r="K788" s="736">
        <v>6109.94</v>
      </c>
      <c r="L788" s="736"/>
      <c r="M788" s="736">
        <f t="shared" si="277"/>
        <v>188655.94</v>
      </c>
      <c r="N788" s="736"/>
      <c r="O788" s="736"/>
      <c r="P788" s="736">
        <f t="shared" si="278"/>
        <v>188655.94</v>
      </c>
      <c r="Q788" s="738">
        <v>188655.94</v>
      </c>
      <c r="R788" s="738"/>
      <c r="S788" s="751">
        <v>326175</v>
      </c>
      <c r="T788" s="739">
        <v>1500521</v>
      </c>
      <c r="U788" s="779">
        <v>186824</v>
      </c>
      <c r="V788" s="741">
        <v>1500522</v>
      </c>
    </row>
    <row r="789" spans="1:22" ht="15" x14ac:dyDescent="0.25">
      <c r="A789" s="734">
        <v>1413</v>
      </c>
      <c r="B789" s="735" t="s">
        <v>13</v>
      </c>
      <c r="C789" s="736">
        <v>197483.76</v>
      </c>
      <c r="D789" s="736">
        <v>237894.88</v>
      </c>
      <c r="E789" s="749">
        <v>234470.88</v>
      </c>
      <c r="F789" s="736">
        <v>231698.07</v>
      </c>
      <c r="G789" s="736">
        <v>268039.69999999995</v>
      </c>
      <c r="H789" s="736"/>
      <c r="I789" s="736"/>
      <c r="J789" s="736">
        <f t="shared" si="276"/>
        <v>268039.69999999995</v>
      </c>
      <c r="K789" s="736">
        <v>10608.97</v>
      </c>
      <c r="L789" s="736"/>
      <c r="M789" s="736">
        <f t="shared" si="277"/>
        <v>278648.66999999993</v>
      </c>
      <c r="N789" s="736"/>
      <c r="O789" s="736"/>
      <c r="P789" s="736">
        <f t="shared" si="278"/>
        <v>278648.66999999993</v>
      </c>
      <c r="Q789" s="738">
        <v>278648.67</v>
      </c>
      <c r="R789" s="738"/>
      <c r="S789" s="751">
        <v>505163.52000000002</v>
      </c>
      <c r="T789" s="739">
        <v>1500521</v>
      </c>
      <c r="U789" s="779">
        <v>286665.90999999997</v>
      </c>
      <c r="V789" s="741">
        <v>1500522</v>
      </c>
    </row>
    <row r="790" spans="1:22" ht="15" x14ac:dyDescent="0.25">
      <c r="A790" s="734">
        <v>1421</v>
      </c>
      <c r="B790" s="735" t="s">
        <v>15</v>
      </c>
      <c r="C790" s="736">
        <v>61933.24</v>
      </c>
      <c r="D790" s="736">
        <v>75728.06</v>
      </c>
      <c r="E790" s="749">
        <v>68358.06</v>
      </c>
      <c r="F790" s="736">
        <v>73442.100000000006</v>
      </c>
      <c r="G790" s="736">
        <v>80005.8</v>
      </c>
      <c r="H790" s="736"/>
      <c r="I790" s="736"/>
      <c r="J790" s="736">
        <f t="shared" si="276"/>
        <v>80005.8</v>
      </c>
      <c r="K790" s="736">
        <v>3222.4</v>
      </c>
      <c r="L790" s="736"/>
      <c r="M790" s="736">
        <f t="shared" si="277"/>
        <v>83228.2</v>
      </c>
      <c r="N790" s="736"/>
      <c r="O790" s="736"/>
      <c r="P790" s="736">
        <f t="shared" si="278"/>
        <v>83228.2</v>
      </c>
      <c r="Q790" s="738">
        <v>83228.2</v>
      </c>
      <c r="R790" s="738"/>
      <c r="S790" s="751">
        <v>142350.6</v>
      </c>
      <c r="T790" s="739">
        <v>1500521</v>
      </c>
      <c r="U790" s="779">
        <v>85964.79</v>
      </c>
      <c r="V790" s="741">
        <v>1500522</v>
      </c>
    </row>
    <row r="791" spans="1:22" ht="15" x14ac:dyDescent="0.25">
      <c r="A791" s="734">
        <v>1431</v>
      </c>
      <c r="B791" s="735" t="s">
        <v>16</v>
      </c>
      <c r="C791" s="736">
        <v>89075.18</v>
      </c>
      <c r="D791" s="736">
        <v>77999.98</v>
      </c>
      <c r="E791" s="749">
        <v>71733.98</v>
      </c>
      <c r="F791" s="736">
        <v>77714.990000000005</v>
      </c>
      <c r="G791" s="736">
        <v>82405.700000000012</v>
      </c>
      <c r="H791" s="736"/>
      <c r="I791" s="736"/>
      <c r="J791" s="736">
        <f t="shared" si="276"/>
        <v>82405.700000000012</v>
      </c>
      <c r="K791" s="736">
        <v>3302.29</v>
      </c>
      <c r="L791" s="736"/>
      <c r="M791" s="736">
        <f t="shared" si="277"/>
        <v>85707.99</v>
      </c>
      <c r="N791" s="736"/>
      <c r="O791" s="736"/>
      <c r="P791" s="736">
        <f t="shared" si="278"/>
        <v>85707.99</v>
      </c>
      <c r="Q791" s="738">
        <v>85707.99</v>
      </c>
      <c r="R791" s="738"/>
      <c r="S791" s="751">
        <v>146621.04</v>
      </c>
      <c r="T791" s="739">
        <v>1500521</v>
      </c>
      <c r="U791" s="779">
        <v>81883.72</v>
      </c>
      <c r="V791" s="741">
        <v>1500522</v>
      </c>
    </row>
    <row r="792" spans="1:22" ht="15" x14ac:dyDescent="0.25">
      <c r="A792" s="734">
        <v>1511</v>
      </c>
      <c r="B792" s="735" t="s">
        <v>18</v>
      </c>
      <c r="C792" s="736">
        <v>23639.78</v>
      </c>
      <c r="D792" s="736">
        <v>25301.64</v>
      </c>
      <c r="E792" s="749">
        <v>25301.64</v>
      </c>
      <c r="F792" s="736">
        <v>26150.21</v>
      </c>
      <c r="G792" s="736">
        <v>26579.3</v>
      </c>
      <c r="H792" s="736"/>
      <c r="I792" s="736"/>
      <c r="J792" s="736">
        <f t="shared" si="276"/>
        <v>26579.3</v>
      </c>
      <c r="K792" s="736">
        <v>890.59</v>
      </c>
      <c r="L792" s="736"/>
      <c r="M792" s="736">
        <f t="shared" si="277"/>
        <v>27469.89</v>
      </c>
      <c r="N792" s="736"/>
      <c r="O792" s="736"/>
      <c r="P792" s="736">
        <f t="shared" si="278"/>
        <v>27469.89</v>
      </c>
      <c r="Q792" s="738">
        <v>27469.89</v>
      </c>
      <c r="R792" s="738"/>
      <c r="S792" s="751">
        <v>47491.08</v>
      </c>
      <c r="T792" s="739">
        <v>1500521</v>
      </c>
      <c r="U792" s="779">
        <v>27555.39</v>
      </c>
      <c r="V792" s="741">
        <v>1500522</v>
      </c>
    </row>
    <row r="793" spans="1:22" ht="15" x14ac:dyDescent="0.25">
      <c r="A793" s="734">
        <v>1541</v>
      </c>
      <c r="B793" s="735" t="s">
        <v>19</v>
      </c>
      <c r="C793" s="736">
        <v>95247.8</v>
      </c>
      <c r="D793" s="736">
        <v>109240.04</v>
      </c>
      <c r="E793" s="749">
        <v>107769.43</v>
      </c>
      <c r="F793" s="736">
        <v>110976.61</v>
      </c>
      <c r="G793" s="736">
        <v>143669</v>
      </c>
      <c r="H793" s="736"/>
      <c r="I793" s="736"/>
      <c r="J793" s="736">
        <f t="shared" si="276"/>
        <v>143669</v>
      </c>
      <c r="K793" s="736">
        <v>5468.65</v>
      </c>
      <c r="L793" s="736"/>
      <c r="M793" s="736">
        <f t="shared" si="277"/>
        <v>149137.65</v>
      </c>
      <c r="N793" s="736"/>
      <c r="O793" s="736"/>
      <c r="P793" s="736">
        <f t="shared" si="278"/>
        <v>149137.65</v>
      </c>
      <c r="Q793" s="738">
        <v>139222.81</v>
      </c>
      <c r="R793" s="738"/>
      <c r="S793" s="751">
        <v>147733.56</v>
      </c>
      <c r="T793" s="739">
        <v>1500521</v>
      </c>
      <c r="U793" s="779">
        <v>147733.56</v>
      </c>
      <c r="V793" s="741">
        <v>1500522</v>
      </c>
    </row>
    <row r="794" spans="1:22" ht="15" x14ac:dyDescent="0.25">
      <c r="A794" s="734">
        <v>1592</v>
      </c>
      <c r="B794" s="735" t="s">
        <v>20</v>
      </c>
      <c r="C794" s="736">
        <v>251977.63</v>
      </c>
      <c r="D794" s="736">
        <v>266680.96000000002</v>
      </c>
      <c r="E794" s="749">
        <v>266680.96000000002</v>
      </c>
      <c r="F794" s="736">
        <v>275630.76</v>
      </c>
      <c r="G794" s="736">
        <v>280152.59999999998</v>
      </c>
      <c r="H794" s="736"/>
      <c r="I794" s="736"/>
      <c r="J794" s="736">
        <f t="shared" si="276"/>
        <v>280152.59999999998</v>
      </c>
      <c r="K794" s="736">
        <v>9375.93</v>
      </c>
      <c r="L794" s="736"/>
      <c r="M794" s="736">
        <f t="shared" si="277"/>
        <v>289528.52999999997</v>
      </c>
      <c r="N794" s="736"/>
      <c r="O794" s="736"/>
      <c r="P794" s="736">
        <f t="shared" si="278"/>
        <v>289528.52999999997</v>
      </c>
      <c r="Q794" s="738">
        <v>308322.53999999998</v>
      </c>
      <c r="R794" s="738"/>
      <c r="S794" s="751">
        <v>515394.88</v>
      </c>
      <c r="T794" s="739">
        <v>1500521</v>
      </c>
      <c r="U794" s="779">
        <v>290422.73</v>
      </c>
      <c r="V794" s="741">
        <v>1500522</v>
      </c>
    </row>
    <row r="795" spans="1:22" ht="15" x14ac:dyDescent="0.2">
      <c r="A795" s="739">
        <v>2111</v>
      </c>
      <c r="B795" s="743" t="s">
        <v>22</v>
      </c>
      <c r="C795" s="736">
        <v>1270.7</v>
      </c>
      <c r="D795" s="736"/>
      <c r="E795" s="736"/>
      <c r="F795" s="736"/>
      <c r="G795" s="736"/>
      <c r="H795" s="736"/>
      <c r="I795" s="736"/>
      <c r="J795" s="736">
        <f t="shared" si="276"/>
        <v>0</v>
      </c>
      <c r="K795" s="736"/>
      <c r="L795" s="736"/>
      <c r="M795" s="736">
        <f t="shared" si="277"/>
        <v>0</v>
      </c>
      <c r="N795" s="736"/>
      <c r="O795" s="736"/>
      <c r="P795" s="738">
        <f t="shared" si="278"/>
        <v>0</v>
      </c>
      <c r="Q795" s="738"/>
      <c r="R795" s="738"/>
      <c r="S795" s="738">
        <v>15000</v>
      </c>
      <c r="T795" s="739">
        <v>1100121</v>
      </c>
      <c r="U795" s="744"/>
      <c r="V795" s="739">
        <v>1100122</v>
      </c>
    </row>
    <row r="796" spans="1:22" ht="15" x14ac:dyDescent="0.2">
      <c r="A796" s="739">
        <v>2112</v>
      </c>
      <c r="B796" s="743" t="s">
        <v>1736</v>
      </c>
      <c r="C796" s="736"/>
      <c r="D796" s="736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8"/>
      <c r="Q796" s="738"/>
      <c r="R796" s="738"/>
      <c r="S796" s="738">
        <v>20000</v>
      </c>
      <c r="T796" s="739"/>
      <c r="U796" s="744"/>
      <c r="V796" s="739"/>
    </row>
    <row r="797" spans="1:22" ht="15" x14ac:dyDescent="0.2">
      <c r="A797" s="734">
        <v>2121</v>
      </c>
      <c r="B797" s="735" t="s">
        <v>24</v>
      </c>
      <c r="C797" s="736">
        <v>26680</v>
      </c>
      <c r="D797" s="736">
        <v>5000</v>
      </c>
      <c r="E797" s="749">
        <v>3500</v>
      </c>
      <c r="F797" s="736">
        <v>3085.48</v>
      </c>
      <c r="G797" s="752">
        <v>5000</v>
      </c>
      <c r="H797" s="752"/>
      <c r="I797" s="752"/>
      <c r="J797" s="736">
        <f t="shared" ref="J797:J806" si="279">G797+H797-I797</f>
        <v>5000</v>
      </c>
      <c r="K797" s="752"/>
      <c r="L797" s="752"/>
      <c r="M797" s="736">
        <f t="shared" ref="M797:M806" si="280">J797+K797-L797</f>
        <v>5000</v>
      </c>
      <c r="N797" s="736"/>
      <c r="O797" s="736">
        <v>4750</v>
      </c>
      <c r="P797" s="736">
        <f t="shared" ref="P797:P806" si="281">M797+N797-O797</f>
        <v>250</v>
      </c>
      <c r="Q797" s="753">
        <v>250</v>
      </c>
      <c r="R797" s="738"/>
      <c r="S797" s="753">
        <v>5175</v>
      </c>
      <c r="T797" s="739">
        <v>1100121</v>
      </c>
      <c r="U797" s="754">
        <v>5175</v>
      </c>
      <c r="V797" s="741">
        <v>1100122</v>
      </c>
    </row>
    <row r="798" spans="1:22" ht="15" x14ac:dyDescent="0.2">
      <c r="A798" s="739">
        <v>2491</v>
      </c>
      <c r="B798" s="743" t="s">
        <v>41</v>
      </c>
      <c r="C798" s="736">
        <v>1357.4</v>
      </c>
      <c r="D798" s="736">
        <v>5000</v>
      </c>
      <c r="E798" s="749">
        <v>5000</v>
      </c>
      <c r="F798" s="736">
        <v>4623.97</v>
      </c>
      <c r="G798" s="752">
        <v>5000</v>
      </c>
      <c r="H798" s="752"/>
      <c r="I798" s="752"/>
      <c r="J798" s="736">
        <f t="shared" si="279"/>
        <v>5000</v>
      </c>
      <c r="K798" s="752"/>
      <c r="L798" s="752"/>
      <c r="M798" s="736">
        <f t="shared" si="280"/>
        <v>5000</v>
      </c>
      <c r="N798" s="736"/>
      <c r="O798" s="736"/>
      <c r="P798" s="736">
        <f t="shared" si="281"/>
        <v>5000</v>
      </c>
      <c r="Q798" s="753">
        <v>5000</v>
      </c>
      <c r="R798" s="738">
        <v>4757.4399999999996</v>
      </c>
      <c r="S798" s="753"/>
      <c r="T798" s="739">
        <v>1100121</v>
      </c>
      <c r="U798" s="745"/>
      <c r="V798" s="739">
        <v>1100122</v>
      </c>
    </row>
    <row r="799" spans="1:22" ht="15" x14ac:dyDescent="0.2">
      <c r="A799" s="739">
        <v>3111</v>
      </c>
      <c r="B799" s="743" t="s">
        <v>47</v>
      </c>
      <c r="C799" s="736">
        <v>14651</v>
      </c>
      <c r="D799" s="736">
        <v>20000</v>
      </c>
      <c r="E799" s="749">
        <v>20000</v>
      </c>
      <c r="F799" s="736">
        <v>11176</v>
      </c>
      <c r="G799" s="752">
        <v>20000</v>
      </c>
      <c r="H799" s="752"/>
      <c r="I799" s="752"/>
      <c r="J799" s="736">
        <f t="shared" si="279"/>
        <v>20000</v>
      </c>
      <c r="K799" s="752"/>
      <c r="L799" s="752"/>
      <c r="M799" s="736">
        <f t="shared" si="280"/>
        <v>20000</v>
      </c>
      <c r="N799" s="736"/>
      <c r="O799" s="736"/>
      <c r="P799" s="736">
        <f t="shared" si="281"/>
        <v>20000</v>
      </c>
      <c r="Q799" s="753">
        <v>20000</v>
      </c>
      <c r="R799" s="738"/>
      <c r="S799" s="753">
        <v>20700</v>
      </c>
      <c r="T799" s="739">
        <v>1100121</v>
      </c>
      <c r="U799" s="744"/>
      <c r="V799" s="739">
        <v>1100122</v>
      </c>
    </row>
    <row r="800" spans="1:22" ht="15" x14ac:dyDescent="0.2">
      <c r="A800" s="739">
        <v>3221</v>
      </c>
      <c r="B800" s="743" t="s">
        <v>99</v>
      </c>
      <c r="C800" s="736">
        <v>102712.72</v>
      </c>
      <c r="D800" s="736">
        <v>106821.7</v>
      </c>
      <c r="E800" s="749">
        <v>78151.7</v>
      </c>
      <c r="F800" s="736">
        <v>78151.320000000007</v>
      </c>
      <c r="G800" s="752">
        <v>0</v>
      </c>
      <c r="H800" s="752"/>
      <c r="I800" s="752"/>
      <c r="J800" s="736">
        <f t="shared" si="279"/>
        <v>0</v>
      </c>
      <c r="K800" s="752"/>
      <c r="L800" s="752"/>
      <c r="M800" s="736">
        <f t="shared" si="280"/>
        <v>0</v>
      </c>
      <c r="N800" s="736"/>
      <c r="O800" s="736"/>
      <c r="P800" s="738">
        <f t="shared" si="281"/>
        <v>0</v>
      </c>
      <c r="Q800" s="753">
        <v>0</v>
      </c>
      <c r="R800" s="738"/>
      <c r="S800" s="753"/>
      <c r="T800" s="739">
        <v>1100121</v>
      </c>
      <c r="U800" s="745"/>
      <c r="V800" s="739">
        <v>1100122</v>
      </c>
    </row>
    <row r="801" spans="1:22" ht="15" x14ac:dyDescent="0.2">
      <c r="A801" s="739">
        <v>3751</v>
      </c>
      <c r="B801" s="743" t="s">
        <v>44</v>
      </c>
      <c r="C801" s="736">
        <v>640</v>
      </c>
      <c r="D801" s="736">
        <v>3000</v>
      </c>
      <c r="E801" s="749">
        <v>3000</v>
      </c>
      <c r="F801" s="736">
        <v>0</v>
      </c>
      <c r="G801" s="752">
        <v>3000</v>
      </c>
      <c r="H801" s="752"/>
      <c r="I801" s="752"/>
      <c r="J801" s="736">
        <f t="shared" si="279"/>
        <v>3000</v>
      </c>
      <c r="K801" s="752"/>
      <c r="L801" s="752"/>
      <c r="M801" s="736">
        <f t="shared" si="280"/>
        <v>3000</v>
      </c>
      <c r="N801" s="736"/>
      <c r="O801" s="736">
        <v>3000</v>
      </c>
      <c r="P801" s="738">
        <f t="shared" si="281"/>
        <v>0</v>
      </c>
      <c r="Q801" s="753"/>
      <c r="R801" s="738"/>
      <c r="S801" s="753">
        <v>3000</v>
      </c>
      <c r="T801" s="739">
        <v>1100121</v>
      </c>
      <c r="U801" s="744"/>
      <c r="V801" s="739">
        <v>1100122</v>
      </c>
    </row>
    <row r="802" spans="1:22" ht="15" x14ac:dyDescent="0.2">
      <c r="A802" s="739">
        <v>3791</v>
      </c>
      <c r="B802" s="743" t="s">
        <v>45</v>
      </c>
      <c r="C802" s="736">
        <v>1801</v>
      </c>
      <c r="D802" s="736">
        <v>3000</v>
      </c>
      <c r="E802" s="749">
        <v>3000</v>
      </c>
      <c r="F802" s="736">
        <v>166</v>
      </c>
      <c r="G802" s="752">
        <v>3000</v>
      </c>
      <c r="H802" s="752"/>
      <c r="I802" s="752"/>
      <c r="J802" s="736">
        <f t="shared" si="279"/>
        <v>3000</v>
      </c>
      <c r="K802" s="752"/>
      <c r="L802" s="752"/>
      <c r="M802" s="736">
        <f t="shared" si="280"/>
        <v>3000</v>
      </c>
      <c r="N802" s="736"/>
      <c r="O802" s="736">
        <v>3000</v>
      </c>
      <c r="P802" s="738">
        <f t="shared" si="281"/>
        <v>0</v>
      </c>
      <c r="Q802" s="753"/>
      <c r="R802" s="738"/>
      <c r="S802" s="753"/>
      <c r="T802" s="739">
        <v>1100121</v>
      </c>
      <c r="U802" s="745"/>
      <c r="V802" s="739">
        <v>1100122</v>
      </c>
    </row>
    <row r="803" spans="1:22" ht="15" x14ac:dyDescent="0.2">
      <c r="A803" s="734">
        <v>3821</v>
      </c>
      <c r="B803" s="735" t="s">
        <v>31</v>
      </c>
      <c r="C803" s="736">
        <v>57462.27</v>
      </c>
      <c r="D803" s="736">
        <v>60000</v>
      </c>
      <c r="E803" s="749">
        <v>60000</v>
      </c>
      <c r="F803" s="736">
        <v>311.8</v>
      </c>
      <c r="G803" s="752">
        <v>60000</v>
      </c>
      <c r="H803" s="752"/>
      <c r="I803" s="752"/>
      <c r="J803" s="736">
        <f t="shared" si="279"/>
        <v>60000</v>
      </c>
      <c r="K803" s="752"/>
      <c r="L803" s="752"/>
      <c r="M803" s="736">
        <f t="shared" si="280"/>
        <v>60000</v>
      </c>
      <c r="N803" s="736"/>
      <c r="O803" s="736"/>
      <c r="P803" s="736">
        <f t="shared" si="281"/>
        <v>60000</v>
      </c>
      <c r="Q803" s="753">
        <v>15000</v>
      </c>
      <c r="R803" s="738"/>
      <c r="S803" s="753">
        <v>120000</v>
      </c>
      <c r="T803" s="739">
        <v>1100121</v>
      </c>
      <c r="U803" s="754">
        <v>120000</v>
      </c>
      <c r="V803" s="741">
        <v>1100122</v>
      </c>
    </row>
    <row r="804" spans="1:22" ht="15" x14ac:dyDescent="0.2">
      <c r="A804" s="739">
        <v>4411</v>
      </c>
      <c r="B804" s="743" t="s">
        <v>34</v>
      </c>
      <c r="C804" s="736"/>
      <c r="D804" s="736"/>
      <c r="E804" s="749"/>
      <c r="F804" s="736"/>
      <c r="G804" s="752"/>
      <c r="H804" s="752"/>
      <c r="I804" s="752"/>
      <c r="J804" s="736"/>
      <c r="K804" s="752"/>
      <c r="L804" s="752"/>
      <c r="M804" s="736"/>
      <c r="N804" s="736"/>
      <c r="O804" s="736"/>
      <c r="P804" s="736"/>
      <c r="Q804" s="753">
        <v>150000</v>
      </c>
      <c r="R804" s="738">
        <v>150000</v>
      </c>
      <c r="S804" s="865">
        <v>200000</v>
      </c>
      <c r="T804" s="739">
        <v>1100121</v>
      </c>
      <c r="U804" s="744">
        <v>0</v>
      </c>
      <c r="V804" s="739">
        <v>1100122</v>
      </c>
    </row>
    <row r="805" spans="1:22" ht="15" x14ac:dyDescent="0.2">
      <c r="A805" s="734">
        <v>3391</v>
      </c>
      <c r="B805" s="735" t="s">
        <v>118</v>
      </c>
      <c r="C805" s="736"/>
      <c r="D805" s="736">
        <v>0</v>
      </c>
      <c r="E805" s="749">
        <v>222000</v>
      </c>
      <c r="F805" s="736">
        <v>221643.08</v>
      </c>
      <c r="G805" s="752">
        <v>300000</v>
      </c>
      <c r="H805" s="752"/>
      <c r="I805" s="752"/>
      <c r="J805" s="736">
        <f t="shared" ref="J805" si="282">G805+H805-I805</f>
        <v>300000</v>
      </c>
      <c r="K805" s="752"/>
      <c r="L805" s="752"/>
      <c r="M805" s="736"/>
      <c r="N805" s="736"/>
      <c r="O805" s="736"/>
      <c r="P805" s="736"/>
      <c r="Q805" s="753"/>
      <c r="R805" s="738"/>
      <c r="S805" s="753">
        <v>300000</v>
      </c>
      <c r="T805" s="739">
        <v>1100121</v>
      </c>
      <c r="U805" s="754">
        <v>300000</v>
      </c>
      <c r="V805" s="741">
        <v>1100122</v>
      </c>
    </row>
    <row r="806" spans="1:22" ht="15" x14ac:dyDescent="0.2">
      <c r="A806" s="739">
        <v>5111</v>
      </c>
      <c r="B806" s="743" t="s">
        <v>35</v>
      </c>
      <c r="C806" s="736"/>
      <c r="D806" s="736">
        <v>20000</v>
      </c>
      <c r="E806" s="736"/>
      <c r="F806" s="736">
        <v>0</v>
      </c>
      <c r="G806" s="736"/>
      <c r="H806" s="736"/>
      <c r="I806" s="736"/>
      <c r="J806" s="736">
        <f t="shared" si="279"/>
        <v>0</v>
      </c>
      <c r="K806" s="736"/>
      <c r="L806" s="736"/>
      <c r="M806" s="736">
        <f t="shared" si="280"/>
        <v>0</v>
      </c>
      <c r="N806" s="736"/>
      <c r="O806" s="736"/>
      <c r="P806" s="738">
        <f t="shared" si="281"/>
        <v>0</v>
      </c>
      <c r="Q806" s="738"/>
      <c r="R806" s="738"/>
      <c r="S806" s="738"/>
      <c r="T806" s="739">
        <v>1100121</v>
      </c>
      <c r="U806" s="745"/>
      <c r="V806" s="739">
        <v>1100122</v>
      </c>
    </row>
    <row r="807" spans="1:22" ht="15" x14ac:dyDescent="0.2">
      <c r="A807" s="809" t="s">
        <v>1332</v>
      </c>
      <c r="B807" s="810" t="s">
        <v>1536</v>
      </c>
      <c r="C807" s="866"/>
      <c r="D807" s="866"/>
      <c r="E807" s="866"/>
      <c r="F807" s="866"/>
      <c r="G807" s="866"/>
      <c r="H807" s="866"/>
      <c r="I807" s="866"/>
      <c r="J807" s="866"/>
      <c r="K807" s="866"/>
      <c r="L807" s="866"/>
      <c r="M807" s="866"/>
      <c r="N807" s="866"/>
      <c r="O807" s="866"/>
      <c r="P807" s="867"/>
      <c r="Q807" s="867"/>
      <c r="R807" s="867">
        <f t="shared" ref="R807:S807" si="283">+R808</f>
        <v>472798.19</v>
      </c>
      <c r="S807" s="867">
        <f t="shared" si="283"/>
        <v>1500000</v>
      </c>
      <c r="T807" s="798"/>
      <c r="U807" s="814">
        <f>+U808</f>
        <v>750000</v>
      </c>
      <c r="V807" s="837"/>
    </row>
    <row r="808" spans="1:22" ht="15" x14ac:dyDescent="0.2">
      <c r="A808" s="734">
        <v>3161</v>
      </c>
      <c r="B808" s="735" t="s">
        <v>157</v>
      </c>
      <c r="C808" s="736">
        <v>699409.38</v>
      </c>
      <c r="D808" s="736">
        <v>800000</v>
      </c>
      <c r="E808" s="749">
        <v>800000</v>
      </c>
      <c r="F808" s="736">
        <v>705862.57</v>
      </c>
      <c r="G808" s="752">
        <v>800000</v>
      </c>
      <c r="H808" s="752"/>
      <c r="I808" s="752"/>
      <c r="J808" s="736">
        <f t="shared" ref="J808" si="284">G808+H808-I808</f>
        <v>800000</v>
      </c>
      <c r="K808" s="752"/>
      <c r="L808" s="752"/>
      <c r="M808" s="736">
        <f t="shared" ref="M808" si="285">J808+K808-L808</f>
        <v>800000</v>
      </c>
      <c r="N808" s="736"/>
      <c r="O808" s="736"/>
      <c r="P808" s="736">
        <f t="shared" ref="P808" si="286">M808+N808-O808</f>
        <v>800000</v>
      </c>
      <c r="Q808" s="753">
        <v>800000</v>
      </c>
      <c r="R808" s="738">
        <v>472798.19</v>
      </c>
      <c r="S808" s="846">
        <v>1500000</v>
      </c>
      <c r="T808" s="787">
        <v>1100121</v>
      </c>
      <c r="U808" s="754">
        <v>750000</v>
      </c>
      <c r="V808" s="741">
        <v>1100122</v>
      </c>
    </row>
    <row r="809" spans="1:22" ht="15" x14ac:dyDescent="0.2">
      <c r="A809" s="728" t="s">
        <v>158</v>
      </c>
      <c r="B809" s="729" t="s">
        <v>1540</v>
      </c>
      <c r="C809" s="730">
        <f t="shared" ref="C809:S809" si="287">SUM(C810:C811)</f>
        <v>0</v>
      </c>
      <c r="D809" s="730">
        <f t="shared" si="287"/>
        <v>0</v>
      </c>
      <c r="E809" s="730">
        <f t="shared" si="287"/>
        <v>0</v>
      </c>
      <c r="F809" s="730">
        <f t="shared" si="287"/>
        <v>0</v>
      </c>
      <c r="G809" s="730">
        <f t="shared" si="287"/>
        <v>100000</v>
      </c>
      <c r="H809" s="730">
        <f t="shared" si="287"/>
        <v>0</v>
      </c>
      <c r="I809" s="730">
        <f t="shared" si="287"/>
        <v>0</v>
      </c>
      <c r="J809" s="730">
        <f t="shared" si="287"/>
        <v>100000</v>
      </c>
      <c r="K809" s="730">
        <f t="shared" si="287"/>
        <v>0</v>
      </c>
      <c r="L809" s="730">
        <f t="shared" si="287"/>
        <v>0</v>
      </c>
      <c r="M809" s="730">
        <f t="shared" si="287"/>
        <v>100000</v>
      </c>
      <c r="N809" s="730">
        <f t="shared" si="287"/>
        <v>0</v>
      </c>
      <c r="O809" s="730">
        <f t="shared" si="287"/>
        <v>0</v>
      </c>
      <c r="P809" s="730">
        <f t="shared" si="287"/>
        <v>100000</v>
      </c>
      <c r="Q809" s="748">
        <f t="shared" si="287"/>
        <v>100000</v>
      </c>
      <c r="R809" s="748">
        <f t="shared" si="287"/>
        <v>100000</v>
      </c>
      <c r="S809" s="748">
        <f t="shared" si="287"/>
        <v>400000</v>
      </c>
      <c r="T809" s="731"/>
      <c r="U809" s="732">
        <f>SUM(U810:U811)</f>
        <v>100000</v>
      </c>
      <c r="V809" s="733"/>
    </row>
    <row r="810" spans="1:22" ht="15" x14ac:dyDescent="0.2">
      <c r="A810" s="734">
        <v>4411</v>
      </c>
      <c r="B810" s="735" t="s">
        <v>34</v>
      </c>
      <c r="C810" s="736"/>
      <c r="D810" s="736"/>
      <c r="E810" s="868"/>
      <c r="F810" s="736"/>
      <c r="G810" s="752">
        <v>100000</v>
      </c>
      <c r="H810" s="752"/>
      <c r="I810" s="752"/>
      <c r="J810" s="736">
        <f t="shared" ref="J810:J811" si="288">G810+H810-I810</f>
        <v>100000</v>
      </c>
      <c r="K810" s="752"/>
      <c r="L810" s="752"/>
      <c r="M810" s="736">
        <f t="shared" ref="M810:M811" si="289">J810+K810-L810</f>
        <v>100000</v>
      </c>
      <c r="N810" s="736"/>
      <c r="O810" s="736"/>
      <c r="P810" s="736">
        <f t="shared" ref="P810:P811" si="290">M810+N810-O810</f>
        <v>100000</v>
      </c>
      <c r="Q810" s="753">
        <v>100000</v>
      </c>
      <c r="R810" s="738">
        <v>100000</v>
      </c>
      <c r="S810" s="840">
        <v>300000</v>
      </c>
      <c r="T810" s="787">
        <v>1100121</v>
      </c>
      <c r="U810" s="746">
        <v>100000</v>
      </c>
      <c r="V810" s="741">
        <v>1100122</v>
      </c>
    </row>
    <row r="811" spans="1:22" ht="15" x14ac:dyDescent="0.2">
      <c r="A811" s="739">
        <v>4411</v>
      </c>
      <c r="B811" s="743" t="s">
        <v>34</v>
      </c>
      <c r="C811" s="736"/>
      <c r="D811" s="736"/>
      <c r="E811" s="868"/>
      <c r="F811" s="736"/>
      <c r="G811" s="736"/>
      <c r="H811" s="736"/>
      <c r="I811" s="736"/>
      <c r="J811" s="736">
        <f t="shared" si="288"/>
        <v>0</v>
      </c>
      <c r="K811" s="736"/>
      <c r="L811" s="736"/>
      <c r="M811" s="736">
        <f t="shared" si="289"/>
        <v>0</v>
      </c>
      <c r="N811" s="736"/>
      <c r="O811" s="736"/>
      <c r="P811" s="738">
        <f t="shared" si="290"/>
        <v>0</v>
      </c>
      <c r="Q811" s="738"/>
      <c r="R811" s="738"/>
      <c r="S811" s="738">
        <v>100000</v>
      </c>
      <c r="T811" s="739"/>
      <c r="U811" s="745"/>
      <c r="V811" s="739"/>
    </row>
    <row r="812" spans="1:22" ht="15" x14ac:dyDescent="0.2">
      <c r="A812" s="728" t="s">
        <v>1737</v>
      </c>
      <c r="B812" s="729" t="s">
        <v>1738</v>
      </c>
      <c r="C812" s="730">
        <f t="shared" ref="C812:S812" si="291">SUM(C813:C814)</f>
        <v>0</v>
      </c>
      <c r="D812" s="730">
        <f t="shared" si="291"/>
        <v>0</v>
      </c>
      <c r="E812" s="730">
        <f t="shared" si="291"/>
        <v>0</v>
      </c>
      <c r="F812" s="730">
        <f t="shared" si="291"/>
        <v>0</v>
      </c>
      <c r="G812" s="730">
        <f t="shared" si="291"/>
        <v>0</v>
      </c>
      <c r="H812" s="730">
        <f t="shared" si="291"/>
        <v>0</v>
      </c>
      <c r="I812" s="730">
        <f t="shared" si="291"/>
        <v>0</v>
      </c>
      <c r="J812" s="730">
        <f t="shared" si="291"/>
        <v>0</v>
      </c>
      <c r="K812" s="730">
        <f t="shared" si="291"/>
        <v>0</v>
      </c>
      <c r="L812" s="730">
        <f t="shared" si="291"/>
        <v>0</v>
      </c>
      <c r="M812" s="730">
        <f t="shared" si="291"/>
        <v>0</v>
      </c>
      <c r="N812" s="730">
        <f t="shared" si="291"/>
        <v>0</v>
      </c>
      <c r="O812" s="730">
        <f t="shared" si="291"/>
        <v>0</v>
      </c>
      <c r="P812" s="748">
        <f t="shared" si="291"/>
        <v>0</v>
      </c>
      <c r="Q812" s="748">
        <f t="shared" si="291"/>
        <v>0</v>
      </c>
      <c r="R812" s="748">
        <f t="shared" si="291"/>
        <v>0</v>
      </c>
      <c r="S812" s="748">
        <f t="shared" si="291"/>
        <v>0</v>
      </c>
      <c r="T812" s="731"/>
      <c r="U812" s="732">
        <f t="shared" ref="U812" si="292">SUM(U813:U814)</f>
        <v>0</v>
      </c>
      <c r="V812" s="728"/>
    </row>
    <row r="813" spans="1:22" ht="15" x14ac:dyDescent="0.2">
      <c r="A813" s="739">
        <v>4411</v>
      </c>
      <c r="B813" s="743" t="s">
        <v>34</v>
      </c>
      <c r="C813" s="736"/>
      <c r="D813" s="736"/>
      <c r="E813" s="868"/>
      <c r="F813" s="736"/>
      <c r="G813" s="736"/>
      <c r="H813" s="736"/>
      <c r="I813" s="736"/>
      <c r="J813" s="736">
        <f t="shared" ref="J813:J814" si="293">G813+H813-I813</f>
        <v>0</v>
      </c>
      <c r="K813" s="736"/>
      <c r="L813" s="736"/>
      <c r="M813" s="736">
        <f t="shared" ref="M813:M814" si="294">J813+K813-L813</f>
        <v>0</v>
      </c>
      <c r="N813" s="736"/>
      <c r="O813" s="736"/>
      <c r="P813" s="738">
        <f t="shared" ref="P813:P814" si="295">M813+N813-O813</f>
        <v>0</v>
      </c>
      <c r="Q813" s="738"/>
      <c r="R813" s="738"/>
      <c r="S813" s="738"/>
      <c r="T813" s="739"/>
      <c r="U813" s="745"/>
      <c r="V813" s="739"/>
    </row>
    <row r="814" spans="1:22" ht="15" x14ac:dyDescent="0.2">
      <c r="A814" s="739">
        <v>4411</v>
      </c>
      <c r="B814" s="743" t="s">
        <v>34</v>
      </c>
      <c r="C814" s="736"/>
      <c r="D814" s="736"/>
      <c r="E814" s="868"/>
      <c r="F814" s="736"/>
      <c r="G814" s="736"/>
      <c r="H814" s="736"/>
      <c r="I814" s="736"/>
      <c r="J814" s="736">
        <f t="shared" si="293"/>
        <v>0</v>
      </c>
      <c r="K814" s="736"/>
      <c r="L814" s="736"/>
      <c r="M814" s="736">
        <f t="shared" si="294"/>
        <v>0</v>
      </c>
      <c r="N814" s="736"/>
      <c r="O814" s="736"/>
      <c r="P814" s="738">
        <f t="shared" si="295"/>
        <v>0</v>
      </c>
      <c r="Q814" s="738"/>
      <c r="R814" s="738"/>
      <c r="S814" s="738"/>
      <c r="T814" s="739"/>
      <c r="U814" s="745"/>
      <c r="V814" s="739"/>
    </row>
    <row r="815" spans="1:22" ht="15" x14ac:dyDescent="0.2">
      <c r="A815" s="728" t="s">
        <v>159</v>
      </c>
      <c r="B815" s="729" t="s">
        <v>1531</v>
      </c>
      <c r="C815" s="730">
        <f t="shared" ref="C815:P815" si="296">SUM(C816)</f>
        <v>0</v>
      </c>
      <c r="D815" s="730">
        <f t="shared" si="296"/>
        <v>0</v>
      </c>
      <c r="E815" s="730">
        <f t="shared" si="296"/>
        <v>0</v>
      </c>
      <c r="F815" s="730">
        <f t="shared" si="296"/>
        <v>0</v>
      </c>
      <c r="G815" s="730">
        <f t="shared" si="296"/>
        <v>1900000</v>
      </c>
      <c r="H815" s="730">
        <f t="shared" si="296"/>
        <v>0</v>
      </c>
      <c r="I815" s="730">
        <f t="shared" si="296"/>
        <v>0</v>
      </c>
      <c r="J815" s="730">
        <f t="shared" si="296"/>
        <v>1900000</v>
      </c>
      <c r="K815" s="730">
        <f t="shared" si="296"/>
        <v>0</v>
      </c>
      <c r="L815" s="730">
        <f t="shared" si="296"/>
        <v>0</v>
      </c>
      <c r="M815" s="730">
        <f t="shared" si="296"/>
        <v>1900000</v>
      </c>
      <c r="N815" s="730">
        <f t="shared" si="296"/>
        <v>410000</v>
      </c>
      <c r="O815" s="730">
        <f t="shared" si="296"/>
        <v>0</v>
      </c>
      <c r="P815" s="730">
        <f t="shared" si="296"/>
        <v>2310000</v>
      </c>
      <c r="Q815" s="748">
        <f t="shared" ref="Q815:S815" si="297">SUM(Q816:Q823)</f>
        <v>2069160</v>
      </c>
      <c r="R815" s="748">
        <f t="shared" si="297"/>
        <v>2069160</v>
      </c>
      <c r="S815" s="748">
        <f t="shared" si="297"/>
        <v>4800000</v>
      </c>
      <c r="T815" s="731"/>
      <c r="U815" s="732">
        <f>SUM(U816:U823)</f>
        <v>6000000</v>
      </c>
      <c r="V815" s="733"/>
    </row>
    <row r="816" spans="1:22" ht="30" x14ac:dyDescent="0.2">
      <c r="A816" s="734">
        <v>4411</v>
      </c>
      <c r="B816" s="735" t="s">
        <v>1739</v>
      </c>
      <c r="C816" s="736"/>
      <c r="D816" s="736"/>
      <c r="E816" s="869"/>
      <c r="F816" s="736">
        <v>0</v>
      </c>
      <c r="G816" s="752">
        <v>1900000</v>
      </c>
      <c r="H816" s="752"/>
      <c r="I816" s="752"/>
      <c r="J816" s="736">
        <f>G816+H816-I816</f>
        <v>1900000</v>
      </c>
      <c r="K816" s="752"/>
      <c r="L816" s="752"/>
      <c r="M816" s="736">
        <f>J816+K816-L816</f>
        <v>1900000</v>
      </c>
      <c r="N816" s="736">
        <v>410000</v>
      </c>
      <c r="O816" s="736"/>
      <c r="P816" s="736">
        <f>M816+N816-O816</f>
        <v>2310000</v>
      </c>
      <c r="Q816" s="753">
        <v>2069160</v>
      </c>
      <c r="R816" s="738">
        <v>2069160</v>
      </c>
      <c r="S816" s="753">
        <v>3000000</v>
      </c>
      <c r="T816" s="739">
        <v>1100121</v>
      </c>
      <c r="U816" s="746">
        <v>1000000</v>
      </c>
      <c r="V816" s="741">
        <v>1100122</v>
      </c>
    </row>
    <row r="817" spans="1:22" ht="30" x14ac:dyDescent="0.2">
      <c r="A817" s="734">
        <v>4411</v>
      </c>
      <c r="B817" s="735" t="s">
        <v>1739</v>
      </c>
      <c r="C817" s="736"/>
      <c r="D817" s="736"/>
      <c r="E817" s="869"/>
      <c r="F817" s="736">
        <v>0</v>
      </c>
      <c r="G817" s="752">
        <v>1900000</v>
      </c>
      <c r="H817" s="752"/>
      <c r="I817" s="752"/>
      <c r="J817" s="736">
        <f>G817+H817-I817</f>
        <v>1900000</v>
      </c>
      <c r="K817" s="752"/>
      <c r="L817" s="752"/>
      <c r="M817" s="736"/>
      <c r="N817" s="736"/>
      <c r="O817" s="736"/>
      <c r="P817" s="736"/>
      <c r="Q817" s="753">
        <v>0</v>
      </c>
      <c r="R817" s="738"/>
      <c r="S817" s="753"/>
      <c r="T817" s="808">
        <v>2610121</v>
      </c>
      <c r="U817" s="746">
        <v>1000000</v>
      </c>
      <c r="V817" s="870">
        <v>2610122</v>
      </c>
    </row>
    <row r="818" spans="1:22" ht="30" x14ac:dyDescent="0.2">
      <c r="A818" s="734">
        <v>4411</v>
      </c>
      <c r="B818" s="735" t="s">
        <v>1740</v>
      </c>
      <c r="C818" s="736"/>
      <c r="D818" s="736"/>
      <c r="E818" s="869"/>
      <c r="F818" s="736"/>
      <c r="G818" s="752"/>
      <c r="H818" s="752"/>
      <c r="I818" s="752"/>
      <c r="J818" s="736"/>
      <c r="K818" s="752"/>
      <c r="L818" s="752"/>
      <c r="M818" s="736"/>
      <c r="N818" s="736"/>
      <c r="O818" s="736"/>
      <c r="P818" s="736"/>
      <c r="Q818" s="753">
        <v>0</v>
      </c>
      <c r="R818" s="738"/>
      <c r="S818" s="753"/>
      <c r="T818" s="739">
        <v>1100121</v>
      </c>
      <c r="U818" s="746">
        <v>1000000</v>
      </c>
      <c r="V818" s="741">
        <v>1100122</v>
      </c>
    </row>
    <row r="819" spans="1:22" ht="30" x14ac:dyDescent="0.2">
      <c r="A819" s="734">
        <v>4411</v>
      </c>
      <c r="B819" s="735" t="s">
        <v>1740</v>
      </c>
      <c r="C819" s="736"/>
      <c r="D819" s="736"/>
      <c r="E819" s="869"/>
      <c r="F819" s="736"/>
      <c r="G819" s="752"/>
      <c r="H819" s="752"/>
      <c r="I819" s="752"/>
      <c r="J819" s="736"/>
      <c r="K819" s="752"/>
      <c r="L819" s="752"/>
      <c r="M819" s="736"/>
      <c r="N819" s="736"/>
      <c r="O819" s="736"/>
      <c r="P819" s="736"/>
      <c r="Q819" s="753">
        <v>0</v>
      </c>
      <c r="R819" s="738"/>
      <c r="S819" s="753"/>
      <c r="T819" s="808">
        <v>2610121</v>
      </c>
      <c r="U819" s="746">
        <v>1000000</v>
      </c>
      <c r="V819" s="870">
        <v>2610122</v>
      </c>
    </row>
    <row r="820" spans="1:22" ht="30" x14ac:dyDescent="0.2">
      <c r="A820" s="734">
        <v>4411</v>
      </c>
      <c r="B820" s="735" t="s">
        <v>1741</v>
      </c>
      <c r="C820" s="736"/>
      <c r="D820" s="736"/>
      <c r="E820" s="869"/>
      <c r="F820" s="736"/>
      <c r="G820" s="752"/>
      <c r="H820" s="752"/>
      <c r="I820" s="752"/>
      <c r="J820" s="736"/>
      <c r="K820" s="752"/>
      <c r="L820" s="752"/>
      <c r="M820" s="736"/>
      <c r="N820" s="736"/>
      <c r="O820" s="736"/>
      <c r="P820" s="736"/>
      <c r="Q820" s="753">
        <v>0</v>
      </c>
      <c r="R820" s="738"/>
      <c r="S820" s="753"/>
      <c r="T820" s="739">
        <v>1100121</v>
      </c>
      <c r="U820" s="746">
        <v>1000000</v>
      </c>
      <c r="V820" s="741">
        <v>1100122</v>
      </c>
    </row>
    <row r="821" spans="1:22" ht="30" x14ac:dyDescent="0.2">
      <c r="A821" s="734">
        <v>4411</v>
      </c>
      <c r="B821" s="735" t="s">
        <v>1741</v>
      </c>
      <c r="C821" s="736"/>
      <c r="D821" s="736"/>
      <c r="E821" s="869"/>
      <c r="F821" s="736"/>
      <c r="G821" s="752"/>
      <c r="H821" s="752"/>
      <c r="I821" s="752"/>
      <c r="J821" s="736"/>
      <c r="K821" s="752"/>
      <c r="L821" s="752"/>
      <c r="M821" s="736"/>
      <c r="N821" s="736"/>
      <c r="O821" s="736"/>
      <c r="P821" s="736"/>
      <c r="Q821" s="753">
        <v>0</v>
      </c>
      <c r="R821" s="738"/>
      <c r="S821" s="753"/>
      <c r="T821" s="808">
        <v>2610121</v>
      </c>
      <c r="U821" s="746">
        <v>1000000</v>
      </c>
      <c r="V821" s="870">
        <v>2610122</v>
      </c>
    </row>
    <row r="822" spans="1:22" ht="15" x14ac:dyDescent="0.2">
      <c r="A822" s="739">
        <v>4411</v>
      </c>
      <c r="B822" s="743" t="s">
        <v>34</v>
      </c>
      <c r="C822" s="736"/>
      <c r="D822" s="736"/>
      <c r="E822" s="869"/>
      <c r="F822" s="736"/>
      <c r="G822" s="752"/>
      <c r="H822" s="752"/>
      <c r="I822" s="752"/>
      <c r="J822" s="736"/>
      <c r="K822" s="752"/>
      <c r="L822" s="752"/>
      <c r="M822" s="736"/>
      <c r="N822" s="736"/>
      <c r="O822" s="736"/>
      <c r="P822" s="736"/>
      <c r="Q822" s="753">
        <v>0</v>
      </c>
      <c r="R822" s="738"/>
      <c r="S822" s="753">
        <v>1000000</v>
      </c>
      <c r="T822" s="739"/>
      <c r="U822" s="871"/>
      <c r="V822" s="739"/>
    </row>
    <row r="823" spans="1:22" ht="15" x14ac:dyDescent="0.2">
      <c r="A823" s="739">
        <v>4411</v>
      </c>
      <c r="B823" s="743" t="s">
        <v>34</v>
      </c>
      <c r="C823" s="736"/>
      <c r="D823" s="736"/>
      <c r="E823" s="869"/>
      <c r="F823" s="736"/>
      <c r="G823" s="752"/>
      <c r="H823" s="752"/>
      <c r="I823" s="752"/>
      <c r="J823" s="736"/>
      <c r="K823" s="752"/>
      <c r="L823" s="752"/>
      <c r="M823" s="736"/>
      <c r="N823" s="736"/>
      <c r="O823" s="736"/>
      <c r="P823" s="736"/>
      <c r="Q823" s="753">
        <v>0</v>
      </c>
      <c r="R823" s="738"/>
      <c r="S823" s="753">
        <v>800000</v>
      </c>
      <c r="T823" s="739"/>
      <c r="U823" s="745"/>
      <c r="V823" s="739"/>
    </row>
    <row r="824" spans="1:22" ht="15" x14ac:dyDescent="0.2">
      <c r="A824" s="728" t="s">
        <v>160</v>
      </c>
      <c r="B824" s="729" t="s">
        <v>1532</v>
      </c>
      <c r="C824" s="730">
        <f t="shared" ref="C824:E824" si="298">SUM(C827)</f>
        <v>0</v>
      </c>
      <c r="D824" s="730">
        <f t="shared" si="298"/>
        <v>0</v>
      </c>
      <c r="E824" s="730">
        <f t="shared" si="298"/>
        <v>0</v>
      </c>
      <c r="F824" s="730">
        <f t="shared" ref="F824:S824" si="299">SUM(F825:F827)</f>
        <v>0</v>
      </c>
      <c r="G824" s="730">
        <f t="shared" si="299"/>
        <v>1008800</v>
      </c>
      <c r="H824" s="730">
        <f t="shared" si="299"/>
        <v>0</v>
      </c>
      <c r="I824" s="730">
        <f t="shared" si="299"/>
        <v>0</v>
      </c>
      <c r="J824" s="730">
        <f t="shared" si="299"/>
        <v>1008800</v>
      </c>
      <c r="K824" s="730">
        <f t="shared" si="299"/>
        <v>0</v>
      </c>
      <c r="L824" s="730">
        <f t="shared" si="299"/>
        <v>0</v>
      </c>
      <c r="M824" s="730">
        <f t="shared" si="299"/>
        <v>1008800</v>
      </c>
      <c r="N824" s="730">
        <f t="shared" si="299"/>
        <v>0</v>
      </c>
      <c r="O824" s="730">
        <f t="shared" si="299"/>
        <v>0</v>
      </c>
      <c r="P824" s="730">
        <f t="shared" si="299"/>
        <v>1008800</v>
      </c>
      <c r="Q824" s="748">
        <f t="shared" si="299"/>
        <v>1392800</v>
      </c>
      <c r="R824" s="748">
        <f t="shared" si="299"/>
        <v>0</v>
      </c>
      <c r="S824" s="748">
        <f t="shared" si="299"/>
        <v>3450000</v>
      </c>
      <c r="T824" s="731"/>
      <c r="U824" s="732">
        <f>SUM(U825:U827)</f>
        <v>1200000</v>
      </c>
      <c r="V824" s="733"/>
    </row>
    <row r="825" spans="1:22" ht="15" x14ac:dyDescent="0.2">
      <c r="A825" s="734">
        <v>4411</v>
      </c>
      <c r="B825" s="735" t="s">
        <v>34</v>
      </c>
      <c r="C825" s="823"/>
      <c r="D825" s="823"/>
      <c r="E825" s="823"/>
      <c r="F825" s="823"/>
      <c r="G825" s="752">
        <v>508800</v>
      </c>
      <c r="H825" s="752"/>
      <c r="I825" s="752"/>
      <c r="J825" s="736">
        <f>G825+H825-I825</f>
        <v>508800</v>
      </c>
      <c r="K825" s="752"/>
      <c r="L825" s="752"/>
      <c r="M825" s="736">
        <f>J825+K825-L825</f>
        <v>508800</v>
      </c>
      <c r="N825" s="736"/>
      <c r="O825" s="736"/>
      <c r="P825" s="736">
        <f>M825+N825-O825</f>
        <v>508800</v>
      </c>
      <c r="Q825" s="753">
        <v>892800</v>
      </c>
      <c r="R825" s="738"/>
      <c r="S825" s="840">
        <v>1500000</v>
      </c>
      <c r="T825" s="872">
        <v>1100121</v>
      </c>
      <c r="U825" s="746">
        <v>500000</v>
      </c>
      <c r="V825" s="870">
        <v>1100122</v>
      </c>
    </row>
    <row r="826" spans="1:22" ht="15" x14ac:dyDescent="0.2">
      <c r="A826" s="734">
        <v>4411</v>
      </c>
      <c r="B826" s="735" t="s">
        <v>34</v>
      </c>
      <c r="C826" s="823"/>
      <c r="D826" s="823"/>
      <c r="E826" s="823"/>
      <c r="F826" s="823"/>
      <c r="G826" s="752"/>
      <c r="H826" s="752"/>
      <c r="I826" s="752"/>
      <c r="J826" s="736"/>
      <c r="K826" s="752"/>
      <c r="L826" s="752"/>
      <c r="M826" s="736"/>
      <c r="N826" s="736"/>
      <c r="O826" s="736"/>
      <c r="P826" s="736"/>
      <c r="Q826" s="753"/>
      <c r="R826" s="738"/>
      <c r="S826" s="873">
        <v>450000</v>
      </c>
      <c r="T826" s="874">
        <v>1100121</v>
      </c>
      <c r="U826" s="875">
        <v>200000</v>
      </c>
      <c r="V826" s="876">
        <v>1100122</v>
      </c>
    </row>
    <row r="827" spans="1:22" ht="15" x14ac:dyDescent="0.2">
      <c r="A827" s="734">
        <v>4411</v>
      </c>
      <c r="B827" s="735" t="s">
        <v>34</v>
      </c>
      <c r="C827" s="736"/>
      <c r="D827" s="736"/>
      <c r="E827" s="868"/>
      <c r="F827" s="736"/>
      <c r="G827" s="752">
        <v>500000</v>
      </c>
      <c r="H827" s="752"/>
      <c r="I827" s="752"/>
      <c r="J827" s="736">
        <f>G827+H827-I827</f>
        <v>500000</v>
      </c>
      <c r="K827" s="752"/>
      <c r="L827" s="752"/>
      <c r="M827" s="736">
        <f>J827+K827-L827</f>
        <v>500000</v>
      </c>
      <c r="N827" s="738"/>
      <c r="O827" s="738"/>
      <c r="P827" s="736">
        <f>M827+N827-O827</f>
        <v>500000</v>
      </c>
      <c r="Q827" s="753">
        <v>500000</v>
      </c>
      <c r="R827" s="738"/>
      <c r="S827" s="840">
        <v>1500000</v>
      </c>
      <c r="T827" s="872">
        <v>2610121</v>
      </c>
      <c r="U827" s="746">
        <v>500000</v>
      </c>
      <c r="V827" s="870">
        <v>2610122</v>
      </c>
    </row>
    <row r="828" spans="1:22" ht="15" x14ac:dyDescent="0.2">
      <c r="A828" s="728" t="s">
        <v>161</v>
      </c>
      <c r="B828" s="729" t="s">
        <v>1533</v>
      </c>
      <c r="C828" s="730">
        <f t="shared" ref="C828:S828" si="300">SUM(C829)</f>
        <v>0</v>
      </c>
      <c r="D828" s="730">
        <f t="shared" si="300"/>
        <v>0</v>
      </c>
      <c r="E828" s="730">
        <f t="shared" si="300"/>
        <v>0</v>
      </c>
      <c r="F828" s="730">
        <f t="shared" si="300"/>
        <v>0</v>
      </c>
      <c r="G828" s="730">
        <f t="shared" si="300"/>
        <v>0</v>
      </c>
      <c r="H828" s="730">
        <f t="shared" si="300"/>
        <v>0</v>
      </c>
      <c r="I828" s="730">
        <f t="shared" si="300"/>
        <v>0</v>
      </c>
      <c r="J828" s="730">
        <f t="shared" si="300"/>
        <v>0</v>
      </c>
      <c r="K828" s="730">
        <f t="shared" si="300"/>
        <v>0</v>
      </c>
      <c r="L828" s="730">
        <f t="shared" si="300"/>
        <v>0</v>
      </c>
      <c r="M828" s="730">
        <f t="shared" si="300"/>
        <v>0</v>
      </c>
      <c r="N828" s="730">
        <f t="shared" si="300"/>
        <v>0</v>
      </c>
      <c r="O828" s="730">
        <f t="shared" si="300"/>
        <v>0</v>
      </c>
      <c r="P828" s="748">
        <f t="shared" si="300"/>
        <v>0</v>
      </c>
      <c r="Q828" s="748">
        <f t="shared" si="300"/>
        <v>0</v>
      </c>
      <c r="R828" s="748">
        <f t="shared" si="300"/>
        <v>0</v>
      </c>
      <c r="S828" s="748">
        <f t="shared" si="300"/>
        <v>2500000</v>
      </c>
      <c r="T828" s="731"/>
      <c r="U828" s="732">
        <f t="shared" ref="U828" si="301">SUM(U829)</f>
        <v>1000000</v>
      </c>
      <c r="V828" s="733"/>
    </row>
    <row r="829" spans="1:22" ht="15" x14ac:dyDescent="0.2">
      <c r="A829" s="734">
        <v>4411</v>
      </c>
      <c r="B829" s="735" t="s">
        <v>34</v>
      </c>
      <c r="C829" s="736"/>
      <c r="D829" s="736">
        <v>0</v>
      </c>
      <c r="E829" s="868"/>
      <c r="F829" s="736"/>
      <c r="G829" s="736"/>
      <c r="H829" s="736"/>
      <c r="I829" s="736"/>
      <c r="J829" s="736">
        <f>G829+H829-I829</f>
        <v>0</v>
      </c>
      <c r="K829" s="736"/>
      <c r="L829" s="736"/>
      <c r="M829" s="736">
        <f>J829+K829-L829</f>
        <v>0</v>
      </c>
      <c r="N829" s="736"/>
      <c r="O829" s="736"/>
      <c r="P829" s="738">
        <f>M829+N829-O829</f>
        <v>0</v>
      </c>
      <c r="Q829" s="738"/>
      <c r="R829" s="738"/>
      <c r="S829" s="877">
        <v>2500000</v>
      </c>
      <c r="T829" s="778"/>
      <c r="U829" s="746">
        <v>1000000</v>
      </c>
      <c r="V829" s="741">
        <v>1100122</v>
      </c>
    </row>
    <row r="830" spans="1:22" ht="15" x14ac:dyDescent="0.2">
      <c r="A830" s="728" t="s">
        <v>162</v>
      </c>
      <c r="B830" s="729" t="s">
        <v>163</v>
      </c>
      <c r="C830" s="730">
        <f t="shared" ref="C830:F830" si="302">SUM(C833)</f>
        <v>0</v>
      </c>
      <c r="D830" s="730">
        <f t="shared" si="302"/>
        <v>0</v>
      </c>
      <c r="E830" s="730">
        <f t="shared" si="302"/>
        <v>0</v>
      </c>
      <c r="F830" s="730">
        <f t="shared" si="302"/>
        <v>0</v>
      </c>
      <c r="G830" s="730">
        <f t="shared" ref="G830:S830" si="303">SUM(G831:G833)</f>
        <v>600000</v>
      </c>
      <c r="H830" s="730">
        <f t="shared" si="303"/>
        <v>0</v>
      </c>
      <c r="I830" s="730">
        <f t="shared" si="303"/>
        <v>0</v>
      </c>
      <c r="J830" s="730">
        <f t="shared" si="303"/>
        <v>600000</v>
      </c>
      <c r="K830" s="730">
        <f t="shared" si="303"/>
        <v>0</v>
      </c>
      <c r="L830" s="730">
        <f t="shared" si="303"/>
        <v>0</v>
      </c>
      <c r="M830" s="730">
        <f t="shared" si="303"/>
        <v>600000</v>
      </c>
      <c r="N830" s="730">
        <f t="shared" si="303"/>
        <v>0</v>
      </c>
      <c r="O830" s="730">
        <f t="shared" si="303"/>
        <v>0</v>
      </c>
      <c r="P830" s="730">
        <f t="shared" si="303"/>
        <v>600000</v>
      </c>
      <c r="Q830" s="748">
        <f t="shared" si="303"/>
        <v>600000</v>
      </c>
      <c r="R830" s="748">
        <f t="shared" si="303"/>
        <v>300000</v>
      </c>
      <c r="S830" s="748">
        <f t="shared" si="303"/>
        <v>2600000</v>
      </c>
      <c r="T830" s="731"/>
      <c r="U830" s="732">
        <f>SUM(U831:U833)</f>
        <v>1200000</v>
      </c>
      <c r="V830" s="733"/>
    </row>
    <row r="831" spans="1:22" ht="15" x14ac:dyDescent="0.2">
      <c r="A831" s="734">
        <v>4411</v>
      </c>
      <c r="B831" s="735" t="s">
        <v>34</v>
      </c>
      <c r="C831" s="823"/>
      <c r="D831" s="823"/>
      <c r="E831" s="823"/>
      <c r="F831" s="823"/>
      <c r="G831" s="752">
        <v>300000</v>
      </c>
      <c r="H831" s="752"/>
      <c r="I831" s="752"/>
      <c r="J831" s="736">
        <f>G831+H831-I831</f>
        <v>300000</v>
      </c>
      <c r="K831" s="752"/>
      <c r="L831" s="752"/>
      <c r="M831" s="736">
        <f>J831+K831-L831</f>
        <v>300000</v>
      </c>
      <c r="N831" s="736"/>
      <c r="O831" s="736"/>
      <c r="P831" s="736">
        <f>M831+N831-O831</f>
        <v>300000</v>
      </c>
      <c r="Q831" s="753">
        <v>300000</v>
      </c>
      <c r="R831" s="738">
        <v>300000</v>
      </c>
      <c r="S831" s="753">
        <v>1000000</v>
      </c>
      <c r="T831" s="808">
        <v>1100121</v>
      </c>
      <c r="U831" s="740">
        <v>500000</v>
      </c>
      <c r="V831" s="870">
        <v>1100122</v>
      </c>
    </row>
    <row r="832" spans="1:22" ht="15" x14ac:dyDescent="0.2">
      <c r="A832" s="734">
        <v>4411</v>
      </c>
      <c r="B832" s="735" t="s">
        <v>34</v>
      </c>
      <c r="C832" s="823"/>
      <c r="D832" s="823"/>
      <c r="E832" s="823"/>
      <c r="F832" s="823"/>
      <c r="G832" s="752"/>
      <c r="H832" s="752"/>
      <c r="I832" s="752"/>
      <c r="J832" s="736"/>
      <c r="K832" s="752"/>
      <c r="L832" s="752"/>
      <c r="M832" s="736"/>
      <c r="N832" s="736"/>
      <c r="O832" s="736"/>
      <c r="P832" s="736"/>
      <c r="Q832" s="753"/>
      <c r="R832" s="738"/>
      <c r="S832" s="753">
        <v>1000000</v>
      </c>
      <c r="T832" s="808">
        <v>1100121</v>
      </c>
      <c r="U832" s="878">
        <v>200000</v>
      </c>
      <c r="V832" s="870">
        <v>1100122</v>
      </c>
    </row>
    <row r="833" spans="1:22" ht="15" x14ac:dyDescent="0.2">
      <c r="A833" s="734">
        <v>4411</v>
      </c>
      <c r="B833" s="735" t="s">
        <v>34</v>
      </c>
      <c r="C833" s="736"/>
      <c r="D833" s="736">
        <v>0</v>
      </c>
      <c r="E833" s="868"/>
      <c r="F833" s="736"/>
      <c r="G833" s="752">
        <v>300000</v>
      </c>
      <c r="H833" s="752"/>
      <c r="I833" s="752"/>
      <c r="J833" s="736">
        <f>G833+H833-I833</f>
        <v>300000</v>
      </c>
      <c r="K833" s="752"/>
      <c r="L833" s="752"/>
      <c r="M833" s="736">
        <f>J833+K833-L833</f>
        <v>300000</v>
      </c>
      <c r="N833" s="738"/>
      <c r="O833" s="738"/>
      <c r="P833" s="736">
        <f>M833+N833-O833</f>
        <v>300000</v>
      </c>
      <c r="Q833" s="753">
        <v>300000</v>
      </c>
      <c r="R833" s="738"/>
      <c r="S833" s="753">
        <v>600000</v>
      </c>
      <c r="T833" s="808">
        <v>2610121</v>
      </c>
      <c r="U833" s="746">
        <v>500000</v>
      </c>
      <c r="V833" s="870">
        <v>2610122</v>
      </c>
    </row>
    <row r="834" spans="1:22" ht="15" x14ac:dyDescent="0.2">
      <c r="A834" s="728" t="s">
        <v>164</v>
      </c>
      <c r="B834" s="729" t="s">
        <v>165</v>
      </c>
      <c r="C834" s="730">
        <f t="shared" ref="C834:F834" si="304">SUM(C836)</f>
        <v>0</v>
      </c>
      <c r="D834" s="730">
        <f t="shared" si="304"/>
        <v>0</v>
      </c>
      <c r="E834" s="730">
        <f t="shared" si="304"/>
        <v>0</v>
      </c>
      <c r="F834" s="730">
        <f t="shared" si="304"/>
        <v>0</v>
      </c>
      <c r="G834" s="730">
        <f t="shared" ref="G834:P834" si="305">SUM(G835:G836)</f>
        <v>1100000</v>
      </c>
      <c r="H834" s="730">
        <f t="shared" si="305"/>
        <v>0</v>
      </c>
      <c r="I834" s="730">
        <f t="shared" si="305"/>
        <v>0</v>
      </c>
      <c r="J834" s="730">
        <f t="shared" si="305"/>
        <v>1100000</v>
      </c>
      <c r="K834" s="730">
        <f t="shared" si="305"/>
        <v>0</v>
      </c>
      <c r="L834" s="730">
        <f t="shared" si="305"/>
        <v>0</v>
      </c>
      <c r="M834" s="730">
        <f t="shared" si="305"/>
        <v>1100000</v>
      </c>
      <c r="N834" s="730">
        <f t="shared" si="305"/>
        <v>0</v>
      </c>
      <c r="O834" s="730">
        <f t="shared" si="305"/>
        <v>350000</v>
      </c>
      <c r="P834" s="730">
        <f t="shared" si="305"/>
        <v>750000</v>
      </c>
      <c r="Q834" s="748">
        <f>SUM(Q835:Q837)</f>
        <v>767775.2</v>
      </c>
      <c r="R834" s="748">
        <f t="shared" ref="R834:S834" si="306">SUM(R835:R837)</f>
        <v>0</v>
      </c>
      <c r="S834" s="748">
        <f t="shared" si="306"/>
        <v>1250000</v>
      </c>
      <c r="T834" s="731"/>
      <c r="U834" s="732">
        <f>SUM(U835:U837)</f>
        <v>600000</v>
      </c>
      <c r="V834" s="733"/>
    </row>
    <row r="835" spans="1:22" ht="15" x14ac:dyDescent="0.2">
      <c r="A835" s="734">
        <v>4411</v>
      </c>
      <c r="B835" s="735" t="s">
        <v>34</v>
      </c>
      <c r="C835" s="823"/>
      <c r="D835" s="823"/>
      <c r="E835" s="823"/>
      <c r="F835" s="823"/>
      <c r="G835" s="752">
        <v>600000</v>
      </c>
      <c r="H835" s="752"/>
      <c r="I835" s="752"/>
      <c r="J835" s="736">
        <f t="shared" ref="J835:J836" si="307">G835+H835-I835</f>
        <v>600000</v>
      </c>
      <c r="K835" s="752"/>
      <c r="L835" s="752"/>
      <c r="M835" s="736">
        <f t="shared" ref="M835:M836" si="308">J835+K835-L835</f>
        <v>600000</v>
      </c>
      <c r="N835" s="736"/>
      <c r="O835" s="736">
        <v>350000</v>
      </c>
      <c r="P835" s="736">
        <f t="shared" ref="P835:P836" si="309">M835+N835-O835</f>
        <v>250000</v>
      </c>
      <c r="Q835" s="753">
        <v>267775.2</v>
      </c>
      <c r="R835" s="738"/>
      <c r="S835" s="846">
        <v>500000</v>
      </c>
      <c r="T835" s="872">
        <v>1100121</v>
      </c>
      <c r="U835" s="754">
        <v>300000</v>
      </c>
      <c r="V835" s="870">
        <v>1100122</v>
      </c>
    </row>
    <row r="836" spans="1:22" ht="15" x14ac:dyDescent="0.2">
      <c r="A836" s="734">
        <v>4411</v>
      </c>
      <c r="B836" s="735" t="s">
        <v>34</v>
      </c>
      <c r="C836" s="736"/>
      <c r="D836" s="736">
        <v>0</v>
      </c>
      <c r="E836" s="868"/>
      <c r="F836" s="736"/>
      <c r="G836" s="752">
        <v>500000</v>
      </c>
      <c r="H836" s="752"/>
      <c r="I836" s="752"/>
      <c r="J836" s="736">
        <f t="shared" si="307"/>
        <v>500000</v>
      </c>
      <c r="K836" s="752"/>
      <c r="L836" s="752"/>
      <c r="M836" s="736">
        <f t="shared" si="308"/>
        <v>500000</v>
      </c>
      <c r="N836" s="738"/>
      <c r="O836" s="738"/>
      <c r="P836" s="736">
        <f t="shared" si="309"/>
        <v>500000</v>
      </c>
      <c r="Q836" s="753">
        <v>500000</v>
      </c>
      <c r="R836" s="738"/>
      <c r="S836" s="846">
        <v>500000</v>
      </c>
      <c r="T836" s="872">
        <v>2610121</v>
      </c>
      <c r="U836" s="754">
        <v>300000</v>
      </c>
      <c r="V836" s="870">
        <v>2610122</v>
      </c>
    </row>
    <row r="837" spans="1:22" ht="15" x14ac:dyDescent="0.2">
      <c r="A837" s="739">
        <v>4411</v>
      </c>
      <c r="B837" s="743" t="s">
        <v>34</v>
      </c>
      <c r="C837" s="736"/>
      <c r="D837" s="736"/>
      <c r="E837" s="868"/>
      <c r="F837" s="736"/>
      <c r="G837" s="752"/>
      <c r="H837" s="752"/>
      <c r="I837" s="752"/>
      <c r="J837" s="736"/>
      <c r="K837" s="752"/>
      <c r="L837" s="752"/>
      <c r="M837" s="736"/>
      <c r="N837" s="738"/>
      <c r="O837" s="738"/>
      <c r="P837" s="736"/>
      <c r="Q837" s="753"/>
      <c r="R837" s="738"/>
      <c r="S837" s="753">
        <v>250000</v>
      </c>
      <c r="T837" s="808"/>
      <c r="U837" s="745"/>
      <c r="V837" s="808"/>
    </row>
    <row r="838" spans="1:22" ht="15" x14ac:dyDescent="0.2">
      <c r="A838" s="728" t="s">
        <v>166</v>
      </c>
      <c r="B838" s="729" t="s">
        <v>1742</v>
      </c>
      <c r="C838" s="730">
        <f t="shared" ref="C838:F838" si="310">SUM(C851)</f>
        <v>0</v>
      </c>
      <c r="D838" s="730">
        <f t="shared" si="310"/>
        <v>0</v>
      </c>
      <c r="E838" s="730">
        <f t="shared" si="310"/>
        <v>0</v>
      </c>
      <c r="F838" s="730">
        <f t="shared" si="310"/>
        <v>0</v>
      </c>
      <c r="G838" s="730">
        <f t="shared" ref="G838:P838" si="311">SUM(G839:G851)</f>
        <v>3600000</v>
      </c>
      <c r="H838" s="730">
        <f t="shared" si="311"/>
        <v>0</v>
      </c>
      <c r="I838" s="730">
        <f t="shared" si="311"/>
        <v>0</v>
      </c>
      <c r="J838" s="730">
        <f t="shared" si="311"/>
        <v>3600000</v>
      </c>
      <c r="K838" s="730">
        <f t="shared" si="311"/>
        <v>0</v>
      </c>
      <c r="L838" s="730">
        <f t="shared" si="311"/>
        <v>0</v>
      </c>
      <c r="M838" s="730">
        <f t="shared" si="311"/>
        <v>3600000</v>
      </c>
      <c r="N838" s="730">
        <f t="shared" si="311"/>
        <v>0</v>
      </c>
      <c r="O838" s="730">
        <f t="shared" si="311"/>
        <v>0</v>
      </c>
      <c r="P838" s="730">
        <f t="shared" si="311"/>
        <v>3600000</v>
      </c>
      <c r="Q838" s="748">
        <f>SUM(Q839:Q852)</f>
        <v>3528920</v>
      </c>
      <c r="R838" s="748">
        <f t="shared" ref="R838:S838" si="312">SUM(R839:R852)</f>
        <v>1728920</v>
      </c>
      <c r="S838" s="748">
        <f t="shared" si="312"/>
        <v>9400000</v>
      </c>
      <c r="T838" s="731"/>
      <c r="U838" s="732">
        <f>SUM(U839:U852)</f>
        <v>2200000</v>
      </c>
      <c r="V838" s="733"/>
    </row>
    <row r="839" spans="1:22" ht="15" x14ac:dyDescent="0.2">
      <c r="A839" s="734">
        <v>4411</v>
      </c>
      <c r="B839" s="735" t="s">
        <v>1743</v>
      </c>
      <c r="C839" s="823"/>
      <c r="D839" s="823"/>
      <c r="E839" s="823"/>
      <c r="F839" s="823"/>
      <c r="G839" s="752">
        <v>1800000</v>
      </c>
      <c r="H839" s="752"/>
      <c r="I839" s="752"/>
      <c r="J839" s="736">
        <f t="shared" ref="J839:J851" si="313">G839+H839-I839</f>
        <v>1800000</v>
      </c>
      <c r="K839" s="752"/>
      <c r="L839" s="752"/>
      <c r="M839" s="736">
        <f t="shared" ref="M839:M851" si="314">J839+K839-L839</f>
        <v>1800000</v>
      </c>
      <c r="N839" s="736"/>
      <c r="O839" s="736"/>
      <c r="P839" s="736">
        <f t="shared" ref="P839:P851" si="315">M839+N839-O839</f>
        <v>1800000</v>
      </c>
      <c r="Q839" s="879">
        <v>1728920</v>
      </c>
      <c r="R839" s="738">
        <v>1728920</v>
      </c>
      <c r="S839" s="880">
        <v>1000000</v>
      </c>
      <c r="T839" s="808">
        <v>1100121</v>
      </c>
      <c r="U839" s="740">
        <v>1000000</v>
      </c>
      <c r="V839" s="870">
        <v>1100122</v>
      </c>
    </row>
    <row r="840" spans="1:22" ht="15" x14ac:dyDescent="0.2">
      <c r="A840" s="734">
        <v>4411</v>
      </c>
      <c r="B840" s="735" t="s">
        <v>1743</v>
      </c>
      <c r="C840" s="823"/>
      <c r="D840" s="823"/>
      <c r="E840" s="823"/>
      <c r="F840" s="823"/>
      <c r="G840" s="752"/>
      <c r="H840" s="752"/>
      <c r="I840" s="752"/>
      <c r="J840" s="736"/>
      <c r="K840" s="752"/>
      <c r="L840" s="752"/>
      <c r="M840" s="736"/>
      <c r="N840" s="736"/>
      <c r="O840" s="736"/>
      <c r="P840" s="736"/>
      <c r="Q840" s="753">
        <v>0</v>
      </c>
      <c r="R840" s="738"/>
      <c r="S840" s="880">
        <v>200000</v>
      </c>
      <c r="T840" s="808">
        <v>1100121</v>
      </c>
      <c r="U840" s="740">
        <v>200000</v>
      </c>
      <c r="V840" s="870">
        <v>1100122</v>
      </c>
    </row>
    <row r="841" spans="1:22" ht="15" x14ac:dyDescent="0.2">
      <c r="A841" s="734">
        <v>4411</v>
      </c>
      <c r="B841" s="735" t="s">
        <v>1743</v>
      </c>
      <c r="C841" s="823"/>
      <c r="D841" s="823"/>
      <c r="E841" s="823"/>
      <c r="F841" s="823"/>
      <c r="G841" s="752"/>
      <c r="H841" s="752"/>
      <c r="I841" s="752"/>
      <c r="J841" s="736"/>
      <c r="K841" s="752"/>
      <c r="L841" s="752"/>
      <c r="M841" s="736"/>
      <c r="N841" s="736"/>
      <c r="O841" s="736"/>
      <c r="P841" s="736"/>
      <c r="Q841" s="753">
        <v>0</v>
      </c>
      <c r="R841" s="738"/>
      <c r="S841" s="881">
        <v>1000000</v>
      </c>
      <c r="T841" s="808">
        <v>2610121</v>
      </c>
      <c r="U841" s="746">
        <v>1000000</v>
      </c>
      <c r="V841" s="870">
        <v>2610122</v>
      </c>
    </row>
    <row r="842" spans="1:22" ht="15" x14ac:dyDescent="0.2">
      <c r="A842" s="739">
        <v>4411</v>
      </c>
      <c r="B842" s="743" t="s">
        <v>1744</v>
      </c>
      <c r="C842" s="823"/>
      <c r="D842" s="823"/>
      <c r="E842" s="823"/>
      <c r="F842" s="823"/>
      <c r="G842" s="752"/>
      <c r="H842" s="752"/>
      <c r="I842" s="752"/>
      <c r="J842" s="736"/>
      <c r="K842" s="752"/>
      <c r="L842" s="752"/>
      <c r="M842" s="736"/>
      <c r="N842" s="736"/>
      <c r="O842" s="736"/>
      <c r="P842" s="736"/>
      <c r="Q842" s="753">
        <v>0</v>
      </c>
      <c r="R842" s="738"/>
      <c r="S842" s="882">
        <v>1000000</v>
      </c>
      <c r="T842" s="808">
        <v>1100121</v>
      </c>
      <c r="U842" s="744">
        <v>0</v>
      </c>
      <c r="V842" s="808">
        <v>1100122</v>
      </c>
    </row>
    <row r="843" spans="1:22" ht="15" x14ac:dyDescent="0.2">
      <c r="A843" s="739">
        <v>4411</v>
      </c>
      <c r="B843" s="743" t="s">
        <v>1744</v>
      </c>
      <c r="C843" s="823"/>
      <c r="D843" s="823"/>
      <c r="E843" s="823"/>
      <c r="F843" s="823"/>
      <c r="G843" s="752"/>
      <c r="H843" s="752"/>
      <c r="I843" s="752"/>
      <c r="J843" s="736"/>
      <c r="K843" s="752"/>
      <c r="L843" s="752"/>
      <c r="M843" s="736"/>
      <c r="N843" s="736"/>
      <c r="O843" s="736"/>
      <c r="P843" s="736"/>
      <c r="Q843" s="753">
        <v>0</v>
      </c>
      <c r="R843" s="738"/>
      <c r="S843" s="882">
        <v>200000</v>
      </c>
      <c r="T843" s="808">
        <v>1100121</v>
      </c>
      <c r="U843" s="744">
        <v>0</v>
      </c>
      <c r="V843" s="808">
        <v>1100122</v>
      </c>
    </row>
    <row r="844" spans="1:22" ht="15" x14ac:dyDescent="0.2">
      <c r="A844" s="739">
        <v>4411</v>
      </c>
      <c r="B844" s="743" t="s">
        <v>1744</v>
      </c>
      <c r="C844" s="823"/>
      <c r="D844" s="823"/>
      <c r="E844" s="823"/>
      <c r="F844" s="823"/>
      <c r="G844" s="752"/>
      <c r="H844" s="752"/>
      <c r="I844" s="752"/>
      <c r="J844" s="736"/>
      <c r="K844" s="752"/>
      <c r="L844" s="752"/>
      <c r="M844" s="736"/>
      <c r="N844" s="736"/>
      <c r="O844" s="736"/>
      <c r="P844" s="736"/>
      <c r="Q844" s="753">
        <v>0</v>
      </c>
      <c r="R844" s="738"/>
      <c r="S844" s="882">
        <v>1000000</v>
      </c>
      <c r="T844" s="808">
        <v>2610121</v>
      </c>
      <c r="U844" s="744">
        <v>0</v>
      </c>
      <c r="V844" s="808">
        <v>2610122</v>
      </c>
    </row>
    <row r="845" spans="1:22" ht="30" x14ac:dyDescent="0.2">
      <c r="A845" s="739">
        <v>4411</v>
      </c>
      <c r="B845" s="743" t="s">
        <v>1745</v>
      </c>
      <c r="C845" s="823"/>
      <c r="D845" s="823"/>
      <c r="E845" s="823"/>
      <c r="F845" s="823"/>
      <c r="G845" s="752"/>
      <c r="H845" s="752"/>
      <c r="I845" s="752"/>
      <c r="J845" s="736"/>
      <c r="K845" s="752"/>
      <c r="L845" s="752"/>
      <c r="M845" s="736"/>
      <c r="N845" s="736"/>
      <c r="O845" s="736"/>
      <c r="P845" s="736"/>
      <c r="Q845" s="753">
        <v>0</v>
      </c>
      <c r="R845" s="738"/>
      <c r="S845" s="882">
        <v>500000</v>
      </c>
      <c r="T845" s="808">
        <v>1100121</v>
      </c>
      <c r="U845" s="744">
        <v>0</v>
      </c>
      <c r="V845" s="808">
        <v>1100122</v>
      </c>
    </row>
    <row r="846" spans="1:22" ht="30" x14ac:dyDescent="0.2">
      <c r="A846" s="739">
        <v>4411</v>
      </c>
      <c r="B846" s="743" t="s">
        <v>1745</v>
      </c>
      <c r="C846" s="823"/>
      <c r="D846" s="823"/>
      <c r="E846" s="823"/>
      <c r="F846" s="823"/>
      <c r="G846" s="752"/>
      <c r="H846" s="752"/>
      <c r="I846" s="752"/>
      <c r="J846" s="736"/>
      <c r="K846" s="752"/>
      <c r="L846" s="752"/>
      <c r="M846" s="736"/>
      <c r="N846" s="736"/>
      <c r="O846" s="736"/>
      <c r="P846" s="736"/>
      <c r="Q846" s="753">
        <v>0</v>
      </c>
      <c r="R846" s="738"/>
      <c r="S846" s="882">
        <v>100000</v>
      </c>
      <c r="T846" s="808">
        <v>1100121</v>
      </c>
      <c r="U846" s="744">
        <v>0</v>
      </c>
      <c r="V846" s="808">
        <v>1100122</v>
      </c>
    </row>
    <row r="847" spans="1:22" ht="30" x14ac:dyDescent="0.2">
      <c r="A847" s="739">
        <v>4411</v>
      </c>
      <c r="B847" s="743" t="s">
        <v>1745</v>
      </c>
      <c r="C847" s="823"/>
      <c r="D847" s="823"/>
      <c r="E847" s="823"/>
      <c r="F847" s="823"/>
      <c r="G847" s="752"/>
      <c r="H847" s="752"/>
      <c r="I847" s="752"/>
      <c r="J847" s="736"/>
      <c r="K847" s="752"/>
      <c r="L847" s="752"/>
      <c r="M847" s="736"/>
      <c r="N847" s="736"/>
      <c r="O847" s="736"/>
      <c r="P847" s="736"/>
      <c r="Q847" s="753">
        <v>0</v>
      </c>
      <c r="R847" s="738"/>
      <c r="S847" s="882">
        <v>500000</v>
      </c>
      <c r="T847" s="808">
        <v>2610121</v>
      </c>
      <c r="U847" s="744">
        <v>0</v>
      </c>
      <c r="V847" s="808">
        <v>2610122</v>
      </c>
    </row>
    <row r="848" spans="1:22" ht="15" x14ac:dyDescent="0.2">
      <c r="A848" s="739">
        <v>4411</v>
      </c>
      <c r="B848" s="743" t="s">
        <v>1746</v>
      </c>
      <c r="C848" s="823"/>
      <c r="D848" s="823"/>
      <c r="E848" s="823"/>
      <c r="F848" s="823"/>
      <c r="G848" s="752"/>
      <c r="H848" s="752"/>
      <c r="I848" s="752"/>
      <c r="J848" s="736"/>
      <c r="K848" s="752"/>
      <c r="L848" s="752"/>
      <c r="M848" s="736"/>
      <c r="N848" s="736"/>
      <c r="O848" s="736"/>
      <c r="P848" s="736"/>
      <c r="Q848" s="753">
        <v>0</v>
      </c>
      <c r="R848" s="738"/>
      <c r="S848" s="882">
        <v>500000</v>
      </c>
      <c r="T848" s="808">
        <v>1100121</v>
      </c>
      <c r="U848" s="744">
        <v>0</v>
      </c>
      <c r="V848" s="808">
        <v>1100122</v>
      </c>
    </row>
    <row r="849" spans="1:22" ht="15" x14ac:dyDescent="0.2">
      <c r="A849" s="739">
        <v>4411</v>
      </c>
      <c r="B849" s="743" t="s">
        <v>1746</v>
      </c>
      <c r="C849" s="823"/>
      <c r="D849" s="823"/>
      <c r="E849" s="823"/>
      <c r="F849" s="823"/>
      <c r="G849" s="752"/>
      <c r="H849" s="752"/>
      <c r="I849" s="752"/>
      <c r="J849" s="736"/>
      <c r="K849" s="752"/>
      <c r="L849" s="752"/>
      <c r="M849" s="736"/>
      <c r="N849" s="736"/>
      <c r="O849" s="736"/>
      <c r="P849" s="736"/>
      <c r="Q849" s="753">
        <v>0</v>
      </c>
      <c r="R849" s="738"/>
      <c r="S849" s="882">
        <v>100000</v>
      </c>
      <c r="T849" s="808">
        <v>1100121</v>
      </c>
      <c r="U849" s="744">
        <v>0</v>
      </c>
      <c r="V849" s="808">
        <v>1100122</v>
      </c>
    </row>
    <row r="850" spans="1:22" ht="15" x14ac:dyDescent="0.2">
      <c r="A850" s="739">
        <v>4411</v>
      </c>
      <c r="B850" s="743" t="s">
        <v>1746</v>
      </c>
      <c r="C850" s="823"/>
      <c r="D850" s="823"/>
      <c r="E850" s="823"/>
      <c r="F850" s="823"/>
      <c r="G850" s="752"/>
      <c r="H850" s="752"/>
      <c r="I850" s="752"/>
      <c r="J850" s="736"/>
      <c r="K850" s="752"/>
      <c r="L850" s="752"/>
      <c r="M850" s="736"/>
      <c r="N850" s="736"/>
      <c r="O850" s="736"/>
      <c r="P850" s="736"/>
      <c r="Q850" s="753">
        <v>0</v>
      </c>
      <c r="R850" s="738"/>
      <c r="S850" s="882">
        <v>500000</v>
      </c>
      <c r="T850" s="808">
        <v>2610121</v>
      </c>
      <c r="U850" s="744">
        <v>0</v>
      </c>
      <c r="V850" s="808">
        <v>2610122</v>
      </c>
    </row>
    <row r="851" spans="1:22" ht="15" x14ac:dyDescent="0.2">
      <c r="A851" s="739">
        <v>4411</v>
      </c>
      <c r="B851" s="743" t="s">
        <v>34</v>
      </c>
      <c r="C851" s="736"/>
      <c r="D851" s="736">
        <v>0</v>
      </c>
      <c r="E851" s="868"/>
      <c r="F851" s="736"/>
      <c r="G851" s="752">
        <v>1800000</v>
      </c>
      <c r="H851" s="752"/>
      <c r="I851" s="752"/>
      <c r="J851" s="736">
        <f t="shared" si="313"/>
        <v>1800000</v>
      </c>
      <c r="K851" s="752"/>
      <c r="L851" s="752"/>
      <c r="M851" s="736">
        <f t="shared" si="314"/>
        <v>1800000</v>
      </c>
      <c r="N851" s="738"/>
      <c r="O851" s="738"/>
      <c r="P851" s="736">
        <f t="shared" si="315"/>
        <v>1800000</v>
      </c>
      <c r="Q851" s="753">
        <v>1800000</v>
      </c>
      <c r="R851" s="738"/>
      <c r="S851" s="753">
        <v>2000000</v>
      </c>
      <c r="T851" s="808">
        <v>2610121</v>
      </c>
      <c r="U851" s="871"/>
      <c r="V851" s="808">
        <v>2610122</v>
      </c>
    </row>
    <row r="852" spans="1:22" ht="15" x14ac:dyDescent="0.2">
      <c r="A852" s="739">
        <v>4411</v>
      </c>
      <c r="B852" s="743" t="s">
        <v>34</v>
      </c>
      <c r="C852" s="736"/>
      <c r="D852" s="736"/>
      <c r="E852" s="868"/>
      <c r="F852" s="736"/>
      <c r="G852" s="752"/>
      <c r="H852" s="752"/>
      <c r="I852" s="752"/>
      <c r="J852" s="736"/>
      <c r="K852" s="752"/>
      <c r="L852" s="752"/>
      <c r="M852" s="736"/>
      <c r="N852" s="738"/>
      <c r="O852" s="738"/>
      <c r="P852" s="736"/>
      <c r="Q852" s="753">
        <v>0</v>
      </c>
      <c r="R852" s="738"/>
      <c r="S852" s="753">
        <v>800000</v>
      </c>
      <c r="T852" s="808"/>
      <c r="U852" s="745"/>
      <c r="V852" s="808"/>
    </row>
    <row r="853" spans="1:22" ht="15" x14ac:dyDescent="0.2">
      <c r="A853" s="728" t="s">
        <v>1333</v>
      </c>
      <c r="B853" s="883" t="s">
        <v>1535</v>
      </c>
      <c r="C853" s="823">
        <f t="shared" ref="C853:P853" si="316">SUM(C854:C882)</f>
        <v>8846379.6599999983</v>
      </c>
      <c r="D853" s="823">
        <f t="shared" si="316"/>
        <v>10639380.439999999</v>
      </c>
      <c r="E853" s="823">
        <f t="shared" si="316"/>
        <v>9368036.6599999983</v>
      </c>
      <c r="F853" s="823">
        <f t="shared" si="316"/>
        <v>9595701.5800000001</v>
      </c>
      <c r="G853" s="823">
        <f t="shared" si="316"/>
        <v>9912961.7999999989</v>
      </c>
      <c r="H853" s="823">
        <f t="shared" si="316"/>
        <v>14233.92</v>
      </c>
      <c r="I853" s="823">
        <f t="shared" si="316"/>
        <v>0</v>
      </c>
      <c r="J853" s="823">
        <f t="shared" si="316"/>
        <v>9927195.7199999988</v>
      </c>
      <c r="K853" s="823">
        <f t="shared" si="316"/>
        <v>229110.23999999996</v>
      </c>
      <c r="L853" s="823">
        <f t="shared" si="316"/>
        <v>0</v>
      </c>
      <c r="M853" s="884"/>
      <c r="N853" s="823">
        <f t="shared" si="316"/>
        <v>514096.8</v>
      </c>
      <c r="O853" s="823">
        <f t="shared" si="316"/>
        <v>514096.8</v>
      </c>
      <c r="P853" s="823">
        <f t="shared" si="316"/>
        <v>10156305.960000003</v>
      </c>
      <c r="Q853" s="777">
        <f>+Q854</f>
        <v>0</v>
      </c>
      <c r="R853" s="777">
        <f t="shared" ref="R853:S853" si="317">+R854</f>
        <v>0</v>
      </c>
      <c r="S853" s="777">
        <f t="shared" si="317"/>
        <v>2000000</v>
      </c>
      <c r="T853" s="728"/>
      <c r="U853" s="732">
        <f>+U854</f>
        <v>2000000</v>
      </c>
      <c r="V853" s="733"/>
    </row>
    <row r="854" spans="1:22" ht="15" x14ac:dyDescent="0.2">
      <c r="A854" s="734">
        <v>4411</v>
      </c>
      <c r="B854" s="735" t="s">
        <v>34</v>
      </c>
      <c r="C854" s="736"/>
      <c r="D854" s="736"/>
      <c r="E854" s="868"/>
      <c r="F854" s="736"/>
      <c r="G854" s="752"/>
      <c r="H854" s="752"/>
      <c r="I854" s="752"/>
      <c r="J854" s="736"/>
      <c r="K854" s="752"/>
      <c r="L854" s="752"/>
      <c r="M854" s="736"/>
      <c r="N854" s="738"/>
      <c r="O854" s="738"/>
      <c r="P854" s="736"/>
      <c r="Q854" s="753"/>
      <c r="R854" s="738"/>
      <c r="S854" s="753">
        <v>2000000</v>
      </c>
      <c r="T854" s="808">
        <v>1100120</v>
      </c>
      <c r="U854" s="754">
        <v>2000000</v>
      </c>
      <c r="V854" s="870">
        <v>1100122</v>
      </c>
    </row>
    <row r="855" spans="1:22" ht="15" x14ac:dyDescent="0.2">
      <c r="A855" s="728"/>
      <c r="B855" s="816" t="s">
        <v>1747</v>
      </c>
      <c r="C855" s="823">
        <f t="shared" ref="C855:P855" si="318">SUM(C865:C884)</f>
        <v>4434382.0799999991</v>
      </c>
      <c r="D855" s="823">
        <f t="shared" si="318"/>
        <v>5334690.22</v>
      </c>
      <c r="E855" s="823">
        <f t="shared" si="318"/>
        <v>4699018.33</v>
      </c>
      <c r="F855" s="823">
        <f t="shared" si="318"/>
        <v>4806075.79</v>
      </c>
      <c r="G855" s="823">
        <f t="shared" si="318"/>
        <v>4956480.8999999994</v>
      </c>
      <c r="H855" s="823">
        <f t="shared" si="318"/>
        <v>7116.9600000000009</v>
      </c>
      <c r="I855" s="823">
        <f t="shared" si="318"/>
        <v>0</v>
      </c>
      <c r="J855" s="823">
        <f t="shared" si="318"/>
        <v>4963597.8600000003</v>
      </c>
      <c r="K855" s="823">
        <f t="shared" si="318"/>
        <v>114555.12000000001</v>
      </c>
      <c r="L855" s="823">
        <f t="shared" si="318"/>
        <v>0</v>
      </c>
      <c r="M855" s="823">
        <f t="shared" si="318"/>
        <v>5078152.9800000004</v>
      </c>
      <c r="N855" s="823">
        <f t="shared" si="318"/>
        <v>257048.40000000002</v>
      </c>
      <c r="O855" s="823">
        <f t="shared" si="318"/>
        <v>257048.40000000002</v>
      </c>
      <c r="P855" s="823">
        <f t="shared" si="318"/>
        <v>5078152.9800000004</v>
      </c>
      <c r="Q855" s="885">
        <f>+Q856+Q857</f>
        <v>0</v>
      </c>
      <c r="R855" s="885">
        <f t="shared" ref="R855:S855" si="319">+R856+R857</f>
        <v>0</v>
      </c>
      <c r="S855" s="885">
        <f t="shared" si="319"/>
        <v>1200000</v>
      </c>
      <c r="T855" s="731"/>
      <c r="U855" s="732">
        <f t="shared" ref="U855" si="320">+U856+U857</f>
        <v>0</v>
      </c>
      <c r="V855" s="728"/>
    </row>
    <row r="856" spans="1:22" ht="15" x14ac:dyDescent="0.2">
      <c r="A856" s="886">
        <v>4411</v>
      </c>
      <c r="B856" s="743" t="s">
        <v>34</v>
      </c>
      <c r="C856" s="823"/>
      <c r="D856" s="823"/>
      <c r="E856" s="823"/>
      <c r="F856" s="823"/>
      <c r="G856" s="823"/>
      <c r="H856" s="823"/>
      <c r="I856" s="823"/>
      <c r="J856" s="823"/>
      <c r="K856" s="823"/>
      <c r="L856" s="823"/>
      <c r="M856" s="823"/>
      <c r="N856" s="823"/>
      <c r="O856" s="823"/>
      <c r="P856" s="823"/>
      <c r="Q856" s="887"/>
      <c r="R856" s="887"/>
      <c r="S856" s="738">
        <v>1000000</v>
      </c>
      <c r="T856" s="739">
        <v>1100120</v>
      </c>
      <c r="U856" s="745"/>
      <c r="V856" s="739">
        <v>1100120</v>
      </c>
    </row>
    <row r="857" spans="1:22" ht="15" x14ac:dyDescent="0.2">
      <c r="A857" s="886">
        <v>4411</v>
      </c>
      <c r="B857" s="822" t="s">
        <v>34</v>
      </c>
      <c r="C857" s="823"/>
      <c r="D857" s="823"/>
      <c r="E857" s="823"/>
      <c r="F857" s="823"/>
      <c r="G857" s="823"/>
      <c r="H857" s="823"/>
      <c r="I857" s="823"/>
      <c r="J857" s="823"/>
      <c r="K857" s="823"/>
      <c r="L857" s="823"/>
      <c r="M857" s="823"/>
      <c r="N857" s="823"/>
      <c r="O857" s="823"/>
      <c r="P857" s="823"/>
      <c r="Q857" s="887"/>
      <c r="R857" s="887"/>
      <c r="S857" s="738">
        <v>200000</v>
      </c>
      <c r="T857" s="739">
        <v>1100122</v>
      </c>
      <c r="U857" s="745"/>
      <c r="V857" s="739">
        <v>1100122</v>
      </c>
    </row>
    <row r="858" spans="1:22" ht="15" x14ac:dyDescent="0.2">
      <c r="A858" s="728" t="s">
        <v>1116</v>
      </c>
      <c r="B858" s="816" t="s">
        <v>1541</v>
      </c>
      <c r="C858" s="853"/>
      <c r="D858" s="853"/>
      <c r="E858" s="853"/>
      <c r="F858" s="853"/>
      <c r="G858" s="853"/>
      <c r="H858" s="853"/>
      <c r="I858" s="853"/>
      <c r="J858" s="853"/>
      <c r="K858" s="853"/>
      <c r="L858" s="853"/>
      <c r="M858" s="853"/>
      <c r="N858" s="853"/>
      <c r="O858" s="853"/>
      <c r="P858" s="853"/>
      <c r="Q858" s="850">
        <f>+Q859</f>
        <v>0</v>
      </c>
      <c r="R858" s="850">
        <f t="shared" ref="R858:S858" si="321">+R859</f>
        <v>0</v>
      </c>
      <c r="S858" s="850">
        <f t="shared" si="321"/>
        <v>3000000</v>
      </c>
      <c r="T858" s="888"/>
      <c r="U858" s="814">
        <f>+U859</f>
        <v>1000000</v>
      </c>
      <c r="V858" s="837"/>
    </row>
    <row r="859" spans="1:22" ht="15" x14ac:dyDescent="0.2">
      <c r="A859" s="889">
        <v>4411</v>
      </c>
      <c r="B859" s="755" t="s">
        <v>34</v>
      </c>
      <c r="C859" s="823"/>
      <c r="D859" s="823"/>
      <c r="E859" s="823"/>
      <c r="F859" s="823"/>
      <c r="G859" s="823"/>
      <c r="H859" s="823"/>
      <c r="I859" s="823"/>
      <c r="J859" s="823"/>
      <c r="K859" s="823"/>
      <c r="L859" s="823"/>
      <c r="M859" s="823"/>
      <c r="N859" s="823"/>
      <c r="O859" s="823"/>
      <c r="P859" s="823"/>
      <c r="Q859" s="887"/>
      <c r="R859" s="887"/>
      <c r="S859" s="807">
        <v>3000000</v>
      </c>
      <c r="T859" s="787"/>
      <c r="U859" s="742">
        <v>1000000</v>
      </c>
      <c r="V859" s="741">
        <v>1100122</v>
      </c>
    </row>
    <row r="860" spans="1:22" ht="15" x14ac:dyDescent="0.2">
      <c r="A860" s="728" t="s">
        <v>1117</v>
      </c>
      <c r="B860" s="816" t="s">
        <v>1555</v>
      </c>
      <c r="C860" s="853"/>
      <c r="D860" s="853"/>
      <c r="E860" s="853"/>
      <c r="F860" s="853"/>
      <c r="G860" s="853"/>
      <c r="H860" s="853"/>
      <c r="I860" s="853"/>
      <c r="J860" s="853"/>
      <c r="K860" s="853"/>
      <c r="L860" s="853"/>
      <c r="M860" s="853"/>
      <c r="N860" s="853"/>
      <c r="O860" s="853"/>
      <c r="P860" s="853"/>
      <c r="Q860" s="850">
        <f>+Q861</f>
        <v>0</v>
      </c>
      <c r="R860" s="850">
        <f t="shared" ref="R860:S860" si="322">+R861</f>
        <v>0</v>
      </c>
      <c r="S860" s="850">
        <f t="shared" si="322"/>
        <v>0</v>
      </c>
      <c r="T860" s="858"/>
      <c r="U860" s="814">
        <f>+U861</f>
        <v>80000</v>
      </c>
      <c r="V860" s="837"/>
    </row>
    <row r="861" spans="1:22" ht="15" x14ac:dyDescent="0.2">
      <c r="A861" s="734">
        <v>5211</v>
      </c>
      <c r="B861" s="735" t="s">
        <v>1729</v>
      </c>
      <c r="C861" s="736"/>
      <c r="D861" s="736"/>
      <c r="E861" s="749"/>
      <c r="F861" s="736"/>
      <c r="G861" s="752"/>
      <c r="H861" s="752"/>
      <c r="I861" s="752"/>
      <c r="J861" s="736"/>
      <c r="K861" s="752"/>
      <c r="L861" s="752"/>
      <c r="M861" s="736"/>
      <c r="N861" s="736"/>
      <c r="O861" s="736"/>
      <c r="P861" s="736"/>
      <c r="Q861" s="753"/>
      <c r="R861" s="738"/>
      <c r="S861" s="753"/>
      <c r="T861" s="808">
        <v>1100121</v>
      </c>
      <c r="U861" s="746">
        <v>80000</v>
      </c>
      <c r="V861" s="870">
        <v>1100122</v>
      </c>
    </row>
    <row r="862" spans="1:22" ht="15" x14ac:dyDescent="0.2">
      <c r="A862" s="890"/>
      <c r="B862" s="891" t="s">
        <v>1748</v>
      </c>
      <c r="C862" s="853"/>
      <c r="D862" s="853"/>
      <c r="E862" s="853"/>
      <c r="F862" s="853"/>
      <c r="G862" s="853"/>
      <c r="H862" s="853"/>
      <c r="I862" s="853"/>
      <c r="J862" s="853"/>
      <c r="K862" s="853"/>
      <c r="L862" s="853"/>
      <c r="M862" s="853"/>
      <c r="N862" s="853"/>
      <c r="O862" s="853"/>
      <c r="P862" s="853"/>
      <c r="Q862" s="850">
        <f>+Q863+Q864</f>
        <v>0</v>
      </c>
      <c r="R862" s="850">
        <f t="shared" ref="R862:S862" si="323">+R863+R864</f>
        <v>0</v>
      </c>
      <c r="S862" s="850">
        <f t="shared" si="323"/>
        <v>2000000</v>
      </c>
      <c r="T862" s="892"/>
      <c r="U862" s="893">
        <f>+U863+U864</f>
        <v>0</v>
      </c>
      <c r="V862" s="858"/>
    </row>
    <row r="863" spans="1:22" ht="15" x14ac:dyDescent="0.2">
      <c r="A863" s="886">
        <v>4411</v>
      </c>
      <c r="B863" s="822" t="s">
        <v>34</v>
      </c>
      <c r="C863" s="736"/>
      <c r="D863" s="736"/>
      <c r="E863" s="749"/>
      <c r="F863" s="736"/>
      <c r="G863" s="752"/>
      <c r="H863" s="752"/>
      <c r="I863" s="752"/>
      <c r="J863" s="736"/>
      <c r="K863" s="752"/>
      <c r="L863" s="752"/>
      <c r="M863" s="736"/>
      <c r="N863" s="736"/>
      <c r="O863" s="736"/>
      <c r="P863" s="736"/>
      <c r="Q863" s="753"/>
      <c r="R863" s="738"/>
      <c r="S863" s="894">
        <v>1000000</v>
      </c>
      <c r="T863" s="872">
        <v>1100121</v>
      </c>
      <c r="U863" s="744">
        <v>0</v>
      </c>
      <c r="V863" s="872">
        <v>1100122</v>
      </c>
    </row>
    <row r="864" spans="1:22" ht="15" x14ac:dyDescent="0.2">
      <c r="A864" s="886">
        <v>4411</v>
      </c>
      <c r="B864" s="822" t="s">
        <v>34</v>
      </c>
      <c r="C864" s="736"/>
      <c r="D864" s="736"/>
      <c r="E864" s="749"/>
      <c r="F864" s="736"/>
      <c r="G864" s="752"/>
      <c r="H864" s="752"/>
      <c r="I864" s="752"/>
      <c r="J864" s="736"/>
      <c r="K864" s="752"/>
      <c r="L864" s="752"/>
      <c r="M864" s="736"/>
      <c r="N864" s="736"/>
      <c r="O864" s="736"/>
      <c r="P864" s="736"/>
      <c r="Q864" s="753"/>
      <c r="R864" s="738"/>
      <c r="S864" s="894">
        <v>1000000</v>
      </c>
      <c r="T864" s="872">
        <v>2610121</v>
      </c>
      <c r="U864" s="744">
        <v>0</v>
      </c>
      <c r="V864" s="872">
        <v>2610122</v>
      </c>
    </row>
    <row r="865" spans="1:22" ht="15" x14ac:dyDescent="0.2">
      <c r="A865" s="724" t="s">
        <v>167</v>
      </c>
      <c r="B865" s="725" t="s">
        <v>168</v>
      </c>
      <c r="C865" s="721">
        <f t="shared" ref="C865:S865" si="324">SUM(C866)</f>
        <v>1480216.6899999997</v>
      </c>
      <c r="D865" s="721">
        <f t="shared" si="324"/>
        <v>1784896.7399999998</v>
      </c>
      <c r="E865" s="721">
        <f t="shared" si="324"/>
        <v>1573006.1099999999</v>
      </c>
      <c r="F865" s="721">
        <f t="shared" si="324"/>
        <v>1604741.21</v>
      </c>
      <c r="G865" s="721">
        <f t="shared" si="324"/>
        <v>1652160.2999999996</v>
      </c>
      <c r="H865" s="721">
        <f t="shared" si="324"/>
        <v>2372.3200000000002</v>
      </c>
      <c r="I865" s="721">
        <f t="shared" si="324"/>
        <v>0</v>
      </c>
      <c r="J865" s="721">
        <f t="shared" si="324"/>
        <v>1654532.6199999996</v>
      </c>
      <c r="K865" s="721">
        <f t="shared" si="324"/>
        <v>38185.040000000001</v>
      </c>
      <c r="L865" s="721">
        <f t="shared" si="324"/>
        <v>0</v>
      </c>
      <c r="M865" s="721">
        <f t="shared" si="324"/>
        <v>1692717.66</v>
      </c>
      <c r="N865" s="721">
        <f t="shared" si="324"/>
        <v>85682.8</v>
      </c>
      <c r="O865" s="721">
        <f t="shared" si="324"/>
        <v>85682.8</v>
      </c>
      <c r="P865" s="721">
        <f t="shared" si="324"/>
        <v>1692717.66</v>
      </c>
      <c r="Q865" s="756">
        <f t="shared" si="324"/>
        <v>1796094.99</v>
      </c>
      <c r="R865" s="756">
        <f t="shared" si="324"/>
        <v>2372.3200000000002</v>
      </c>
      <c r="S865" s="756">
        <f t="shared" si="324"/>
        <v>1801129.5399999998</v>
      </c>
      <c r="T865" s="724"/>
      <c r="U865" s="726">
        <f t="shared" ref="U865" si="325">SUM(U866)</f>
        <v>1980392.29</v>
      </c>
      <c r="V865" s="727"/>
    </row>
    <row r="866" spans="1:22" ht="15" x14ac:dyDescent="0.2">
      <c r="A866" s="728" t="s">
        <v>169</v>
      </c>
      <c r="B866" s="729" t="s">
        <v>1614</v>
      </c>
      <c r="C866" s="730">
        <f t="shared" ref="C866:S866" si="326">SUM(C867:C885)</f>
        <v>1480216.6899999997</v>
      </c>
      <c r="D866" s="730">
        <f t="shared" si="326"/>
        <v>1784896.7399999998</v>
      </c>
      <c r="E866" s="730">
        <f t="shared" si="326"/>
        <v>1573006.1099999999</v>
      </c>
      <c r="F866" s="730">
        <f t="shared" si="326"/>
        <v>1604741.21</v>
      </c>
      <c r="G866" s="730">
        <f t="shared" si="326"/>
        <v>1652160.2999999996</v>
      </c>
      <c r="H866" s="730">
        <f t="shared" si="326"/>
        <v>2372.3200000000002</v>
      </c>
      <c r="I866" s="730">
        <f t="shared" si="326"/>
        <v>0</v>
      </c>
      <c r="J866" s="730">
        <f t="shared" si="326"/>
        <v>1654532.6199999996</v>
      </c>
      <c r="K866" s="730">
        <f t="shared" si="326"/>
        <v>38185.040000000001</v>
      </c>
      <c r="L866" s="730">
        <f t="shared" si="326"/>
        <v>0</v>
      </c>
      <c r="M866" s="730">
        <f t="shared" si="326"/>
        <v>1692717.66</v>
      </c>
      <c r="N866" s="730">
        <f t="shared" si="326"/>
        <v>85682.8</v>
      </c>
      <c r="O866" s="730">
        <f t="shared" si="326"/>
        <v>85682.8</v>
      </c>
      <c r="P866" s="730">
        <f t="shared" si="326"/>
        <v>1692717.66</v>
      </c>
      <c r="Q866" s="748">
        <f t="shared" si="326"/>
        <v>1796094.99</v>
      </c>
      <c r="R866" s="748">
        <f t="shared" si="326"/>
        <v>2372.3200000000002</v>
      </c>
      <c r="S866" s="748">
        <f t="shared" si="326"/>
        <v>1801129.5399999998</v>
      </c>
      <c r="T866" s="731"/>
      <c r="U866" s="732">
        <f>SUM(U867:U885)</f>
        <v>1980392.29</v>
      </c>
      <c r="V866" s="733"/>
    </row>
    <row r="867" spans="1:22" ht="15" x14ac:dyDescent="0.25">
      <c r="A867" s="734">
        <v>1131</v>
      </c>
      <c r="B867" s="735" t="s">
        <v>6</v>
      </c>
      <c r="C867" s="736">
        <v>547308.96</v>
      </c>
      <c r="D867" s="736">
        <v>565805.24</v>
      </c>
      <c r="E867" s="749">
        <v>565805.24</v>
      </c>
      <c r="F867" s="736">
        <v>626214.26</v>
      </c>
      <c r="G867" s="736">
        <v>615606.19999999995</v>
      </c>
      <c r="H867" s="736"/>
      <c r="I867" s="736"/>
      <c r="J867" s="736">
        <f t="shared" ref="J867:J885" si="327">G867+H867-I867</f>
        <v>615606.19999999995</v>
      </c>
      <c r="K867" s="736">
        <v>2759.74</v>
      </c>
      <c r="L867" s="736"/>
      <c r="M867" s="736">
        <f t="shared" ref="M867:M885" si="328">J867+K867-L867</f>
        <v>618365.93999999994</v>
      </c>
      <c r="N867" s="738"/>
      <c r="O867" s="738">
        <v>85682.8</v>
      </c>
      <c r="P867" s="736">
        <f t="shared" ref="P867:P885" si="329">M867+N867-O867</f>
        <v>532683.1399999999</v>
      </c>
      <c r="Q867" s="738">
        <v>609027.53</v>
      </c>
      <c r="R867" s="738"/>
      <c r="S867" s="751">
        <v>507070.2</v>
      </c>
      <c r="T867" s="739">
        <v>1500521</v>
      </c>
      <c r="U867" s="779">
        <v>660399.86</v>
      </c>
      <c r="V867" s="741">
        <v>1500522</v>
      </c>
    </row>
    <row r="868" spans="1:22" ht="15" x14ac:dyDescent="0.25">
      <c r="A868" s="734">
        <v>1132</v>
      </c>
      <c r="B868" s="735" t="s">
        <v>8</v>
      </c>
      <c r="C868" s="736"/>
      <c r="D868" s="736">
        <v>170000</v>
      </c>
      <c r="E868" s="749">
        <v>0</v>
      </c>
      <c r="F868" s="736">
        <v>0</v>
      </c>
      <c r="G868" s="736"/>
      <c r="H868" s="736"/>
      <c r="I868" s="736"/>
      <c r="J868" s="736">
        <f t="shared" si="327"/>
        <v>0</v>
      </c>
      <c r="K868" s="736"/>
      <c r="L868" s="736"/>
      <c r="M868" s="736">
        <f t="shared" si="328"/>
        <v>0</v>
      </c>
      <c r="N868" s="738">
        <v>85682.8</v>
      </c>
      <c r="O868" s="738"/>
      <c r="P868" s="736">
        <f t="shared" si="329"/>
        <v>85682.8</v>
      </c>
      <c r="Q868" s="738">
        <v>106587.96</v>
      </c>
      <c r="R868" s="738"/>
      <c r="S868" s="751">
        <v>239679.44</v>
      </c>
      <c r="T868" s="739">
        <v>1500521</v>
      </c>
      <c r="U868" s="779">
        <v>226006.07</v>
      </c>
      <c r="V868" s="741">
        <v>1500522</v>
      </c>
    </row>
    <row r="869" spans="1:22" ht="15" x14ac:dyDescent="0.25">
      <c r="A869" s="734">
        <v>1321</v>
      </c>
      <c r="B869" s="735" t="s">
        <v>9</v>
      </c>
      <c r="C869" s="736">
        <v>37003.47</v>
      </c>
      <c r="D869" s="736">
        <v>39611.019999999997</v>
      </c>
      <c r="E869" s="749">
        <v>39611.019999999997</v>
      </c>
      <c r="F869" s="736">
        <v>39611.019999999997</v>
      </c>
      <c r="G869" s="736">
        <v>45076</v>
      </c>
      <c r="H869" s="736"/>
      <c r="I869" s="736"/>
      <c r="J869" s="736">
        <f t="shared" si="327"/>
        <v>45076</v>
      </c>
      <c r="K869" s="736">
        <v>1509.58</v>
      </c>
      <c r="L869" s="736"/>
      <c r="M869" s="736">
        <f t="shared" si="328"/>
        <v>46585.58</v>
      </c>
      <c r="N869" s="736"/>
      <c r="O869" s="736"/>
      <c r="P869" s="736">
        <f t="shared" si="329"/>
        <v>46585.58</v>
      </c>
      <c r="Q869" s="738">
        <v>46585.58</v>
      </c>
      <c r="R869" s="738"/>
      <c r="S869" s="751">
        <v>53954.3</v>
      </c>
      <c r="T869" s="739">
        <v>1500521</v>
      </c>
      <c r="U869" s="779">
        <v>50876.28</v>
      </c>
      <c r="V869" s="741">
        <v>1500522</v>
      </c>
    </row>
    <row r="870" spans="1:22" ht="15" x14ac:dyDescent="0.25">
      <c r="A870" s="734">
        <v>1323</v>
      </c>
      <c r="B870" s="735" t="s">
        <v>11</v>
      </c>
      <c r="C870" s="736">
        <v>106656</v>
      </c>
      <c r="D870" s="736">
        <v>110387.5</v>
      </c>
      <c r="E870" s="749">
        <v>110387.5</v>
      </c>
      <c r="F870" s="736">
        <v>112044</v>
      </c>
      <c r="G870" s="736">
        <v>115965</v>
      </c>
      <c r="H870" s="736"/>
      <c r="I870" s="736"/>
      <c r="J870" s="736">
        <f t="shared" si="327"/>
        <v>115965</v>
      </c>
      <c r="K870" s="736">
        <v>3883.11</v>
      </c>
      <c r="L870" s="736"/>
      <c r="M870" s="736">
        <f t="shared" si="328"/>
        <v>119848.11</v>
      </c>
      <c r="N870" s="736"/>
      <c r="O870" s="736"/>
      <c r="P870" s="736">
        <f t="shared" si="329"/>
        <v>119848.11</v>
      </c>
      <c r="Q870" s="738">
        <v>119848.11</v>
      </c>
      <c r="R870" s="738"/>
      <c r="S870" s="751">
        <v>136656.5</v>
      </c>
      <c r="T870" s="739">
        <v>1500521</v>
      </c>
      <c r="U870" s="779">
        <v>138438.51999999999</v>
      </c>
      <c r="V870" s="741">
        <v>1500522</v>
      </c>
    </row>
    <row r="871" spans="1:22" ht="15" x14ac:dyDescent="0.25">
      <c r="A871" s="734">
        <v>1413</v>
      </c>
      <c r="B871" s="735" t="s">
        <v>13</v>
      </c>
      <c r="C871" s="736">
        <v>145012.34</v>
      </c>
      <c r="D871" s="736">
        <v>166350.20000000001</v>
      </c>
      <c r="E871" s="749">
        <v>166350.20000000001</v>
      </c>
      <c r="F871" s="736">
        <v>161183.12</v>
      </c>
      <c r="G871" s="736">
        <v>185851.7</v>
      </c>
      <c r="H871" s="736"/>
      <c r="I871" s="736"/>
      <c r="J871" s="736">
        <f t="shared" si="327"/>
        <v>185851.7</v>
      </c>
      <c r="K871" s="736">
        <v>5828.68</v>
      </c>
      <c r="L871" s="736"/>
      <c r="M871" s="736">
        <f t="shared" si="328"/>
        <v>191680.38</v>
      </c>
      <c r="N871" s="736"/>
      <c r="O871" s="736"/>
      <c r="P871" s="736">
        <f t="shared" si="329"/>
        <v>191680.38</v>
      </c>
      <c r="Q871" s="738">
        <v>191680.38</v>
      </c>
      <c r="R871" s="738"/>
      <c r="S871" s="751">
        <v>218720.88</v>
      </c>
      <c r="T871" s="739">
        <v>1500521</v>
      </c>
      <c r="U871" s="779">
        <v>206142.35</v>
      </c>
      <c r="V871" s="741">
        <v>1500522</v>
      </c>
    </row>
    <row r="872" spans="1:22" ht="15" x14ac:dyDescent="0.25">
      <c r="A872" s="734">
        <v>1421</v>
      </c>
      <c r="B872" s="735" t="s">
        <v>15</v>
      </c>
      <c r="C872" s="736">
        <v>58395.94</v>
      </c>
      <c r="D872" s="736">
        <v>48386.44</v>
      </c>
      <c r="E872" s="749">
        <v>43686.44</v>
      </c>
      <c r="F872" s="736">
        <v>46858.720000000001</v>
      </c>
      <c r="G872" s="736">
        <v>51176.6</v>
      </c>
      <c r="H872" s="736"/>
      <c r="I872" s="736"/>
      <c r="J872" s="736">
        <f t="shared" si="327"/>
        <v>51176.6</v>
      </c>
      <c r="K872" s="736">
        <v>1543.36</v>
      </c>
      <c r="L872" s="736"/>
      <c r="M872" s="736">
        <f t="shared" si="328"/>
        <v>52719.96</v>
      </c>
      <c r="N872" s="736"/>
      <c r="O872" s="736"/>
      <c r="P872" s="736">
        <f t="shared" si="329"/>
        <v>52719.96</v>
      </c>
      <c r="Q872" s="738">
        <v>52719.96</v>
      </c>
      <c r="R872" s="738"/>
      <c r="S872" s="751">
        <v>60084.24</v>
      </c>
      <c r="T872" s="739">
        <v>1500521</v>
      </c>
      <c r="U872" s="779">
        <v>59424.06</v>
      </c>
      <c r="V872" s="741">
        <v>1500522</v>
      </c>
    </row>
    <row r="873" spans="1:22" ht="15" x14ac:dyDescent="0.25">
      <c r="A873" s="734">
        <v>1431</v>
      </c>
      <c r="B873" s="735" t="s">
        <v>16</v>
      </c>
      <c r="C873" s="736">
        <v>61882.27</v>
      </c>
      <c r="D873" s="736">
        <v>49837.9</v>
      </c>
      <c r="E873" s="749">
        <v>45828.9</v>
      </c>
      <c r="F873" s="736">
        <v>49540.84</v>
      </c>
      <c r="G873" s="736">
        <v>52711.8</v>
      </c>
      <c r="H873" s="736"/>
      <c r="I873" s="736"/>
      <c r="J873" s="736">
        <f t="shared" si="327"/>
        <v>52711.8</v>
      </c>
      <c r="K873" s="736">
        <v>1578.97</v>
      </c>
      <c r="L873" s="736"/>
      <c r="M873" s="736">
        <f t="shared" si="328"/>
        <v>54290.770000000004</v>
      </c>
      <c r="N873" s="736"/>
      <c r="O873" s="736"/>
      <c r="P873" s="736">
        <f t="shared" si="329"/>
        <v>54290.770000000004</v>
      </c>
      <c r="Q873" s="738">
        <v>54290.77</v>
      </c>
      <c r="R873" s="738"/>
      <c r="S873" s="751">
        <v>61886.879999999997</v>
      </c>
      <c r="T873" s="739">
        <v>1500521</v>
      </c>
      <c r="U873" s="779">
        <v>60086.75</v>
      </c>
      <c r="V873" s="741">
        <v>1500522</v>
      </c>
    </row>
    <row r="874" spans="1:22" ht="15" x14ac:dyDescent="0.25">
      <c r="A874" s="734">
        <v>1511</v>
      </c>
      <c r="B874" s="735" t="s">
        <v>18</v>
      </c>
      <c r="C874" s="736">
        <v>14908.86</v>
      </c>
      <c r="D874" s="736">
        <v>16077.88</v>
      </c>
      <c r="E874" s="749">
        <v>16077.88</v>
      </c>
      <c r="F874" s="736">
        <v>16623.169999999998</v>
      </c>
      <c r="G874" s="736">
        <v>16882.399999999998</v>
      </c>
      <c r="H874" s="736"/>
      <c r="I874" s="736"/>
      <c r="J874" s="736">
        <f t="shared" si="327"/>
        <v>16882.399999999998</v>
      </c>
      <c r="K874" s="736">
        <v>565.6</v>
      </c>
      <c r="L874" s="736"/>
      <c r="M874" s="736">
        <f t="shared" si="328"/>
        <v>17447.999999999996</v>
      </c>
      <c r="N874" s="736"/>
      <c r="O874" s="736"/>
      <c r="P874" s="736">
        <f t="shared" si="329"/>
        <v>17447.999999999996</v>
      </c>
      <c r="Q874" s="738">
        <v>20125.95</v>
      </c>
      <c r="R874" s="738"/>
      <c r="S874" s="751">
        <v>19896.240000000002</v>
      </c>
      <c r="T874" s="739">
        <v>1500521</v>
      </c>
      <c r="U874" s="779">
        <v>20781.41</v>
      </c>
      <c r="V874" s="741">
        <v>1500522</v>
      </c>
    </row>
    <row r="875" spans="1:22" ht="15" x14ac:dyDescent="0.25">
      <c r="A875" s="734">
        <v>1541</v>
      </c>
      <c r="B875" s="735" t="s">
        <v>19</v>
      </c>
      <c r="C875" s="736">
        <v>203778.36</v>
      </c>
      <c r="D875" s="736">
        <v>240624.8</v>
      </c>
      <c r="E875" s="749">
        <v>237610.03</v>
      </c>
      <c r="F875" s="736">
        <v>245055.25</v>
      </c>
      <c r="G875" s="736">
        <v>319051.89999999997</v>
      </c>
      <c r="H875" s="736"/>
      <c r="I875" s="736"/>
      <c r="J875" s="736">
        <f t="shared" si="327"/>
        <v>319051.89999999997</v>
      </c>
      <c r="K875" s="736">
        <v>12144.55</v>
      </c>
      <c r="L875" s="736"/>
      <c r="M875" s="736">
        <f t="shared" si="328"/>
        <v>331196.44999999995</v>
      </c>
      <c r="N875" s="736"/>
      <c r="O875" s="736"/>
      <c r="P875" s="736">
        <f t="shared" si="329"/>
        <v>331196.44999999995</v>
      </c>
      <c r="Q875" s="738">
        <v>301765.59999999998</v>
      </c>
      <c r="R875" s="738"/>
      <c r="S875" s="751">
        <v>255071.18</v>
      </c>
      <c r="T875" s="739">
        <v>1500521</v>
      </c>
      <c r="U875" s="779">
        <v>276975.26</v>
      </c>
      <c r="V875" s="741">
        <v>1500522</v>
      </c>
    </row>
    <row r="876" spans="1:22" ht="15" x14ac:dyDescent="0.25">
      <c r="A876" s="734">
        <v>1592</v>
      </c>
      <c r="B876" s="735" t="s">
        <v>20</v>
      </c>
      <c r="C876" s="736">
        <v>220568.52</v>
      </c>
      <c r="D876" s="736">
        <v>267815.76</v>
      </c>
      <c r="E876" s="749">
        <v>237648.9</v>
      </c>
      <c r="F876" s="736">
        <v>245943.91</v>
      </c>
      <c r="G876" s="736">
        <v>249838.7</v>
      </c>
      <c r="H876" s="736"/>
      <c r="I876" s="736"/>
      <c r="J876" s="736">
        <f t="shared" si="327"/>
        <v>249838.7</v>
      </c>
      <c r="K876" s="736">
        <v>8371.4500000000007</v>
      </c>
      <c r="L876" s="736"/>
      <c r="M876" s="736">
        <f t="shared" si="328"/>
        <v>258210.15000000002</v>
      </c>
      <c r="N876" s="736"/>
      <c r="O876" s="736"/>
      <c r="P876" s="736">
        <f t="shared" si="329"/>
        <v>258210.15000000002</v>
      </c>
      <c r="Q876" s="738">
        <v>291090.83</v>
      </c>
      <c r="R876" s="738"/>
      <c r="S876" s="751">
        <v>248109.68</v>
      </c>
      <c r="T876" s="739">
        <v>1500521</v>
      </c>
      <c r="U876" s="779">
        <v>281261.73</v>
      </c>
      <c r="V876" s="741">
        <v>1500522</v>
      </c>
    </row>
    <row r="877" spans="1:22" ht="15" x14ac:dyDescent="0.2">
      <c r="A877" s="739">
        <v>2112</v>
      </c>
      <c r="B877" s="743" t="s">
        <v>39</v>
      </c>
      <c r="C877" s="736">
        <v>3440</v>
      </c>
      <c r="D877" s="736"/>
      <c r="E877" s="749"/>
      <c r="F877" s="736"/>
      <c r="G877" s="736"/>
      <c r="H877" s="736"/>
      <c r="I877" s="736"/>
      <c r="J877" s="736">
        <f t="shared" si="327"/>
        <v>0</v>
      </c>
      <c r="K877" s="736"/>
      <c r="L877" s="736"/>
      <c r="M877" s="736">
        <f t="shared" si="328"/>
        <v>0</v>
      </c>
      <c r="N877" s="736"/>
      <c r="O877" s="736"/>
      <c r="P877" s="738">
        <f t="shared" si="329"/>
        <v>0</v>
      </c>
      <c r="Q877" s="738"/>
      <c r="R877" s="738"/>
      <c r="S877" s="738"/>
      <c r="T877" s="739"/>
      <c r="U877" s="745"/>
      <c r="V877" s="739"/>
    </row>
    <row r="878" spans="1:22" ht="15" x14ac:dyDescent="0.2">
      <c r="A878" s="739">
        <v>2121</v>
      </c>
      <c r="B878" s="743" t="s">
        <v>39</v>
      </c>
      <c r="C878" s="736"/>
      <c r="D878" s="736"/>
      <c r="E878" s="736"/>
      <c r="F878" s="736"/>
      <c r="G878" s="736"/>
      <c r="H878" s="736"/>
      <c r="I878" s="736"/>
      <c r="J878" s="736">
        <f t="shared" si="327"/>
        <v>0</v>
      </c>
      <c r="K878" s="736"/>
      <c r="L878" s="736"/>
      <c r="M878" s="736">
        <f t="shared" si="328"/>
        <v>0</v>
      </c>
      <c r="N878" s="736"/>
      <c r="O878" s="736"/>
      <c r="P878" s="738">
        <f t="shared" si="329"/>
        <v>0</v>
      </c>
      <c r="Q878" s="738"/>
      <c r="R878" s="738"/>
      <c r="S878" s="738"/>
      <c r="T878" s="739"/>
      <c r="U878" s="745"/>
      <c r="V878" s="739"/>
    </row>
    <row r="879" spans="1:22" ht="15" x14ac:dyDescent="0.2">
      <c r="A879" s="739">
        <v>2142</v>
      </c>
      <c r="B879" s="743" t="s">
        <v>170</v>
      </c>
      <c r="C879" s="736">
        <v>1612.4</v>
      </c>
      <c r="D879" s="736"/>
      <c r="E879" s="736"/>
      <c r="F879" s="736"/>
      <c r="G879" s="736"/>
      <c r="H879" s="736"/>
      <c r="I879" s="736"/>
      <c r="J879" s="736">
        <f t="shared" si="327"/>
        <v>0</v>
      </c>
      <c r="K879" s="736"/>
      <c r="L879" s="736"/>
      <c r="M879" s="736">
        <f t="shared" si="328"/>
        <v>0</v>
      </c>
      <c r="N879" s="736"/>
      <c r="O879" s="736"/>
      <c r="P879" s="738">
        <f t="shared" si="329"/>
        <v>0</v>
      </c>
      <c r="Q879" s="738"/>
      <c r="R879" s="738"/>
      <c r="S879" s="738"/>
      <c r="T879" s="739"/>
      <c r="U879" s="745"/>
      <c r="V879" s="739"/>
    </row>
    <row r="880" spans="1:22" ht="15" x14ac:dyDescent="0.2">
      <c r="A880" s="739">
        <v>2491</v>
      </c>
      <c r="B880" s="743" t="s">
        <v>41</v>
      </c>
      <c r="C880" s="736"/>
      <c r="D880" s="736"/>
      <c r="E880" s="736"/>
      <c r="F880" s="736"/>
      <c r="G880" s="736"/>
      <c r="H880" s="736">
        <v>2372.3200000000002</v>
      </c>
      <c r="I880" s="736"/>
      <c r="J880" s="736">
        <f t="shared" si="327"/>
        <v>2372.3200000000002</v>
      </c>
      <c r="K880" s="736"/>
      <c r="L880" s="736"/>
      <c r="M880" s="736">
        <f t="shared" si="328"/>
        <v>2372.3200000000002</v>
      </c>
      <c r="N880" s="736"/>
      <c r="O880" s="736"/>
      <c r="P880" s="736">
        <f t="shared" si="329"/>
        <v>2372.3200000000002</v>
      </c>
      <c r="Q880" s="738">
        <v>2372.3200000000002</v>
      </c>
      <c r="R880" s="738">
        <v>2372.3200000000002</v>
      </c>
      <c r="S880" s="738"/>
      <c r="T880" s="739">
        <v>1100120</v>
      </c>
      <c r="U880" s="745"/>
      <c r="V880" s="739">
        <v>1100120</v>
      </c>
    </row>
    <row r="881" spans="1:22" ht="15" x14ac:dyDescent="0.2">
      <c r="A881" s="739">
        <v>2491</v>
      </c>
      <c r="B881" s="743" t="s">
        <v>41</v>
      </c>
      <c r="C881" s="736">
        <v>42683.95</v>
      </c>
      <c r="D881" s="736">
        <v>50000</v>
      </c>
      <c r="E881" s="749">
        <v>50000</v>
      </c>
      <c r="F881" s="736">
        <v>30791.86</v>
      </c>
      <c r="G881" s="736"/>
      <c r="H881" s="736"/>
      <c r="I881" s="736"/>
      <c r="J881" s="736">
        <f t="shared" si="327"/>
        <v>0</v>
      </c>
      <c r="K881" s="736"/>
      <c r="L881" s="736"/>
      <c r="M881" s="736">
        <f t="shared" si="328"/>
        <v>0</v>
      </c>
      <c r="N881" s="736"/>
      <c r="O881" s="736"/>
      <c r="P881" s="738">
        <f t="shared" si="329"/>
        <v>0</v>
      </c>
      <c r="Q881" s="738"/>
      <c r="R881" s="738"/>
      <c r="S881" s="738"/>
      <c r="T881" s="739">
        <v>1100121</v>
      </c>
      <c r="U881" s="745"/>
      <c r="V881" s="739">
        <v>1100122</v>
      </c>
    </row>
    <row r="882" spans="1:22" ht="15" x14ac:dyDescent="0.2">
      <c r="A882" s="739">
        <v>2911</v>
      </c>
      <c r="B882" s="743" t="s">
        <v>60</v>
      </c>
      <c r="C882" s="736">
        <v>8313.1299999999992</v>
      </c>
      <c r="D882" s="736">
        <v>10000</v>
      </c>
      <c r="E882" s="749">
        <v>10000</v>
      </c>
      <c r="F882" s="736">
        <v>6277.22</v>
      </c>
      <c r="G882" s="736"/>
      <c r="H882" s="736"/>
      <c r="I882" s="736"/>
      <c r="J882" s="736">
        <f t="shared" si="327"/>
        <v>0</v>
      </c>
      <c r="K882" s="736"/>
      <c r="L882" s="736"/>
      <c r="M882" s="736">
        <f t="shared" si="328"/>
        <v>0</v>
      </c>
      <c r="N882" s="736"/>
      <c r="O882" s="736"/>
      <c r="P882" s="738">
        <f t="shared" si="329"/>
        <v>0</v>
      </c>
      <c r="Q882" s="738"/>
      <c r="R882" s="738"/>
      <c r="S882" s="738"/>
      <c r="T882" s="739">
        <v>1100121</v>
      </c>
      <c r="U882" s="745"/>
      <c r="V882" s="739">
        <v>1100122</v>
      </c>
    </row>
    <row r="883" spans="1:22" ht="15" x14ac:dyDescent="0.2">
      <c r="A883" s="739">
        <v>3521</v>
      </c>
      <c r="B883" s="743" t="s">
        <v>120</v>
      </c>
      <c r="C883" s="736">
        <v>19380.099999999999</v>
      </c>
      <c r="D883" s="736">
        <v>20000</v>
      </c>
      <c r="E883" s="749">
        <v>20000</v>
      </c>
      <c r="F883" s="736">
        <v>6450</v>
      </c>
      <c r="G883" s="736"/>
      <c r="H883" s="736"/>
      <c r="I883" s="736"/>
      <c r="J883" s="736">
        <f t="shared" si="327"/>
        <v>0</v>
      </c>
      <c r="K883" s="736"/>
      <c r="L883" s="736"/>
      <c r="M883" s="736">
        <f t="shared" si="328"/>
        <v>0</v>
      </c>
      <c r="N883" s="736"/>
      <c r="O883" s="736"/>
      <c r="P883" s="738">
        <f t="shared" si="329"/>
        <v>0</v>
      </c>
      <c r="Q883" s="738"/>
      <c r="R883" s="738"/>
      <c r="S883" s="738"/>
      <c r="T883" s="739">
        <v>1100121</v>
      </c>
      <c r="U883" s="745"/>
      <c r="V883" s="739">
        <v>1100122</v>
      </c>
    </row>
    <row r="884" spans="1:22" ht="15" x14ac:dyDescent="0.2">
      <c r="A884" s="739">
        <v>3531</v>
      </c>
      <c r="B884" s="743" t="s">
        <v>121</v>
      </c>
      <c r="C884" s="736">
        <v>3004.4</v>
      </c>
      <c r="D884" s="736">
        <v>10000</v>
      </c>
      <c r="E884" s="749">
        <v>10000</v>
      </c>
      <c r="F884" s="736">
        <v>10000</v>
      </c>
      <c r="G884" s="736"/>
      <c r="H884" s="736"/>
      <c r="I884" s="736"/>
      <c r="J884" s="736">
        <f t="shared" si="327"/>
        <v>0</v>
      </c>
      <c r="K884" s="736"/>
      <c r="L884" s="736"/>
      <c r="M884" s="736">
        <f t="shared" si="328"/>
        <v>0</v>
      </c>
      <c r="N884" s="736"/>
      <c r="O884" s="736"/>
      <c r="P884" s="738">
        <f t="shared" si="329"/>
        <v>0</v>
      </c>
      <c r="Q884" s="738"/>
      <c r="R884" s="738"/>
      <c r="S884" s="738"/>
      <c r="T884" s="739">
        <v>1100121</v>
      </c>
      <c r="U884" s="745"/>
      <c r="V884" s="739">
        <v>1100122</v>
      </c>
    </row>
    <row r="885" spans="1:22" ht="15" x14ac:dyDescent="0.2">
      <c r="A885" s="739">
        <v>3571</v>
      </c>
      <c r="B885" s="743" t="s">
        <v>65</v>
      </c>
      <c r="C885" s="736">
        <v>6267.99</v>
      </c>
      <c r="D885" s="736">
        <v>20000</v>
      </c>
      <c r="E885" s="749">
        <v>20000</v>
      </c>
      <c r="F885" s="736">
        <v>8147.84</v>
      </c>
      <c r="G885" s="736"/>
      <c r="H885" s="736"/>
      <c r="I885" s="736"/>
      <c r="J885" s="736">
        <f t="shared" si="327"/>
        <v>0</v>
      </c>
      <c r="K885" s="736"/>
      <c r="L885" s="736"/>
      <c r="M885" s="736">
        <f t="shared" si="328"/>
        <v>0</v>
      </c>
      <c r="N885" s="736"/>
      <c r="O885" s="736"/>
      <c r="P885" s="738">
        <f t="shared" si="329"/>
        <v>0</v>
      </c>
      <c r="Q885" s="738"/>
      <c r="R885" s="738"/>
      <c r="S885" s="738"/>
      <c r="T885" s="739">
        <v>1100121</v>
      </c>
      <c r="U885" s="745"/>
      <c r="V885" s="739">
        <v>1100122</v>
      </c>
    </row>
    <row r="886" spans="1:22" ht="15" x14ac:dyDescent="0.2">
      <c r="A886" s="724" t="s">
        <v>1749</v>
      </c>
      <c r="B886" s="725" t="s">
        <v>1750</v>
      </c>
      <c r="C886" s="721">
        <f>C887+C890+C931+C934</f>
        <v>2828030</v>
      </c>
      <c r="D886" s="721">
        <f>SUM(D887+D890+D893+D896+D900+D903+D906+D931+D934+D937+D939)</f>
        <v>11930000</v>
      </c>
      <c r="E886" s="721">
        <f>SUM(E887+E890+E893+E896+E900+E903+E906+E919+E931+E934+E937+E939)</f>
        <v>9179942.5</v>
      </c>
      <c r="F886" s="721">
        <f t="shared" ref="F886:S886" si="330">SUM(F887+F890+F893+F896+F900+F903+F906+F931+F934+F937+F939)</f>
        <v>8946848.0899999999</v>
      </c>
      <c r="G886" s="721">
        <f t="shared" si="330"/>
        <v>0</v>
      </c>
      <c r="H886" s="721">
        <f t="shared" si="330"/>
        <v>0</v>
      </c>
      <c r="I886" s="721">
        <f t="shared" si="330"/>
        <v>0</v>
      </c>
      <c r="J886" s="721">
        <f t="shared" si="330"/>
        <v>0</v>
      </c>
      <c r="K886" s="721">
        <f t="shared" si="330"/>
        <v>0</v>
      </c>
      <c r="L886" s="721">
        <f t="shared" si="330"/>
        <v>0</v>
      </c>
      <c r="M886" s="721">
        <f t="shared" si="330"/>
        <v>0</v>
      </c>
      <c r="N886" s="721">
        <f t="shared" si="330"/>
        <v>0</v>
      </c>
      <c r="O886" s="721">
        <f t="shared" si="330"/>
        <v>0</v>
      </c>
      <c r="P886" s="756">
        <f t="shared" si="330"/>
        <v>0</v>
      </c>
      <c r="Q886" s="756">
        <f t="shared" si="330"/>
        <v>0</v>
      </c>
      <c r="R886" s="756">
        <f t="shared" si="330"/>
        <v>0</v>
      </c>
      <c r="S886" s="756">
        <f t="shared" si="330"/>
        <v>0</v>
      </c>
      <c r="T886" s="724"/>
      <c r="U886" s="726">
        <f t="shared" ref="U886" si="331">SUM(U887+U890+U893+U896+U900+U903+U906+U931+U934+U937+U939)</f>
        <v>0</v>
      </c>
      <c r="V886" s="724"/>
    </row>
    <row r="887" spans="1:22" ht="15" x14ac:dyDescent="0.2">
      <c r="A887" s="728" t="s">
        <v>158</v>
      </c>
      <c r="B887" s="729" t="s">
        <v>1751</v>
      </c>
      <c r="C887" s="730">
        <f>C889</f>
        <v>300000</v>
      </c>
      <c r="D887" s="730">
        <f t="shared" ref="D887:S887" si="332">SUM(D888:D889)</f>
        <v>700000</v>
      </c>
      <c r="E887" s="730">
        <f t="shared" si="332"/>
        <v>100000</v>
      </c>
      <c r="F887" s="730">
        <f t="shared" si="332"/>
        <v>100000</v>
      </c>
      <c r="G887" s="730">
        <f t="shared" si="332"/>
        <v>0</v>
      </c>
      <c r="H887" s="730">
        <f t="shared" si="332"/>
        <v>0</v>
      </c>
      <c r="I887" s="730">
        <f t="shared" si="332"/>
        <v>0</v>
      </c>
      <c r="J887" s="730">
        <f t="shared" si="332"/>
        <v>0</v>
      </c>
      <c r="K887" s="730">
        <f t="shared" si="332"/>
        <v>0</v>
      </c>
      <c r="L887" s="730">
        <f t="shared" si="332"/>
        <v>0</v>
      </c>
      <c r="M887" s="730">
        <f t="shared" si="332"/>
        <v>0</v>
      </c>
      <c r="N887" s="730">
        <f t="shared" si="332"/>
        <v>0</v>
      </c>
      <c r="O887" s="730">
        <f t="shared" si="332"/>
        <v>0</v>
      </c>
      <c r="P887" s="748">
        <f t="shared" si="332"/>
        <v>0</v>
      </c>
      <c r="Q887" s="748">
        <f t="shared" si="332"/>
        <v>0</v>
      </c>
      <c r="R887" s="748">
        <f t="shared" si="332"/>
        <v>0</v>
      </c>
      <c r="S887" s="748">
        <f t="shared" si="332"/>
        <v>0</v>
      </c>
      <c r="T887" s="731"/>
      <c r="U887" s="732">
        <f t="shared" ref="U887" si="333">SUM(U888:U889)</f>
        <v>0</v>
      </c>
      <c r="V887" s="728"/>
    </row>
    <row r="888" spans="1:22" ht="15" x14ac:dyDescent="0.2">
      <c r="A888" s="739">
        <v>4411</v>
      </c>
      <c r="B888" s="743" t="s">
        <v>34</v>
      </c>
      <c r="C888" s="736"/>
      <c r="D888" s="736">
        <v>400000</v>
      </c>
      <c r="E888" s="749">
        <v>100000</v>
      </c>
      <c r="F888" s="736">
        <v>100000</v>
      </c>
      <c r="G888" s="752"/>
      <c r="H888" s="752"/>
      <c r="I888" s="752"/>
      <c r="J888" s="736">
        <f t="shared" ref="J888:J889" si="334">G888+H888-I888</f>
        <v>0</v>
      </c>
      <c r="K888" s="752"/>
      <c r="L888" s="752"/>
      <c r="M888" s="736">
        <f t="shared" ref="M888:M889" si="335">J888+K888-L888</f>
        <v>0</v>
      </c>
      <c r="N888" s="736"/>
      <c r="O888" s="736"/>
      <c r="P888" s="738">
        <f t="shared" ref="P888:P889" si="336">M888+N888-O888</f>
        <v>0</v>
      </c>
      <c r="Q888" s="753"/>
      <c r="R888" s="738"/>
      <c r="S888" s="753"/>
      <c r="T888" s="739">
        <v>1100121</v>
      </c>
      <c r="U888" s="745"/>
      <c r="V888" s="739">
        <v>1100122</v>
      </c>
    </row>
    <row r="889" spans="1:22" ht="15" x14ac:dyDescent="0.2">
      <c r="A889" s="739">
        <v>4411</v>
      </c>
      <c r="B889" s="743" t="s">
        <v>34</v>
      </c>
      <c r="C889" s="736">
        <v>300000</v>
      </c>
      <c r="D889" s="736">
        <v>300000</v>
      </c>
      <c r="E889" s="736"/>
      <c r="F889" s="736">
        <v>0</v>
      </c>
      <c r="G889" s="736"/>
      <c r="H889" s="736"/>
      <c r="I889" s="736"/>
      <c r="J889" s="736">
        <f t="shared" si="334"/>
        <v>0</v>
      </c>
      <c r="K889" s="736"/>
      <c r="L889" s="736"/>
      <c r="M889" s="736">
        <f t="shared" si="335"/>
        <v>0</v>
      </c>
      <c r="N889" s="738"/>
      <c r="O889" s="738"/>
      <c r="P889" s="738">
        <f t="shared" si="336"/>
        <v>0</v>
      </c>
      <c r="Q889" s="738"/>
      <c r="R889" s="738"/>
      <c r="S889" s="738"/>
      <c r="T889" s="739">
        <v>2610121</v>
      </c>
      <c r="U889" s="745"/>
      <c r="V889" s="739">
        <v>2610122</v>
      </c>
    </row>
    <row r="890" spans="1:22" ht="15" x14ac:dyDescent="0.2">
      <c r="A890" s="728" t="s">
        <v>1737</v>
      </c>
      <c r="B890" s="729" t="s">
        <v>1738</v>
      </c>
      <c r="C890" s="730">
        <f>C891+C892</f>
        <v>979550</v>
      </c>
      <c r="D890" s="730">
        <f t="shared" ref="D890:S890" si="337">SUM(D891:D892)</f>
        <v>1000000</v>
      </c>
      <c r="E890" s="730">
        <f t="shared" si="337"/>
        <v>0</v>
      </c>
      <c r="F890" s="730">
        <f t="shared" si="337"/>
        <v>0</v>
      </c>
      <c r="G890" s="730">
        <f t="shared" si="337"/>
        <v>0</v>
      </c>
      <c r="H890" s="730">
        <f t="shared" si="337"/>
        <v>0</v>
      </c>
      <c r="I890" s="730">
        <f t="shared" si="337"/>
        <v>0</v>
      </c>
      <c r="J890" s="730">
        <f t="shared" si="337"/>
        <v>0</v>
      </c>
      <c r="K890" s="730">
        <f t="shared" si="337"/>
        <v>0</v>
      </c>
      <c r="L890" s="730">
        <f t="shared" si="337"/>
        <v>0</v>
      </c>
      <c r="M890" s="730">
        <f t="shared" si="337"/>
        <v>0</v>
      </c>
      <c r="N890" s="730">
        <f t="shared" si="337"/>
        <v>0</v>
      </c>
      <c r="O890" s="730">
        <f t="shared" si="337"/>
        <v>0</v>
      </c>
      <c r="P890" s="748">
        <f t="shared" si="337"/>
        <v>0</v>
      </c>
      <c r="Q890" s="748">
        <f t="shared" si="337"/>
        <v>0</v>
      </c>
      <c r="R890" s="748">
        <f t="shared" si="337"/>
        <v>0</v>
      </c>
      <c r="S890" s="748">
        <f t="shared" si="337"/>
        <v>0</v>
      </c>
      <c r="T890" s="731"/>
      <c r="U890" s="732">
        <f t="shared" ref="U890" si="338">SUM(U891:U892)</f>
        <v>0</v>
      </c>
      <c r="V890" s="728"/>
    </row>
    <row r="891" spans="1:22" ht="15" x14ac:dyDescent="0.2">
      <c r="A891" s="739">
        <v>4411</v>
      </c>
      <c r="B891" s="743" t="s">
        <v>34</v>
      </c>
      <c r="C891" s="736">
        <v>489775</v>
      </c>
      <c r="D891" s="736">
        <v>500000</v>
      </c>
      <c r="E891" s="736"/>
      <c r="F891" s="736">
        <v>0</v>
      </c>
      <c r="G891" s="736"/>
      <c r="H891" s="736"/>
      <c r="I891" s="736"/>
      <c r="J891" s="736">
        <f t="shared" ref="J891:J892" si="339">G891+H891-I891</f>
        <v>0</v>
      </c>
      <c r="K891" s="736"/>
      <c r="L891" s="736"/>
      <c r="M891" s="736">
        <f t="shared" ref="M891:M892" si="340">J891+K891-L891</f>
        <v>0</v>
      </c>
      <c r="N891" s="736"/>
      <c r="O891" s="736"/>
      <c r="P891" s="738">
        <f t="shared" ref="P891:P892" si="341">M891+N891-O891</f>
        <v>0</v>
      </c>
      <c r="Q891" s="738"/>
      <c r="R891" s="738"/>
      <c r="S891" s="738"/>
      <c r="T891" s="739">
        <v>1100121</v>
      </c>
      <c r="U891" s="745"/>
      <c r="V891" s="739">
        <v>1100122</v>
      </c>
    </row>
    <row r="892" spans="1:22" ht="15" x14ac:dyDescent="0.2">
      <c r="A892" s="739">
        <v>4411</v>
      </c>
      <c r="B892" s="743" t="s">
        <v>34</v>
      </c>
      <c r="C892" s="736">
        <v>489775</v>
      </c>
      <c r="D892" s="736">
        <v>500000</v>
      </c>
      <c r="E892" s="736"/>
      <c r="F892" s="736">
        <v>0</v>
      </c>
      <c r="G892" s="736"/>
      <c r="H892" s="736"/>
      <c r="I892" s="736"/>
      <c r="J892" s="736">
        <f t="shared" si="339"/>
        <v>0</v>
      </c>
      <c r="K892" s="736"/>
      <c r="L892" s="736"/>
      <c r="M892" s="736">
        <f t="shared" si="340"/>
        <v>0</v>
      </c>
      <c r="N892" s="738"/>
      <c r="O892" s="738"/>
      <c r="P892" s="738">
        <f t="shared" si="341"/>
        <v>0</v>
      </c>
      <c r="Q892" s="738"/>
      <c r="R892" s="738"/>
      <c r="S892" s="738"/>
      <c r="T892" s="739">
        <v>2610121</v>
      </c>
      <c r="U892" s="745"/>
      <c r="V892" s="739">
        <v>2610122</v>
      </c>
    </row>
    <row r="893" spans="1:22" ht="15" x14ac:dyDescent="0.2">
      <c r="A893" s="728" t="s">
        <v>159</v>
      </c>
      <c r="B893" s="729" t="s">
        <v>1752</v>
      </c>
      <c r="C893" s="730">
        <f t="shared" ref="C893:S893" si="342">SUM(C894:C895)</f>
        <v>0</v>
      </c>
      <c r="D893" s="730">
        <f t="shared" si="342"/>
        <v>0</v>
      </c>
      <c r="E893" s="730">
        <f t="shared" si="342"/>
        <v>1679257.5</v>
      </c>
      <c r="F893" s="730">
        <f t="shared" si="342"/>
        <v>1548468</v>
      </c>
      <c r="G893" s="730">
        <f t="shared" si="342"/>
        <v>0</v>
      </c>
      <c r="H893" s="730">
        <f t="shared" si="342"/>
        <v>0</v>
      </c>
      <c r="I893" s="730">
        <f t="shared" si="342"/>
        <v>0</v>
      </c>
      <c r="J893" s="730">
        <f t="shared" si="342"/>
        <v>0</v>
      </c>
      <c r="K893" s="730">
        <f t="shared" si="342"/>
        <v>0</v>
      </c>
      <c r="L893" s="730">
        <f t="shared" si="342"/>
        <v>0</v>
      </c>
      <c r="M893" s="730">
        <f t="shared" si="342"/>
        <v>0</v>
      </c>
      <c r="N893" s="730">
        <f t="shared" si="342"/>
        <v>0</v>
      </c>
      <c r="O893" s="730">
        <f t="shared" si="342"/>
        <v>0</v>
      </c>
      <c r="P893" s="748">
        <f t="shared" si="342"/>
        <v>0</v>
      </c>
      <c r="Q893" s="748">
        <f t="shared" si="342"/>
        <v>0</v>
      </c>
      <c r="R893" s="748">
        <f t="shared" si="342"/>
        <v>0</v>
      </c>
      <c r="S893" s="748">
        <f t="shared" si="342"/>
        <v>0</v>
      </c>
      <c r="T893" s="731"/>
      <c r="U893" s="732">
        <f t="shared" ref="U893" si="343">SUM(U894:U895)</f>
        <v>0</v>
      </c>
      <c r="V893" s="728"/>
    </row>
    <row r="894" spans="1:22" ht="15" x14ac:dyDescent="0.2">
      <c r="A894" s="739">
        <v>3331</v>
      </c>
      <c r="B894" s="743" t="s">
        <v>171</v>
      </c>
      <c r="C894" s="736"/>
      <c r="D894" s="736">
        <v>0</v>
      </c>
      <c r="E894" s="749">
        <v>335257.5</v>
      </c>
      <c r="F894" s="736">
        <v>335124</v>
      </c>
      <c r="G894" s="736"/>
      <c r="H894" s="736"/>
      <c r="I894" s="736"/>
      <c r="J894" s="736">
        <f t="shared" ref="J894:J895" si="344">G894+H894-I894</f>
        <v>0</v>
      </c>
      <c r="K894" s="736"/>
      <c r="L894" s="736"/>
      <c r="M894" s="736">
        <f t="shared" ref="M894:M895" si="345">J894+K894-L894</f>
        <v>0</v>
      </c>
      <c r="N894" s="736"/>
      <c r="O894" s="736"/>
      <c r="P894" s="738">
        <f t="shared" ref="P894:P895" si="346">M894+N894-O894</f>
        <v>0</v>
      </c>
      <c r="Q894" s="738"/>
      <c r="R894" s="738"/>
      <c r="S894" s="738"/>
      <c r="T894" s="739">
        <v>1100121</v>
      </c>
      <c r="U894" s="745"/>
      <c r="V894" s="739">
        <v>1100122</v>
      </c>
    </row>
    <row r="895" spans="1:22" ht="15" x14ac:dyDescent="0.2">
      <c r="A895" s="739">
        <v>4411</v>
      </c>
      <c r="B895" s="743" t="s">
        <v>34</v>
      </c>
      <c r="C895" s="736"/>
      <c r="D895" s="736">
        <v>0</v>
      </c>
      <c r="E895" s="749">
        <v>1344000</v>
      </c>
      <c r="F895" s="736">
        <v>1213344</v>
      </c>
      <c r="G895" s="752"/>
      <c r="H895" s="752"/>
      <c r="I895" s="752"/>
      <c r="J895" s="736">
        <f t="shared" si="344"/>
        <v>0</v>
      </c>
      <c r="K895" s="752"/>
      <c r="L895" s="752"/>
      <c r="M895" s="736">
        <f t="shared" si="345"/>
        <v>0</v>
      </c>
      <c r="N895" s="736"/>
      <c r="O895" s="736"/>
      <c r="P895" s="738">
        <f t="shared" si="346"/>
        <v>0</v>
      </c>
      <c r="Q895" s="753"/>
      <c r="R895" s="738"/>
      <c r="S895" s="753"/>
      <c r="T895" s="739">
        <v>1100121</v>
      </c>
      <c r="U895" s="745"/>
      <c r="V895" s="739">
        <v>1100122</v>
      </c>
    </row>
    <row r="896" spans="1:22" ht="15" x14ac:dyDescent="0.2">
      <c r="A896" s="728" t="s">
        <v>160</v>
      </c>
      <c r="B896" s="729" t="s">
        <v>1532</v>
      </c>
      <c r="C896" s="730">
        <f t="shared" ref="C896:S896" si="347">SUM(C897:C899)</f>
        <v>0</v>
      </c>
      <c r="D896" s="730">
        <f t="shared" si="347"/>
        <v>0</v>
      </c>
      <c r="E896" s="730">
        <f t="shared" si="347"/>
        <v>1250000</v>
      </c>
      <c r="F896" s="730">
        <f t="shared" si="347"/>
        <v>1296000</v>
      </c>
      <c r="G896" s="730">
        <f t="shared" si="347"/>
        <v>0</v>
      </c>
      <c r="H896" s="730">
        <f t="shared" si="347"/>
        <v>0</v>
      </c>
      <c r="I896" s="730">
        <f t="shared" si="347"/>
        <v>0</v>
      </c>
      <c r="J896" s="730">
        <f t="shared" si="347"/>
        <v>0</v>
      </c>
      <c r="K896" s="730">
        <f t="shared" si="347"/>
        <v>0</v>
      </c>
      <c r="L896" s="730">
        <f t="shared" si="347"/>
        <v>0</v>
      </c>
      <c r="M896" s="730">
        <f t="shared" si="347"/>
        <v>0</v>
      </c>
      <c r="N896" s="730">
        <f t="shared" si="347"/>
        <v>0</v>
      </c>
      <c r="O896" s="730">
        <f t="shared" si="347"/>
        <v>0</v>
      </c>
      <c r="P896" s="748">
        <f t="shared" si="347"/>
        <v>0</v>
      </c>
      <c r="Q896" s="748">
        <f t="shared" si="347"/>
        <v>0</v>
      </c>
      <c r="R896" s="748">
        <f t="shared" si="347"/>
        <v>0</v>
      </c>
      <c r="S896" s="748">
        <f t="shared" si="347"/>
        <v>0</v>
      </c>
      <c r="T896" s="731"/>
      <c r="U896" s="732">
        <f t="shared" ref="U896" si="348">SUM(U897:U899)</f>
        <v>0</v>
      </c>
      <c r="V896" s="728"/>
    </row>
    <row r="897" spans="1:22" ht="15" x14ac:dyDescent="0.2">
      <c r="A897" s="739">
        <v>4411</v>
      </c>
      <c r="B897" s="743" t="s">
        <v>34</v>
      </c>
      <c r="C897" s="736"/>
      <c r="D897" s="736">
        <v>0</v>
      </c>
      <c r="E897" s="749">
        <v>135331</v>
      </c>
      <c r="F897" s="736">
        <v>135331</v>
      </c>
      <c r="G897" s="736"/>
      <c r="H897" s="736"/>
      <c r="I897" s="736"/>
      <c r="J897" s="736">
        <f t="shared" ref="J897:J899" si="349">G897+H897-I897</f>
        <v>0</v>
      </c>
      <c r="K897" s="736"/>
      <c r="L897" s="736"/>
      <c r="M897" s="736">
        <f t="shared" ref="M897:M899" si="350">J897+K897-L897</f>
        <v>0</v>
      </c>
      <c r="N897" s="736"/>
      <c r="O897" s="736"/>
      <c r="P897" s="738">
        <f t="shared" ref="P897:P899" si="351">M897+N897-O897</f>
        <v>0</v>
      </c>
      <c r="Q897" s="738"/>
      <c r="R897" s="738"/>
      <c r="S897" s="738"/>
      <c r="T897" s="739">
        <v>1100119</v>
      </c>
      <c r="U897" s="745"/>
      <c r="V897" s="739">
        <v>1100119</v>
      </c>
    </row>
    <row r="898" spans="1:22" ht="15" x14ac:dyDescent="0.2">
      <c r="A898" s="739">
        <v>4411</v>
      </c>
      <c r="B898" s="743" t="s">
        <v>34</v>
      </c>
      <c r="C898" s="736"/>
      <c r="D898" s="736">
        <v>0</v>
      </c>
      <c r="E898" s="749">
        <v>614669</v>
      </c>
      <c r="F898" s="736">
        <v>666669</v>
      </c>
      <c r="G898" s="736"/>
      <c r="H898" s="736"/>
      <c r="I898" s="736"/>
      <c r="J898" s="736">
        <f t="shared" si="349"/>
        <v>0</v>
      </c>
      <c r="K898" s="736"/>
      <c r="L898" s="736"/>
      <c r="M898" s="736">
        <f t="shared" si="350"/>
        <v>0</v>
      </c>
      <c r="N898" s="736"/>
      <c r="O898" s="736"/>
      <c r="P898" s="738">
        <f t="shared" si="351"/>
        <v>0</v>
      </c>
      <c r="Q898" s="738"/>
      <c r="R898" s="738"/>
      <c r="S898" s="738"/>
      <c r="T898" s="739">
        <v>1100121</v>
      </c>
      <c r="U898" s="745"/>
      <c r="V898" s="739">
        <v>1100122</v>
      </c>
    </row>
    <row r="899" spans="1:22" ht="15" x14ac:dyDescent="0.2">
      <c r="A899" s="739">
        <v>4411</v>
      </c>
      <c r="B899" s="743" t="s">
        <v>34</v>
      </c>
      <c r="C899" s="736"/>
      <c r="D899" s="736">
        <v>0</v>
      </c>
      <c r="E899" s="749">
        <v>500000</v>
      </c>
      <c r="F899" s="736">
        <v>494000</v>
      </c>
      <c r="G899" s="736"/>
      <c r="H899" s="736"/>
      <c r="I899" s="736"/>
      <c r="J899" s="736">
        <f t="shared" si="349"/>
        <v>0</v>
      </c>
      <c r="K899" s="736"/>
      <c r="L899" s="736"/>
      <c r="M899" s="736">
        <f t="shared" si="350"/>
        <v>0</v>
      </c>
      <c r="N899" s="738"/>
      <c r="O899" s="738"/>
      <c r="P899" s="738">
        <f t="shared" si="351"/>
        <v>0</v>
      </c>
      <c r="Q899" s="738"/>
      <c r="R899" s="738"/>
      <c r="S899" s="738"/>
      <c r="T899" s="739">
        <v>2610121</v>
      </c>
      <c r="U899" s="745"/>
      <c r="V899" s="739">
        <v>2610122</v>
      </c>
    </row>
    <row r="900" spans="1:22" ht="15" x14ac:dyDescent="0.2">
      <c r="A900" s="728" t="s">
        <v>161</v>
      </c>
      <c r="B900" s="729" t="s">
        <v>172</v>
      </c>
      <c r="C900" s="730">
        <f t="shared" ref="C900:S900" si="352">SUM(C901:C902)</f>
        <v>0</v>
      </c>
      <c r="D900" s="730">
        <f t="shared" si="352"/>
        <v>1000000</v>
      </c>
      <c r="E900" s="730">
        <f t="shared" si="352"/>
        <v>0</v>
      </c>
      <c r="F900" s="730">
        <f t="shared" si="352"/>
        <v>0</v>
      </c>
      <c r="G900" s="730">
        <f t="shared" si="352"/>
        <v>0</v>
      </c>
      <c r="H900" s="730">
        <f t="shared" si="352"/>
        <v>0</v>
      </c>
      <c r="I900" s="730">
        <f t="shared" si="352"/>
        <v>0</v>
      </c>
      <c r="J900" s="730">
        <f t="shared" si="352"/>
        <v>0</v>
      </c>
      <c r="K900" s="730">
        <f t="shared" si="352"/>
        <v>0</v>
      </c>
      <c r="L900" s="730">
        <f t="shared" si="352"/>
        <v>0</v>
      </c>
      <c r="M900" s="730">
        <f t="shared" si="352"/>
        <v>0</v>
      </c>
      <c r="N900" s="730">
        <f t="shared" si="352"/>
        <v>0</v>
      </c>
      <c r="O900" s="730">
        <f t="shared" si="352"/>
        <v>0</v>
      </c>
      <c r="P900" s="748">
        <f t="shared" si="352"/>
        <v>0</v>
      </c>
      <c r="Q900" s="748">
        <f t="shared" si="352"/>
        <v>0</v>
      </c>
      <c r="R900" s="748">
        <f t="shared" si="352"/>
        <v>0</v>
      </c>
      <c r="S900" s="748">
        <f t="shared" si="352"/>
        <v>0</v>
      </c>
      <c r="T900" s="731"/>
      <c r="U900" s="732">
        <f t="shared" ref="U900" si="353">SUM(U901:U902)</f>
        <v>0</v>
      </c>
      <c r="V900" s="728"/>
    </row>
    <row r="901" spans="1:22" ht="15" x14ac:dyDescent="0.2">
      <c r="A901" s="739">
        <v>4411</v>
      </c>
      <c r="B901" s="743" t="s">
        <v>34</v>
      </c>
      <c r="C901" s="736"/>
      <c r="D901" s="736">
        <v>500000</v>
      </c>
      <c r="E901" s="736"/>
      <c r="F901" s="736">
        <v>0</v>
      </c>
      <c r="G901" s="736"/>
      <c r="H901" s="736"/>
      <c r="I901" s="736"/>
      <c r="J901" s="736">
        <f t="shared" ref="J901:J902" si="354">G901+H901-I901</f>
        <v>0</v>
      </c>
      <c r="K901" s="736"/>
      <c r="L901" s="736"/>
      <c r="M901" s="736">
        <f t="shared" ref="M901:M902" si="355">J901+K901-L901</f>
        <v>0</v>
      </c>
      <c r="N901" s="736"/>
      <c r="O901" s="736"/>
      <c r="P901" s="738">
        <f t="shared" ref="P901:P902" si="356">M901+N901-O901</f>
        <v>0</v>
      </c>
      <c r="Q901" s="738"/>
      <c r="R901" s="738"/>
      <c r="S901" s="738"/>
      <c r="T901" s="739">
        <v>1100121</v>
      </c>
      <c r="U901" s="745"/>
      <c r="V901" s="739">
        <v>1100122</v>
      </c>
    </row>
    <row r="902" spans="1:22" ht="15" x14ac:dyDescent="0.2">
      <c r="A902" s="739">
        <v>4411</v>
      </c>
      <c r="B902" s="743" t="s">
        <v>34</v>
      </c>
      <c r="C902" s="736"/>
      <c r="D902" s="736">
        <v>500000</v>
      </c>
      <c r="E902" s="736"/>
      <c r="F902" s="736">
        <v>0</v>
      </c>
      <c r="G902" s="736"/>
      <c r="H902" s="736"/>
      <c r="I902" s="736"/>
      <c r="J902" s="736">
        <f t="shared" si="354"/>
        <v>0</v>
      </c>
      <c r="K902" s="736"/>
      <c r="L902" s="736"/>
      <c r="M902" s="736">
        <f t="shared" si="355"/>
        <v>0</v>
      </c>
      <c r="N902" s="738"/>
      <c r="O902" s="738"/>
      <c r="P902" s="738">
        <f t="shared" si="356"/>
        <v>0</v>
      </c>
      <c r="Q902" s="738"/>
      <c r="R902" s="738"/>
      <c r="S902" s="738"/>
      <c r="T902" s="739">
        <v>2610121</v>
      </c>
      <c r="U902" s="745"/>
      <c r="V902" s="739">
        <v>2610122</v>
      </c>
    </row>
    <row r="903" spans="1:22" ht="15" x14ac:dyDescent="0.2">
      <c r="A903" s="728" t="s">
        <v>162</v>
      </c>
      <c r="B903" s="729" t="s">
        <v>163</v>
      </c>
      <c r="C903" s="730">
        <f t="shared" ref="C903:S903" si="357">SUM(C904:C905)</f>
        <v>0</v>
      </c>
      <c r="D903" s="730">
        <f t="shared" si="357"/>
        <v>400000</v>
      </c>
      <c r="E903" s="730">
        <f t="shared" si="357"/>
        <v>260000</v>
      </c>
      <c r="F903" s="730">
        <f t="shared" si="357"/>
        <v>244666.62</v>
      </c>
      <c r="G903" s="730">
        <f t="shared" si="357"/>
        <v>0</v>
      </c>
      <c r="H903" s="730">
        <f t="shared" si="357"/>
        <v>0</v>
      </c>
      <c r="I903" s="730">
        <f t="shared" si="357"/>
        <v>0</v>
      </c>
      <c r="J903" s="730">
        <f t="shared" si="357"/>
        <v>0</v>
      </c>
      <c r="K903" s="730">
        <f t="shared" si="357"/>
        <v>0</v>
      </c>
      <c r="L903" s="730">
        <f t="shared" si="357"/>
        <v>0</v>
      </c>
      <c r="M903" s="730">
        <f t="shared" si="357"/>
        <v>0</v>
      </c>
      <c r="N903" s="730">
        <f t="shared" si="357"/>
        <v>0</v>
      </c>
      <c r="O903" s="730">
        <f t="shared" si="357"/>
        <v>0</v>
      </c>
      <c r="P903" s="748">
        <f t="shared" si="357"/>
        <v>0</v>
      </c>
      <c r="Q903" s="748">
        <f t="shared" si="357"/>
        <v>0</v>
      </c>
      <c r="R903" s="748">
        <f t="shared" si="357"/>
        <v>0</v>
      </c>
      <c r="S903" s="748">
        <f t="shared" si="357"/>
        <v>0</v>
      </c>
      <c r="T903" s="731"/>
      <c r="U903" s="732">
        <f t="shared" ref="U903" si="358">SUM(U904:U905)</f>
        <v>0</v>
      </c>
      <c r="V903" s="728"/>
    </row>
    <row r="904" spans="1:22" ht="15" x14ac:dyDescent="0.2">
      <c r="A904" s="739">
        <v>4411</v>
      </c>
      <c r="B904" s="743" t="s">
        <v>34</v>
      </c>
      <c r="C904" s="736"/>
      <c r="D904" s="736">
        <v>200000</v>
      </c>
      <c r="E904" s="749">
        <v>260000</v>
      </c>
      <c r="F904" s="736">
        <v>244666.62</v>
      </c>
      <c r="G904" s="736"/>
      <c r="H904" s="736"/>
      <c r="I904" s="736"/>
      <c r="J904" s="736">
        <f t="shared" ref="J904:J905" si="359">G904+H904-I904</f>
        <v>0</v>
      </c>
      <c r="K904" s="736"/>
      <c r="L904" s="736"/>
      <c r="M904" s="736">
        <f t="shared" ref="M904:M905" si="360">J904+K904-L904</f>
        <v>0</v>
      </c>
      <c r="N904" s="736"/>
      <c r="O904" s="736"/>
      <c r="P904" s="738">
        <f t="shared" ref="P904:P905" si="361">M904+N904-O904</f>
        <v>0</v>
      </c>
      <c r="Q904" s="738"/>
      <c r="R904" s="738"/>
      <c r="S904" s="738"/>
      <c r="T904" s="739">
        <v>1100121</v>
      </c>
      <c r="U904" s="745"/>
      <c r="V904" s="739">
        <v>1100122</v>
      </c>
    </row>
    <row r="905" spans="1:22" ht="15" x14ac:dyDescent="0.2">
      <c r="A905" s="739">
        <v>4411</v>
      </c>
      <c r="B905" s="743" t="s">
        <v>34</v>
      </c>
      <c r="C905" s="736"/>
      <c r="D905" s="736">
        <v>200000</v>
      </c>
      <c r="E905" s="736"/>
      <c r="F905" s="736">
        <v>0</v>
      </c>
      <c r="G905" s="736"/>
      <c r="H905" s="736"/>
      <c r="I905" s="736"/>
      <c r="J905" s="736">
        <f t="shared" si="359"/>
        <v>0</v>
      </c>
      <c r="K905" s="736"/>
      <c r="L905" s="736"/>
      <c r="M905" s="736">
        <f t="shared" si="360"/>
        <v>0</v>
      </c>
      <c r="N905" s="738"/>
      <c r="O905" s="738"/>
      <c r="P905" s="738">
        <f t="shared" si="361"/>
        <v>0</v>
      </c>
      <c r="Q905" s="738"/>
      <c r="R905" s="738"/>
      <c r="S905" s="738"/>
      <c r="T905" s="739">
        <v>2610121</v>
      </c>
      <c r="U905" s="745"/>
      <c r="V905" s="739">
        <v>2610122</v>
      </c>
    </row>
    <row r="906" spans="1:22" ht="15" x14ac:dyDescent="0.2">
      <c r="A906" s="728" t="s">
        <v>173</v>
      </c>
      <c r="B906" s="729" t="s">
        <v>1534</v>
      </c>
      <c r="C906" s="730">
        <f t="shared" ref="C906:S906" si="362">SUM(C907:C918)</f>
        <v>0</v>
      </c>
      <c r="D906" s="730">
        <f t="shared" si="362"/>
        <v>0</v>
      </c>
      <c r="E906" s="730">
        <f t="shared" si="362"/>
        <v>0</v>
      </c>
      <c r="F906" s="730">
        <f t="shared" si="362"/>
        <v>650000</v>
      </c>
      <c r="G906" s="730">
        <f t="shared" si="362"/>
        <v>0</v>
      </c>
      <c r="H906" s="730">
        <f t="shared" si="362"/>
        <v>0</v>
      </c>
      <c r="I906" s="730">
        <f t="shared" si="362"/>
        <v>0</v>
      </c>
      <c r="J906" s="730">
        <f t="shared" si="362"/>
        <v>0</v>
      </c>
      <c r="K906" s="730">
        <f t="shared" si="362"/>
        <v>0</v>
      </c>
      <c r="L906" s="730">
        <f t="shared" si="362"/>
        <v>0</v>
      </c>
      <c r="M906" s="730">
        <f t="shared" si="362"/>
        <v>0</v>
      </c>
      <c r="N906" s="730">
        <f t="shared" si="362"/>
        <v>0</v>
      </c>
      <c r="O906" s="730">
        <f t="shared" si="362"/>
        <v>0</v>
      </c>
      <c r="P906" s="748">
        <f t="shared" si="362"/>
        <v>0</v>
      </c>
      <c r="Q906" s="748">
        <f t="shared" si="362"/>
        <v>0</v>
      </c>
      <c r="R906" s="748">
        <f t="shared" si="362"/>
        <v>0</v>
      </c>
      <c r="S906" s="748">
        <f t="shared" si="362"/>
        <v>0</v>
      </c>
      <c r="T906" s="731"/>
      <c r="U906" s="732">
        <f t="shared" ref="U906" si="363">SUM(U907:U918)</f>
        <v>0</v>
      </c>
      <c r="V906" s="728"/>
    </row>
    <row r="907" spans="1:22" ht="15" x14ac:dyDescent="0.2">
      <c r="A907" s="739">
        <v>2112</v>
      </c>
      <c r="B907" s="743" t="s">
        <v>39</v>
      </c>
      <c r="C907" s="736"/>
      <c r="D907" s="736">
        <v>0</v>
      </c>
      <c r="E907" s="736"/>
      <c r="F907" s="736">
        <v>139030.47</v>
      </c>
      <c r="G907" s="736"/>
      <c r="H907" s="736"/>
      <c r="I907" s="736"/>
      <c r="J907" s="736">
        <f t="shared" ref="J907:J918" si="364">G907+H907-I907</f>
        <v>0</v>
      </c>
      <c r="K907" s="736"/>
      <c r="L907" s="736"/>
      <c r="M907" s="736">
        <f t="shared" ref="M907:M918" si="365">J907+K907-L907</f>
        <v>0</v>
      </c>
      <c r="N907" s="738"/>
      <c r="O907" s="738"/>
      <c r="P907" s="738">
        <f t="shared" ref="P907:P918" si="366">M907+N907-O907</f>
        <v>0</v>
      </c>
      <c r="Q907" s="738"/>
      <c r="R907" s="738"/>
      <c r="S907" s="738"/>
      <c r="T907" s="739">
        <v>2610121</v>
      </c>
      <c r="U907" s="745"/>
      <c r="V907" s="739">
        <v>2610122</v>
      </c>
    </row>
    <row r="908" spans="1:22" ht="15" x14ac:dyDescent="0.2">
      <c r="A908" s="739">
        <v>2171</v>
      </c>
      <c r="B908" s="743" t="s">
        <v>174</v>
      </c>
      <c r="C908" s="736"/>
      <c r="D908" s="736">
        <v>0</v>
      </c>
      <c r="E908" s="736"/>
      <c r="F908" s="736">
        <v>4860</v>
      </c>
      <c r="G908" s="736"/>
      <c r="H908" s="736"/>
      <c r="I908" s="736"/>
      <c r="J908" s="736">
        <f t="shared" si="364"/>
        <v>0</v>
      </c>
      <c r="K908" s="736"/>
      <c r="L908" s="736"/>
      <c r="M908" s="736">
        <f t="shared" si="365"/>
        <v>0</v>
      </c>
      <c r="N908" s="738"/>
      <c r="O908" s="738"/>
      <c r="P908" s="738">
        <f t="shared" si="366"/>
        <v>0</v>
      </c>
      <c r="Q908" s="738"/>
      <c r="R908" s="738"/>
      <c r="S908" s="738"/>
      <c r="T908" s="739">
        <v>2610121</v>
      </c>
      <c r="U908" s="745"/>
      <c r="V908" s="739">
        <v>2610122</v>
      </c>
    </row>
    <row r="909" spans="1:22" ht="15" x14ac:dyDescent="0.2">
      <c r="A909" s="739">
        <v>2231</v>
      </c>
      <c r="B909" s="743" t="s">
        <v>114</v>
      </c>
      <c r="C909" s="736"/>
      <c r="D909" s="736">
        <v>0</v>
      </c>
      <c r="E909" s="736"/>
      <c r="F909" s="736">
        <v>1800</v>
      </c>
      <c r="G909" s="736"/>
      <c r="H909" s="736"/>
      <c r="I909" s="736"/>
      <c r="J909" s="736">
        <f t="shared" si="364"/>
        <v>0</v>
      </c>
      <c r="K909" s="736"/>
      <c r="L909" s="736"/>
      <c r="M909" s="736">
        <f t="shared" si="365"/>
        <v>0</v>
      </c>
      <c r="N909" s="738"/>
      <c r="O909" s="738"/>
      <c r="P909" s="738">
        <f t="shared" si="366"/>
        <v>0</v>
      </c>
      <c r="Q909" s="738"/>
      <c r="R909" s="738"/>
      <c r="S909" s="738"/>
      <c r="T909" s="739">
        <v>2610121</v>
      </c>
      <c r="U909" s="745"/>
      <c r="V909" s="739">
        <v>2610122</v>
      </c>
    </row>
    <row r="910" spans="1:22" ht="15" x14ac:dyDescent="0.2">
      <c r="A910" s="739">
        <v>2391</v>
      </c>
      <c r="B910" s="743" t="s">
        <v>110</v>
      </c>
      <c r="C910" s="736"/>
      <c r="D910" s="736">
        <v>0</v>
      </c>
      <c r="E910" s="736"/>
      <c r="F910" s="736">
        <v>7200</v>
      </c>
      <c r="G910" s="736"/>
      <c r="H910" s="736"/>
      <c r="I910" s="736"/>
      <c r="J910" s="736">
        <f t="shared" si="364"/>
        <v>0</v>
      </c>
      <c r="K910" s="736"/>
      <c r="L910" s="736"/>
      <c r="M910" s="736">
        <f t="shared" si="365"/>
        <v>0</v>
      </c>
      <c r="N910" s="738"/>
      <c r="O910" s="738"/>
      <c r="P910" s="738">
        <f t="shared" si="366"/>
        <v>0</v>
      </c>
      <c r="Q910" s="738"/>
      <c r="R910" s="738"/>
      <c r="S910" s="738"/>
      <c r="T910" s="739">
        <v>2610121</v>
      </c>
      <c r="U910" s="745"/>
      <c r="V910" s="739">
        <v>2610122</v>
      </c>
    </row>
    <row r="911" spans="1:22" ht="15" x14ac:dyDescent="0.2">
      <c r="A911" s="739">
        <v>2911</v>
      </c>
      <c r="B911" s="743" t="s">
        <v>60</v>
      </c>
      <c r="C911" s="736"/>
      <c r="D911" s="736">
        <v>0</v>
      </c>
      <c r="E911" s="736"/>
      <c r="F911" s="736">
        <v>11800</v>
      </c>
      <c r="G911" s="736"/>
      <c r="H911" s="736"/>
      <c r="I911" s="736"/>
      <c r="J911" s="736">
        <f t="shared" si="364"/>
        <v>0</v>
      </c>
      <c r="K911" s="736"/>
      <c r="L911" s="736"/>
      <c r="M911" s="736">
        <f t="shared" si="365"/>
        <v>0</v>
      </c>
      <c r="N911" s="738"/>
      <c r="O911" s="738"/>
      <c r="P911" s="738">
        <f t="shared" si="366"/>
        <v>0</v>
      </c>
      <c r="Q911" s="738"/>
      <c r="R911" s="738"/>
      <c r="S911" s="738"/>
      <c r="T911" s="739">
        <v>2610121</v>
      </c>
      <c r="U911" s="745"/>
      <c r="V911" s="739">
        <v>2610122</v>
      </c>
    </row>
    <row r="912" spans="1:22" ht="15" x14ac:dyDescent="0.2">
      <c r="A912" s="739">
        <v>2941</v>
      </c>
      <c r="B912" s="743" t="s">
        <v>79</v>
      </c>
      <c r="C912" s="736"/>
      <c r="D912" s="736">
        <v>0</v>
      </c>
      <c r="E912" s="736"/>
      <c r="F912" s="736">
        <v>5533.2</v>
      </c>
      <c r="G912" s="736"/>
      <c r="H912" s="736"/>
      <c r="I912" s="736"/>
      <c r="J912" s="736">
        <f t="shared" si="364"/>
        <v>0</v>
      </c>
      <c r="K912" s="736"/>
      <c r="L912" s="736"/>
      <c r="M912" s="736">
        <f t="shared" si="365"/>
        <v>0</v>
      </c>
      <c r="N912" s="738"/>
      <c r="O912" s="738"/>
      <c r="P912" s="738">
        <f t="shared" si="366"/>
        <v>0</v>
      </c>
      <c r="Q912" s="738"/>
      <c r="R912" s="738"/>
      <c r="S912" s="738"/>
      <c r="T912" s="739">
        <v>2610121</v>
      </c>
      <c r="U912" s="745"/>
      <c r="V912" s="739">
        <v>2610122</v>
      </c>
    </row>
    <row r="913" spans="1:22" ht="15" x14ac:dyDescent="0.2">
      <c r="A913" s="739">
        <v>3531</v>
      </c>
      <c r="B913" s="743" t="s">
        <v>121</v>
      </c>
      <c r="C913" s="736"/>
      <c r="D913" s="736">
        <v>0</v>
      </c>
      <c r="E913" s="736"/>
      <c r="F913" s="736">
        <v>12066.32</v>
      </c>
      <c r="G913" s="736"/>
      <c r="H913" s="736"/>
      <c r="I913" s="736"/>
      <c r="J913" s="736">
        <f t="shared" si="364"/>
        <v>0</v>
      </c>
      <c r="K913" s="736"/>
      <c r="L913" s="736"/>
      <c r="M913" s="736">
        <f t="shared" si="365"/>
        <v>0</v>
      </c>
      <c r="N913" s="738"/>
      <c r="O913" s="738"/>
      <c r="P913" s="738">
        <f t="shared" si="366"/>
        <v>0</v>
      </c>
      <c r="Q913" s="738"/>
      <c r="R913" s="738"/>
      <c r="S913" s="738"/>
      <c r="T913" s="739">
        <v>2610121</v>
      </c>
      <c r="U913" s="745"/>
      <c r="V913" s="739">
        <v>2610122</v>
      </c>
    </row>
    <row r="914" spans="1:22" ht="15" x14ac:dyDescent="0.2">
      <c r="A914" s="739">
        <v>5111</v>
      </c>
      <c r="B914" s="743" t="s">
        <v>35</v>
      </c>
      <c r="C914" s="736"/>
      <c r="D914" s="736">
        <v>0</v>
      </c>
      <c r="E914" s="736"/>
      <c r="F914" s="736">
        <v>94000</v>
      </c>
      <c r="G914" s="736"/>
      <c r="H914" s="736"/>
      <c r="I914" s="736"/>
      <c r="J914" s="736">
        <f t="shared" si="364"/>
        <v>0</v>
      </c>
      <c r="K914" s="736"/>
      <c r="L914" s="736"/>
      <c r="M914" s="736">
        <f t="shared" si="365"/>
        <v>0</v>
      </c>
      <c r="N914" s="738"/>
      <c r="O914" s="738"/>
      <c r="P914" s="738">
        <f t="shared" si="366"/>
        <v>0</v>
      </c>
      <c r="Q914" s="738"/>
      <c r="R914" s="738"/>
      <c r="S914" s="738"/>
      <c r="T914" s="739">
        <v>2610121</v>
      </c>
      <c r="U914" s="745"/>
      <c r="V914" s="739">
        <v>2610122</v>
      </c>
    </row>
    <row r="915" spans="1:22" ht="15" x14ac:dyDescent="0.2">
      <c r="A915" s="739">
        <v>5151</v>
      </c>
      <c r="B915" s="743" t="s">
        <v>36</v>
      </c>
      <c r="C915" s="736"/>
      <c r="D915" s="736">
        <v>0</v>
      </c>
      <c r="E915" s="736"/>
      <c r="F915" s="736">
        <v>143200</v>
      </c>
      <c r="G915" s="736"/>
      <c r="H915" s="736"/>
      <c r="I915" s="736"/>
      <c r="J915" s="736">
        <f t="shared" si="364"/>
        <v>0</v>
      </c>
      <c r="K915" s="736"/>
      <c r="L915" s="736"/>
      <c r="M915" s="736">
        <f t="shared" si="365"/>
        <v>0</v>
      </c>
      <c r="N915" s="738"/>
      <c r="O915" s="738"/>
      <c r="P915" s="738">
        <f t="shared" si="366"/>
        <v>0</v>
      </c>
      <c r="Q915" s="738"/>
      <c r="R915" s="738"/>
      <c r="S915" s="738"/>
      <c r="T915" s="739">
        <v>2610121</v>
      </c>
      <c r="U915" s="745"/>
      <c r="V915" s="739">
        <v>2610122</v>
      </c>
    </row>
    <row r="916" spans="1:22" ht="15" x14ac:dyDescent="0.2">
      <c r="A916" s="739">
        <v>5651</v>
      </c>
      <c r="B916" s="743" t="s">
        <v>105</v>
      </c>
      <c r="C916" s="736"/>
      <c r="D916" s="736">
        <v>0</v>
      </c>
      <c r="E916" s="736"/>
      <c r="F916" s="736">
        <v>19200</v>
      </c>
      <c r="G916" s="736"/>
      <c r="H916" s="736"/>
      <c r="I916" s="736"/>
      <c r="J916" s="736">
        <f t="shared" si="364"/>
        <v>0</v>
      </c>
      <c r="K916" s="736"/>
      <c r="L916" s="736"/>
      <c r="M916" s="736">
        <f t="shared" si="365"/>
        <v>0</v>
      </c>
      <c r="N916" s="738"/>
      <c r="O916" s="738"/>
      <c r="P916" s="738">
        <f t="shared" si="366"/>
        <v>0</v>
      </c>
      <c r="Q916" s="738"/>
      <c r="R916" s="738"/>
      <c r="S916" s="738"/>
      <c r="T916" s="739">
        <v>2610121</v>
      </c>
      <c r="U916" s="745"/>
      <c r="V916" s="739">
        <v>2610122</v>
      </c>
    </row>
    <row r="917" spans="1:22" ht="15" x14ac:dyDescent="0.2">
      <c r="A917" s="739">
        <v>5671</v>
      </c>
      <c r="B917" s="743" t="s">
        <v>1728</v>
      </c>
      <c r="C917" s="736"/>
      <c r="D917" s="736">
        <v>0</v>
      </c>
      <c r="E917" s="736"/>
      <c r="F917" s="736">
        <v>204350</v>
      </c>
      <c r="G917" s="736"/>
      <c r="H917" s="736"/>
      <c r="I917" s="736"/>
      <c r="J917" s="736">
        <f t="shared" si="364"/>
        <v>0</v>
      </c>
      <c r="K917" s="736"/>
      <c r="L917" s="736"/>
      <c r="M917" s="736">
        <f t="shared" si="365"/>
        <v>0</v>
      </c>
      <c r="N917" s="738"/>
      <c r="O917" s="738"/>
      <c r="P917" s="738">
        <f t="shared" si="366"/>
        <v>0</v>
      </c>
      <c r="Q917" s="738"/>
      <c r="R917" s="738"/>
      <c r="S917" s="738"/>
      <c r="T917" s="739">
        <v>2610121</v>
      </c>
      <c r="U917" s="745"/>
      <c r="V917" s="739">
        <v>2610122</v>
      </c>
    </row>
    <row r="918" spans="1:22" ht="15" x14ac:dyDescent="0.2">
      <c r="A918" s="739">
        <v>5691</v>
      </c>
      <c r="B918" s="743" t="s">
        <v>112</v>
      </c>
      <c r="C918" s="736"/>
      <c r="D918" s="736">
        <v>0</v>
      </c>
      <c r="E918" s="736"/>
      <c r="F918" s="736">
        <v>6960.01</v>
      </c>
      <c r="G918" s="736"/>
      <c r="H918" s="736"/>
      <c r="I918" s="736"/>
      <c r="J918" s="736">
        <f t="shared" si="364"/>
        <v>0</v>
      </c>
      <c r="K918" s="736"/>
      <c r="L918" s="736"/>
      <c r="M918" s="736">
        <f t="shared" si="365"/>
        <v>0</v>
      </c>
      <c r="N918" s="738"/>
      <c r="O918" s="738"/>
      <c r="P918" s="738">
        <f t="shared" si="366"/>
        <v>0</v>
      </c>
      <c r="Q918" s="738"/>
      <c r="R918" s="738"/>
      <c r="S918" s="738"/>
      <c r="T918" s="739">
        <v>2610121</v>
      </c>
      <c r="U918" s="745"/>
      <c r="V918" s="739">
        <v>2610122</v>
      </c>
    </row>
    <row r="919" spans="1:22" ht="15" x14ac:dyDescent="0.2">
      <c r="A919" s="728" t="s">
        <v>1753</v>
      </c>
      <c r="B919" s="729" t="s">
        <v>1754</v>
      </c>
      <c r="C919" s="730">
        <f t="shared" ref="C919:S919" si="367">SUM(C920:C930)</f>
        <v>0</v>
      </c>
      <c r="D919" s="730">
        <f t="shared" si="367"/>
        <v>0</v>
      </c>
      <c r="E919" s="730">
        <f t="shared" si="367"/>
        <v>650000</v>
      </c>
      <c r="F919" s="730">
        <f t="shared" si="367"/>
        <v>0</v>
      </c>
      <c r="G919" s="730">
        <f t="shared" si="367"/>
        <v>0</v>
      </c>
      <c r="H919" s="730">
        <f t="shared" si="367"/>
        <v>0</v>
      </c>
      <c r="I919" s="730">
        <f t="shared" si="367"/>
        <v>0</v>
      </c>
      <c r="J919" s="730">
        <f t="shared" si="367"/>
        <v>0</v>
      </c>
      <c r="K919" s="730">
        <f t="shared" si="367"/>
        <v>0</v>
      </c>
      <c r="L919" s="730">
        <f t="shared" si="367"/>
        <v>0</v>
      </c>
      <c r="M919" s="730">
        <f t="shared" si="367"/>
        <v>0</v>
      </c>
      <c r="N919" s="730">
        <f t="shared" si="367"/>
        <v>0</v>
      </c>
      <c r="O919" s="730">
        <f t="shared" si="367"/>
        <v>0</v>
      </c>
      <c r="P919" s="748">
        <f t="shared" si="367"/>
        <v>0</v>
      </c>
      <c r="Q919" s="748">
        <f t="shared" si="367"/>
        <v>0</v>
      </c>
      <c r="R919" s="748">
        <f t="shared" si="367"/>
        <v>0</v>
      </c>
      <c r="S919" s="748">
        <f t="shared" si="367"/>
        <v>0</v>
      </c>
      <c r="T919" s="731"/>
      <c r="U919" s="732">
        <f t="shared" ref="U919" si="368">SUM(U920:U930)</f>
        <v>0</v>
      </c>
      <c r="V919" s="728"/>
    </row>
    <row r="920" spans="1:22" ht="15" x14ac:dyDescent="0.2">
      <c r="A920" s="739">
        <v>2112</v>
      </c>
      <c r="B920" s="743" t="s">
        <v>39</v>
      </c>
      <c r="C920" s="736"/>
      <c r="D920" s="736"/>
      <c r="E920" s="736">
        <v>139030.48000000001</v>
      </c>
      <c r="F920" s="736"/>
      <c r="G920" s="736"/>
      <c r="H920" s="736"/>
      <c r="I920" s="736"/>
      <c r="J920" s="736">
        <f t="shared" ref="J920:J930" si="369">G920+H920-I920</f>
        <v>0</v>
      </c>
      <c r="K920" s="736"/>
      <c r="L920" s="736"/>
      <c r="M920" s="736">
        <f t="shared" ref="M920:M930" si="370">J920+K920-L920</f>
        <v>0</v>
      </c>
      <c r="N920" s="736"/>
      <c r="O920" s="736"/>
      <c r="P920" s="738">
        <f t="shared" ref="P920:P930" si="371">M920+N920-O920</f>
        <v>0</v>
      </c>
      <c r="Q920" s="738"/>
      <c r="R920" s="738"/>
      <c r="S920" s="738"/>
      <c r="T920" s="739"/>
      <c r="U920" s="745"/>
      <c r="V920" s="739"/>
    </row>
    <row r="921" spans="1:22" ht="15" x14ac:dyDescent="0.2">
      <c r="A921" s="739">
        <v>2171</v>
      </c>
      <c r="B921" s="743" t="s">
        <v>174</v>
      </c>
      <c r="C921" s="736"/>
      <c r="D921" s="736"/>
      <c r="E921" s="736">
        <v>4860</v>
      </c>
      <c r="F921" s="736"/>
      <c r="G921" s="736"/>
      <c r="H921" s="736"/>
      <c r="I921" s="736"/>
      <c r="J921" s="736">
        <f t="shared" si="369"/>
        <v>0</v>
      </c>
      <c r="K921" s="736"/>
      <c r="L921" s="736"/>
      <c r="M921" s="736">
        <f t="shared" si="370"/>
        <v>0</v>
      </c>
      <c r="N921" s="736"/>
      <c r="O921" s="736"/>
      <c r="P921" s="738">
        <f t="shared" si="371"/>
        <v>0</v>
      </c>
      <c r="Q921" s="738"/>
      <c r="R921" s="738"/>
      <c r="S921" s="738"/>
      <c r="T921" s="739"/>
      <c r="U921" s="745"/>
      <c r="V921" s="739"/>
    </row>
    <row r="922" spans="1:22" ht="15" x14ac:dyDescent="0.2">
      <c r="A922" s="739">
        <v>2231</v>
      </c>
      <c r="B922" s="743" t="s">
        <v>114</v>
      </c>
      <c r="C922" s="736"/>
      <c r="D922" s="736"/>
      <c r="E922" s="736">
        <v>1800</v>
      </c>
      <c r="F922" s="736"/>
      <c r="G922" s="736"/>
      <c r="H922" s="736"/>
      <c r="I922" s="736"/>
      <c r="J922" s="736">
        <f t="shared" si="369"/>
        <v>0</v>
      </c>
      <c r="K922" s="736"/>
      <c r="L922" s="736"/>
      <c r="M922" s="736">
        <f t="shared" si="370"/>
        <v>0</v>
      </c>
      <c r="N922" s="736"/>
      <c r="O922" s="736"/>
      <c r="P922" s="738">
        <f t="shared" si="371"/>
        <v>0</v>
      </c>
      <c r="Q922" s="738"/>
      <c r="R922" s="738"/>
      <c r="S922" s="738"/>
      <c r="T922" s="739"/>
      <c r="U922" s="745"/>
      <c r="V922" s="739"/>
    </row>
    <row r="923" spans="1:22" ht="15" x14ac:dyDescent="0.2">
      <c r="A923" s="739">
        <v>2391</v>
      </c>
      <c r="B923" s="743" t="s">
        <v>110</v>
      </c>
      <c r="C923" s="736"/>
      <c r="D923" s="736"/>
      <c r="E923" s="736">
        <v>7200</v>
      </c>
      <c r="F923" s="736"/>
      <c r="G923" s="736"/>
      <c r="H923" s="736"/>
      <c r="I923" s="736"/>
      <c r="J923" s="736">
        <f t="shared" si="369"/>
        <v>0</v>
      </c>
      <c r="K923" s="736"/>
      <c r="L923" s="736"/>
      <c r="M923" s="736">
        <f t="shared" si="370"/>
        <v>0</v>
      </c>
      <c r="N923" s="736"/>
      <c r="O923" s="736"/>
      <c r="P923" s="738">
        <f t="shared" si="371"/>
        <v>0</v>
      </c>
      <c r="Q923" s="738"/>
      <c r="R923" s="738"/>
      <c r="S923" s="738"/>
      <c r="T923" s="739"/>
      <c r="U923" s="745"/>
      <c r="V923" s="739"/>
    </row>
    <row r="924" spans="1:22" ht="15" x14ac:dyDescent="0.2">
      <c r="A924" s="739">
        <v>2911</v>
      </c>
      <c r="B924" s="743" t="s">
        <v>60</v>
      </c>
      <c r="C924" s="736"/>
      <c r="D924" s="736"/>
      <c r="E924" s="736">
        <v>11800</v>
      </c>
      <c r="F924" s="736"/>
      <c r="G924" s="736"/>
      <c r="H924" s="736"/>
      <c r="I924" s="736"/>
      <c r="J924" s="736">
        <f t="shared" si="369"/>
        <v>0</v>
      </c>
      <c r="K924" s="736"/>
      <c r="L924" s="736"/>
      <c r="M924" s="736">
        <f t="shared" si="370"/>
        <v>0</v>
      </c>
      <c r="N924" s="736"/>
      <c r="O924" s="736"/>
      <c r="P924" s="738">
        <f t="shared" si="371"/>
        <v>0</v>
      </c>
      <c r="Q924" s="738"/>
      <c r="R924" s="738"/>
      <c r="S924" s="738"/>
      <c r="T924" s="739"/>
      <c r="U924" s="745"/>
      <c r="V924" s="739"/>
    </row>
    <row r="925" spans="1:22" ht="15" x14ac:dyDescent="0.2">
      <c r="A925" s="739">
        <v>2941</v>
      </c>
      <c r="B925" s="743" t="s">
        <v>79</v>
      </c>
      <c r="C925" s="736"/>
      <c r="D925" s="736"/>
      <c r="E925" s="736">
        <v>5533.2</v>
      </c>
      <c r="F925" s="736"/>
      <c r="G925" s="736"/>
      <c r="H925" s="736"/>
      <c r="I925" s="736"/>
      <c r="J925" s="736">
        <f t="shared" si="369"/>
        <v>0</v>
      </c>
      <c r="K925" s="736"/>
      <c r="L925" s="736"/>
      <c r="M925" s="736">
        <f t="shared" si="370"/>
        <v>0</v>
      </c>
      <c r="N925" s="736"/>
      <c r="O925" s="736"/>
      <c r="P925" s="738">
        <f t="shared" si="371"/>
        <v>0</v>
      </c>
      <c r="Q925" s="738"/>
      <c r="R925" s="738"/>
      <c r="S925" s="738"/>
      <c r="T925" s="739"/>
      <c r="U925" s="745"/>
      <c r="V925" s="739"/>
    </row>
    <row r="926" spans="1:22" ht="15" x14ac:dyDescent="0.2">
      <c r="A926" s="739">
        <v>3531</v>
      </c>
      <c r="B926" s="743" t="s">
        <v>121</v>
      </c>
      <c r="C926" s="736"/>
      <c r="D926" s="736"/>
      <c r="E926" s="736">
        <v>12066.320000000002</v>
      </c>
      <c r="F926" s="736"/>
      <c r="G926" s="736"/>
      <c r="H926" s="736"/>
      <c r="I926" s="736"/>
      <c r="J926" s="736">
        <f t="shared" si="369"/>
        <v>0</v>
      </c>
      <c r="K926" s="736"/>
      <c r="L926" s="736"/>
      <c r="M926" s="736">
        <f t="shared" si="370"/>
        <v>0</v>
      </c>
      <c r="N926" s="736"/>
      <c r="O926" s="736"/>
      <c r="P926" s="738">
        <f t="shared" si="371"/>
        <v>0</v>
      </c>
      <c r="Q926" s="738"/>
      <c r="R926" s="738"/>
      <c r="S926" s="738"/>
      <c r="T926" s="739"/>
      <c r="U926" s="745"/>
      <c r="V926" s="739"/>
    </row>
    <row r="927" spans="1:22" ht="15" x14ac:dyDescent="0.2">
      <c r="A927" s="739">
        <v>5111</v>
      </c>
      <c r="B927" s="743" t="s">
        <v>35</v>
      </c>
      <c r="C927" s="736"/>
      <c r="D927" s="736"/>
      <c r="E927" s="736">
        <v>100960</v>
      </c>
      <c r="F927" s="736"/>
      <c r="G927" s="736"/>
      <c r="H927" s="736"/>
      <c r="I927" s="736"/>
      <c r="J927" s="736">
        <f t="shared" si="369"/>
        <v>0</v>
      </c>
      <c r="K927" s="736"/>
      <c r="L927" s="736"/>
      <c r="M927" s="736">
        <f t="shared" si="370"/>
        <v>0</v>
      </c>
      <c r="N927" s="736"/>
      <c r="O927" s="736"/>
      <c r="P927" s="738">
        <f t="shared" si="371"/>
        <v>0</v>
      </c>
      <c r="Q927" s="738"/>
      <c r="R927" s="738"/>
      <c r="S927" s="738"/>
      <c r="T927" s="739"/>
      <c r="U927" s="745"/>
      <c r="V927" s="739"/>
    </row>
    <row r="928" spans="1:22" ht="15" x14ac:dyDescent="0.2">
      <c r="A928" s="739">
        <v>5151</v>
      </c>
      <c r="B928" s="743" t="s">
        <v>36</v>
      </c>
      <c r="C928" s="736"/>
      <c r="D928" s="736"/>
      <c r="E928" s="736">
        <v>143200</v>
      </c>
      <c r="F928" s="736"/>
      <c r="G928" s="736"/>
      <c r="H928" s="736"/>
      <c r="I928" s="736"/>
      <c r="J928" s="736">
        <f t="shared" si="369"/>
        <v>0</v>
      </c>
      <c r="K928" s="736"/>
      <c r="L928" s="736"/>
      <c r="M928" s="736">
        <f t="shared" si="370"/>
        <v>0</v>
      </c>
      <c r="N928" s="736"/>
      <c r="O928" s="736"/>
      <c r="P928" s="738">
        <f t="shared" si="371"/>
        <v>0</v>
      </c>
      <c r="Q928" s="738"/>
      <c r="R928" s="738"/>
      <c r="S928" s="738"/>
      <c r="T928" s="739"/>
      <c r="U928" s="745"/>
      <c r="V928" s="739"/>
    </row>
    <row r="929" spans="1:22" ht="15" x14ac:dyDescent="0.2">
      <c r="A929" s="739">
        <v>5651</v>
      </c>
      <c r="B929" s="743" t="s">
        <v>105</v>
      </c>
      <c r="C929" s="736"/>
      <c r="D929" s="736"/>
      <c r="E929" s="736">
        <v>19200</v>
      </c>
      <c r="F929" s="736"/>
      <c r="G929" s="736"/>
      <c r="H929" s="736"/>
      <c r="I929" s="736"/>
      <c r="J929" s="736">
        <f t="shared" si="369"/>
        <v>0</v>
      </c>
      <c r="K929" s="736"/>
      <c r="L929" s="736"/>
      <c r="M929" s="736">
        <f t="shared" si="370"/>
        <v>0</v>
      </c>
      <c r="N929" s="736"/>
      <c r="O929" s="736"/>
      <c r="P929" s="738">
        <f t="shared" si="371"/>
        <v>0</v>
      </c>
      <c r="Q929" s="738"/>
      <c r="R929" s="738"/>
      <c r="S929" s="738"/>
      <c r="T929" s="739"/>
      <c r="U929" s="745"/>
      <c r="V929" s="739"/>
    </row>
    <row r="930" spans="1:22" ht="15" x14ac:dyDescent="0.2">
      <c r="A930" s="739">
        <v>5671</v>
      </c>
      <c r="B930" s="743" t="s">
        <v>1728</v>
      </c>
      <c r="C930" s="736"/>
      <c r="D930" s="736"/>
      <c r="E930" s="736">
        <v>204350</v>
      </c>
      <c r="F930" s="736"/>
      <c r="G930" s="736"/>
      <c r="H930" s="736"/>
      <c r="I930" s="736"/>
      <c r="J930" s="736">
        <f t="shared" si="369"/>
        <v>0</v>
      </c>
      <c r="K930" s="736"/>
      <c r="L930" s="736"/>
      <c r="M930" s="736">
        <f t="shared" si="370"/>
        <v>0</v>
      </c>
      <c r="N930" s="736"/>
      <c r="O930" s="736"/>
      <c r="P930" s="738">
        <f t="shared" si="371"/>
        <v>0</v>
      </c>
      <c r="Q930" s="738"/>
      <c r="R930" s="738"/>
      <c r="S930" s="738"/>
      <c r="T930" s="739"/>
      <c r="U930" s="745"/>
      <c r="V930" s="739"/>
    </row>
    <row r="931" spans="1:22" ht="15" x14ac:dyDescent="0.2">
      <c r="A931" s="728" t="s">
        <v>164</v>
      </c>
      <c r="B931" s="729" t="s">
        <v>165</v>
      </c>
      <c r="C931" s="730">
        <f t="shared" ref="C931:S931" si="372">SUM(C932:C933)</f>
        <v>948480</v>
      </c>
      <c r="D931" s="730">
        <f t="shared" si="372"/>
        <v>7080000</v>
      </c>
      <c r="E931" s="730">
        <f t="shared" si="372"/>
        <v>1000000</v>
      </c>
      <c r="F931" s="730">
        <f t="shared" si="372"/>
        <v>999600</v>
      </c>
      <c r="G931" s="730">
        <f t="shared" si="372"/>
        <v>0</v>
      </c>
      <c r="H931" s="730">
        <f t="shared" si="372"/>
        <v>0</v>
      </c>
      <c r="I931" s="730">
        <f t="shared" si="372"/>
        <v>0</v>
      </c>
      <c r="J931" s="730">
        <f t="shared" si="372"/>
        <v>0</v>
      </c>
      <c r="K931" s="730">
        <f t="shared" si="372"/>
        <v>0</v>
      </c>
      <c r="L931" s="730">
        <f t="shared" si="372"/>
        <v>0</v>
      </c>
      <c r="M931" s="730">
        <f t="shared" si="372"/>
        <v>0</v>
      </c>
      <c r="N931" s="730">
        <f t="shared" si="372"/>
        <v>0</v>
      </c>
      <c r="O931" s="730">
        <f t="shared" si="372"/>
        <v>0</v>
      </c>
      <c r="P931" s="748">
        <f t="shared" si="372"/>
        <v>0</v>
      </c>
      <c r="Q931" s="748">
        <f t="shared" si="372"/>
        <v>0</v>
      </c>
      <c r="R931" s="748">
        <f t="shared" si="372"/>
        <v>0</v>
      </c>
      <c r="S931" s="748">
        <f t="shared" si="372"/>
        <v>0</v>
      </c>
      <c r="T931" s="731"/>
      <c r="U931" s="732">
        <f t="shared" ref="U931" si="373">SUM(U932:U933)</f>
        <v>0</v>
      </c>
      <c r="V931" s="728"/>
    </row>
    <row r="932" spans="1:22" ht="15" x14ac:dyDescent="0.2">
      <c r="A932" s="739">
        <v>4411</v>
      </c>
      <c r="B932" s="743" t="s">
        <v>34</v>
      </c>
      <c r="C932" s="736">
        <v>474240</v>
      </c>
      <c r="D932" s="736">
        <v>4380000</v>
      </c>
      <c r="E932" s="749">
        <v>500000</v>
      </c>
      <c r="F932" s="736">
        <v>499800</v>
      </c>
      <c r="G932" s="736"/>
      <c r="H932" s="736"/>
      <c r="I932" s="736"/>
      <c r="J932" s="736">
        <f t="shared" ref="J932:J933" si="374">G932+H932-I932</f>
        <v>0</v>
      </c>
      <c r="K932" s="736"/>
      <c r="L932" s="736"/>
      <c r="M932" s="736">
        <f t="shared" ref="M932:M933" si="375">J932+K932-L932</f>
        <v>0</v>
      </c>
      <c r="N932" s="736"/>
      <c r="O932" s="736"/>
      <c r="P932" s="738">
        <f t="shared" ref="P932:P933" si="376">M932+N932-O932</f>
        <v>0</v>
      </c>
      <c r="Q932" s="738"/>
      <c r="R932" s="738"/>
      <c r="S932" s="738"/>
      <c r="T932" s="739">
        <v>1100121</v>
      </c>
      <c r="U932" s="745"/>
      <c r="V932" s="739">
        <v>1100122</v>
      </c>
    </row>
    <row r="933" spans="1:22" ht="15" x14ac:dyDescent="0.2">
      <c r="A933" s="739">
        <v>4411</v>
      </c>
      <c r="B933" s="743" t="s">
        <v>34</v>
      </c>
      <c r="C933" s="736">
        <v>474240</v>
      </c>
      <c r="D933" s="736">
        <v>2700000</v>
      </c>
      <c r="E933" s="749">
        <v>500000</v>
      </c>
      <c r="F933" s="736">
        <v>499800</v>
      </c>
      <c r="G933" s="736"/>
      <c r="H933" s="736"/>
      <c r="I933" s="736"/>
      <c r="J933" s="736">
        <f t="shared" si="374"/>
        <v>0</v>
      </c>
      <c r="K933" s="736"/>
      <c r="L933" s="736"/>
      <c r="M933" s="736">
        <f t="shared" si="375"/>
        <v>0</v>
      </c>
      <c r="N933" s="738"/>
      <c r="O933" s="738"/>
      <c r="P933" s="738">
        <f t="shared" si="376"/>
        <v>0</v>
      </c>
      <c r="Q933" s="738"/>
      <c r="R933" s="738"/>
      <c r="S933" s="738"/>
      <c r="T933" s="739">
        <v>2610121</v>
      </c>
      <c r="U933" s="745"/>
      <c r="V933" s="739">
        <v>2610122</v>
      </c>
    </row>
    <row r="934" spans="1:22" ht="15" x14ac:dyDescent="0.2">
      <c r="A934" s="728" t="s">
        <v>166</v>
      </c>
      <c r="B934" s="729" t="s">
        <v>1742</v>
      </c>
      <c r="C934" s="730">
        <f t="shared" ref="C934:S934" si="377">SUM(C935:C936)</f>
        <v>600000</v>
      </c>
      <c r="D934" s="730">
        <f t="shared" si="377"/>
        <v>1000000</v>
      </c>
      <c r="E934" s="730">
        <f t="shared" si="377"/>
        <v>3499485</v>
      </c>
      <c r="F934" s="730">
        <f t="shared" si="377"/>
        <v>3250130</v>
      </c>
      <c r="G934" s="730">
        <f t="shared" si="377"/>
        <v>0</v>
      </c>
      <c r="H934" s="730">
        <f t="shared" si="377"/>
        <v>0</v>
      </c>
      <c r="I934" s="730">
        <f t="shared" si="377"/>
        <v>0</v>
      </c>
      <c r="J934" s="730">
        <f t="shared" si="377"/>
        <v>0</v>
      </c>
      <c r="K934" s="730">
        <f t="shared" si="377"/>
        <v>0</v>
      </c>
      <c r="L934" s="730">
        <f t="shared" si="377"/>
        <v>0</v>
      </c>
      <c r="M934" s="730">
        <f t="shared" si="377"/>
        <v>0</v>
      </c>
      <c r="N934" s="730">
        <f t="shared" si="377"/>
        <v>0</v>
      </c>
      <c r="O934" s="730">
        <f t="shared" si="377"/>
        <v>0</v>
      </c>
      <c r="P934" s="748">
        <f t="shared" si="377"/>
        <v>0</v>
      </c>
      <c r="Q934" s="748">
        <f t="shared" si="377"/>
        <v>0</v>
      </c>
      <c r="R934" s="748">
        <f t="shared" si="377"/>
        <v>0</v>
      </c>
      <c r="S934" s="748">
        <f t="shared" si="377"/>
        <v>0</v>
      </c>
      <c r="T934" s="731"/>
      <c r="U934" s="732">
        <f t="shared" ref="U934" si="378">SUM(U935:U936)</f>
        <v>0</v>
      </c>
      <c r="V934" s="728"/>
    </row>
    <row r="935" spans="1:22" ht="15" x14ac:dyDescent="0.2">
      <c r="A935" s="739">
        <v>4411</v>
      </c>
      <c r="B935" s="743" t="s">
        <v>34</v>
      </c>
      <c r="C935" s="736">
        <v>300000</v>
      </c>
      <c r="D935" s="736">
        <v>500000</v>
      </c>
      <c r="E935" s="749">
        <v>1749742.5</v>
      </c>
      <c r="F935" s="736">
        <v>1625065</v>
      </c>
      <c r="G935" s="736"/>
      <c r="H935" s="736"/>
      <c r="I935" s="736"/>
      <c r="J935" s="736">
        <f t="shared" ref="J935:J936" si="379">G935+H935-I935</f>
        <v>0</v>
      </c>
      <c r="K935" s="736"/>
      <c r="L935" s="736"/>
      <c r="M935" s="736">
        <f t="shared" ref="M935:M936" si="380">J935+K935-L935</f>
        <v>0</v>
      </c>
      <c r="N935" s="736"/>
      <c r="O935" s="736"/>
      <c r="P935" s="738">
        <f t="shared" ref="P935:P936" si="381">M935+N935-O935</f>
        <v>0</v>
      </c>
      <c r="Q935" s="738"/>
      <c r="R935" s="738"/>
      <c r="S935" s="738"/>
      <c r="T935" s="739">
        <v>1100121</v>
      </c>
      <c r="U935" s="745"/>
      <c r="V935" s="739">
        <v>1100122</v>
      </c>
    </row>
    <row r="936" spans="1:22" ht="15" x14ac:dyDescent="0.2">
      <c r="A936" s="739">
        <v>4411</v>
      </c>
      <c r="B936" s="743" t="s">
        <v>34</v>
      </c>
      <c r="C936" s="736">
        <v>300000</v>
      </c>
      <c r="D936" s="736">
        <v>500000</v>
      </c>
      <c r="E936" s="749">
        <v>1749742.5</v>
      </c>
      <c r="F936" s="736">
        <v>1625065</v>
      </c>
      <c r="G936" s="736"/>
      <c r="H936" s="736"/>
      <c r="I936" s="736"/>
      <c r="J936" s="736">
        <f t="shared" si="379"/>
        <v>0</v>
      </c>
      <c r="K936" s="736"/>
      <c r="L936" s="736"/>
      <c r="M936" s="736">
        <f t="shared" si="380"/>
        <v>0</v>
      </c>
      <c r="N936" s="738"/>
      <c r="O936" s="738"/>
      <c r="P936" s="738">
        <f t="shared" si="381"/>
        <v>0</v>
      </c>
      <c r="Q936" s="738"/>
      <c r="R936" s="738"/>
      <c r="S936" s="738"/>
      <c r="T936" s="739">
        <v>2610121</v>
      </c>
      <c r="U936" s="745"/>
      <c r="V936" s="739">
        <v>2610122</v>
      </c>
    </row>
    <row r="937" spans="1:22" ht="15" x14ac:dyDescent="0.2">
      <c r="A937" s="728" t="s">
        <v>1755</v>
      </c>
      <c r="B937" s="729" t="s">
        <v>1578</v>
      </c>
      <c r="C937" s="730">
        <f t="shared" ref="C937:S937" si="382">SUM(C938)</f>
        <v>0</v>
      </c>
      <c r="D937" s="730">
        <f t="shared" si="382"/>
        <v>750000</v>
      </c>
      <c r="E937" s="730">
        <f t="shared" si="382"/>
        <v>0</v>
      </c>
      <c r="F937" s="730">
        <f t="shared" si="382"/>
        <v>0</v>
      </c>
      <c r="G937" s="730">
        <f t="shared" si="382"/>
        <v>0</v>
      </c>
      <c r="H937" s="730">
        <f t="shared" si="382"/>
        <v>0</v>
      </c>
      <c r="I937" s="730">
        <f t="shared" si="382"/>
        <v>0</v>
      </c>
      <c r="J937" s="730">
        <f t="shared" si="382"/>
        <v>0</v>
      </c>
      <c r="K937" s="730">
        <f t="shared" si="382"/>
        <v>0</v>
      </c>
      <c r="L937" s="730">
        <f t="shared" si="382"/>
        <v>0</v>
      </c>
      <c r="M937" s="730">
        <f t="shared" si="382"/>
        <v>0</v>
      </c>
      <c r="N937" s="730">
        <f t="shared" si="382"/>
        <v>0</v>
      </c>
      <c r="O937" s="730">
        <f t="shared" si="382"/>
        <v>0</v>
      </c>
      <c r="P937" s="748">
        <f t="shared" si="382"/>
        <v>0</v>
      </c>
      <c r="Q937" s="748">
        <f t="shared" si="382"/>
        <v>0</v>
      </c>
      <c r="R937" s="748">
        <f t="shared" si="382"/>
        <v>0</v>
      </c>
      <c r="S937" s="748">
        <f t="shared" si="382"/>
        <v>0</v>
      </c>
      <c r="T937" s="731"/>
      <c r="U937" s="732">
        <f t="shared" ref="U937" si="383">SUM(U938)</f>
        <v>0</v>
      </c>
      <c r="V937" s="728"/>
    </row>
    <row r="938" spans="1:22" ht="15" x14ac:dyDescent="0.2">
      <c r="A938" s="739">
        <v>4411</v>
      </c>
      <c r="B938" s="743" t="s">
        <v>34</v>
      </c>
      <c r="C938" s="736"/>
      <c r="D938" s="736">
        <v>750000</v>
      </c>
      <c r="E938" s="736"/>
      <c r="F938" s="736">
        <v>0</v>
      </c>
      <c r="G938" s="736"/>
      <c r="H938" s="736"/>
      <c r="I938" s="736"/>
      <c r="J938" s="736">
        <f>G938+H938-I938</f>
        <v>0</v>
      </c>
      <c r="K938" s="736"/>
      <c r="L938" s="736"/>
      <c r="M938" s="736">
        <f>J938+K938-L938</f>
        <v>0</v>
      </c>
      <c r="N938" s="736"/>
      <c r="O938" s="736"/>
      <c r="P938" s="738">
        <f>M938+N938-O938</f>
        <v>0</v>
      </c>
      <c r="Q938" s="738"/>
      <c r="R938" s="738"/>
      <c r="S938" s="738"/>
      <c r="T938" s="739">
        <v>1100121</v>
      </c>
      <c r="U938" s="745"/>
      <c r="V938" s="739">
        <v>1100122</v>
      </c>
    </row>
    <row r="939" spans="1:22" ht="15" x14ac:dyDescent="0.2">
      <c r="A939" s="728" t="s">
        <v>1718</v>
      </c>
      <c r="B939" s="729" t="s">
        <v>1533</v>
      </c>
      <c r="C939" s="730">
        <f t="shared" ref="C939:S939" si="384">SUM(C940)</f>
        <v>0</v>
      </c>
      <c r="D939" s="730">
        <f t="shared" si="384"/>
        <v>0</v>
      </c>
      <c r="E939" s="730">
        <f t="shared" si="384"/>
        <v>741200</v>
      </c>
      <c r="F939" s="730">
        <f t="shared" si="384"/>
        <v>857983.47</v>
      </c>
      <c r="G939" s="730">
        <f t="shared" si="384"/>
        <v>0</v>
      </c>
      <c r="H939" s="730">
        <f t="shared" si="384"/>
        <v>0</v>
      </c>
      <c r="I939" s="730">
        <f t="shared" si="384"/>
        <v>0</v>
      </c>
      <c r="J939" s="730">
        <f t="shared" si="384"/>
        <v>0</v>
      </c>
      <c r="K939" s="730">
        <f t="shared" si="384"/>
        <v>0</v>
      </c>
      <c r="L939" s="730">
        <f t="shared" si="384"/>
        <v>0</v>
      </c>
      <c r="M939" s="730">
        <f t="shared" si="384"/>
        <v>0</v>
      </c>
      <c r="N939" s="730">
        <f t="shared" si="384"/>
        <v>0</v>
      </c>
      <c r="O939" s="730">
        <f t="shared" si="384"/>
        <v>0</v>
      </c>
      <c r="P939" s="748">
        <f t="shared" si="384"/>
        <v>0</v>
      </c>
      <c r="Q939" s="748">
        <f t="shared" si="384"/>
        <v>0</v>
      </c>
      <c r="R939" s="748">
        <f t="shared" si="384"/>
        <v>0</v>
      </c>
      <c r="S939" s="748">
        <f t="shared" si="384"/>
        <v>0</v>
      </c>
      <c r="T939" s="731"/>
      <c r="U939" s="732">
        <f t="shared" ref="U939" si="385">SUM(U940)</f>
        <v>0</v>
      </c>
      <c r="V939" s="728"/>
    </row>
    <row r="940" spans="1:22" ht="15" x14ac:dyDescent="0.2">
      <c r="A940" s="739">
        <v>4411</v>
      </c>
      <c r="B940" s="743" t="s">
        <v>34</v>
      </c>
      <c r="C940" s="736"/>
      <c r="D940" s="736">
        <v>0</v>
      </c>
      <c r="E940" s="749">
        <v>741200</v>
      </c>
      <c r="F940" s="736">
        <v>857983.47</v>
      </c>
      <c r="G940" s="736"/>
      <c r="H940" s="736"/>
      <c r="I940" s="736"/>
      <c r="J940" s="736">
        <f>G940+H940-I940</f>
        <v>0</v>
      </c>
      <c r="K940" s="736"/>
      <c r="L940" s="736"/>
      <c r="M940" s="736">
        <f>J940+K940-L940</f>
        <v>0</v>
      </c>
      <c r="N940" s="736"/>
      <c r="O940" s="736"/>
      <c r="P940" s="738">
        <f>M940+N940-O940</f>
        <v>0</v>
      </c>
      <c r="Q940" s="738"/>
      <c r="R940" s="738"/>
      <c r="S940" s="738"/>
      <c r="T940" s="739">
        <v>1100121</v>
      </c>
      <c r="U940" s="745"/>
      <c r="V940" s="739">
        <v>1100122</v>
      </c>
    </row>
    <row r="941" spans="1:22" ht="15" x14ac:dyDescent="0.2">
      <c r="A941" s="724" t="s">
        <v>175</v>
      </c>
      <c r="B941" s="725" t="s">
        <v>176</v>
      </c>
      <c r="C941" s="721">
        <f t="shared" ref="C941:S941" si="386">SUM(C942)</f>
        <v>12774691.529999999</v>
      </c>
      <c r="D941" s="721">
        <f t="shared" si="386"/>
        <v>16046993.960000001</v>
      </c>
      <c r="E941" s="721">
        <f t="shared" si="386"/>
        <v>15250517.16</v>
      </c>
      <c r="F941" s="721">
        <f t="shared" si="386"/>
        <v>14580172.480000002</v>
      </c>
      <c r="G941" s="721">
        <f t="shared" si="386"/>
        <v>12209071.1</v>
      </c>
      <c r="H941" s="721">
        <f t="shared" si="386"/>
        <v>300000</v>
      </c>
      <c r="I941" s="721">
        <f t="shared" si="386"/>
        <v>0</v>
      </c>
      <c r="J941" s="721">
        <f t="shared" si="386"/>
        <v>12509071.1</v>
      </c>
      <c r="K941" s="721">
        <f t="shared" si="386"/>
        <v>748818.8</v>
      </c>
      <c r="L941" s="721">
        <f t="shared" si="386"/>
        <v>722801.51</v>
      </c>
      <c r="M941" s="721">
        <f t="shared" si="386"/>
        <v>12535088.390000001</v>
      </c>
      <c r="N941" s="721">
        <f t="shared" si="386"/>
        <v>770000</v>
      </c>
      <c r="O941" s="721">
        <f t="shared" si="386"/>
        <v>22000</v>
      </c>
      <c r="P941" s="721">
        <f t="shared" si="386"/>
        <v>13283088.390000001</v>
      </c>
      <c r="Q941" s="756">
        <f t="shared" si="386"/>
        <v>13706337.57</v>
      </c>
      <c r="R941" s="756">
        <f t="shared" si="386"/>
        <v>7397490.25</v>
      </c>
      <c r="S941" s="756">
        <f t="shared" si="386"/>
        <v>15481678.930000002</v>
      </c>
      <c r="T941" s="724"/>
      <c r="U941" s="726">
        <f t="shared" ref="U941" si="387">SUM(U942)</f>
        <v>23617804.510000002</v>
      </c>
      <c r="V941" s="727"/>
    </row>
    <row r="942" spans="1:22" ht="15" x14ac:dyDescent="0.2">
      <c r="A942" s="728" t="s">
        <v>177</v>
      </c>
      <c r="B942" s="729" t="s">
        <v>1602</v>
      </c>
      <c r="C942" s="730">
        <f t="shared" ref="C942:S942" si="388">SUM(C943:C988)</f>
        <v>12774691.529999999</v>
      </c>
      <c r="D942" s="730">
        <f t="shared" si="388"/>
        <v>16046993.960000001</v>
      </c>
      <c r="E942" s="730">
        <f t="shared" si="388"/>
        <v>15250517.16</v>
      </c>
      <c r="F942" s="730">
        <f t="shared" si="388"/>
        <v>14580172.480000002</v>
      </c>
      <c r="G942" s="730">
        <f t="shared" si="388"/>
        <v>12209071.1</v>
      </c>
      <c r="H942" s="730">
        <f t="shared" si="388"/>
        <v>300000</v>
      </c>
      <c r="I942" s="730">
        <f t="shared" si="388"/>
        <v>0</v>
      </c>
      <c r="J942" s="730">
        <f t="shared" si="388"/>
        <v>12509071.1</v>
      </c>
      <c r="K942" s="730">
        <f t="shared" si="388"/>
        <v>748818.8</v>
      </c>
      <c r="L942" s="730">
        <f t="shared" si="388"/>
        <v>722801.51</v>
      </c>
      <c r="M942" s="730">
        <f t="shared" si="388"/>
        <v>12535088.390000001</v>
      </c>
      <c r="N942" s="730">
        <f t="shared" si="388"/>
        <v>770000</v>
      </c>
      <c r="O942" s="730">
        <f t="shared" si="388"/>
        <v>22000</v>
      </c>
      <c r="P942" s="730">
        <f t="shared" si="388"/>
        <v>13283088.390000001</v>
      </c>
      <c r="Q942" s="748">
        <f t="shared" si="388"/>
        <v>13706337.57</v>
      </c>
      <c r="R942" s="748">
        <f t="shared" si="388"/>
        <v>7397490.25</v>
      </c>
      <c r="S942" s="748">
        <f t="shared" si="388"/>
        <v>15481678.930000002</v>
      </c>
      <c r="T942" s="731"/>
      <c r="U942" s="732">
        <f>SUM(U943:U988)</f>
        <v>23617804.510000002</v>
      </c>
      <c r="V942" s="733"/>
    </row>
    <row r="943" spans="1:22" ht="15" x14ac:dyDescent="0.25">
      <c r="A943" s="734">
        <v>1131</v>
      </c>
      <c r="B943" s="735" t="s">
        <v>6</v>
      </c>
      <c r="C943" s="736">
        <v>223014.49</v>
      </c>
      <c r="D943" s="736">
        <v>269327.24</v>
      </c>
      <c r="E943" s="749">
        <v>155337.68</v>
      </c>
      <c r="F943" s="736">
        <v>166780.79</v>
      </c>
      <c r="G943" s="736">
        <v>159254</v>
      </c>
      <c r="H943" s="736"/>
      <c r="I943" s="736"/>
      <c r="J943" s="736">
        <f t="shared" ref="J943:J961" si="389">G943+H943-I943</f>
        <v>159254</v>
      </c>
      <c r="K943" s="736">
        <v>718.76</v>
      </c>
      <c r="L943" s="736"/>
      <c r="M943" s="736">
        <f t="shared" ref="M943:M961" si="390">J943+K943-L943</f>
        <v>159972.76</v>
      </c>
      <c r="N943" s="736"/>
      <c r="O943" s="736"/>
      <c r="P943" s="736">
        <f t="shared" ref="P943:P961" si="391">M943+N943-O943</f>
        <v>159972.76</v>
      </c>
      <c r="Q943" s="895">
        <v>239981.94</v>
      </c>
      <c r="R943" s="738"/>
      <c r="S943" s="751">
        <v>304387.71999999997</v>
      </c>
      <c r="T943" s="739">
        <v>1500521</v>
      </c>
      <c r="U943" s="779">
        <v>252385.38</v>
      </c>
      <c r="V943" s="741">
        <v>1500522</v>
      </c>
    </row>
    <row r="944" spans="1:22" ht="15" x14ac:dyDescent="0.25">
      <c r="A944" s="734">
        <v>1132</v>
      </c>
      <c r="B944" s="735" t="s">
        <v>8</v>
      </c>
      <c r="C944" s="736">
        <v>694757.23</v>
      </c>
      <c r="D944" s="736">
        <v>634448.36</v>
      </c>
      <c r="E944" s="749">
        <v>687358.36</v>
      </c>
      <c r="F944" s="736">
        <v>701175</v>
      </c>
      <c r="G944" s="736">
        <v>785726.79999999993</v>
      </c>
      <c r="H944" s="736"/>
      <c r="I944" s="736"/>
      <c r="J944" s="736">
        <f t="shared" si="389"/>
        <v>785726.79999999993</v>
      </c>
      <c r="K944" s="736">
        <v>22093.35</v>
      </c>
      <c r="L944" s="736"/>
      <c r="M944" s="736">
        <f t="shared" si="390"/>
        <v>807820.14999999991</v>
      </c>
      <c r="N944" s="736"/>
      <c r="O944" s="736"/>
      <c r="P944" s="736">
        <f t="shared" si="391"/>
        <v>807820.14999999991</v>
      </c>
      <c r="Q944" s="895">
        <v>807820.15</v>
      </c>
      <c r="R944" s="738"/>
      <c r="S944" s="751">
        <v>1042874.56</v>
      </c>
      <c r="T944" s="739">
        <v>1500521</v>
      </c>
      <c r="U944" s="779">
        <v>851390.86</v>
      </c>
      <c r="V944" s="741">
        <v>1500522</v>
      </c>
    </row>
    <row r="945" spans="1:22" ht="15" x14ac:dyDescent="0.25">
      <c r="A945" s="734">
        <v>1212</v>
      </c>
      <c r="B945" s="735" t="s">
        <v>53</v>
      </c>
      <c r="C945" s="736">
        <v>2130748.83</v>
      </c>
      <c r="D945" s="736">
        <v>2429341.2000000002</v>
      </c>
      <c r="E945" s="749">
        <v>2160360.77</v>
      </c>
      <c r="F945" s="736">
        <v>2162755.3199999998</v>
      </c>
      <c r="G945" s="736">
        <v>2002341.6</v>
      </c>
      <c r="H945" s="736"/>
      <c r="I945" s="736"/>
      <c r="J945" s="736">
        <f t="shared" si="389"/>
        <v>2002341.6</v>
      </c>
      <c r="K945" s="736"/>
      <c r="L945" s="736">
        <v>139334.39999999999</v>
      </c>
      <c r="M945" s="736">
        <f t="shared" si="390"/>
        <v>1863007.2000000002</v>
      </c>
      <c r="N945" s="736"/>
      <c r="O945" s="736"/>
      <c r="P945" s="736">
        <f t="shared" si="391"/>
        <v>1863007.2000000002</v>
      </c>
      <c r="Q945" s="895">
        <v>1640935.81</v>
      </c>
      <c r="R945" s="738"/>
      <c r="S945" s="751">
        <v>1420344</v>
      </c>
      <c r="T945" s="739">
        <v>1500521</v>
      </c>
      <c r="U945" s="779">
        <v>1386981.12</v>
      </c>
      <c r="V945" s="741">
        <v>1500522</v>
      </c>
    </row>
    <row r="946" spans="1:22" ht="15" x14ac:dyDescent="0.25">
      <c r="A946" s="734">
        <v>1321</v>
      </c>
      <c r="B946" s="735" t="s">
        <v>9</v>
      </c>
      <c r="C946" s="736">
        <v>40367.06</v>
      </c>
      <c r="D946" s="736">
        <v>45334.07</v>
      </c>
      <c r="E946" s="749">
        <v>47336.07</v>
      </c>
      <c r="F946" s="736">
        <v>40009.56</v>
      </c>
      <c r="G946" s="736">
        <v>37937</v>
      </c>
      <c r="H946" s="736"/>
      <c r="I946" s="736"/>
      <c r="J946" s="736">
        <f t="shared" si="389"/>
        <v>37937</v>
      </c>
      <c r="K946" s="736">
        <v>4582.3999999999996</v>
      </c>
      <c r="L946" s="736"/>
      <c r="M946" s="736">
        <f t="shared" si="390"/>
        <v>42519.4</v>
      </c>
      <c r="N946" s="736"/>
      <c r="O946" s="736"/>
      <c r="P946" s="736">
        <f t="shared" si="391"/>
        <v>42519.4</v>
      </c>
      <c r="Q946" s="895">
        <v>57273.84</v>
      </c>
      <c r="R946" s="738"/>
      <c r="S946" s="751">
        <v>65927.83</v>
      </c>
      <c r="T946" s="739">
        <v>1500521</v>
      </c>
      <c r="U946" s="779">
        <v>61355.87</v>
      </c>
      <c r="V946" s="741">
        <v>1500522</v>
      </c>
    </row>
    <row r="947" spans="1:22" ht="15" x14ac:dyDescent="0.25">
      <c r="A947" s="734">
        <v>1323</v>
      </c>
      <c r="B947" s="735" t="s">
        <v>11</v>
      </c>
      <c r="C947" s="736">
        <v>248652.48</v>
      </c>
      <c r="D947" s="736">
        <v>252470.55</v>
      </c>
      <c r="E947" s="749">
        <v>251117.04</v>
      </c>
      <c r="F947" s="736">
        <v>220521.52</v>
      </c>
      <c r="G947" s="736">
        <v>240114.9</v>
      </c>
      <c r="H947" s="736"/>
      <c r="I947" s="736"/>
      <c r="J947" s="736">
        <f t="shared" si="389"/>
        <v>240114.9</v>
      </c>
      <c r="K947" s="736"/>
      <c r="L947" s="736">
        <v>2533.23</v>
      </c>
      <c r="M947" s="736">
        <f t="shared" si="390"/>
        <v>237581.66999999998</v>
      </c>
      <c r="N947" s="736"/>
      <c r="O947" s="736"/>
      <c r="P947" s="736">
        <f t="shared" si="391"/>
        <v>237581.66999999998</v>
      </c>
      <c r="Q947" s="895">
        <v>237581.67</v>
      </c>
      <c r="R947" s="738"/>
      <c r="S947" s="751">
        <v>284444</v>
      </c>
      <c r="T947" s="739">
        <v>1500521</v>
      </c>
      <c r="U947" s="779">
        <v>252504.7</v>
      </c>
      <c r="V947" s="741">
        <v>1500522</v>
      </c>
    </row>
    <row r="948" spans="1:22" ht="15" x14ac:dyDescent="0.25">
      <c r="A948" s="734">
        <v>1413</v>
      </c>
      <c r="B948" s="735" t="s">
        <v>13</v>
      </c>
      <c r="C948" s="736">
        <v>512523.08</v>
      </c>
      <c r="D948" s="736">
        <v>587745.52</v>
      </c>
      <c r="E948" s="749">
        <v>524561.91</v>
      </c>
      <c r="F948" s="736">
        <v>522856.85</v>
      </c>
      <c r="G948" s="736">
        <v>574387.19999999995</v>
      </c>
      <c r="H948" s="736"/>
      <c r="I948" s="736"/>
      <c r="J948" s="736">
        <f t="shared" si="389"/>
        <v>574387.19999999995</v>
      </c>
      <c r="K948" s="736"/>
      <c r="L948" s="736">
        <v>17339.02</v>
      </c>
      <c r="M948" s="736">
        <f t="shared" si="390"/>
        <v>557048.17999999993</v>
      </c>
      <c r="N948" s="736"/>
      <c r="O948" s="736"/>
      <c r="P948" s="736">
        <f t="shared" si="391"/>
        <v>557048.17999999993</v>
      </c>
      <c r="Q948" s="895">
        <v>557048.18000000005</v>
      </c>
      <c r="R948" s="738"/>
      <c r="S948" s="751">
        <v>600689.52</v>
      </c>
      <c r="T948" s="739">
        <v>1500521</v>
      </c>
      <c r="U948" s="779">
        <v>519302.5</v>
      </c>
      <c r="V948" s="741">
        <v>1500522</v>
      </c>
    </row>
    <row r="949" spans="1:22" ht="15" x14ac:dyDescent="0.25">
      <c r="A949" s="734">
        <v>1421</v>
      </c>
      <c r="B949" s="735" t="s">
        <v>15</v>
      </c>
      <c r="C949" s="736">
        <v>170966.16</v>
      </c>
      <c r="D949" s="736">
        <v>185530.12</v>
      </c>
      <c r="E949" s="749">
        <v>147806.12</v>
      </c>
      <c r="F949" s="736">
        <v>161345.15</v>
      </c>
      <c r="G949" s="736">
        <v>169454.6</v>
      </c>
      <c r="H949" s="736"/>
      <c r="I949" s="736"/>
      <c r="J949" s="736">
        <f t="shared" si="389"/>
        <v>169454.6</v>
      </c>
      <c r="K949" s="736"/>
      <c r="L949" s="736">
        <v>5151</v>
      </c>
      <c r="M949" s="736">
        <f t="shared" si="390"/>
        <v>164303.6</v>
      </c>
      <c r="N949" s="736"/>
      <c r="O949" s="736"/>
      <c r="P949" s="736">
        <f t="shared" si="391"/>
        <v>164303.6</v>
      </c>
      <c r="Q949" s="895">
        <v>164303.6</v>
      </c>
      <c r="R949" s="738"/>
      <c r="S949" s="751">
        <v>169834.2</v>
      </c>
      <c r="T949" s="739">
        <v>1500521</v>
      </c>
      <c r="U949" s="779">
        <v>154261.22</v>
      </c>
      <c r="V949" s="741">
        <v>1500522</v>
      </c>
    </row>
    <row r="950" spans="1:22" ht="15" x14ac:dyDescent="0.25">
      <c r="A950" s="734">
        <v>1431</v>
      </c>
      <c r="B950" s="735" t="s">
        <v>16</v>
      </c>
      <c r="C950" s="736">
        <v>183975.32</v>
      </c>
      <c r="D950" s="736">
        <v>191095.82</v>
      </c>
      <c r="E950" s="749">
        <v>154801.82</v>
      </c>
      <c r="F950" s="736">
        <v>169863</v>
      </c>
      <c r="G950" s="736">
        <v>174537.5</v>
      </c>
      <c r="H950" s="736"/>
      <c r="I950" s="736"/>
      <c r="J950" s="736">
        <f t="shared" si="389"/>
        <v>174537.5</v>
      </c>
      <c r="K950" s="736"/>
      <c r="L950" s="736">
        <v>5338.27</v>
      </c>
      <c r="M950" s="736">
        <f t="shared" si="390"/>
        <v>169199.23</v>
      </c>
      <c r="N950" s="736"/>
      <c r="O950" s="736"/>
      <c r="P950" s="736">
        <f t="shared" si="391"/>
        <v>169199.23</v>
      </c>
      <c r="Q950" s="895">
        <v>169199.23</v>
      </c>
      <c r="R950" s="738"/>
      <c r="S950" s="751">
        <v>174929.04</v>
      </c>
      <c r="T950" s="739">
        <v>1500521</v>
      </c>
      <c r="U950" s="779">
        <v>154721.12</v>
      </c>
      <c r="V950" s="741">
        <v>1500522</v>
      </c>
    </row>
    <row r="951" spans="1:22" ht="15" x14ac:dyDescent="0.25">
      <c r="A951" s="734">
        <v>1511</v>
      </c>
      <c r="B951" s="735" t="s">
        <v>18</v>
      </c>
      <c r="C951" s="736">
        <v>20043.07</v>
      </c>
      <c r="D951" s="736">
        <v>22022</v>
      </c>
      <c r="E951" s="749">
        <v>19258</v>
      </c>
      <c r="F951" s="736">
        <v>19708.009999999998</v>
      </c>
      <c r="G951" s="736">
        <v>22815.599999999999</v>
      </c>
      <c r="H951" s="736"/>
      <c r="I951" s="736"/>
      <c r="J951" s="736">
        <f t="shared" si="389"/>
        <v>22815.599999999999</v>
      </c>
      <c r="K951" s="736">
        <v>380.69</v>
      </c>
      <c r="L951" s="736"/>
      <c r="M951" s="736">
        <f t="shared" si="390"/>
        <v>23196.289999999997</v>
      </c>
      <c r="N951" s="736"/>
      <c r="O951" s="736"/>
      <c r="P951" s="736">
        <f t="shared" si="391"/>
        <v>23196.289999999997</v>
      </c>
      <c r="Q951" s="895">
        <v>25405.87</v>
      </c>
      <c r="R951" s="738"/>
      <c r="S951" s="751">
        <v>32796.400000000001</v>
      </c>
      <c r="T951" s="739">
        <v>1500521</v>
      </c>
      <c r="U951" s="779">
        <v>25081.48</v>
      </c>
      <c r="V951" s="741">
        <v>1500522</v>
      </c>
    </row>
    <row r="952" spans="1:22" ht="15" x14ac:dyDescent="0.25">
      <c r="A952" s="734">
        <v>1541</v>
      </c>
      <c r="B952" s="735" t="s">
        <v>19</v>
      </c>
      <c r="C952" s="736">
        <v>38179.519999999997</v>
      </c>
      <c r="D952" s="736">
        <v>38369.24</v>
      </c>
      <c r="E952" s="749">
        <v>33857.24</v>
      </c>
      <c r="F952" s="736">
        <v>34893.22</v>
      </c>
      <c r="G952" s="736">
        <v>44440.6</v>
      </c>
      <c r="H952" s="736"/>
      <c r="I952" s="736"/>
      <c r="J952" s="736">
        <f t="shared" si="389"/>
        <v>44440.6</v>
      </c>
      <c r="K952" s="736">
        <v>1691.6</v>
      </c>
      <c r="L952" s="736"/>
      <c r="M952" s="736">
        <f t="shared" si="390"/>
        <v>46132.2</v>
      </c>
      <c r="N952" s="736"/>
      <c r="O952" s="736"/>
      <c r="P952" s="736">
        <f t="shared" si="391"/>
        <v>46132.2</v>
      </c>
      <c r="Q952" s="895">
        <v>71700.14</v>
      </c>
      <c r="R952" s="738"/>
      <c r="S952" s="751">
        <v>113778.86</v>
      </c>
      <c r="T952" s="739">
        <v>1500521</v>
      </c>
      <c r="U952" s="779">
        <v>113778.86</v>
      </c>
      <c r="V952" s="741">
        <v>1500522</v>
      </c>
    </row>
    <row r="953" spans="1:22" ht="15" x14ac:dyDescent="0.25">
      <c r="A953" s="734">
        <v>1592</v>
      </c>
      <c r="B953" s="735" t="s">
        <v>20</v>
      </c>
      <c r="C953" s="736">
        <v>178395.92</v>
      </c>
      <c r="D953" s="736">
        <v>197309.84</v>
      </c>
      <c r="E953" s="749">
        <v>167322.15</v>
      </c>
      <c r="F953" s="736">
        <v>170169.53</v>
      </c>
      <c r="G953" s="736">
        <v>201168.30000000002</v>
      </c>
      <c r="H953" s="736"/>
      <c r="I953" s="736"/>
      <c r="J953" s="736">
        <f t="shared" si="389"/>
        <v>201168.30000000002</v>
      </c>
      <c r="K953" s="736"/>
      <c r="L953" s="736">
        <v>6753.59</v>
      </c>
      <c r="M953" s="736">
        <f t="shared" si="390"/>
        <v>194414.71000000002</v>
      </c>
      <c r="N953" s="736"/>
      <c r="O953" s="736"/>
      <c r="P953" s="736">
        <f t="shared" si="391"/>
        <v>194414.71000000002</v>
      </c>
      <c r="Q953" s="895">
        <v>234939.87</v>
      </c>
      <c r="R953" s="738"/>
      <c r="S953" s="751">
        <v>292652.36</v>
      </c>
      <c r="T953" s="739">
        <v>1500521</v>
      </c>
      <c r="U953" s="779">
        <v>221020.4</v>
      </c>
      <c r="V953" s="741">
        <v>1500522</v>
      </c>
    </row>
    <row r="954" spans="1:22" ht="15" x14ac:dyDescent="0.25">
      <c r="A954" s="734">
        <v>2111</v>
      </c>
      <c r="B954" s="735" t="s">
        <v>22</v>
      </c>
      <c r="C954" s="736">
        <v>7721.52</v>
      </c>
      <c r="D954" s="736">
        <v>10000</v>
      </c>
      <c r="E954" s="749">
        <v>7000</v>
      </c>
      <c r="F954" s="736">
        <v>3479.48</v>
      </c>
      <c r="G954" s="752">
        <v>10000</v>
      </c>
      <c r="H954" s="752"/>
      <c r="I954" s="752"/>
      <c r="J954" s="736">
        <f t="shared" si="389"/>
        <v>10000</v>
      </c>
      <c r="K954" s="752"/>
      <c r="L954" s="752"/>
      <c r="M954" s="736">
        <f t="shared" si="390"/>
        <v>10000</v>
      </c>
      <c r="N954" s="736"/>
      <c r="O954" s="736"/>
      <c r="P954" s="736">
        <f t="shared" si="391"/>
        <v>10000</v>
      </c>
      <c r="Q954" s="895">
        <v>7548.18</v>
      </c>
      <c r="R954" s="738">
        <v>5946.58</v>
      </c>
      <c r="S954" s="753">
        <v>15000</v>
      </c>
      <c r="T954" s="739">
        <v>1100121</v>
      </c>
      <c r="U954" s="740">
        <v>15000</v>
      </c>
      <c r="V954" s="741">
        <v>1100122</v>
      </c>
    </row>
    <row r="955" spans="1:22" ht="15" x14ac:dyDescent="0.25">
      <c r="A955" s="734">
        <v>2112</v>
      </c>
      <c r="B955" s="735" t="s">
        <v>39</v>
      </c>
      <c r="C955" s="736">
        <v>24260.2</v>
      </c>
      <c r="D955" s="736">
        <v>0</v>
      </c>
      <c r="E955" s="749">
        <v>14157.6</v>
      </c>
      <c r="F955" s="736">
        <v>14157.6</v>
      </c>
      <c r="G955" s="752">
        <v>5000</v>
      </c>
      <c r="H955" s="752"/>
      <c r="I955" s="752"/>
      <c r="J955" s="736">
        <f t="shared" si="389"/>
        <v>5000</v>
      </c>
      <c r="K955" s="752"/>
      <c r="L955" s="752"/>
      <c r="M955" s="736">
        <f t="shared" si="390"/>
        <v>5000</v>
      </c>
      <c r="N955" s="736"/>
      <c r="O955" s="736"/>
      <c r="P955" s="736">
        <f t="shared" si="391"/>
        <v>5000</v>
      </c>
      <c r="Q955" s="895">
        <v>5000</v>
      </c>
      <c r="R955" s="738"/>
      <c r="S955" s="753">
        <v>30000</v>
      </c>
      <c r="T955" s="739">
        <v>1100121</v>
      </c>
      <c r="U955" s="754">
        <v>30000</v>
      </c>
      <c r="V955" s="741">
        <v>1100122</v>
      </c>
    </row>
    <row r="956" spans="1:22" ht="15" x14ac:dyDescent="0.25">
      <c r="A956" s="734">
        <v>2121</v>
      </c>
      <c r="B956" s="735" t="s">
        <v>24</v>
      </c>
      <c r="C956" s="736"/>
      <c r="D956" s="736">
        <v>10000</v>
      </c>
      <c r="E956" s="749">
        <v>7000</v>
      </c>
      <c r="F956" s="736">
        <v>6500</v>
      </c>
      <c r="G956" s="752">
        <v>10000</v>
      </c>
      <c r="H956" s="752"/>
      <c r="I956" s="752"/>
      <c r="J956" s="736">
        <f t="shared" si="389"/>
        <v>10000</v>
      </c>
      <c r="K956" s="752"/>
      <c r="L956" s="752"/>
      <c r="M956" s="736">
        <f t="shared" si="390"/>
        <v>10000</v>
      </c>
      <c r="N956" s="736"/>
      <c r="O956" s="736"/>
      <c r="P956" s="736">
        <f t="shared" si="391"/>
        <v>10000</v>
      </c>
      <c r="Q956" s="895">
        <v>4546.09</v>
      </c>
      <c r="R956" s="738">
        <v>4073.76</v>
      </c>
      <c r="S956" s="753">
        <v>10000</v>
      </c>
      <c r="T956" s="739">
        <v>1100121</v>
      </c>
      <c r="U956" s="754">
        <v>10000</v>
      </c>
      <c r="V956" s="741">
        <v>1100122</v>
      </c>
    </row>
    <row r="957" spans="1:22" ht="15" x14ac:dyDescent="0.2">
      <c r="A957" s="739">
        <v>2142</v>
      </c>
      <c r="B957" s="743" t="s">
        <v>170</v>
      </c>
      <c r="C957" s="736"/>
      <c r="D957" s="736">
        <v>0</v>
      </c>
      <c r="E957" s="749">
        <v>0</v>
      </c>
      <c r="F957" s="736">
        <v>0</v>
      </c>
      <c r="G957" s="752"/>
      <c r="H957" s="752"/>
      <c r="I957" s="752"/>
      <c r="J957" s="736">
        <f t="shared" si="389"/>
        <v>0</v>
      </c>
      <c r="K957" s="752"/>
      <c r="L957" s="752"/>
      <c r="M957" s="736">
        <f t="shared" si="390"/>
        <v>0</v>
      </c>
      <c r="N957" s="736"/>
      <c r="O957" s="736"/>
      <c r="P957" s="738">
        <f t="shared" si="391"/>
        <v>0</v>
      </c>
      <c r="Q957" s="753"/>
      <c r="R957" s="738"/>
      <c r="S957" s="753"/>
      <c r="T957" s="739">
        <v>1100119</v>
      </c>
      <c r="U957" s="745"/>
      <c r="V957" s="739">
        <v>1100119</v>
      </c>
    </row>
    <row r="958" spans="1:22" ht="15" x14ac:dyDescent="0.2">
      <c r="A958" s="734">
        <v>2212</v>
      </c>
      <c r="B958" s="735" t="s">
        <v>40</v>
      </c>
      <c r="C958" s="736">
        <v>6968.97</v>
      </c>
      <c r="D958" s="736">
        <v>10000</v>
      </c>
      <c r="E958" s="749">
        <v>10000</v>
      </c>
      <c r="F958" s="736">
        <v>7527.18</v>
      </c>
      <c r="G958" s="752">
        <v>10000</v>
      </c>
      <c r="H958" s="752"/>
      <c r="I958" s="752"/>
      <c r="J958" s="736">
        <f t="shared" si="389"/>
        <v>10000</v>
      </c>
      <c r="K958" s="752"/>
      <c r="L958" s="752"/>
      <c r="M958" s="736">
        <f t="shared" si="390"/>
        <v>10000</v>
      </c>
      <c r="N958" s="736"/>
      <c r="O958" s="736"/>
      <c r="P958" s="736">
        <f t="shared" si="391"/>
        <v>10000</v>
      </c>
      <c r="Q958" s="753">
        <v>10000</v>
      </c>
      <c r="R958" s="738">
        <v>6798.69</v>
      </c>
      <c r="S958" s="753">
        <v>10000</v>
      </c>
      <c r="T958" s="739">
        <v>1100121</v>
      </c>
      <c r="U958" s="754">
        <v>10000</v>
      </c>
      <c r="V958" s="741">
        <v>1100122</v>
      </c>
    </row>
    <row r="959" spans="1:22" ht="15" x14ac:dyDescent="0.2">
      <c r="A959" s="739">
        <v>2491</v>
      </c>
      <c r="B959" s="743" t="s">
        <v>41</v>
      </c>
      <c r="C959" s="736"/>
      <c r="D959" s="736">
        <v>0</v>
      </c>
      <c r="E959" s="749">
        <v>11884.48</v>
      </c>
      <c r="F959" s="736">
        <v>11884.48</v>
      </c>
      <c r="G959" s="752">
        <v>20000</v>
      </c>
      <c r="H959" s="896"/>
      <c r="I959" s="752"/>
      <c r="J959" s="736">
        <f t="shared" si="389"/>
        <v>20000</v>
      </c>
      <c r="K959" s="896">
        <v>6000</v>
      </c>
      <c r="L959" s="752"/>
      <c r="M959" s="736">
        <f t="shared" si="390"/>
        <v>26000</v>
      </c>
      <c r="N959" s="736"/>
      <c r="O959" s="736"/>
      <c r="P959" s="736">
        <f t="shared" si="391"/>
        <v>26000</v>
      </c>
      <c r="Q959" s="753">
        <v>26000</v>
      </c>
      <c r="R959" s="738">
        <v>25999.99</v>
      </c>
      <c r="S959" s="753"/>
      <c r="T959" s="739">
        <v>1100121</v>
      </c>
      <c r="U959" s="745"/>
      <c r="V959" s="739">
        <v>1100122</v>
      </c>
    </row>
    <row r="960" spans="1:22" ht="30" x14ac:dyDescent="0.2">
      <c r="A960" s="734">
        <v>2612</v>
      </c>
      <c r="B960" s="735" t="s">
        <v>26</v>
      </c>
      <c r="C960" s="736">
        <v>42338.75</v>
      </c>
      <c r="D960" s="736">
        <v>45000</v>
      </c>
      <c r="E960" s="749">
        <v>35000</v>
      </c>
      <c r="F960" s="736">
        <v>11804.97</v>
      </c>
      <c r="G960" s="752">
        <v>35000</v>
      </c>
      <c r="H960" s="752"/>
      <c r="I960" s="752"/>
      <c r="J960" s="736">
        <f t="shared" si="389"/>
        <v>35000</v>
      </c>
      <c r="K960" s="752"/>
      <c r="L960" s="752"/>
      <c r="M960" s="736">
        <f t="shared" si="390"/>
        <v>35000</v>
      </c>
      <c r="N960" s="736"/>
      <c r="O960" s="736">
        <v>5000</v>
      </c>
      <c r="P960" s="736">
        <f t="shared" si="391"/>
        <v>30000</v>
      </c>
      <c r="Q960" s="753">
        <v>30000</v>
      </c>
      <c r="R960" s="738">
        <v>6072.49</v>
      </c>
      <c r="S960" s="738">
        <f>Q960</f>
        <v>30000</v>
      </c>
      <c r="T960" s="739">
        <v>1100121</v>
      </c>
      <c r="U960" s="746">
        <v>40000</v>
      </c>
      <c r="V960" s="741">
        <v>1100122</v>
      </c>
    </row>
    <row r="961" spans="1:22" ht="15" x14ac:dyDescent="0.2">
      <c r="A961" s="734">
        <v>3151</v>
      </c>
      <c r="B961" s="735" t="s">
        <v>28</v>
      </c>
      <c r="C961" s="736">
        <v>27800.68</v>
      </c>
      <c r="D961" s="736">
        <v>37000</v>
      </c>
      <c r="E961" s="749">
        <v>27000</v>
      </c>
      <c r="F961" s="736">
        <v>25715.16</v>
      </c>
      <c r="G961" s="752">
        <v>29000</v>
      </c>
      <c r="H961" s="752"/>
      <c r="I961" s="752"/>
      <c r="J961" s="736">
        <f t="shared" si="389"/>
        <v>29000</v>
      </c>
      <c r="K961" s="752"/>
      <c r="L961" s="752"/>
      <c r="M961" s="736">
        <f t="shared" si="390"/>
        <v>29000</v>
      </c>
      <c r="N961" s="736"/>
      <c r="O961" s="736"/>
      <c r="P961" s="736">
        <f t="shared" si="391"/>
        <v>29000</v>
      </c>
      <c r="Q961" s="753">
        <v>29000</v>
      </c>
      <c r="R961" s="738">
        <v>21539.88</v>
      </c>
      <c r="S961" s="753">
        <v>30000</v>
      </c>
      <c r="T961" s="739">
        <v>1100121</v>
      </c>
      <c r="U961" s="746">
        <v>36000</v>
      </c>
      <c r="V961" s="741">
        <v>1100122</v>
      </c>
    </row>
    <row r="962" spans="1:22" ht="15" x14ac:dyDescent="0.2">
      <c r="A962" s="739">
        <v>3173</v>
      </c>
      <c r="B962" s="743" t="s">
        <v>1756</v>
      </c>
      <c r="C962" s="736"/>
      <c r="D962" s="736"/>
      <c r="E962" s="749"/>
      <c r="F962" s="736"/>
      <c r="G962" s="752"/>
      <c r="H962" s="752"/>
      <c r="I962" s="752"/>
      <c r="J962" s="736"/>
      <c r="K962" s="752"/>
      <c r="L962" s="752"/>
      <c r="M962" s="736"/>
      <c r="N962" s="736"/>
      <c r="O962" s="736"/>
      <c r="P962" s="736"/>
      <c r="Q962" s="753"/>
      <c r="R962" s="738"/>
      <c r="S962" s="753">
        <v>100000</v>
      </c>
      <c r="T962" s="739"/>
      <c r="U962" s="744"/>
      <c r="V962" s="739"/>
    </row>
    <row r="963" spans="1:22" ht="15" x14ac:dyDescent="0.25">
      <c r="A963" s="739">
        <v>3331</v>
      </c>
      <c r="B963" s="822" t="s">
        <v>171</v>
      </c>
      <c r="C963" s="736"/>
      <c r="D963" s="736"/>
      <c r="E963" s="749"/>
      <c r="F963" s="736"/>
      <c r="G963" s="752"/>
      <c r="H963" s="752">
        <v>300000</v>
      </c>
      <c r="I963" s="752"/>
      <c r="J963" s="736">
        <f t="shared" ref="J963:J977" si="392">G963+H963-I963</f>
        <v>300000</v>
      </c>
      <c r="K963" s="752"/>
      <c r="L963" s="752"/>
      <c r="M963" s="736">
        <f t="shared" ref="M963:M977" si="393">J963+K963-L963</f>
        <v>300000</v>
      </c>
      <c r="N963" s="736">
        <v>25000</v>
      </c>
      <c r="O963" s="736"/>
      <c r="P963" s="736">
        <f t="shared" ref="P963:P977" si="394">M963+N963-O963</f>
        <v>325000</v>
      </c>
      <c r="Q963" s="895">
        <v>320160</v>
      </c>
      <c r="R963" s="738">
        <v>320160</v>
      </c>
      <c r="S963" s="753">
        <v>352000</v>
      </c>
      <c r="T963" s="739">
        <v>1100120</v>
      </c>
      <c r="U963" s="744"/>
      <c r="V963" s="739">
        <v>1100120</v>
      </c>
    </row>
    <row r="964" spans="1:22" ht="15" x14ac:dyDescent="0.2">
      <c r="A964" s="739">
        <v>3391</v>
      </c>
      <c r="B964" s="743" t="s">
        <v>118</v>
      </c>
      <c r="C964" s="736"/>
      <c r="D964" s="736">
        <v>0</v>
      </c>
      <c r="E964" s="749">
        <v>162400</v>
      </c>
      <c r="F964" s="736">
        <v>162400</v>
      </c>
      <c r="G964" s="736"/>
      <c r="H964" s="736"/>
      <c r="I964" s="736"/>
      <c r="J964" s="736">
        <f t="shared" si="392"/>
        <v>0</v>
      </c>
      <c r="K964" s="736"/>
      <c r="L964" s="736"/>
      <c r="M964" s="736">
        <f t="shared" si="393"/>
        <v>0</v>
      </c>
      <c r="N964" s="736"/>
      <c r="O964" s="736"/>
      <c r="P964" s="738">
        <f t="shared" si="394"/>
        <v>0</v>
      </c>
      <c r="Q964" s="738"/>
      <c r="R964" s="738"/>
      <c r="S964" s="738"/>
      <c r="T964" s="739">
        <v>1100121</v>
      </c>
      <c r="U964" s="744"/>
      <c r="V964" s="739">
        <v>1100122</v>
      </c>
    </row>
    <row r="965" spans="1:22" ht="15" x14ac:dyDescent="0.2">
      <c r="A965" s="739">
        <v>3471</v>
      </c>
      <c r="B965" s="743" t="s">
        <v>100</v>
      </c>
      <c r="C965" s="736"/>
      <c r="D965" s="736">
        <v>0</v>
      </c>
      <c r="E965" s="749">
        <v>6471.12</v>
      </c>
      <c r="F965" s="736">
        <v>0</v>
      </c>
      <c r="G965" s="736"/>
      <c r="H965" s="736"/>
      <c r="I965" s="736"/>
      <c r="J965" s="736">
        <f t="shared" si="392"/>
        <v>0</v>
      </c>
      <c r="K965" s="736"/>
      <c r="L965" s="736"/>
      <c r="M965" s="736">
        <f t="shared" si="393"/>
        <v>0</v>
      </c>
      <c r="N965" s="736"/>
      <c r="O965" s="736"/>
      <c r="P965" s="738">
        <f t="shared" si="394"/>
        <v>0</v>
      </c>
      <c r="Q965" s="738"/>
      <c r="R965" s="738"/>
      <c r="S965" s="738"/>
      <c r="T965" s="739">
        <v>1100119</v>
      </c>
      <c r="U965" s="745"/>
      <c r="V965" s="739">
        <v>1100119</v>
      </c>
    </row>
    <row r="966" spans="1:22" ht="15" x14ac:dyDescent="0.2">
      <c r="A966" s="734">
        <v>3511</v>
      </c>
      <c r="B966" s="735" t="s">
        <v>49</v>
      </c>
      <c r="C966" s="736">
        <v>219200</v>
      </c>
      <c r="D966" s="736"/>
      <c r="E966" s="736"/>
      <c r="F966" s="736"/>
      <c r="G966" s="736"/>
      <c r="H966" s="789"/>
      <c r="I966" s="736"/>
      <c r="J966" s="736">
        <f t="shared" si="392"/>
        <v>0</v>
      </c>
      <c r="K966" s="789">
        <v>150000</v>
      </c>
      <c r="L966" s="736"/>
      <c r="M966" s="736">
        <f t="shared" si="393"/>
        <v>150000</v>
      </c>
      <c r="N966" s="736"/>
      <c r="O966" s="736"/>
      <c r="P966" s="736">
        <f t="shared" si="394"/>
        <v>150000</v>
      </c>
      <c r="Q966" s="738">
        <v>150000</v>
      </c>
      <c r="R966" s="738"/>
      <c r="S966" s="738">
        <v>200000</v>
      </c>
      <c r="T966" s="739">
        <v>1100121</v>
      </c>
      <c r="U966" s="740">
        <v>200000</v>
      </c>
      <c r="V966" s="741">
        <v>1100122</v>
      </c>
    </row>
    <row r="967" spans="1:22" ht="15" x14ac:dyDescent="0.2">
      <c r="A967" s="739">
        <v>3531</v>
      </c>
      <c r="B967" s="743" t="s">
        <v>121</v>
      </c>
      <c r="C967" s="736"/>
      <c r="D967" s="736">
        <v>0</v>
      </c>
      <c r="E967" s="736"/>
      <c r="F967" s="736">
        <v>3364</v>
      </c>
      <c r="G967" s="736"/>
      <c r="H967" s="736"/>
      <c r="I967" s="736"/>
      <c r="J967" s="736">
        <f t="shared" si="392"/>
        <v>0</v>
      </c>
      <c r="K967" s="736"/>
      <c r="L967" s="736"/>
      <c r="M967" s="736">
        <f t="shared" si="393"/>
        <v>0</v>
      </c>
      <c r="N967" s="736"/>
      <c r="O967" s="736"/>
      <c r="P967" s="738">
        <f t="shared" si="394"/>
        <v>0</v>
      </c>
      <c r="Q967" s="738"/>
      <c r="R967" s="738"/>
      <c r="S967" s="738"/>
      <c r="T967" s="739">
        <v>1100121</v>
      </c>
      <c r="U967" s="745"/>
      <c r="V967" s="739">
        <v>1100122</v>
      </c>
    </row>
    <row r="968" spans="1:22" ht="15" x14ac:dyDescent="0.2">
      <c r="A968" s="734">
        <v>3551</v>
      </c>
      <c r="B968" s="735" t="s">
        <v>30</v>
      </c>
      <c r="C968" s="736">
        <v>11045.94</v>
      </c>
      <c r="D968" s="736">
        <v>14000</v>
      </c>
      <c r="E968" s="749">
        <v>14000</v>
      </c>
      <c r="F968" s="736">
        <v>9568.14</v>
      </c>
      <c r="G968" s="752">
        <v>25000</v>
      </c>
      <c r="H968" s="752"/>
      <c r="I968" s="752"/>
      <c r="J968" s="736">
        <f t="shared" si="392"/>
        <v>25000</v>
      </c>
      <c r="K968" s="752"/>
      <c r="L968" s="752"/>
      <c r="M968" s="736">
        <f t="shared" si="393"/>
        <v>25000</v>
      </c>
      <c r="N968" s="736"/>
      <c r="O968" s="736"/>
      <c r="P968" s="736">
        <f t="shared" si="394"/>
        <v>25000</v>
      </c>
      <c r="Q968" s="753">
        <v>20000</v>
      </c>
      <c r="R968" s="738">
        <v>8279.91</v>
      </c>
      <c r="S968" s="738">
        <f>Q968</f>
        <v>20000</v>
      </c>
      <c r="T968" s="739">
        <v>1100121</v>
      </c>
      <c r="U968" s="746">
        <v>35000</v>
      </c>
      <c r="V968" s="741">
        <v>1100122</v>
      </c>
    </row>
    <row r="969" spans="1:22" ht="15" x14ac:dyDescent="0.2">
      <c r="A969" s="734">
        <v>3611</v>
      </c>
      <c r="B969" s="735" t="s">
        <v>66</v>
      </c>
      <c r="C969" s="736">
        <v>6343799.1500000004</v>
      </c>
      <c r="D969" s="736">
        <v>8998000</v>
      </c>
      <c r="E969" s="749">
        <v>8848000</v>
      </c>
      <c r="F969" s="736">
        <v>8288970.0199999996</v>
      </c>
      <c r="G969" s="752">
        <v>6000000</v>
      </c>
      <c r="H969" s="752"/>
      <c r="I969" s="896"/>
      <c r="J969" s="736">
        <f t="shared" si="392"/>
        <v>6000000</v>
      </c>
      <c r="K969" s="752"/>
      <c r="L969" s="896">
        <f>7576+531200+7576</f>
        <v>546352</v>
      </c>
      <c r="M969" s="736">
        <f t="shared" si="393"/>
        <v>5453648</v>
      </c>
      <c r="N969" s="736">
        <v>700000</v>
      </c>
      <c r="O969" s="736"/>
      <c r="P969" s="736">
        <f t="shared" si="394"/>
        <v>6153648</v>
      </c>
      <c r="Q969" s="897">
        <v>6953648</v>
      </c>
      <c r="R969" s="738">
        <v>5716743.1600000001</v>
      </c>
      <c r="S969" s="753">
        <v>8000000</v>
      </c>
      <c r="T969" s="739">
        <v>1100121</v>
      </c>
      <c r="U969" s="746">
        <v>12810000</v>
      </c>
      <c r="V969" s="741">
        <v>1100122</v>
      </c>
    </row>
    <row r="970" spans="1:22" ht="15" x14ac:dyDescent="0.2">
      <c r="A970" s="734">
        <v>3611</v>
      </c>
      <c r="B970" s="735" t="s">
        <v>66</v>
      </c>
      <c r="C970" s="736"/>
      <c r="D970" s="736"/>
      <c r="E970" s="749"/>
      <c r="F970" s="736"/>
      <c r="G970" s="752"/>
      <c r="H970" s="752"/>
      <c r="I970" s="896"/>
      <c r="J970" s="736"/>
      <c r="K970" s="752"/>
      <c r="L970" s="896"/>
      <c r="M970" s="736"/>
      <c r="N970" s="736"/>
      <c r="O970" s="736"/>
      <c r="P970" s="736"/>
      <c r="Q970" s="897"/>
      <c r="R970" s="738"/>
      <c r="S970" s="753"/>
      <c r="T970" s="739"/>
      <c r="U970" s="746">
        <v>2000000</v>
      </c>
      <c r="V970" s="741">
        <v>2610122</v>
      </c>
    </row>
    <row r="971" spans="1:22" ht="15" x14ac:dyDescent="0.2">
      <c r="A971" s="739">
        <v>3631</v>
      </c>
      <c r="B971" s="743" t="s">
        <v>1757</v>
      </c>
      <c r="C971" s="736">
        <v>141520</v>
      </c>
      <c r="D971" s="736">
        <v>324000</v>
      </c>
      <c r="E971" s="736"/>
      <c r="F971" s="736">
        <v>0</v>
      </c>
      <c r="G971" s="752">
        <v>100000</v>
      </c>
      <c r="H971" s="752"/>
      <c r="I971" s="752"/>
      <c r="J971" s="736">
        <f t="shared" si="392"/>
        <v>100000</v>
      </c>
      <c r="K971" s="752"/>
      <c r="L971" s="752"/>
      <c r="M971" s="736">
        <f t="shared" si="393"/>
        <v>100000</v>
      </c>
      <c r="N971" s="736"/>
      <c r="O971" s="736"/>
      <c r="P971" s="736">
        <f t="shared" si="394"/>
        <v>100000</v>
      </c>
      <c r="Q971" s="753">
        <v>100000</v>
      </c>
      <c r="R971" s="738"/>
      <c r="S971" s="753">
        <v>100000</v>
      </c>
      <c r="T971" s="739">
        <v>1100121</v>
      </c>
      <c r="U971" s="744"/>
      <c r="V971" s="739">
        <v>1100122</v>
      </c>
    </row>
    <row r="972" spans="1:22" ht="15" x14ac:dyDescent="0.2">
      <c r="A972" s="734">
        <v>3661</v>
      </c>
      <c r="B972" s="735" t="s">
        <v>178</v>
      </c>
      <c r="C972" s="736">
        <v>1030618.08</v>
      </c>
      <c r="D972" s="736">
        <v>1570000</v>
      </c>
      <c r="E972" s="749">
        <v>1570000</v>
      </c>
      <c r="F972" s="736">
        <v>1518553.73</v>
      </c>
      <c r="G972" s="752">
        <v>1500000</v>
      </c>
      <c r="H972" s="896"/>
      <c r="I972" s="752"/>
      <c r="J972" s="736">
        <f t="shared" si="392"/>
        <v>1500000</v>
      </c>
      <c r="K972" s="896">
        <f>7576+531200</f>
        <v>538776</v>
      </c>
      <c r="L972" s="752"/>
      <c r="M972" s="736">
        <f t="shared" si="393"/>
        <v>2038776</v>
      </c>
      <c r="N972" s="736"/>
      <c r="O972" s="736"/>
      <c r="P972" s="736">
        <f t="shared" si="394"/>
        <v>2038776</v>
      </c>
      <c r="Q972" s="897">
        <v>1738776</v>
      </c>
      <c r="R972" s="738">
        <v>1245130.7</v>
      </c>
      <c r="S972" s="753">
        <v>2000000</v>
      </c>
      <c r="T972" s="739">
        <v>1100121</v>
      </c>
      <c r="U972" s="754">
        <v>4100000</v>
      </c>
      <c r="V972" s="741">
        <v>1100122</v>
      </c>
    </row>
    <row r="973" spans="1:22" ht="15" x14ac:dyDescent="0.2">
      <c r="A973" s="734">
        <v>3691</v>
      </c>
      <c r="B973" s="735" t="s">
        <v>72</v>
      </c>
      <c r="C973" s="736">
        <v>135814</v>
      </c>
      <c r="D973" s="736">
        <v>138000</v>
      </c>
      <c r="E973" s="749">
        <v>38000</v>
      </c>
      <c r="F973" s="736">
        <v>11670</v>
      </c>
      <c r="G973" s="752">
        <v>10000</v>
      </c>
      <c r="H973" s="896"/>
      <c r="I973" s="752"/>
      <c r="J973" s="736">
        <f t="shared" si="392"/>
        <v>10000</v>
      </c>
      <c r="K973" s="896">
        <v>7576</v>
      </c>
      <c r="L973" s="752"/>
      <c r="M973" s="736">
        <f t="shared" si="393"/>
        <v>17576</v>
      </c>
      <c r="N973" s="736"/>
      <c r="O973" s="736"/>
      <c r="P973" s="736">
        <f t="shared" si="394"/>
        <v>17576</v>
      </c>
      <c r="Q973" s="753">
        <v>17576</v>
      </c>
      <c r="R973" s="738">
        <v>9216</v>
      </c>
      <c r="S973" s="753">
        <v>17000</v>
      </c>
      <c r="T973" s="739">
        <v>1100121</v>
      </c>
      <c r="U973" s="754">
        <v>17000</v>
      </c>
      <c r="V973" s="741">
        <v>1100122</v>
      </c>
    </row>
    <row r="974" spans="1:22" ht="15" x14ac:dyDescent="0.2">
      <c r="A974" s="734">
        <v>3751</v>
      </c>
      <c r="B974" s="735" t="s">
        <v>44</v>
      </c>
      <c r="C974" s="736"/>
      <c r="D974" s="736">
        <v>4000</v>
      </c>
      <c r="E974" s="749">
        <v>4000</v>
      </c>
      <c r="F974" s="736">
        <v>0</v>
      </c>
      <c r="G974" s="752">
        <v>5000</v>
      </c>
      <c r="H974" s="752"/>
      <c r="I974" s="752"/>
      <c r="J974" s="736">
        <f t="shared" si="392"/>
        <v>5000</v>
      </c>
      <c r="K974" s="752"/>
      <c r="L974" s="752"/>
      <c r="M974" s="736">
        <f t="shared" si="393"/>
        <v>5000</v>
      </c>
      <c r="N974" s="736"/>
      <c r="O974" s="736"/>
      <c r="P974" s="736">
        <f t="shared" si="394"/>
        <v>5000</v>
      </c>
      <c r="Q974" s="753">
        <v>5000</v>
      </c>
      <c r="R974" s="738">
        <v>753</v>
      </c>
      <c r="S974" s="753">
        <v>5000</v>
      </c>
      <c r="T974" s="739">
        <v>1100121</v>
      </c>
      <c r="U974" s="754">
        <v>5000</v>
      </c>
      <c r="V974" s="741">
        <v>1100122</v>
      </c>
    </row>
    <row r="975" spans="1:22" ht="15" x14ac:dyDescent="0.2">
      <c r="A975" s="734">
        <v>3791</v>
      </c>
      <c r="B975" s="735" t="s">
        <v>45</v>
      </c>
      <c r="C975" s="736"/>
      <c r="D975" s="736">
        <v>1400</v>
      </c>
      <c r="E975" s="749">
        <v>1400</v>
      </c>
      <c r="F975" s="736">
        <v>0</v>
      </c>
      <c r="G975" s="752">
        <v>5000</v>
      </c>
      <c r="H975" s="752"/>
      <c r="I975" s="752"/>
      <c r="J975" s="736">
        <f t="shared" si="392"/>
        <v>5000</v>
      </c>
      <c r="K975" s="752"/>
      <c r="L975" s="752"/>
      <c r="M975" s="736">
        <f t="shared" si="393"/>
        <v>5000</v>
      </c>
      <c r="N975" s="736"/>
      <c r="O975" s="736"/>
      <c r="P975" s="736">
        <f t="shared" si="394"/>
        <v>5000</v>
      </c>
      <c r="Q975" s="753">
        <v>5000</v>
      </c>
      <c r="R975" s="738">
        <v>410</v>
      </c>
      <c r="S975" s="753">
        <v>5000</v>
      </c>
      <c r="T975" s="739">
        <v>1100121</v>
      </c>
      <c r="U975" s="754">
        <v>5000</v>
      </c>
      <c r="V975" s="741">
        <v>1100122</v>
      </c>
    </row>
    <row r="976" spans="1:22" ht="15" x14ac:dyDescent="0.2">
      <c r="A976" s="734">
        <v>3852</v>
      </c>
      <c r="B976" s="735" t="s">
        <v>32</v>
      </c>
      <c r="C976" s="736">
        <v>22655.54</v>
      </c>
      <c r="D976" s="736">
        <v>30000</v>
      </c>
      <c r="E976" s="749">
        <v>30000</v>
      </c>
      <c r="F976" s="736">
        <v>21216.989999999998</v>
      </c>
      <c r="G976" s="752">
        <v>30000</v>
      </c>
      <c r="H976" s="752"/>
      <c r="I976" s="752"/>
      <c r="J976" s="736">
        <f t="shared" si="392"/>
        <v>30000</v>
      </c>
      <c r="K976" s="752"/>
      <c r="L976" s="752"/>
      <c r="M976" s="736">
        <f t="shared" si="393"/>
        <v>30000</v>
      </c>
      <c r="N976" s="736"/>
      <c r="O976" s="736"/>
      <c r="P976" s="736">
        <f t="shared" si="394"/>
        <v>30000</v>
      </c>
      <c r="Q976" s="753">
        <v>30000</v>
      </c>
      <c r="R976" s="738">
        <v>24525.119999999999</v>
      </c>
      <c r="S976" s="753">
        <v>40000</v>
      </c>
      <c r="T976" s="739">
        <v>1100121</v>
      </c>
      <c r="U976" s="754">
        <v>40000</v>
      </c>
      <c r="V976" s="741">
        <v>1100122</v>
      </c>
    </row>
    <row r="977" spans="1:22" ht="15" x14ac:dyDescent="0.2">
      <c r="A977" s="734">
        <v>3921</v>
      </c>
      <c r="B977" s="735" t="s">
        <v>33</v>
      </c>
      <c r="C977" s="736">
        <v>1175.02</v>
      </c>
      <c r="D977" s="736">
        <v>2600</v>
      </c>
      <c r="E977" s="749">
        <v>2600</v>
      </c>
      <c r="F977" s="736">
        <v>995.99</v>
      </c>
      <c r="G977" s="752">
        <v>2893</v>
      </c>
      <c r="H977" s="752"/>
      <c r="I977" s="752"/>
      <c r="J977" s="736">
        <f t="shared" si="392"/>
        <v>2893</v>
      </c>
      <c r="K977" s="752"/>
      <c r="L977" s="752"/>
      <c r="M977" s="736">
        <f t="shared" si="393"/>
        <v>2893</v>
      </c>
      <c r="N977" s="736"/>
      <c r="O977" s="736"/>
      <c r="P977" s="736">
        <f t="shared" si="394"/>
        <v>2893</v>
      </c>
      <c r="Q977" s="753">
        <v>2893</v>
      </c>
      <c r="R977" s="738">
        <v>1840.97</v>
      </c>
      <c r="S977" s="753">
        <v>3000</v>
      </c>
      <c r="T977" s="739">
        <v>1100121</v>
      </c>
      <c r="U977" s="740">
        <v>2021</v>
      </c>
      <c r="V977" s="741">
        <v>1100122</v>
      </c>
    </row>
    <row r="978" spans="1:22" ht="15" x14ac:dyDescent="0.2">
      <c r="A978" s="739">
        <v>3921</v>
      </c>
      <c r="B978" s="743" t="s">
        <v>33</v>
      </c>
      <c r="C978" s="736"/>
      <c r="D978" s="736"/>
      <c r="E978" s="749"/>
      <c r="F978" s="736"/>
      <c r="G978" s="752"/>
      <c r="H978" s="752"/>
      <c r="I978" s="752"/>
      <c r="J978" s="736"/>
      <c r="K978" s="752"/>
      <c r="L978" s="752"/>
      <c r="M978" s="736"/>
      <c r="N978" s="736"/>
      <c r="O978" s="736"/>
      <c r="P978" s="736"/>
      <c r="Q978" s="753"/>
      <c r="R978" s="738"/>
      <c r="S978" s="753">
        <v>2020.44</v>
      </c>
      <c r="T978" s="739"/>
      <c r="U978" s="744"/>
      <c r="V978" s="739"/>
    </row>
    <row r="979" spans="1:22" ht="15" x14ac:dyDescent="0.2">
      <c r="A979" s="739">
        <v>5151</v>
      </c>
      <c r="B979" s="743" t="s">
        <v>36</v>
      </c>
      <c r="C979" s="736"/>
      <c r="D979" s="736">
        <v>0</v>
      </c>
      <c r="E979" s="749">
        <v>12890</v>
      </c>
      <c r="F979" s="736">
        <v>12889.99</v>
      </c>
      <c r="G979" s="736"/>
      <c r="H979" s="736"/>
      <c r="I979" s="736"/>
      <c r="J979" s="736">
        <f t="shared" ref="J979:J986" si="395">G979+H979-I979</f>
        <v>0</v>
      </c>
      <c r="K979" s="736"/>
      <c r="L979" s="736"/>
      <c r="M979" s="736">
        <f t="shared" ref="M979:M988" si="396">J979+K979-L979</f>
        <v>0</v>
      </c>
      <c r="N979" s="736"/>
      <c r="O979" s="736"/>
      <c r="P979" s="738">
        <f t="shared" ref="P979:P988" si="397">M979+N979-O979</f>
        <v>0</v>
      </c>
      <c r="Q979" s="738"/>
      <c r="R979" s="738"/>
      <c r="S979" s="738"/>
      <c r="T979" s="739">
        <v>1100119</v>
      </c>
      <c r="U979" s="745"/>
      <c r="V979" s="739">
        <v>1100119</v>
      </c>
    </row>
    <row r="980" spans="1:22" ht="15" x14ac:dyDescent="0.2">
      <c r="A980" s="734">
        <v>5151</v>
      </c>
      <c r="B980" s="735" t="s">
        <v>36</v>
      </c>
      <c r="C980" s="736"/>
      <c r="D980" s="736"/>
      <c r="E980" s="749"/>
      <c r="F980" s="736"/>
      <c r="G980" s="736"/>
      <c r="H980" s="789"/>
      <c r="I980" s="736"/>
      <c r="J980" s="736">
        <f t="shared" si="395"/>
        <v>0</v>
      </c>
      <c r="K980" s="789">
        <v>17000</v>
      </c>
      <c r="L980" s="736"/>
      <c r="M980" s="736">
        <f t="shared" si="396"/>
        <v>17000</v>
      </c>
      <c r="N980" s="736"/>
      <c r="O980" s="736">
        <v>17000</v>
      </c>
      <c r="P980" s="738">
        <f t="shared" si="397"/>
        <v>0</v>
      </c>
      <c r="Q980" s="738"/>
      <c r="R980" s="738"/>
      <c r="S980" s="738"/>
      <c r="T980" s="739">
        <v>1100121</v>
      </c>
      <c r="U980" s="746">
        <v>160000</v>
      </c>
      <c r="V980" s="741">
        <v>1100122</v>
      </c>
    </row>
    <row r="981" spans="1:22" ht="15" x14ac:dyDescent="0.2">
      <c r="A981" s="739">
        <v>5191</v>
      </c>
      <c r="B981" s="743" t="s">
        <v>69</v>
      </c>
      <c r="C981" s="736"/>
      <c r="D981" s="736">
        <v>0</v>
      </c>
      <c r="E981" s="736"/>
      <c r="F981" s="736">
        <v>0</v>
      </c>
      <c r="G981" s="736"/>
      <c r="H981" s="736"/>
      <c r="I981" s="736"/>
      <c r="J981" s="736">
        <f t="shared" si="395"/>
        <v>0</v>
      </c>
      <c r="K981" s="736"/>
      <c r="L981" s="736"/>
      <c r="M981" s="736">
        <f t="shared" si="396"/>
        <v>0</v>
      </c>
      <c r="N981" s="736"/>
      <c r="O981" s="736"/>
      <c r="P981" s="738">
        <f t="shared" si="397"/>
        <v>0</v>
      </c>
      <c r="Q981" s="738"/>
      <c r="R981" s="738"/>
      <c r="S981" s="738"/>
      <c r="T981" s="739">
        <v>1100119</v>
      </c>
      <c r="U981" s="745"/>
      <c r="V981" s="739">
        <v>1100119</v>
      </c>
    </row>
    <row r="982" spans="1:22" ht="15" x14ac:dyDescent="0.2">
      <c r="A982" s="739">
        <v>5191</v>
      </c>
      <c r="B982" s="743" t="s">
        <v>69</v>
      </c>
      <c r="C982" s="736"/>
      <c r="D982" s="736"/>
      <c r="E982" s="736"/>
      <c r="F982" s="736"/>
      <c r="G982" s="736"/>
      <c r="H982" s="736">
        <v>0</v>
      </c>
      <c r="I982" s="736"/>
      <c r="J982" s="736">
        <f t="shared" si="395"/>
        <v>0</v>
      </c>
      <c r="K982" s="736">
        <v>0</v>
      </c>
      <c r="L982" s="736"/>
      <c r="M982" s="736">
        <f t="shared" si="396"/>
        <v>0</v>
      </c>
      <c r="N982" s="736"/>
      <c r="O982" s="736"/>
      <c r="P982" s="738">
        <f t="shared" si="397"/>
        <v>0</v>
      </c>
      <c r="Q982" s="738"/>
      <c r="R982" s="738"/>
      <c r="S982" s="738">
        <v>10000</v>
      </c>
      <c r="T982" s="739">
        <v>1100121</v>
      </c>
      <c r="U982" s="744">
        <v>0</v>
      </c>
      <c r="V982" s="739">
        <v>1100122</v>
      </c>
    </row>
    <row r="983" spans="1:22" ht="15" x14ac:dyDescent="0.2">
      <c r="A983" s="739">
        <v>5211</v>
      </c>
      <c r="B983" s="743" t="s">
        <v>71</v>
      </c>
      <c r="C983" s="736"/>
      <c r="D983" s="736">
        <v>0</v>
      </c>
      <c r="E983" s="749">
        <v>86596.800000000003</v>
      </c>
      <c r="F983" s="736">
        <v>86596.800000000003</v>
      </c>
      <c r="G983" s="736"/>
      <c r="H983" s="736"/>
      <c r="I983" s="736"/>
      <c r="J983" s="736">
        <f t="shared" si="395"/>
        <v>0</v>
      </c>
      <c r="K983" s="736"/>
      <c r="L983" s="736"/>
      <c r="M983" s="736">
        <f t="shared" si="396"/>
        <v>0</v>
      </c>
      <c r="N983" s="736"/>
      <c r="O983" s="736"/>
      <c r="P983" s="738">
        <f t="shared" si="397"/>
        <v>0</v>
      </c>
      <c r="Q983" s="738"/>
      <c r="R983" s="738"/>
      <c r="S983" s="738"/>
      <c r="T983" s="739">
        <v>1100119</v>
      </c>
      <c r="U983" s="745"/>
      <c r="V983" s="739">
        <v>1100119</v>
      </c>
    </row>
    <row r="984" spans="1:22" ht="15" x14ac:dyDescent="0.2">
      <c r="A984" s="734">
        <v>5211</v>
      </c>
      <c r="B984" s="735" t="s">
        <v>71</v>
      </c>
      <c r="C984" s="736"/>
      <c r="D984" s="736">
        <v>0</v>
      </c>
      <c r="E984" s="736"/>
      <c r="F984" s="736">
        <v>0</v>
      </c>
      <c r="G984" s="736"/>
      <c r="H984" s="736"/>
      <c r="I984" s="736"/>
      <c r="J984" s="736">
        <f t="shared" si="395"/>
        <v>0</v>
      </c>
      <c r="K984" s="736"/>
      <c r="L984" s="736"/>
      <c r="M984" s="736">
        <f t="shared" si="396"/>
        <v>0</v>
      </c>
      <c r="N984" s="736"/>
      <c r="O984" s="736"/>
      <c r="P984" s="738">
        <f t="shared" si="397"/>
        <v>0</v>
      </c>
      <c r="Q984" s="738"/>
      <c r="R984" s="738"/>
      <c r="S984" s="738"/>
      <c r="T984" s="739">
        <v>1100121</v>
      </c>
      <c r="U984" s="746">
        <v>40000</v>
      </c>
      <c r="V984" s="741">
        <v>1100122</v>
      </c>
    </row>
    <row r="985" spans="1:22" ht="15" x14ac:dyDescent="0.2">
      <c r="A985" s="734">
        <v>5231</v>
      </c>
      <c r="B985" s="735" t="s">
        <v>81</v>
      </c>
      <c r="C985" s="736">
        <v>133025.68</v>
      </c>
      <c r="D985" s="736"/>
      <c r="E985" s="736"/>
      <c r="F985" s="736"/>
      <c r="G985" s="736"/>
      <c r="H985" s="736"/>
      <c r="I985" s="736"/>
      <c r="J985" s="736">
        <f t="shared" si="395"/>
        <v>0</v>
      </c>
      <c r="K985" s="736"/>
      <c r="L985" s="736"/>
      <c r="M985" s="736">
        <f t="shared" si="396"/>
        <v>0</v>
      </c>
      <c r="N985" s="736"/>
      <c r="O985" s="736"/>
      <c r="P985" s="738">
        <f t="shared" si="397"/>
        <v>0</v>
      </c>
      <c r="Q985" s="738"/>
      <c r="R985" s="738"/>
      <c r="S985" s="738"/>
      <c r="T985" s="739"/>
      <c r="U985" s="746">
        <v>70000</v>
      </c>
      <c r="V985" s="741">
        <v>1100122</v>
      </c>
    </row>
    <row r="986" spans="1:22" ht="15" x14ac:dyDescent="0.2">
      <c r="A986" s="739">
        <v>5411</v>
      </c>
      <c r="B986" s="743" t="s">
        <v>123</v>
      </c>
      <c r="C986" s="736">
        <v>171206</v>
      </c>
      <c r="D986" s="736"/>
      <c r="E986" s="736"/>
      <c r="F986" s="736"/>
      <c r="G986" s="736"/>
      <c r="H986" s="736"/>
      <c r="I986" s="736"/>
      <c r="J986" s="736">
        <f t="shared" si="395"/>
        <v>0</v>
      </c>
      <c r="K986" s="736"/>
      <c r="L986" s="736"/>
      <c r="M986" s="736">
        <f t="shared" si="396"/>
        <v>0</v>
      </c>
      <c r="N986" s="736"/>
      <c r="O986" s="736"/>
      <c r="P986" s="738">
        <f t="shared" si="397"/>
        <v>0</v>
      </c>
      <c r="Q986" s="738"/>
      <c r="R986" s="738"/>
      <c r="S986" s="738"/>
      <c r="T986" s="739"/>
      <c r="U986" s="745"/>
      <c r="V986" s="739"/>
    </row>
    <row r="987" spans="1:22" ht="15" x14ac:dyDescent="0.2">
      <c r="A987" s="739">
        <v>5491</v>
      </c>
      <c r="B987" s="743" t="s">
        <v>1758</v>
      </c>
      <c r="C987" s="736"/>
      <c r="D987" s="736"/>
      <c r="E987" s="736"/>
      <c r="F987" s="736"/>
      <c r="G987" s="736"/>
      <c r="H987" s="736"/>
      <c r="I987" s="736"/>
      <c r="J987" s="736"/>
      <c r="K987" s="736"/>
      <c r="L987" s="736"/>
      <c r="M987" s="736">
        <f t="shared" si="396"/>
        <v>0</v>
      </c>
      <c r="N987" s="736">
        <v>45000</v>
      </c>
      <c r="O987" s="736"/>
      <c r="P987" s="736">
        <f t="shared" si="397"/>
        <v>45000</v>
      </c>
      <c r="Q987" s="738">
        <v>45000</v>
      </c>
      <c r="R987" s="738"/>
      <c r="S987" s="738"/>
      <c r="T987" s="739">
        <v>1100121</v>
      </c>
      <c r="U987" s="745"/>
      <c r="V987" s="739">
        <v>1100122</v>
      </c>
    </row>
    <row r="988" spans="1:22" ht="15" x14ac:dyDescent="0.2">
      <c r="A988" s="739">
        <v>5691</v>
      </c>
      <c r="B988" s="743" t="s">
        <v>112</v>
      </c>
      <c r="C988" s="736">
        <v>13918.84</v>
      </c>
      <c r="D988" s="736">
        <v>0</v>
      </c>
      <c r="E988" s="749">
        <v>13000</v>
      </c>
      <c r="F988" s="736">
        <v>12800</v>
      </c>
      <c r="G988" s="736"/>
      <c r="H988" s="736"/>
      <c r="I988" s="736"/>
      <c r="J988" s="736">
        <f>G988+H988-I988</f>
        <v>0</v>
      </c>
      <c r="K988" s="736"/>
      <c r="L988" s="736"/>
      <c r="M988" s="736">
        <f t="shared" si="396"/>
        <v>0</v>
      </c>
      <c r="N988" s="736"/>
      <c r="O988" s="736"/>
      <c r="P988" s="738">
        <f t="shared" si="397"/>
        <v>0</v>
      </c>
      <c r="Q988" s="738"/>
      <c r="R988" s="738"/>
      <c r="S988" s="738"/>
      <c r="T988" s="739">
        <v>1100121</v>
      </c>
      <c r="U988" s="745"/>
      <c r="V988" s="739">
        <v>1100122</v>
      </c>
    </row>
    <row r="989" spans="1:22" ht="15" x14ac:dyDescent="0.2">
      <c r="A989" s="724" t="s">
        <v>179</v>
      </c>
      <c r="B989" s="725" t="s">
        <v>180</v>
      </c>
      <c r="C989" s="721">
        <f t="shared" ref="C989:S989" si="398">SUM(C990)</f>
        <v>4414216.74</v>
      </c>
      <c r="D989" s="721">
        <f t="shared" si="398"/>
        <v>7243699.8399999999</v>
      </c>
      <c r="E989" s="721">
        <f t="shared" si="398"/>
        <v>5460999.5300000003</v>
      </c>
      <c r="F989" s="721">
        <f t="shared" si="398"/>
        <v>2951397.2699999996</v>
      </c>
      <c r="G989" s="721">
        <f t="shared" si="398"/>
        <v>5504386.6999999993</v>
      </c>
      <c r="H989" s="721">
        <f t="shared" si="398"/>
        <v>0</v>
      </c>
      <c r="I989" s="721">
        <f t="shared" si="398"/>
        <v>0</v>
      </c>
      <c r="J989" s="721">
        <f t="shared" si="398"/>
        <v>5504386.6999999993</v>
      </c>
      <c r="K989" s="721">
        <f t="shared" si="398"/>
        <v>6904.75</v>
      </c>
      <c r="L989" s="721">
        <f t="shared" si="398"/>
        <v>380498.62</v>
      </c>
      <c r="M989" s="721">
        <f t="shared" si="398"/>
        <v>5130792.83</v>
      </c>
      <c r="N989" s="721">
        <f t="shared" si="398"/>
        <v>0</v>
      </c>
      <c r="O989" s="721">
        <f t="shared" si="398"/>
        <v>740000</v>
      </c>
      <c r="P989" s="721">
        <f t="shared" si="398"/>
        <v>4390792.83</v>
      </c>
      <c r="Q989" s="756">
        <f t="shared" si="398"/>
        <v>3857903.22</v>
      </c>
      <c r="R989" s="756">
        <f t="shared" si="398"/>
        <v>1828557.4999999998</v>
      </c>
      <c r="S989" s="756">
        <f t="shared" si="398"/>
        <v>8943219.5800000001</v>
      </c>
      <c r="T989" s="724"/>
      <c r="U989" s="726">
        <f t="shared" ref="U989" si="399">SUM(U990)</f>
        <v>9584492.3300000001</v>
      </c>
      <c r="V989" s="727"/>
    </row>
    <row r="990" spans="1:22" ht="15" x14ac:dyDescent="0.2">
      <c r="A990" s="728" t="s">
        <v>181</v>
      </c>
      <c r="B990" s="729" t="s">
        <v>1603</v>
      </c>
      <c r="C990" s="730">
        <f t="shared" ref="C990:S990" si="400">SUM(C991:C1024)</f>
        <v>4414216.74</v>
      </c>
      <c r="D990" s="730">
        <f t="shared" si="400"/>
        <v>7243699.8399999999</v>
      </c>
      <c r="E990" s="730">
        <f t="shared" si="400"/>
        <v>5460999.5300000003</v>
      </c>
      <c r="F990" s="730">
        <f t="shared" si="400"/>
        <v>2951397.2699999996</v>
      </c>
      <c r="G990" s="730">
        <f t="shared" si="400"/>
        <v>5504386.6999999993</v>
      </c>
      <c r="H990" s="730">
        <f t="shared" si="400"/>
        <v>0</v>
      </c>
      <c r="I990" s="730">
        <f t="shared" si="400"/>
        <v>0</v>
      </c>
      <c r="J990" s="730">
        <f t="shared" si="400"/>
        <v>5504386.6999999993</v>
      </c>
      <c r="K990" s="730">
        <f t="shared" si="400"/>
        <v>6904.75</v>
      </c>
      <c r="L990" s="730">
        <f t="shared" si="400"/>
        <v>380498.62</v>
      </c>
      <c r="M990" s="730">
        <f t="shared" si="400"/>
        <v>5130792.83</v>
      </c>
      <c r="N990" s="730">
        <f t="shared" si="400"/>
        <v>0</v>
      </c>
      <c r="O990" s="730">
        <f t="shared" si="400"/>
        <v>740000</v>
      </c>
      <c r="P990" s="730">
        <f t="shared" si="400"/>
        <v>4390792.83</v>
      </c>
      <c r="Q990" s="748">
        <f>SUM(Q991:Q1024)</f>
        <v>3857903.22</v>
      </c>
      <c r="R990" s="748">
        <f t="shared" si="400"/>
        <v>1828557.4999999998</v>
      </c>
      <c r="S990" s="748">
        <f t="shared" si="400"/>
        <v>8943219.5800000001</v>
      </c>
      <c r="T990" s="731"/>
      <c r="U990" s="732">
        <f>SUM(U991:U1024)</f>
        <v>9584492.3300000001</v>
      </c>
      <c r="V990" s="733"/>
    </row>
    <row r="991" spans="1:22" ht="15" x14ac:dyDescent="0.25">
      <c r="A991" s="734">
        <v>1131</v>
      </c>
      <c r="B991" s="735" t="s">
        <v>6</v>
      </c>
      <c r="C991" s="736">
        <v>433313.06</v>
      </c>
      <c r="D991" s="736">
        <v>442674.96</v>
      </c>
      <c r="E991" s="749">
        <v>442674.96</v>
      </c>
      <c r="F991" s="736">
        <v>486875.34</v>
      </c>
      <c r="G991" s="736">
        <v>481637.3</v>
      </c>
      <c r="H991" s="736"/>
      <c r="I991" s="736"/>
      <c r="J991" s="736">
        <f t="shared" ref="J991:J1018" si="401">G991+H991-I991</f>
        <v>481637.3</v>
      </c>
      <c r="K991" s="736"/>
      <c r="L991" s="736">
        <v>161691.78</v>
      </c>
      <c r="M991" s="736">
        <f t="shared" ref="M991:M1018" si="402">J991+K991-L991</f>
        <v>319945.52</v>
      </c>
      <c r="N991" s="736"/>
      <c r="O991" s="736"/>
      <c r="P991" s="736">
        <f t="shared" ref="P991:P1018" si="403">M991+N991-O991</f>
        <v>319945.52</v>
      </c>
      <c r="Q991" s="738">
        <v>319945.52</v>
      </c>
      <c r="R991" s="738"/>
      <c r="S991" s="751">
        <v>500328.92</v>
      </c>
      <c r="T991" s="739">
        <v>1500521</v>
      </c>
      <c r="U991" s="779">
        <v>340634.12</v>
      </c>
      <c r="V991" s="741">
        <v>1500522</v>
      </c>
    </row>
    <row r="992" spans="1:22" ht="15" x14ac:dyDescent="0.25">
      <c r="A992" s="734">
        <v>1132</v>
      </c>
      <c r="B992" s="735" t="s">
        <v>8</v>
      </c>
      <c r="C992" s="736">
        <v>171765.48</v>
      </c>
      <c r="D992" s="736">
        <v>317502.64</v>
      </c>
      <c r="E992" s="749">
        <v>190424.58</v>
      </c>
      <c r="F992" s="736">
        <v>197207</v>
      </c>
      <c r="G992" s="736">
        <v>195773.80000000002</v>
      </c>
      <c r="H992" s="736"/>
      <c r="I992" s="736"/>
      <c r="J992" s="736">
        <f t="shared" si="401"/>
        <v>195773.80000000002</v>
      </c>
      <c r="K992" s="736">
        <v>6904.75</v>
      </c>
      <c r="L992" s="736"/>
      <c r="M992" s="736">
        <f t="shared" si="402"/>
        <v>202678.55000000002</v>
      </c>
      <c r="N992" s="736"/>
      <c r="O992" s="736"/>
      <c r="P992" s="736">
        <f t="shared" si="403"/>
        <v>202678.55000000002</v>
      </c>
      <c r="Q992" s="898">
        <v>201244.49</v>
      </c>
      <c r="R992" s="738"/>
      <c r="S992" s="751">
        <v>210635.88</v>
      </c>
      <c r="T992" s="739">
        <v>1500521</v>
      </c>
      <c r="U992" s="779">
        <v>206857.26</v>
      </c>
      <c r="V992" s="741">
        <v>1500522</v>
      </c>
    </row>
    <row r="993" spans="1:22" ht="15" x14ac:dyDescent="0.25">
      <c r="A993" s="734">
        <v>1321</v>
      </c>
      <c r="B993" s="735" t="s">
        <v>9</v>
      </c>
      <c r="C993" s="736">
        <v>36125.699999999997</v>
      </c>
      <c r="D993" s="736">
        <v>50143.26</v>
      </c>
      <c r="E993" s="749">
        <v>46330.26</v>
      </c>
      <c r="F993" s="736">
        <v>45845.58</v>
      </c>
      <c r="G993" s="736">
        <v>48071.5</v>
      </c>
      <c r="H993" s="736"/>
      <c r="I993" s="736"/>
      <c r="J993" s="736">
        <f t="shared" si="401"/>
        <v>48071.5</v>
      </c>
      <c r="K993" s="736"/>
      <c r="L993" s="736">
        <v>11406.23</v>
      </c>
      <c r="M993" s="736">
        <f t="shared" si="402"/>
        <v>36665.270000000004</v>
      </c>
      <c r="N993" s="736"/>
      <c r="O993" s="736"/>
      <c r="P993" s="736">
        <f t="shared" si="403"/>
        <v>36665.270000000004</v>
      </c>
      <c r="Q993" s="898">
        <v>36665.269999999997</v>
      </c>
      <c r="R993" s="738"/>
      <c r="S993" s="751">
        <v>48324.08</v>
      </c>
      <c r="T993" s="739">
        <v>1500521</v>
      </c>
      <c r="U993" s="779">
        <v>38141.910000000003</v>
      </c>
      <c r="V993" s="741">
        <v>1500522</v>
      </c>
    </row>
    <row r="994" spans="1:22" ht="15" x14ac:dyDescent="0.25">
      <c r="A994" s="734">
        <v>1322</v>
      </c>
      <c r="B994" s="735" t="s">
        <v>182</v>
      </c>
      <c r="C994" s="736">
        <v>3679.5</v>
      </c>
      <c r="D994" s="736">
        <v>40000</v>
      </c>
      <c r="E994" s="749">
        <v>4000</v>
      </c>
      <c r="F994" s="736">
        <v>0</v>
      </c>
      <c r="G994" s="736">
        <v>4000</v>
      </c>
      <c r="H994" s="736"/>
      <c r="I994" s="736"/>
      <c r="J994" s="736">
        <f t="shared" si="401"/>
        <v>4000</v>
      </c>
      <c r="K994" s="736"/>
      <c r="L994" s="736"/>
      <c r="M994" s="736">
        <f t="shared" si="402"/>
        <v>4000</v>
      </c>
      <c r="N994" s="736"/>
      <c r="O994" s="736"/>
      <c r="P994" s="736">
        <f t="shared" si="403"/>
        <v>4000</v>
      </c>
      <c r="Q994" s="898">
        <v>4000</v>
      </c>
      <c r="R994" s="738"/>
      <c r="S994" s="751">
        <v>4240</v>
      </c>
      <c r="T994" s="739">
        <v>1500521</v>
      </c>
      <c r="U994" s="779">
        <v>4000</v>
      </c>
      <c r="V994" s="741">
        <v>1500522</v>
      </c>
    </row>
    <row r="995" spans="1:22" ht="15" x14ac:dyDescent="0.25">
      <c r="A995" s="734">
        <v>1323</v>
      </c>
      <c r="B995" s="735" t="s">
        <v>11</v>
      </c>
      <c r="C995" s="736">
        <v>111336</v>
      </c>
      <c r="D995" s="736">
        <v>131027</v>
      </c>
      <c r="E995" s="749">
        <v>111095.62</v>
      </c>
      <c r="F995" s="736">
        <v>109728</v>
      </c>
      <c r="G995" s="736">
        <v>113549.5</v>
      </c>
      <c r="H995" s="736"/>
      <c r="I995" s="736"/>
      <c r="J995" s="736">
        <f t="shared" si="401"/>
        <v>113549.5</v>
      </c>
      <c r="K995" s="736"/>
      <c r="L995" s="736">
        <v>24248.77</v>
      </c>
      <c r="M995" s="736">
        <f t="shared" si="402"/>
        <v>89300.73</v>
      </c>
      <c r="N995" s="736"/>
      <c r="O995" s="736"/>
      <c r="P995" s="736">
        <f t="shared" si="403"/>
        <v>89300.73</v>
      </c>
      <c r="Q995" s="898">
        <v>89300.73</v>
      </c>
      <c r="R995" s="738"/>
      <c r="S995" s="751">
        <v>122171.5</v>
      </c>
      <c r="T995" s="739">
        <v>1500521</v>
      </c>
      <c r="U995" s="779">
        <v>89731.06</v>
      </c>
      <c r="V995" s="741">
        <v>1500522</v>
      </c>
    </row>
    <row r="996" spans="1:22" ht="15" x14ac:dyDescent="0.25">
      <c r="A996" s="734">
        <v>1331</v>
      </c>
      <c r="B996" s="735" t="s">
        <v>183</v>
      </c>
      <c r="C996" s="736">
        <v>3977.62</v>
      </c>
      <c r="D996" s="736">
        <v>13500</v>
      </c>
      <c r="E996" s="749">
        <v>4050</v>
      </c>
      <c r="F996" s="736">
        <v>0</v>
      </c>
      <c r="G996" s="736">
        <v>4050</v>
      </c>
      <c r="H996" s="736"/>
      <c r="I996" s="736"/>
      <c r="J996" s="736">
        <f t="shared" si="401"/>
        <v>4050</v>
      </c>
      <c r="K996" s="736"/>
      <c r="L996" s="736"/>
      <c r="M996" s="736">
        <f t="shared" si="402"/>
        <v>4050</v>
      </c>
      <c r="N996" s="736"/>
      <c r="O996" s="736"/>
      <c r="P996" s="736">
        <f t="shared" si="403"/>
        <v>4050</v>
      </c>
      <c r="Q996" s="738">
        <v>4050</v>
      </c>
      <c r="R996" s="738"/>
      <c r="S996" s="751">
        <v>4050</v>
      </c>
      <c r="T996" s="739">
        <v>1500521</v>
      </c>
      <c r="U996" s="779">
        <v>4050</v>
      </c>
      <c r="V996" s="741">
        <v>1500522</v>
      </c>
    </row>
    <row r="997" spans="1:22" ht="15" x14ac:dyDescent="0.25">
      <c r="A997" s="734">
        <v>1413</v>
      </c>
      <c r="B997" s="735" t="s">
        <v>13</v>
      </c>
      <c r="C997" s="736">
        <v>134096.6</v>
      </c>
      <c r="D997" s="736">
        <v>179242.04</v>
      </c>
      <c r="E997" s="749">
        <v>145123.64000000001</v>
      </c>
      <c r="F997" s="736">
        <v>143417.84</v>
      </c>
      <c r="G997" s="736">
        <v>166738</v>
      </c>
      <c r="H997" s="736"/>
      <c r="I997" s="736"/>
      <c r="J997" s="736">
        <f t="shared" si="401"/>
        <v>166738</v>
      </c>
      <c r="K997" s="736"/>
      <c r="L997" s="736">
        <v>37674.660000000003</v>
      </c>
      <c r="M997" s="736">
        <f t="shared" si="402"/>
        <v>129063.34</v>
      </c>
      <c r="N997" s="736"/>
      <c r="O997" s="736"/>
      <c r="P997" s="736">
        <f t="shared" si="403"/>
        <v>129063.34</v>
      </c>
      <c r="Q997" s="898">
        <v>129063.34</v>
      </c>
      <c r="R997" s="738"/>
      <c r="S997" s="751">
        <v>188144.52</v>
      </c>
      <c r="T997" s="739">
        <v>1500521</v>
      </c>
      <c r="U997" s="779">
        <v>135394.96</v>
      </c>
      <c r="V997" s="741">
        <v>1500522</v>
      </c>
    </row>
    <row r="998" spans="1:22" ht="15" x14ac:dyDescent="0.25">
      <c r="A998" s="734">
        <v>1421</v>
      </c>
      <c r="B998" s="735" t="s">
        <v>15</v>
      </c>
      <c r="C998" s="736">
        <v>45892.12</v>
      </c>
      <c r="D998" s="736">
        <v>57646.82</v>
      </c>
      <c r="E998" s="749">
        <v>43046.82</v>
      </c>
      <c r="F998" s="736">
        <v>46263.53</v>
      </c>
      <c r="G998" s="736">
        <v>50474.6</v>
      </c>
      <c r="H998" s="736"/>
      <c r="I998" s="736"/>
      <c r="J998" s="736">
        <f t="shared" si="401"/>
        <v>50474.6</v>
      </c>
      <c r="K998" s="736"/>
      <c r="L998" s="736">
        <v>11424.95</v>
      </c>
      <c r="M998" s="736">
        <f t="shared" si="402"/>
        <v>39049.649999999994</v>
      </c>
      <c r="N998" s="736"/>
      <c r="O998" s="736"/>
      <c r="P998" s="736">
        <f t="shared" si="403"/>
        <v>39049.649999999994</v>
      </c>
      <c r="Q998" s="738">
        <v>39049.65</v>
      </c>
      <c r="R998" s="738"/>
      <c r="S998" s="751">
        <v>53921.4</v>
      </c>
      <c r="T998" s="739">
        <v>1500521</v>
      </c>
      <c r="U998" s="779">
        <v>39425.660000000003</v>
      </c>
      <c r="V998" s="741">
        <v>1500522</v>
      </c>
    </row>
    <row r="999" spans="1:22" ht="15" x14ac:dyDescent="0.25">
      <c r="A999" s="734">
        <v>1431</v>
      </c>
      <c r="B999" s="735" t="s">
        <v>16</v>
      </c>
      <c r="C999" s="736">
        <v>49648.88</v>
      </c>
      <c r="D999" s="736">
        <v>59376.22</v>
      </c>
      <c r="E999" s="749">
        <v>45101.22</v>
      </c>
      <c r="F999" s="736">
        <v>48784.7</v>
      </c>
      <c r="G999" s="736">
        <v>51989</v>
      </c>
      <c r="H999" s="736"/>
      <c r="I999" s="736"/>
      <c r="J999" s="736">
        <f t="shared" si="401"/>
        <v>51989</v>
      </c>
      <c r="K999" s="736"/>
      <c r="L999" s="736">
        <v>11775.84</v>
      </c>
      <c r="M999" s="736">
        <f t="shared" si="402"/>
        <v>40213.160000000003</v>
      </c>
      <c r="N999" s="736"/>
      <c r="O999" s="736"/>
      <c r="P999" s="736">
        <f t="shared" si="403"/>
        <v>40213.160000000003</v>
      </c>
      <c r="Q999" s="738">
        <v>40213.160000000003</v>
      </c>
      <c r="R999" s="738"/>
      <c r="S999" s="751">
        <v>55539.12</v>
      </c>
      <c r="T999" s="739">
        <v>1500521</v>
      </c>
      <c r="U999" s="779">
        <v>39779.86</v>
      </c>
      <c r="V999" s="741">
        <v>1500522</v>
      </c>
    </row>
    <row r="1000" spans="1:22" ht="15" x14ac:dyDescent="0.25">
      <c r="A1000" s="734">
        <v>1511</v>
      </c>
      <c r="B1000" s="735" t="s">
        <v>18</v>
      </c>
      <c r="C1000" s="736">
        <v>15415.64</v>
      </c>
      <c r="D1000" s="736">
        <v>19080.88</v>
      </c>
      <c r="E1000" s="749">
        <v>15844.88</v>
      </c>
      <c r="F1000" s="736">
        <v>16385.62</v>
      </c>
      <c r="G1000" s="736">
        <v>16532.899999999998</v>
      </c>
      <c r="H1000" s="736"/>
      <c r="I1000" s="736"/>
      <c r="J1000" s="736">
        <f t="shared" si="401"/>
        <v>16532.899999999998</v>
      </c>
      <c r="K1000" s="736"/>
      <c r="L1000" s="736">
        <v>3531.54</v>
      </c>
      <c r="M1000" s="736">
        <f t="shared" si="402"/>
        <v>13001.359999999997</v>
      </c>
      <c r="N1000" s="736"/>
      <c r="O1000" s="736"/>
      <c r="P1000" s="736">
        <f t="shared" si="403"/>
        <v>13001.359999999997</v>
      </c>
      <c r="Q1000" s="738">
        <v>13001.36</v>
      </c>
      <c r="R1000" s="738"/>
      <c r="S1000" s="751">
        <v>17785.04</v>
      </c>
      <c r="T1000" s="739">
        <v>1500521</v>
      </c>
      <c r="U1000" s="779">
        <v>13434.42</v>
      </c>
      <c r="V1000" s="741">
        <v>1500522</v>
      </c>
    </row>
    <row r="1001" spans="1:22" ht="15" x14ac:dyDescent="0.25">
      <c r="A1001" s="734">
        <v>1541</v>
      </c>
      <c r="B1001" s="735" t="s">
        <v>19</v>
      </c>
      <c r="C1001" s="736">
        <v>122965.7</v>
      </c>
      <c r="D1001" s="736">
        <v>142787.06</v>
      </c>
      <c r="E1001" s="749">
        <v>141217.07</v>
      </c>
      <c r="F1001" s="736">
        <v>145669.92000000001</v>
      </c>
      <c r="G1001" s="736">
        <v>186118.9</v>
      </c>
      <c r="H1001" s="736"/>
      <c r="I1001" s="736"/>
      <c r="J1001" s="736">
        <f t="shared" si="401"/>
        <v>186118.9</v>
      </c>
      <c r="K1001" s="736"/>
      <c r="L1001" s="736">
        <v>82852</v>
      </c>
      <c r="M1001" s="736">
        <f t="shared" si="402"/>
        <v>103266.9</v>
      </c>
      <c r="N1001" s="736"/>
      <c r="O1001" s="736"/>
      <c r="P1001" s="736">
        <f t="shared" si="403"/>
        <v>103266.9</v>
      </c>
      <c r="Q1001" s="898">
        <v>96423.63</v>
      </c>
      <c r="R1001" s="738"/>
      <c r="S1001" s="751">
        <v>108288.44</v>
      </c>
      <c r="T1001" s="739">
        <v>1500521</v>
      </c>
      <c r="U1001" s="779">
        <v>102400.22</v>
      </c>
      <c r="V1001" s="741">
        <v>1500522</v>
      </c>
    </row>
    <row r="1002" spans="1:22" ht="15" x14ac:dyDescent="0.25">
      <c r="A1002" s="734">
        <v>1591</v>
      </c>
      <c r="B1002" s="735" t="s">
        <v>184</v>
      </c>
      <c r="C1002" s="736">
        <v>3711.32</v>
      </c>
      <c r="D1002" s="736">
        <v>14000</v>
      </c>
      <c r="E1002" s="749">
        <v>7000</v>
      </c>
      <c r="F1002" s="736">
        <v>0</v>
      </c>
      <c r="G1002" s="736">
        <v>7000</v>
      </c>
      <c r="H1002" s="736"/>
      <c r="I1002" s="736"/>
      <c r="J1002" s="736">
        <f t="shared" si="401"/>
        <v>7000</v>
      </c>
      <c r="K1002" s="736"/>
      <c r="L1002" s="736"/>
      <c r="M1002" s="736">
        <f t="shared" si="402"/>
        <v>7000</v>
      </c>
      <c r="N1002" s="736"/>
      <c r="O1002" s="736"/>
      <c r="P1002" s="736">
        <f t="shared" si="403"/>
        <v>7000</v>
      </c>
      <c r="Q1002" s="738">
        <v>7000</v>
      </c>
      <c r="R1002" s="738"/>
      <c r="S1002" s="751">
        <v>7000</v>
      </c>
      <c r="T1002" s="739">
        <v>1500521</v>
      </c>
      <c r="U1002" s="779">
        <v>7000</v>
      </c>
      <c r="V1002" s="741">
        <v>1500522</v>
      </c>
    </row>
    <row r="1003" spans="1:22" ht="15" x14ac:dyDescent="0.25">
      <c r="A1003" s="734">
        <v>1592</v>
      </c>
      <c r="B1003" s="735" t="s">
        <v>20</v>
      </c>
      <c r="C1003" s="736">
        <v>156962.1</v>
      </c>
      <c r="D1003" s="736">
        <v>193698.96</v>
      </c>
      <c r="E1003" s="749">
        <v>159010.48000000001</v>
      </c>
      <c r="F1003" s="736">
        <v>164429.20000000001</v>
      </c>
      <c r="G1003" s="736">
        <v>165831.20000000001</v>
      </c>
      <c r="H1003" s="736"/>
      <c r="I1003" s="736"/>
      <c r="J1003" s="736">
        <f t="shared" si="401"/>
        <v>165831.20000000001</v>
      </c>
      <c r="K1003" s="736"/>
      <c r="L1003" s="736">
        <v>35892.85</v>
      </c>
      <c r="M1003" s="736">
        <f t="shared" si="402"/>
        <v>129938.35</v>
      </c>
      <c r="N1003" s="736"/>
      <c r="O1003" s="736"/>
      <c r="P1003" s="736">
        <f t="shared" si="403"/>
        <v>129938.35</v>
      </c>
      <c r="Q1003" s="898">
        <v>141830.95000000001</v>
      </c>
      <c r="R1003" s="738"/>
      <c r="S1003" s="751">
        <v>178443.72</v>
      </c>
      <c r="T1003" s="739">
        <v>1500521</v>
      </c>
      <c r="U1003" s="779">
        <v>134295.85999999999</v>
      </c>
      <c r="V1003" s="741">
        <v>1500522</v>
      </c>
    </row>
    <row r="1004" spans="1:22" ht="15" x14ac:dyDescent="0.25">
      <c r="A1004" s="734">
        <v>2111</v>
      </c>
      <c r="B1004" s="735" t="s">
        <v>22</v>
      </c>
      <c r="C1004" s="736">
        <v>3953.77</v>
      </c>
      <c r="D1004" s="736">
        <v>5000</v>
      </c>
      <c r="E1004" s="749">
        <v>3500</v>
      </c>
      <c r="F1004" s="736">
        <v>1860.76</v>
      </c>
      <c r="G1004" s="752">
        <v>15000</v>
      </c>
      <c r="H1004" s="752"/>
      <c r="I1004" s="752"/>
      <c r="J1004" s="736">
        <f t="shared" si="401"/>
        <v>15000</v>
      </c>
      <c r="K1004" s="752"/>
      <c r="L1004" s="752"/>
      <c r="M1004" s="736">
        <f t="shared" si="402"/>
        <v>15000</v>
      </c>
      <c r="N1004" s="736"/>
      <c r="O1004" s="736"/>
      <c r="P1004" s="736">
        <f t="shared" si="403"/>
        <v>15000</v>
      </c>
      <c r="Q1004" s="898">
        <v>11599.87</v>
      </c>
      <c r="R1004" s="738">
        <v>10290.89</v>
      </c>
      <c r="S1004" s="753">
        <v>15000</v>
      </c>
      <c r="T1004" s="739">
        <v>1100121</v>
      </c>
      <c r="U1004" s="740">
        <v>15000</v>
      </c>
      <c r="V1004" s="741">
        <v>1100122</v>
      </c>
    </row>
    <row r="1005" spans="1:22" ht="15" x14ac:dyDescent="0.2">
      <c r="A1005" s="739">
        <v>2112</v>
      </c>
      <c r="B1005" s="743" t="s">
        <v>39</v>
      </c>
      <c r="C1005" s="736">
        <v>14078.68</v>
      </c>
      <c r="D1005" s="736">
        <v>0</v>
      </c>
      <c r="E1005" s="749">
        <v>11000</v>
      </c>
      <c r="F1005" s="736">
        <v>9651.2000000000007</v>
      </c>
      <c r="G1005" s="736"/>
      <c r="H1005" s="736"/>
      <c r="I1005" s="736"/>
      <c r="J1005" s="736">
        <f t="shared" si="401"/>
        <v>0</v>
      </c>
      <c r="K1005" s="736"/>
      <c r="L1005" s="736"/>
      <c r="M1005" s="736">
        <f t="shared" si="402"/>
        <v>0</v>
      </c>
      <c r="N1005" s="736"/>
      <c r="O1005" s="736"/>
      <c r="P1005" s="738">
        <f t="shared" si="403"/>
        <v>0</v>
      </c>
      <c r="Q1005" s="738"/>
      <c r="R1005" s="738"/>
      <c r="S1005" s="738">
        <v>20000</v>
      </c>
      <c r="T1005" s="739">
        <v>1100121</v>
      </c>
      <c r="U1005" s="744"/>
      <c r="V1005" s="739">
        <v>1100122</v>
      </c>
    </row>
    <row r="1006" spans="1:22" ht="15" x14ac:dyDescent="0.25">
      <c r="A1006" s="734">
        <v>2121</v>
      </c>
      <c r="B1006" s="735" t="s">
        <v>24</v>
      </c>
      <c r="C1006" s="736"/>
      <c r="D1006" s="736">
        <v>5000</v>
      </c>
      <c r="E1006" s="749">
        <v>3500</v>
      </c>
      <c r="F1006" s="736">
        <v>2776</v>
      </c>
      <c r="G1006" s="752">
        <v>5000</v>
      </c>
      <c r="H1006" s="752"/>
      <c r="I1006" s="752"/>
      <c r="J1006" s="736">
        <f t="shared" si="401"/>
        <v>5000</v>
      </c>
      <c r="K1006" s="752"/>
      <c r="L1006" s="752"/>
      <c r="M1006" s="736">
        <f t="shared" si="402"/>
        <v>5000</v>
      </c>
      <c r="N1006" s="736"/>
      <c r="O1006" s="736"/>
      <c r="P1006" s="736">
        <f t="shared" si="403"/>
        <v>5000</v>
      </c>
      <c r="Q1006" s="898">
        <v>1895.25</v>
      </c>
      <c r="R1006" s="738">
        <v>1667</v>
      </c>
      <c r="S1006" s="753">
        <v>3000</v>
      </c>
      <c r="T1006" s="739">
        <v>1100121</v>
      </c>
      <c r="U1006" s="754">
        <v>3000</v>
      </c>
      <c r="V1006" s="741">
        <v>1100122</v>
      </c>
    </row>
    <row r="1007" spans="1:22" ht="15" x14ac:dyDescent="0.2">
      <c r="A1007" s="734">
        <v>2212</v>
      </c>
      <c r="B1007" s="735" t="s">
        <v>40</v>
      </c>
      <c r="C1007" s="736">
        <v>7210.34</v>
      </c>
      <c r="D1007" s="736">
        <v>15000</v>
      </c>
      <c r="E1007" s="749">
        <v>15000</v>
      </c>
      <c r="F1007" s="736">
        <v>4029.33</v>
      </c>
      <c r="G1007" s="752">
        <v>15000</v>
      </c>
      <c r="H1007" s="752"/>
      <c r="I1007" s="752"/>
      <c r="J1007" s="736">
        <f t="shared" si="401"/>
        <v>15000</v>
      </c>
      <c r="K1007" s="752"/>
      <c r="L1007" s="752"/>
      <c r="M1007" s="736">
        <f t="shared" si="402"/>
        <v>15000</v>
      </c>
      <c r="N1007" s="736"/>
      <c r="O1007" s="736"/>
      <c r="P1007" s="736">
        <f t="shared" si="403"/>
        <v>15000</v>
      </c>
      <c r="Q1007" s="753">
        <v>15000</v>
      </c>
      <c r="R1007" s="738">
        <v>11331.34</v>
      </c>
      <c r="S1007" s="753">
        <v>15000</v>
      </c>
      <c r="T1007" s="739">
        <v>1100121</v>
      </c>
      <c r="U1007" s="754">
        <v>15000</v>
      </c>
      <c r="V1007" s="741">
        <v>1100122</v>
      </c>
    </row>
    <row r="1008" spans="1:22" ht="15" x14ac:dyDescent="0.2">
      <c r="A1008" s="734">
        <v>2491</v>
      </c>
      <c r="B1008" s="735" t="s">
        <v>41</v>
      </c>
      <c r="C1008" s="736">
        <v>109632.17</v>
      </c>
      <c r="D1008" s="736">
        <v>150000</v>
      </c>
      <c r="E1008" s="749">
        <v>150000</v>
      </c>
      <c r="F1008" s="736">
        <v>149976.68</v>
      </c>
      <c r="G1008" s="752"/>
      <c r="H1008" s="752"/>
      <c r="I1008" s="752"/>
      <c r="J1008" s="736">
        <f t="shared" si="401"/>
        <v>0</v>
      </c>
      <c r="K1008" s="752"/>
      <c r="L1008" s="752"/>
      <c r="M1008" s="736">
        <f t="shared" si="402"/>
        <v>0</v>
      </c>
      <c r="N1008" s="736"/>
      <c r="O1008" s="736"/>
      <c r="P1008" s="738">
        <f t="shared" si="403"/>
        <v>0</v>
      </c>
      <c r="Q1008" s="753"/>
      <c r="R1008" s="738"/>
      <c r="S1008" s="753">
        <v>150000</v>
      </c>
      <c r="T1008" s="739">
        <v>1100121</v>
      </c>
      <c r="U1008" s="746">
        <v>150000</v>
      </c>
      <c r="V1008" s="741">
        <v>1100122</v>
      </c>
    </row>
    <row r="1009" spans="1:22" ht="30" x14ac:dyDescent="0.2">
      <c r="A1009" s="734">
        <v>2612</v>
      </c>
      <c r="B1009" s="735" t="s">
        <v>26</v>
      </c>
      <c r="C1009" s="736">
        <v>26000.48</v>
      </c>
      <c r="D1009" s="736">
        <v>26500</v>
      </c>
      <c r="E1009" s="749">
        <v>30000</v>
      </c>
      <c r="F1009" s="736">
        <v>27291.94</v>
      </c>
      <c r="G1009" s="752">
        <v>30000</v>
      </c>
      <c r="H1009" s="752"/>
      <c r="I1009" s="752"/>
      <c r="J1009" s="736">
        <f t="shared" si="401"/>
        <v>30000</v>
      </c>
      <c r="K1009" s="752"/>
      <c r="L1009" s="752"/>
      <c r="M1009" s="736">
        <f t="shared" si="402"/>
        <v>30000</v>
      </c>
      <c r="N1009" s="736"/>
      <c r="O1009" s="736"/>
      <c r="P1009" s="736">
        <f t="shared" si="403"/>
        <v>30000</v>
      </c>
      <c r="Q1009" s="753">
        <v>30000</v>
      </c>
      <c r="R1009" s="738">
        <v>21945.19</v>
      </c>
      <c r="S1009" s="738">
        <f>Q1009</f>
        <v>30000</v>
      </c>
      <c r="T1009" s="739">
        <v>1100121</v>
      </c>
      <c r="U1009" s="746">
        <v>35000</v>
      </c>
      <c r="V1009" s="741">
        <v>1100122</v>
      </c>
    </row>
    <row r="1010" spans="1:22" ht="15" x14ac:dyDescent="0.2">
      <c r="A1010" s="739">
        <v>2711</v>
      </c>
      <c r="B1010" s="743" t="s">
        <v>27</v>
      </c>
      <c r="C1010" s="736">
        <v>24605</v>
      </c>
      <c r="D1010" s="736">
        <v>0</v>
      </c>
      <c r="E1010" s="749"/>
      <c r="F1010" s="736">
        <v>21692</v>
      </c>
      <c r="G1010" s="752"/>
      <c r="H1010" s="752"/>
      <c r="I1010" s="752"/>
      <c r="J1010" s="736">
        <f t="shared" si="401"/>
        <v>0</v>
      </c>
      <c r="K1010" s="752"/>
      <c r="L1010" s="752"/>
      <c r="M1010" s="736">
        <f t="shared" si="402"/>
        <v>0</v>
      </c>
      <c r="N1010" s="736"/>
      <c r="O1010" s="736"/>
      <c r="P1010" s="738">
        <f t="shared" si="403"/>
        <v>0</v>
      </c>
      <c r="Q1010" s="753"/>
      <c r="R1010" s="738"/>
      <c r="S1010" s="753"/>
      <c r="T1010" s="739">
        <v>1100121</v>
      </c>
      <c r="U1010" s="745"/>
      <c r="V1010" s="739">
        <v>1100122</v>
      </c>
    </row>
    <row r="1011" spans="1:22" ht="15" x14ac:dyDescent="0.2">
      <c r="A1011" s="734">
        <v>2911</v>
      </c>
      <c r="B1011" s="735" t="s">
        <v>60</v>
      </c>
      <c r="C1011" s="736">
        <v>9284.64</v>
      </c>
      <c r="D1011" s="736">
        <v>20000</v>
      </c>
      <c r="E1011" s="749">
        <v>20000</v>
      </c>
      <c r="F1011" s="736">
        <v>10015.19</v>
      </c>
      <c r="G1011" s="752">
        <v>20000</v>
      </c>
      <c r="H1011" s="752"/>
      <c r="I1011" s="752"/>
      <c r="J1011" s="736">
        <f t="shared" si="401"/>
        <v>20000</v>
      </c>
      <c r="K1011" s="752"/>
      <c r="L1011" s="752"/>
      <c r="M1011" s="736">
        <f t="shared" si="402"/>
        <v>20000</v>
      </c>
      <c r="N1011" s="736"/>
      <c r="O1011" s="736"/>
      <c r="P1011" s="736">
        <f t="shared" si="403"/>
        <v>20000</v>
      </c>
      <c r="Q1011" s="753">
        <v>20000</v>
      </c>
      <c r="R1011" s="738">
        <v>16945</v>
      </c>
      <c r="S1011" s="753">
        <v>30000</v>
      </c>
      <c r="T1011" s="739">
        <v>1100121</v>
      </c>
      <c r="U1011" s="754">
        <v>30000</v>
      </c>
      <c r="V1011" s="741">
        <v>1100122</v>
      </c>
    </row>
    <row r="1012" spans="1:22" ht="15" x14ac:dyDescent="0.2">
      <c r="A1012" s="739">
        <v>3511</v>
      </c>
      <c r="B1012" s="806" t="s">
        <v>49</v>
      </c>
      <c r="C1012" s="736"/>
      <c r="D1012" s="736"/>
      <c r="E1012" s="749"/>
      <c r="F1012" s="736"/>
      <c r="G1012" s="752">
        <v>150000</v>
      </c>
      <c r="H1012" s="752"/>
      <c r="I1012" s="752"/>
      <c r="J1012" s="736">
        <f t="shared" si="401"/>
        <v>150000</v>
      </c>
      <c r="K1012" s="752"/>
      <c r="L1012" s="752"/>
      <c r="M1012" s="736">
        <f t="shared" si="402"/>
        <v>150000</v>
      </c>
      <c r="N1012" s="736"/>
      <c r="O1012" s="736"/>
      <c r="P1012" s="736">
        <f t="shared" si="403"/>
        <v>150000</v>
      </c>
      <c r="Q1012" s="753">
        <v>150000</v>
      </c>
      <c r="R1012" s="738">
        <v>127600</v>
      </c>
      <c r="S1012" s="753"/>
      <c r="T1012" s="739">
        <v>1100121</v>
      </c>
      <c r="U1012" s="745"/>
      <c r="V1012" s="739">
        <v>1100122</v>
      </c>
    </row>
    <row r="1013" spans="1:22" ht="15" x14ac:dyDescent="0.2">
      <c r="A1013" s="734">
        <v>3551</v>
      </c>
      <c r="B1013" s="735" t="s">
        <v>30</v>
      </c>
      <c r="C1013" s="736">
        <v>21719.49</v>
      </c>
      <c r="D1013" s="736">
        <v>30000</v>
      </c>
      <c r="E1013" s="749">
        <v>70000</v>
      </c>
      <c r="F1013" s="736">
        <v>54376.41</v>
      </c>
      <c r="G1013" s="752">
        <v>90000</v>
      </c>
      <c r="H1013" s="752"/>
      <c r="I1013" s="752"/>
      <c r="J1013" s="736">
        <f t="shared" si="401"/>
        <v>90000</v>
      </c>
      <c r="K1013" s="752"/>
      <c r="L1013" s="752"/>
      <c r="M1013" s="736">
        <f t="shared" si="402"/>
        <v>90000</v>
      </c>
      <c r="N1013" s="736"/>
      <c r="O1013" s="736">
        <v>40000</v>
      </c>
      <c r="P1013" s="736">
        <f t="shared" si="403"/>
        <v>50000</v>
      </c>
      <c r="Q1013" s="753">
        <v>20000</v>
      </c>
      <c r="R1013" s="738">
        <v>7910</v>
      </c>
      <c r="S1013" s="738">
        <f>Q1013</f>
        <v>20000</v>
      </c>
      <c r="T1013" s="739">
        <v>1100121</v>
      </c>
      <c r="U1013" s="746">
        <v>40000</v>
      </c>
      <c r="V1013" s="741">
        <v>1100122</v>
      </c>
    </row>
    <row r="1014" spans="1:22" ht="15" x14ac:dyDescent="0.2">
      <c r="A1014" s="739">
        <v>3821</v>
      </c>
      <c r="B1014" s="743" t="s">
        <v>31</v>
      </c>
      <c r="C1014" s="736">
        <v>2565741.4300000002</v>
      </c>
      <c r="D1014" s="736">
        <v>5316000</v>
      </c>
      <c r="E1014" s="749">
        <v>3737560</v>
      </c>
      <c r="F1014" s="736">
        <v>1146568.67</v>
      </c>
      <c r="G1014" s="736"/>
      <c r="H1014" s="736"/>
      <c r="I1014" s="736">
        <v>0</v>
      </c>
      <c r="J1014" s="736">
        <f t="shared" si="401"/>
        <v>0</v>
      </c>
      <c r="K1014" s="736"/>
      <c r="L1014" s="736"/>
      <c r="M1014" s="736">
        <f t="shared" si="402"/>
        <v>0</v>
      </c>
      <c r="N1014" s="736"/>
      <c r="O1014" s="736"/>
      <c r="P1014" s="738">
        <f t="shared" si="403"/>
        <v>0</v>
      </c>
      <c r="Q1014" s="738"/>
      <c r="R1014" s="738"/>
      <c r="S1014" s="738"/>
      <c r="T1014" s="739">
        <v>1100120</v>
      </c>
      <c r="U1014" s="745"/>
      <c r="V1014" s="739">
        <v>1100120</v>
      </c>
    </row>
    <row r="1015" spans="1:22" ht="15" x14ac:dyDescent="0.2">
      <c r="A1015" s="739">
        <v>3821</v>
      </c>
      <c r="B1015" s="743" t="s">
        <v>31</v>
      </c>
      <c r="C1015" s="736"/>
      <c r="D1015" s="736"/>
      <c r="E1015" s="749"/>
      <c r="F1015" s="736"/>
      <c r="G1015" s="736">
        <v>167040</v>
      </c>
      <c r="H1015" s="736">
        <v>0</v>
      </c>
      <c r="I1015" s="736"/>
      <c r="J1015" s="736">
        <f t="shared" si="401"/>
        <v>167040</v>
      </c>
      <c r="K1015" s="736"/>
      <c r="L1015" s="736"/>
      <c r="M1015" s="736">
        <f t="shared" si="402"/>
        <v>167040</v>
      </c>
      <c r="N1015" s="736"/>
      <c r="O1015" s="736"/>
      <c r="P1015" s="736">
        <f t="shared" si="403"/>
        <v>167040</v>
      </c>
      <c r="Q1015" s="738">
        <v>167040</v>
      </c>
      <c r="R1015" s="738">
        <v>167040</v>
      </c>
      <c r="S1015" s="738"/>
      <c r="T1015" s="739">
        <v>1100120</v>
      </c>
      <c r="U1015" s="745"/>
      <c r="V1015" s="739">
        <v>1100120</v>
      </c>
    </row>
    <row r="1016" spans="1:22" ht="15" x14ac:dyDescent="0.2">
      <c r="A1016" s="734">
        <v>3821</v>
      </c>
      <c r="B1016" s="735" t="s">
        <v>31</v>
      </c>
      <c r="C1016" s="736"/>
      <c r="D1016" s="736"/>
      <c r="E1016" s="749"/>
      <c r="F1016" s="736"/>
      <c r="G1016" s="736">
        <f>5000000-1500000</f>
        <v>3500000</v>
      </c>
      <c r="H1016" s="736"/>
      <c r="I1016" s="736"/>
      <c r="J1016" s="736">
        <f t="shared" si="401"/>
        <v>3500000</v>
      </c>
      <c r="K1016" s="736"/>
      <c r="L1016" s="736"/>
      <c r="M1016" s="736">
        <f t="shared" si="402"/>
        <v>3500000</v>
      </c>
      <c r="N1016" s="736"/>
      <c r="O1016" s="736">
        <v>700000</v>
      </c>
      <c r="P1016" s="736">
        <f t="shared" si="403"/>
        <v>2800000</v>
      </c>
      <c r="Q1016" s="738">
        <v>2300000</v>
      </c>
      <c r="R1016" s="738">
        <v>1443774.19</v>
      </c>
      <c r="S1016" s="899">
        <v>7000000</v>
      </c>
      <c r="T1016" s="739">
        <v>1100121</v>
      </c>
      <c r="U1016" s="746">
        <v>8000000</v>
      </c>
      <c r="V1016" s="741">
        <v>1100122</v>
      </c>
    </row>
    <row r="1017" spans="1:22" ht="15" x14ac:dyDescent="0.2">
      <c r="A1017" s="734">
        <v>3852</v>
      </c>
      <c r="B1017" s="735" t="s">
        <v>32</v>
      </c>
      <c r="C1017" s="736">
        <v>5197.01</v>
      </c>
      <c r="D1017" s="736">
        <v>15000</v>
      </c>
      <c r="E1017" s="749">
        <v>15000</v>
      </c>
      <c r="F1017" s="736">
        <v>14975.36</v>
      </c>
      <c r="G1017" s="736">
        <v>20000</v>
      </c>
      <c r="H1017" s="736"/>
      <c r="I1017" s="736"/>
      <c r="J1017" s="736">
        <f t="shared" si="401"/>
        <v>20000</v>
      </c>
      <c r="K1017" s="736"/>
      <c r="L1017" s="736"/>
      <c r="M1017" s="736">
        <f t="shared" si="402"/>
        <v>20000</v>
      </c>
      <c r="N1017" s="736"/>
      <c r="O1017" s="736"/>
      <c r="P1017" s="736">
        <f t="shared" si="403"/>
        <v>20000</v>
      </c>
      <c r="Q1017" s="738">
        <v>20000</v>
      </c>
      <c r="R1017" s="738">
        <v>19527.900000000001</v>
      </c>
      <c r="S1017" s="738">
        <v>40000</v>
      </c>
      <c r="T1017" s="739">
        <v>1100121</v>
      </c>
      <c r="U1017" s="740">
        <v>30000</v>
      </c>
      <c r="V1017" s="741">
        <v>1100122</v>
      </c>
    </row>
    <row r="1018" spans="1:22" ht="15" x14ac:dyDescent="0.2">
      <c r="A1018" s="739">
        <v>3921</v>
      </c>
      <c r="B1018" s="743" t="s">
        <v>33</v>
      </c>
      <c r="C1018" s="736">
        <v>470.01</v>
      </c>
      <c r="D1018" s="736">
        <v>520</v>
      </c>
      <c r="E1018" s="749">
        <v>520</v>
      </c>
      <c r="F1018" s="736">
        <v>263</v>
      </c>
      <c r="G1018" s="736">
        <v>580</v>
      </c>
      <c r="H1018" s="736"/>
      <c r="I1018" s="736"/>
      <c r="J1018" s="736">
        <f t="shared" si="401"/>
        <v>580</v>
      </c>
      <c r="K1018" s="736"/>
      <c r="L1018" s="736"/>
      <c r="M1018" s="736">
        <f t="shared" si="402"/>
        <v>580</v>
      </c>
      <c r="N1018" s="736"/>
      <c r="O1018" s="736"/>
      <c r="P1018" s="736">
        <f t="shared" si="403"/>
        <v>580</v>
      </c>
      <c r="Q1018" s="738">
        <v>580</v>
      </c>
      <c r="R1018" s="738">
        <v>525.99</v>
      </c>
      <c r="S1018" s="738">
        <v>10000</v>
      </c>
      <c r="T1018" s="739">
        <v>1100121</v>
      </c>
      <c r="U1018" s="744"/>
      <c r="V1018" s="739">
        <v>1100122</v>
      </c>
    </row>
    <row r="1019" spans="1:22" ht="15" x14ac:dyDescent="0.2">
      <c r="A1019" s="734">
        <v>3921</v>
      </c>
      <c r="B1019" s="735" t="s">
        <v>33</v>
      </c>
      <c r="C1019" s="736"/>
      <c r="D1019" s="736"/>
      <c r="E1019" s="749"/>
      <c r="F1019" s="736"/>
      <c r="G1019" s="736"/>
      <c r="H1019" s="736"/>
      <c r="I1019" s="736"/>
      <c r="J1019" s="736"/>
      <c r="K1019" s="736"/>
      <c r="L1019" s="736"/>
      <c r="M1019" s="736"/>
      <c r="N1019" s="736"/>
      <c r="O1019" s="736"/>
      <c r="P1019" s="736"/>
      <c r="Q1019" s="738"/>
      <c r="R1019" s="738"/>
      <c r="S1019" s="738">
        <v>1346.96</v>
      </c>
      <c r="T1019" s="739"/>
      <c r="U1019" s="746">
        <v>1347</v>
      </c>
      <c r="V1019" s="741">
        <v>1100122</v>
      </c>
    </row>
    <row r="1020" spans="1:22" ht="15" x14ac:dyDescent="0.2">
      <c r="A1020" s="734">
        <v>5191</v>
      </c>
      <c r="B1020" s="735" t="s">
        <v>1759</v>
      </c>
      <c r="C1020" s="736"/>
      <c r="D1020" s="736"/>
      <c r="E1020" s="749"/>
      <c r="F1020" s="736"/>
      <c r="G1020" s="736"/>
      <c r="H1020" s="736"/>
      <c r="I1020" s="736"/>
      <c r="J1020" s="736"/>
      <c r="K1020" s="736"/>
      <c r="L1020" s="736"/>
      <c r="M1020" s="736"/>
      <c r="N1020" s="736"/>
      <c r="O1020" s="736"/>
      <c r="P1020" s="736"/>
      <c r="Q1020" s="738"/>
      <c r="R1020" s="738"/>
      <c r="S1020" s="738">
        <v>50000</v>
      </c>
      <c r="T1020" s="739"/>
      <c r="U1020" s="742">
        <v>50000</v>
      </c>
      <c r="V1020" s="741">
        <v>1100122</v>
      </c>
    </row>
    <row r="1021" spans="1:22" ht="15" x14ac:dyDescent="0.2">
      <c r="A1021" s="734">
        <v>5211</v>
      </c>
      <c r="B1021" s="735" t="s">
        <v>71</v>
      </c>
      <c r="C1021" s="736">
        <v>50000</v>
      </c>
      <c r="D1021" s="736">
        <v>0</v>
      </c>
      <c r="E1021" s="736"/>
      <c r="F1021" s="736">
        <v>53514</v>
      </c>
      <c r="G1021" s="736"/>
      <c r="H1021" s="736"/>
      <c r="I1021" s="736"/>
      <c r="J1021" s="736">
        <f t="shared" ref="J1021:J1022" si="404">G1021+H1021-I1021</f>
        <v>0</v>
      </c>
      <c r="K1021" s="736"/>
      <c r="L1021" s="736"/>
      <c r="M1021" s="736">
        <f t="shared" ref="M1021:M1022" si="405">J1021+K1021-L1021</f>
        <v>0</v>
      </c>
      <c r="N1021" s="736"/>
      <c r="O1021" s="736"/>
      <c r="P1021" s="738">
        <f t="shared" ref="P1021:P1022" si="406">M1021+N1021-O1021</f>
        <v>0</v>
      </c>
      <c r="Q1021" s="738"/>
      <c r="R1021" s="738"/>
      <c r="S1021" s="738">
        <v>40000</v>
      </c>
      <c r="T1021" s="739">
        <v>1100121</v>
      </c>
      <c r="U1021" s="742">
        <v>40000</v>
      </c>
      <c r="V1021" s="741">
        <v>1100122</v>
      </c>
    </row>
    <row r="1022" spans="1:22" ht="15" x14ac:dyDescent="0.2">
      <c r="A1022" s="739">
        <v>5231</v>
      </c>
      <c r="B1022" s="743" t="s">
        <v>81</v>
      </c>
      <c r="C1022" s="736"/>
      <c r="D1022" s="736">
        <v>0</v>
      </c>
      <c r="E1022" s="749">
        <v>50000</v>
      </c>
      <c r="F1022" s="736">
        <v>49800</v>
      </c>
      <c r="G1022" s="736"/>
      <c r="H1022" s="736"/>
      <c r="I1022" s="736"/>
      <c r="J1022" s="736">
        <f t="shared" si="404"/>
        <v>0</v>
      </c>
      <c r="K1022" s="736"/>
      <c r="L1022" s="736"/>
      <c r="M1022" s="736">
        <f t="shared" si="405"/>
        <v>0</v>
      </c>
      <c r="N1022" s="736"/>
      <c r="O1022" s="736"/>
      <c r="P1022" s="738">
        <f t="shared" si="406"/>
        <v>0</v>
      </c>
      <c r="Q1022" s="738"/>
      <c r="R1022" s="738"/>
      <c r="S1022" s="738"/>
      <c r="T1022" s="739">
        <v>1100121</v>
      </c>
      <c r="U1022" s="745"/>
      <c r="V1022" s="739">
        <v>1100122</v>
      </c>
    </row>
    <row r="1023" spans="1:22" ht="15" x14ac:dyDescent="0.2">
      <c r="A1023" s="734">
        <v>5691</v>
      </c>
      <c r="B1023" s="735" t="s">
        <v>1713</v>
      </c>
      <c r="C1023" s="736"/>
      <c r="D1023" s="736"/>
      <c r="E1023" s="749"/>
      <c r="F1023" s="736"/>
      <c r="G1023" s="736"/>
      <c r="H1023" s="736"/>
      <c r="I1023" s="736"/>
      <c r="J1023" s="736"/>
      <c r="K1023" s="736"/>
      <c r="L1023" s="736"/>
      <c r="M1023" s="736"/>
      <c r="N1023" s="736"/>
      <c r="O1023" s="736"/>
      <c r="P1023" s="738"/>
      <c r="Q1023" s="738"/>
      <c r="R1023" s="738"/>
      <c r="S1023" s="738">
        <v>20000</v>
      </c>
      <c r="T1023" s="739"/>
      <c r="U1023" s="742">
        <v>20000</v>
      </c>
      <c r="V1023" s="741">
        <v>1100122</v>
      </c>
    </row>
    <row r="1024" spans="1:22" ht="15" x14ac:dyDescent="0.2">
      <c r="A1024" s="739">
        <v>5411</v>
      </c>
      <c r="B1024" s="743" t="s">
        <v>123</v>
      </c>
      <c r="C1024" s="736">
        <v>287434</v>
      </c>
      <c r="D1024" s="736"/>
      <c r="E1024" s="749"/>
      <c r="F1024" s="736"/>
      <c r="G1024" s="736"/>
      <c r="H1024" s="736"/>
      <c r="I1024" s="736"/>
      <c r="J1024" s="736">
        <f>G1024+H1024-I1024</f>
        <v>0</v>
      </c>
      <c r="K1024" s="736"/>
      <c r="L1024" s="736"/>
      <c r="M1024" s="736">
        <f>J1024+K1024-L1024</f>
        <v>0</v>
      </c>
      <c r="N1024" s="736"/>
      <c r="O1024" s="736"/>
      <c r="P1024" s="738">
        <f>M1024+N1024-O1024</f>
        <v>0</v>
      </c>
      <c r="Q1024" s="738"/>
      <c r="R1024" s="738"/>
      <c r="S1024" s="738"/>
      <c r="T1024" s="739">
        <v>1100121</v>
      </c>
      <c r="U1024" s="745"/>
      <c r="V1024" s="739">
        <v>1100122</v>
      </c>
    </row>
    <row r="1025" spans="1:22" ht="15" x14ac:dyDescent="0.2">
      <c r="A1025" s="724" t="s">
        <v>185</v>
      </c>
      <c r="B1025" s="725" t="s">
        <v>186</v>
      </c>
      <c r="C1025" s="721">
        <f t="shared" ref="C1025:S1025" si="407">SUM(C1026+C1068+C1094+C1109+C1130)</f>
        <v>31258357.200000003</v>
      </c>
      <c r="D1025" s="721">
        <f t="shared" si="407"/>
        <v>34257567.070000008</v>
      </c>
      <c r="E1025" s="721">
        <f t="shared" si="407"/>
        <v>33953812.339999996</v>
      </c>
      <c r="F1025" s="721">
        <f t="shared" si="407"/>
        <v>33637013.799999997</v>
      </c>
      <c r="G1025" s="721">
        <f t="shared" si="407"/>
        <v>36189096.82</v>
      </c>
      <c r="H1025" s="721">
        <f t="shared" si="407"/>
        <v>522934</v>
      </c>
      <c r="I1025" s="721">
        <f t="shared" si="407"/>
        <v>0</v>
      </c>
      <c r="J1025" s="721">
        <f t="shared" si="407"/>
        <v>36712030.82</v>
      </c>
      <c r="K1025" s="721">
        <f t="shared" si="407"/>
        <v>885992.87</v>
      </c>
      <c r="L1025" s="721">
        <f t="shared" si="407"/>
        <v>74000</v>
      </c>
      <c r="M1025" s="721">
        <f t="shared" si="407"/>
        <v>37524023.689999998</v>
      </c>
      <c r="N1025" s="721">
        <f t="shared" si="407"/>
        <v>612000</v>
      </c>
      <c r="O1025" s="721">
        <f t="shared" si="407"/>
        <v>327000</v>
      </c>
      <c r="P1025" s="721">
        <f t="shared" si="407"/>
        <v>37809023.689999998</v>
      </c>
      <c r="Q1025" s="756">
        <f t="shared" si="407"/>
        <v>38247957.009999998</v>
      </c>
      <c r="R1025" s="756">
        <f t="shared" si="407"/>
        <v>26342300.369999997</v>
      </c>
      <c r="S1025" s="756">
        <f t="shared" si="407"/>
        <v>35182348.049999997</v>
      </c>
      <c r="T1025" s="724"/>
      <c r="U1025" s="726">
        <f t="shared" ref="U1025" si="408">SUM(U1026+U1068+U1094+U1109+U1130)</f>
        <v>38822897.800000004</v>
      </c>
      <c r="V1025" s="727"/>
    </row>
    <row r="1026" spans="1:22" ht="15" x14ac:dyDescent="0.2">
      <c r="A1026" s="728" t="s">
        <v>187</v>
      </c>
      <c r="B1026" s="729" t="s">
        <v>1600</v>
      </c>
      <c r="C1026" s="730">
        <f t="shared" ref="C1026:M1026" si="409">SUM(C1027:C1066)</f>
        <v>8223426.1000000006</v>
      </c>
      <c r="D1026" s="730">
        <f t="shared" si="409"/>
        <v>9053370.5700000003</v>
      </c>
      <c r="E1026" s="730">
        <f t="shared" si="409"/>
        <v>9109003.6099999994</v>
      </c>
      <c r="F1026" s="730">
        <f t="shared" si="409"/>
        <v>8781000.9900000002</v>
      </c>
      <c r="G1026" s="730">
        <f t="shared" si="409"/>
        <v>9446103.5200000014</v>
      </c>
      <c r="H1026" s="730">
        <f t="shared" si="409"/>
        <v>117000</v>
      </c>
      <c r="I1026" s="730">
        <f t="shared" si="409"/>
        <v>0</v>
      </c>
      <c r="J1026" s="730">
        <f t="shared" si="409"/>
        <v>9563103.5200000014</v>
      </c>
      <c r="K1026" s="730">
        <f t="shared" si="409"/>
        <v>455743.56</v>
      </c>
      <c r="L1026" s="730">
        <f t="shared" si="409"/>
        <v>50000</v>
      </c>
      <c r="M1026" s="730">
        <f t="shared" si="409"/>
        <v>9968847.0800000001</v>
      </c>
      <c r="N1026" s="730">
        <f t="shared" ref="N1026:P1026" si="410">SUM(N1027:N1067)</f>
        <v>267000</v>
      </c>
      <c r="O1026" s="730">
        <f t="shared" si="410"/>
        <v>287000</v>
      </c>
      <c r="P1026" s="730">
        <f t="shared" si="410"/>
        <v>9948847.0800000001</v>
      </c>
      <c r="Q1026" s="748">
        <f>SUM(Q1027:Q1067)</f>
        <v>10216648.959999999</v>
      </c>
      <c r="R1026" s="748">
        <f>SUM(R1027:R1067)</f>
        <v>6745819.1800000006</v>
      </c>
      <c r="S1026" s="748">
        <f>SUM(S1027:S1067)</f>
        <v>10856433.489999998</v>
      </c>
      <c r="T1026" s="731"/>
      <c r="U1026" s="732">
        <f>SUM(U1027:U1067)</f>
        <v>10473899.620000001</v>
      </c>
      <c r="V1026" s="733"/>
    </row>
    <row r="1027" spans="1:22" ht="15" x14ac:dyDescent="0.25">
      <c r="A1027" s="734">
        <v>1131</v>
      </c>
      <c r="B1027" s="735" t="s">
        <v>6</v>
      </c>
      <c r="C1027" s="736">
        <v>740519.21</v>
      </c>
      <c r="D1027" s="736">
        <v>761411.56</v>
      </c>
      <c r="E1027" s="749">
        <v>761411.56</v>
      </c>
      <c r="F1027" s="736">
        <v>823896.85</v>
      </c>
      <c r="G1027" s="736">
        <v>828434.79999999993</v>
      </c>
      <c r="H1027" s="736"/>
      <c r="I1027" s="736"/>
      <c r="J1027" s="736">
        <f t="shared" ref="J1027:J1045" si="411">G1027+H1027-I1027</f>
        <v>828434.79999999993</v>
      </c>
      <c r="K1027" s="736">
        <v>3750.76</v>
      </c>
      <c r="L1027" s="736"/>
      <c r="M1027" s="736">
        <f t="shared" ref="M1027:M1052" si="412">J1027+K1027-L1027</f>
        <v>832185.55999999994</v>
      </c>
      <c r="N1027" s="736"/>
      <c r="O1027" s="736"/>
      <c r="P1027" s="736">
        <f t="shared" ref="P1027:P1059" si="413">M1027+N1027-O1027</f>
        <v>832185.55999999994</v>
      </c>
      <c r="Q1027" s="898">
        <v>822535.73</v>
      </c>
      <c r="R1027" s="738">
        <v>596455.99</v>
      </c>
      <c r="S1027" s="751">
        <v>860587</v>
      </c>
      <c r="T1027" s="739">
        <v>1500521</v>
      </c>
      <c r="U1027" s="779">
        <v>856528.78</v>
      </c>
      <c r="V1027" s="741">
        <v>1500522</v>
      </c>
    </row>
    <row r="1028" spans="1:22" ht="15" x14ac:dyDescent="0.25">
      <c r="A1028" s="734">
        <v>1132</v>
      </c>
      <c r="B1028" s="735" t="s">
        <v>8</v>
      </c>
      <c r="C1028" s="736">
        <v>1378586.02</v>
      </c>
      <c r="D1028" s="736">
        <v>1446765.32</v>
      </c>
      <c r="E1028" s="749">
        <v>1446765.32</v>
      </c>
      <c r="F1028" s="736">
        <v>1501443.1</v>
      </c>
      <c r="G1028" s="736">
        <v>1509286</v>
      </c>
      <c r="H1028" s="736"/>
      <c r="I1028" s="736"/>
      <c r="J1028" s="736">
        <f t="shared" si="411"/>
        <v>1509286</v>
      </c>
      <c r="K1028" s="736">
        <v>11664.21</v>
      </c>
      <c r="L1028" s="736"/>
      <c r="M1028" s="736">
        <f t="shared" si="412"/>
        <v>1520950.21</v>
      </c>
      <c r="N1028" s="736"/>
      <c r="O1028" s="736"/>
      <c r="P1028" s="736">
        <f t="shared" si="413"/>
        <v>1520950.21</v>
      </c>
      <c r="Q1028" s="898">
        <v>1774563.17</v>
      </c>
      <c r="R1028" s="738">
        <v>1289764.19</v>
      </c>
      <c r="S1028" s="751">
        <v>2017379</v>
      </c>
      <c r="T1028" s="739">
        <v>1500521</v>
      </c>
      <c r="U1028" s="779">
        <v>1939172.55</v>
      </c>
      <c r="V1028" s="741">
        <v>1500522</v>
      </c>
    </row>
    <row r="1029" spans="1:22" ht="15" x14ac:dyDescent="0.25">
      <c r="A1029" s="734">
        <v>1212</v>
      </c>
      <c r="B1029" s="735" t="s">
        <v>53</v>
      </c>
      <c r="C1029" s="736">
        <v>2798750.2</v>
      </c>
      <c r="D1029" s="736">
        <v>3115846.8</v>
      </c>
      <c r="E1029" s="749">
        <v>3191093.94</v>
      </c>
      <c r="F1029" s="736">
        <v>3104627.88</v>
      </c>
      <c r="G1029" s="736">
        <v>3128238</v>
      </c>
      <c r="H1029" s="736"/>
      <c r="I1029" s="736"/>
      <c r="J1029" s="736">
        <f t="shared" si="411"/>
        <v>3128238</v>
      </c>
      <c r="K1029" s="736">
        <v>181190.16</v>
      </c>
      <c r="L1029" s="736"/>
      <c r="M1029" s="736">
        <f t="shared" si="412"/>
        <v>3309428.16</v>
      </c>
      <c r="N1029" s="736"/>
      <c r="O1029" s="736"/>
      <c r="P1029" s="736">
        <f t="shared" si="413"/>
        <v>3309428.16</v>
      </c>
      <c r="Q1029" s="898">
        <v>3242134.2</v>
      </c>
      <c r="R1029" s="738">
        <v>2330580.46</v>
      </c>
      <c r="S1029" s="751">
        <v>3392877.6</v>
      </c>
      <c r="T1029" s="739">
        <v>1500521</v>
      </c>
      <c r="U1029" s="779">
        <v>3163720.69</v>
      </c>
      <c r="V1029" s="741">
        <v>1500522</v>
      </c>
    </row>
    <row r="1030" spans="1:22" ht="15" x14ac:dyDescent="0.25">
      <c r="A1030" s="734">
        <v>1321</v>
      </c>
      <c r="B1030" s="735" t="s">
        <v>9</v>
      </c>
      <c r="C1030" s="736">
        <v>125619.55</v>
      </c>
      <c r="D1030" s="736">
        <v>128318.9</v>
      </c>
      <c r="E1030" s="749">
        <v>137730.9</v>
      </c>
      <c r="F1030" s="736">
        <v>134799.29999999999</v>
      </c>
      <c r="G1030" s="736">
        <v>136447.5</v>
      </c>
      <c r="H1030" s="736"/>
      <c r="I1030" s="736"/>
      <c r="J1030" s="736">
        <f t="shared" si="411"/>
        <v>136447.5</v>
      </c>
      <c r="K1030" s="736">
        <v>509.3</v>
      </c>
      <c r="L1030" s="736"/>
      <c r="M1030" s="736">
        <f t="shared" si="412"/>
        <v>136956.79999999999</v>
      </c>
      <c r="N1030" s="736"/>
      <c r="O1030" s="736"/>
      <c r="P1030" s="736">
        <f t="shared" si="413"/>
        <v>136956.79999999999</v>
      </c>
      <c r="Q1030" s="898">
        <v>159217.34</v>
      </c>
      <c r="R1030" s="738">
        <v>76261.25</v>
      </c>
      <c r="S1030" s="751">
        <v>168604.33</v>
      </c>
      <c r="T1030" s="739">
        <v>1500521</v>
      </c>
      <c r="U1030" s="779">
        <v>159945.5</v>
      </c>
      <c r="V1030" s="741">
        <v>1500522</v>
      </c>
    </row>
    <row r="1031" spans="1:22" ht="15" x14ac:dyDescent="0.25">
      <c r="A1031" s="734">
        <v>1323</v>
      </c>
      <c r="B1031" s="735" t="s">
        <v>11</v>
      </c>
      <c r="C1031" s="736">
        <v>488772.95</v>
      </c>
      <c r="D1031" s="736">
        <v>495858.95</v>
      </c>
      <c r="E1031" s="749">
        <v>503891.45</v>
      </c>
      <c r="F1031" s="736">
        <v>498611.47</v>
      </c>
      <c r="G1031" s="736">
        <v>513171.8</v>
      </c>
      <c r="H1031" s="736"/>
      <c r="I1031" s="736"/>
      <c r="J1031" s="736">
        <f t="shared" si="411"/>
        <v>513171.8</v>
      </c>
      <c r="K1031" s="736">
        <v>15098.43</v>
      </c>
      <c r="L1031" s="736"/>
      <c r="M1031" s="736">
        <f t="shared" si="412"/>
        <v>528270.23</v>
      </c>
      <c r="N1031" s="736"/>
      <c r="O1031" s="736"/>
      <c r="P1031" s="736">
        <f t="shared" si="413"/>
        <v>528270.23</v>
      </c>
      <c r="Q1031" s="898">
        <v>567008.80000000005</v>
      </c>
      <c r="R1031" s="738">
        <v>321933.92</v>
      </c>
      <c r="S1031" s="751">
        <v>620516.4</v>
      </c>
      <c r="T1031" s="739">
        <v>1500521</v>
      </c>
      <c r="U1031" s="779">
        <v>566764.12</v>
      </c>
      <c r="V1031" s="741">
        <v>1500522</v>
      </c>
    </row>
    <row r="1032" spans="1:22" ht="15" x14ac:dyDescent="0.25">
      <c r="A1032" s="734">
        <v>1413</v>
      </c>
      <c r="B1032" s="735" t="s">
        <v>13</v>
      </c>
      <c r="C1032" s="736">
        <v>745166.05</v>
      </c>
      <c r="D1032" s="736">
        <v>959493.14</v>
      </c>
      <c r="E1032" s="749">
        <v>911559.34</v>
      </c>
      <c r="F1032" s="736">
        <v>864941.76</v>
      </c>
      <c r="G1032" s="736">
        <v>1070377.5</v>
      </c>
      <c r="H1032" s="736"/>
      <c r="I1032" s="736"/>
      <c r="J1032" s="736">
        <f t="shared" si="411"/>
        <v>1070377.5</v>
      </c>
      <c r="K1032" s="736">
        <v>103614.26</v>
      </c>
      <c r="L1032" s="736"/>
      <c r="M1032" s="736">
        <f t="shared" si="412"/>
        <v>1173991.76</v>
      </c>
      <c r="N1032" s="736"/>
      <c r="O1032" s="736"/>
      <c r="P1032" s="736">
        <f t="shared" si="413"/>
        <v>1173991.76</v>
      </c>
      <c r="Q1032" s="898">
        <v>1173991.76</v>
      </c>
      <c r="R1032" s="738">
        <v>765394.61</v>
      </c>
      <c r="S1032" s="751">
        <v>1339001.6399999999</v>
      </c>
      <c r="T1032" s="739">
        <v>1500521</v>
      </c>
      <c r="U1032" s="779">
        <v>1239736.69</v>
      </c>
      <c r="V1032" s="741">
        <v>1500522</v>
      </c>
    </row>
    <row r="1033" spans="1:22" ht="15" x14ac:dyDescent="0.25">
      <c r="A1033" s="734">
        <v>1421</v>
      </c>
      <c r="B1033" s="735" t="s">
        <v>15</v>
      </c>
      <c r="C1033" s="736">
        <v>260967.86</v>
      </c>
      <c r="D1033" s="736">
        <v>292595.09999999998</v>
      </c>
      <c r="E1033" s="749">
        <v>254323.52</v>
      </c>
      <c r="F1033" s="736">
        <v>264623.12</v>
      </c>
      <c r="G1033" s="736">
        <v>309056.19999999995</v>
      </c>
      <c r="H1033" s="736"/>
      <c r="I1033" s="736"/>
      <c r="J1033" s="736">
        <f t="shared" si="411"/>
        <v>309056.19999999995</v>
      </c>
      <c r="K1033" s="736">
        <v>31875.91</v>
      </c>
      <c r="L1033" s="736"/>
      <c r="M1033" s="736">
        <f t="shared" si="412"/>
        <v>340932.10999999993</v>
      </c>
      <c r="N1033" s="736"/>
      <c r="O1033" s="736"/>
      <c r="P1033" s="736">
        <f t="shared" si="413"/>
        <v>340932.10999999993</v>
      </c>
      <c r="Q1033" s="738">
        <v>340932.11</v>
      </c>
      <c r="R1033" s="738">
        <v>205374.54</v>
      </c>
      <c r="S1033" s="751">
        <v>369058.44</v>
      </c>
      <c r="T1033" s="739">
        <v>1500521</v>
      </c>
      <c r="U1033" s="779">
        <v>316869.09999999998</v>
      </c>
      <c r="V1033" s="741">
        <v>1500522</v>
      </c>
    </row>
    <row r="1034" spans="1:22" ht="15" x14ac:dyDescent="0.25">
      <c r="A1034" s="734">
        <v>1431</v>
      </c>
      <c r="B1034" s="735" t="s">
        <v>16</v>
      </c>
      <c r="C1034" s="736">
        <v>281740.3</v>
      </c>
      <c r="D1034" s="736">
        <v>301372.94</v>
      </c>
      <c r="E1034" s="749">
        <v>265541.21000000002</v>
      </c>
      <c r="F1034" s="736">
        <v>278593.90999999997</v>
      </c>
      <c r="G1034" s="736">
        <v>318328.2</v>
      </c>
      <c r="H1034" s="736"/>
      <c r="I1034" s="736"/>
      <c r="J1034" s="736">
        <f t="shared" si="411"/>
        <v>318328.2</v>
      </c>
      <c r="K1034" s="736">
        <v>32761.57</v>
      </c>
      <c r="L1034" s="736"/>
      <c r="M1034" s="736">
        <f t="shared" si="412"/>
        <v>351089.77</v>
      </c>
      <c r="N1034" s="736"/>
      <c r="O1034" s="736"/>
      <c r="P1034" s="736">
        <f t="shared" si="413"/>
        <v>351089.77</v>
      </c>
      <c r="Q1034" s="898">
        <v>351089.77</v>
      </c>
      <c r="R1034" s="738">
        <v>212052.41</v>
      </c>
      <c r="S1034" s="751">
        <v>380130.6</v>
      </c>
      <c r="T1034" s="739">
        <v>1500521</v>
      </c>
      <c r="U1034" s="779">
        <v>320626.8</v>
      </c>
      <c r="V1034" s="741">
        <v>1500522</v>
      </c>
    </row>
    <row r="1035" spans="1:22" ht="15" x14ac:dyDescent="0.25">
      <c r="A1035" s="734">
        <v>1511</v>
      </c>
      <c r="B1035" s="735" t="s">
        <v>18</v>
      </c>
      <c r="C1035" s="736">
        <v>49870.34</v>
      </c>
      <c r="D1035" s="736">
        <v>53293.24</v>
      </c>
      <c r="E1035" s="749">
        <v>53301.69</v>
      </c>
      <c r="F1035" s="736">
        <v>55142.36</v>
      </c>
      <c r="G1035" s="736">
        <v>55743</v>
      </c>
      <c r="H1035" s="736"/>
      <c r="I1035" s="736"/>
      <c r="J1035" s="736">
        <f t="shared" si="411"/>
        <v>55743</v>
      </c>
      <c r="K1035" s="736">
        <v>931.04</v>
      </c>
      <c r="L1035" s="736"/>
      <c r="M1035" s="736">
        <f t="shared" si="412"/>
        <v>56674.04</v>
      </c>
      <c r="N1035" s="736"/>
      <c r="O1035" s="736"/>
      <c r="P1035" s="736">
        <f t="shared" si="413"/>
        <v>56674.04</v>
      </c>
      <c r="Q1035" s="898">
        <v>63901.35</v>
      </c>
      <c r="R1035" s="738">
        <v>45081.07</v>
      </c>
      <c r="S1035" s="751">
        <v>69764.240000000005</v>
      </c>
      <c r="T1035" s="739">
        <v>1500521</v>
      </c>
      <c r="U1035" s="779">
        <v>64713.55</v>
      </c>
      <c r="V1035" s="741">
        <v>1500522</v>
      </c>
    </row>
    <row r="1036" spans="1:22" ht="15" x14ac:dyDescent="0.25">
      <c r="A1036" s="734">
        <v>1541</v>
      </c>
      <c r="B1036" s="735" t="s">
        <v>19</v>
      </c>
      <c r="C1036" s="736">
        <v>145957.85</v>
      </c>
      <c r="D1036" s="736">
        <v>172218.54</v>
      </c>
      <c r="E1036" s="749">
        <v>169648.6</v>
      </c>
      <c r="F1036" s="736">
        <v>174688.92</v>
      </c>
      <c r="G1036" s="736">
        <v>227026.4</v>
      </c>
      <c r="H1036" s="736"/>
      <c r="I1036" s="736"/>
      <c r="J1036" s="736">
        <f t="shared" si="411"/>
        <v>227026.4</v>
      </c>
      <c r="K1036" s="736">
        <v>8641.58</v>
      </c>
      <c r="L1036" s="736"/>
      <c r="M1036" s="736">
        <f t="shared" si="412"/>
        <v>235667.97999999998</v>
      </c>
      <c r="N1036" s="736"/>
      <c r="O1036" s="736"/>
      <c r="P1036" s="736">
        <f t="shared" si="413"/>
        <v>235667.97999999998</v>
      </c>
      <c r="Q1036" s="898">
        <v>221119.71</v>
      </c>
      <c r="R1036" s="738">
        <v>144949.92000000001</v>
      </c>
      <c r="S1036" s="751">
        <v>239239</v>
      </c>
      <c r="T1036" s="739">
        <v>1500521</v>
      </c>
      <c r="U1036" s="779">
        <v>239239</v>
      </c>
      <c r="V1036" s="741">
        <v>1500522</v>
      </c>
    </row>
    <row r="1037" spans="1:22" ht="15" x14ac:dyDescent="0.25">
      <c r="A1037" s="734">
        <v>1592</v>
      </c>
      <c r="B1037" s="735" t="s">
        <v>20</v>
      </c>
      <c r="C1037" s="736">
        <v>426236.78</v>
      </c>
      <c r="D1037" s="736">
        <v>456536.08</v>
      </c>
      <c r="E1037" s="749">
        <v>456536.08</v>
      </c>
      <c r="F1037" s="736">
        <v>472389.68</v>
      </c>
      <c r="G1037" s="736">
        <v>477826.5</v>
      </c>
      <c r="H1037" s="736"/>
      <c r="I1037" s="736"/>
      <c r="J1037" s="736">
        <f t="shared" si="411"/>
        <v>477826.5</v>
      </c>
      <c r="K1037" s="736">
        <v>10706.34</v>
      </c>
      <c r="L1037" s="736"/>
      <c r="M1037" s="736">
        <f t="shared" si="412"/>
        <v>488532.84</v>
      </c>
      <c r="N1037" s="736"/>
      <c r="O1037" s="736"/>
      <c r="P1037" s="736">
        <f t="shared" si="413"/>
        <v>488532.84</v>
      </c>
      <c r="Q1037" s="898">
        <v>536989.75</v>
      </c>
      <c r="R1037" s="738">
        <v>385444.21</v>
      </c>
      <c r="S1037" s="751">
        <v>610220.52</v>
      </c>
      <c r="T1037" s="739">
        <v>1500521</v>
      </c>
      <c r="U1037" s="779">
        <v>553351.34</v>
      </c>
      <c r="V1037" s="741">
        <v>1500522</v>
      </c>
    </row>
    <row r="1038" spans="1:22" ht="15" x14ac:dyDescent="0.25">
      <c r="A1038" s="734">
        <v>2111</v>
      </c>
      <c r="B1038" s="735" t="s">
        <v>22</v>
      </c>
      <c r="C1038" s="759">
        <v>16482.650000000001</v>
      </c>
      <c r="D1038" s="736">
        <v>15000</v>
      </c>
      <c r="E1038" s="749">
        <v>10500</v>
      </c>
      <c r="F1038" s="736">
        <v>6134.66</v>
      </c>
      <c r="G1038" s="736">
        <v>26300.819999999996</v>
      </c>
      <c r="H1038" s="736"/>
      <c r="I1038" s="736"/>
      <c r="J1038" s="736">
        <f t="shared" si="411"/>
        <v>26300.819999999996</v>
      </c>
      <c r="K1038" s="736"/>
      <c r="L1038" s="736"/>
      <c r="M1038" s="736">
        <f t="shared" si="412"/>
        <v>26300.819999999996</v>
      </c>
      <c r="N1038" s="736"/>
      <c r="O1038" s="736"/>
      <c r="P1038" s="736">
        <f t="shared" si="413"/>
        <v>26300.819999999996</v>
      </c>
      <c r="Q1038" s="898">
        <v>20660.189999999999</v>
      </c>
      <c r="R1038" s="738">
        <v>14093.37</v>
      </c>
      <c r="S1038" s="751">
        <v>27353.040000000001</v>
      </c>
      <c r="T1038" s="739">
        <v>1100121</v>
      </c>
      <c r="U1038" s="742">
        <v>25000</v>
      </c>
      <c r="V1038" s="741">
        <v>1100122</v>
      </c>
    </row>
    <row r="1039" spans="1:22" ht="15" x14ac:dyDescent="0.2">
      <c r="A1039" s="739">
        <v>2112</v>
      </c>
      <c r="B1039" s="743" t="s">
        <v>39</v>
      </c>
      <c r="C1039" s="736">
        <v>23447.07</v>
      </c>
      <c r="D1039" s="736">
        <v>24000</v>
      </c>
      <c r="E1039" s="749">
        <v>11890</v>
      </c>
      <c r="F1039" s="736">
        <v>34195</v>
      </c>
      <c r="G1039" s="736"/>
      <c r="H1039" s="736"/>
      <c r="I1039" s="736"/>
      <c r="J1039" s="736">
        <f t="shared" si="411"/>
        <v>0</v>
      </c>
      <c r="K1039" s="736"/>
      <c r="L1039" s="736"/>
      <c r="M1039" s="736">
        <f t="shared" si="412"/>
        <v>0</v>
      </c>
      <c r="N1039" s="736"/>
      <c r="O1039" s="736"/>
      <c r="P1039" s="738">
        <f t="shared" si="413"/>
        <v>0</v>
      </c>
      <c r="Q1039" s="738"/>
      <c r="R1039" s="738"/>
      <c r="S1039" s="738"/>
      <c r="T1039" s="739">
        <v>1100121</v>
      </c>
      <c r="U1039" s="745"/>
      <c r="V1039" s="739">
        <v>1100122</v>
      </c>
    </row>
    <row r="1040" spans="1:22" ht="15" x14ac:dyDescent="0.25">
      <c r="A1040" s="734">
        <v>2121</v>
      </c>
      <c r="B1040" s="735" t="s">
        <v>24</v>
      </c>
      <c r="C1040" s="736">
        <v>10159.290000000001</v>
      </c>
      <c r="D1040" s="736">
        <v>40000</v>
      </c>
      <c r="E1040" s="749">
        <v>28000</v>
      </c>
      <c r="F1040" s="736">
        <v>14162</v>
      </c>
      <c r="G1040" s="752">
        <v>28000</v>
      </c>
      <c r="H1040" s="752"/>
      <c r="I1040" s="752"/>
      <c r="J1040" s="736">
        <f t="shared" si="411"/>
        <v>28000</v>
      </c>
      <c r="K1040" s="752"/>
      <c r="L1040" s="752"/>
      <c r="M1040" s="736">
        <f t="shared" si="412"/>
        <v>28000</v>
      </c>
      <c r="N1040" s="736"/>
      <c r="O1040" s="736"/>
      <c r="P1040" s="736">
        <f t="shared" si="413"/>
        <v>28000</v>
      </c>
      <c r="Q1040" s="898">
        <v>22638.28</v>
      </c>
      <c r="R1040" s="738">
        <v>21238.28</v>
      </c>
      <c r="S1040" s="753">
        <v>29120</v>
      </c>
      <c r="T1040" s="739">
        <v>1100121</v>
      </c>
      <c r="U1040" s="754">
        <v>28000</v>
      </c>
      <c r="V1040" s="741">
        <v>1100122</v>
      </c>
    </row>
    <row r="1041" spans="1:22" ht="15" x14ac:dyDescent="0.2">
      <c r="A1041" s="739">
        <v>2142</v>
      </c>
      <c r="B1041" s="743" t="s">
        <v>170</v>
      </c>
      <c r="C1041" s="736"/>
      <c r="D1041" s="736">
        <v>0</v>
      </c>
      <c r="E1041" s="749">
        <v>25200</v>
      </c>
      <c r="F1041" s="736">
        <v>0</v>
      </c>
      <c r="G1041" s="736"/>
      <c r="H1041" s="736"/>
      <c r="I1041" s="736"/>
      <c r="J1041" s="736">
        <f t="shared" si="411"/>
        <v>0</v>
      </c>
      <c r="K1041" s="736"/>
      <c r="L1041" s="736"/>
      <c r="M1041" s="736">
        <f t="shared" si="412"/>
        <v>0</v>
      </c>
      <c r="N1041" s="736"/>
      <c r="O1041" s="736"/>
      <c r="P1041" s="738">
        <f t="shared" si="413"/>
        <v>0</v>
      </c>
      <c r="Q1041" s="738"/>
      <c r="R1041" s="738"/>
      <c r="S1041" s="738"/>
      <c r="T1041" s="739">
        <v>1100119</v>
      </c>
      <c r="U1041" s="745"/>
      <c r="V1041" s="739">
        <v>1100119</v>
      </c>
    </row>
    <row r="1042" spans="1:22" ht="15" x14ac:dyDescent="0.2">
      <c r="A1042" s="734">
        <v>2161</v>
      </c>
      <c r="B1042" s="735" t="s">
        <v>59</v>
      </c>
      <c r="C1042" s="736"/>
      <c r="D1042" s="736">
        <v>2500</v>
      </c>
      <c r="E1042" s="749">
        <v>2500</v>
      </c>
      <c r="F1042" s="736">
        <v>0</v>
      </c>
      <c r="G1042" s="752">
        <v>2500</v>
      </c>
      <c r="H1042" s="752"/>
      <c r="I1042" s="752"/>
      <c r="J1042" s="736">
        <f t="shared" si="411"/>
        <v>2500</v>
      </c>
      <c r="K1042" s="752"/>
      <c r="L1042" s="752"/>
      <c r="M1042" s="736">
        <f t="shared" si="412"/>
        <v>2500</v>
      </c>
      <c r="N1042" s="736"/>
      <c r="O1042" s="736"/>
      <c r="P1042" s="736">
        <f t="shared" si="413"/>
        <v>2500</v>
      </c>
      <c r="Q1042" s="753">
        <v>2500</v>
      </c>
      <c r="R1042" s="738"/>
      <c r="S1042" s="753">
        <v>2600</v>
      </c>
      <c r="T1042" s="739">
        <v>1100121</v>
      </c>
      <c r="U1042" s="740">
        <v>2500</v>
      </c>
      <c r="V1042" s="741">
        <v>1100122</v>
      </c>
    </row>
    <row r="1043" spans="1:22" ht="15" x14ac:dyDescent="0.2">
      <c r="A1043" s="734">
        <v>2212</v>
      </c>
      <c r="B1043" s="735" t="s">
        <v>40</v>
      </c>
      <c r="C1043" s="736">
        <v>33637.53</v>
      </c>
      <c r="D1043" s="736">
        <v>50000</v>
      </c>
      <c r="E1043" s="749">
        <v>40000</v>
      </c>
      <c r="F1043" s="736">
        <v>7425.6</v>
      </c>
      <c r="G1043" s="752">
        <v>40000</v>
      </c>
      <c r="H1043" s="752"/>
      <c r="I1043" s="752"/>
      <c r="J1043" s="736">
        <f t="shared" si="411"/>
        <v>40000</v>
      </c>
      <c r="K1043" s="752"/>
      <c r="L1043" s="752"/>
      <c r="M1043" s="736">
        <f t="shared" si="412"/>
        <v>40000</v>
      </c>
      <c r="N1043" s="736"/>
      <c r="O1043" s="736"/>
      <c r="P1043" s="736">
        <f t="shared" si="413"/>
        <v>40000</v>
      </c>
      <c r="Q1043" s="753">
        <v>90000</v>
      </c>
      <c r="R1043" s="738">
        <v>14474.63</v>
      </c>
      <c r="S1043" s="753">
        <v>93600</v>
      </c>
      <c r="T1043" s="739">
        <v>1100121</v>
      </c>
      <c r="U1043" s="740">
        <v>150000</v>
      </c>
      <c r="V1043" s="741">
        <v>1100122</v>
      </c>
    </row>
    <row r="1044" spans="1:22" ht="15" x14ac:dyDescent="0.2">
      <c r="A1044" s="734">
        <v>2491</v>
      </c>
      <c r="B1044" s="735" t="s">
        <v>41</v>
      </c>
      <c r="C1044" s="736">
        <v>4950.01</v>
      </c>
      <c r="D1044" s="736">
        <v>10000</v>
      </c>
      <c r="E1044" s="749">
        <v>10000</v>
      </c>
      <c r="F1044" s="736">
        <v>0</v>
      </c>
      <c r="G1044" s="752">
        <v>10000</v>
      </c>
      <c r="H1044" s="752"/>
      <c r="I1044" s="752"/>
      <c r="J1044" s="736">
        <f t="shared" si="411"/>
        <v>10000</v>
      </c>
      <c r="K1044" s="752"/>
      <c r="L1044" s="752"/>
      <c r="M1044" s="736">
        <f t="shared" si="412"/>
        <v>10000</v>
      </c>
      <c r="N1044" s="736"/>
      <c r="O1044" s="736"/>
      <c r="P1044" s="736">
        <f t="shared" si="413"/>
        <v>10000</v>
      </c>
      <c r="Q1044" s="753">
        <v>10000</v>
      </c>
      <c r="R1044" s="738">
        <v>9453.42</v>
      </c>
      <c r="S1044" s="753">
        <v>10400</v>
      </c>
      <c r="T1044" s="739">
        <v>1100121</v>
      </c>
      <c r="U1044" s="754">
        <v>10400</v>
      </c>
      <c r="V1044" s="741">
        <v>1100122</v>
      </c>
    </row>
    <row r="1045" spans="1:22" ht="30" x14ac:dyDescent="0.2">
      <c r="A1045" s="734">
        <v>2612</v>
      </c>
      <c r="B1045" s="735" t="s">
        <v>26</v>
      </c>
      <c r="C1045" s="736">
        <v>227019.69</v>
      </c>
      <c r="D1045" s="736">
        <v>180000</v>
      </c>
      <c r="E1045" s="749">
        <v>200000</v>
      </c>
      <c r="F1045" s="736">
        <v>209062.92</v>
      </c>
      <c r="G1045" s="752">
        <v>300000</v>
      </c>
      <c r="H1045" s="752"/>
      <c r="I1045" s="752"/>
      <c r="J1045" s="736">
        <f t="shared" si="411"/>
        <v>300000</v>
      </c>
      <c r="K1045" s="752"/>
      <c r="L1045" s="752">
        <v>50000</v>
      </c>
      <c r="M1045" s="736">
        <f t="shared" si="412"/>
        <v>250000</v>
      </c>
      <c r="N1045" s="736"/>
      <c r="O1045" s="736">
        <v>170000</v>
      </c>
      <c r="P1045" s="736">
        <f t="shared" si="413"/>
        <v>80000</v>
      </c>
      <c r="Q1045" s="753">
        <v>80000</v>
      </c>
      <c r="R1045" s="738">
        <v>71017.95</v>
      </c>
      <c r="S1045" s="738">
        <f>Q1045</f>
        <v>80000</v>
      </c>
      <c r="T1045" s="739">
        <v>1100121</v>
      </c>
      <c r="U1045" s="746">
        <v>80000</v>
      </c>
      <c r="V1045" s="741">
        <v>1100122</v>
      </c>
    </row>
    <row r="1046" spans="1:22" ht="15" x14ac:dyDescent="0.2">
      <c r="A1046" s="734">
        <v>2614</v>
      </c>
      <c r="B1046" s="735" t="s">
        <v>116</v>
      </c>
      <c r="C1046" s="736"/>
      <c r="D1046" s="736"/>
      <c r="E1046" s="749"/>
      <c r="F1046" s="736"/>
      <c r="G1046" s="752"/>
      <c r="H1046" s="752"/>
      <c r="I1046" s="752"/>
      <c r="J1046" s="736"/>
      <c r="K1046" s="752">
        <v>50000</v>
      </c>
      <c r="L1046" s="752"/>
      <c r="M1046" s="736">
        <f t="shared" si="412"/>
        <v>50000</v>
      </c>
      <c r="N1046" s="736">
        <v>50000</v>
      </c>
      <c r="O1046" s="736"/>
      <c r="P1046" s="736">
        <f t="shared" si="413"/>
        <v>100000</v>
      </c>
      <c r="Q1046" s="753">
        <v>20000</v>
      </c>
      <c r="R1046" s="738"/>
      <c r="S1046" s="738">
        <f>Q1046</f>
        <v>20000</v>
      </c>
      <c r="T1046" s="739">
        <v>1100121</v>
      </c>
      <c r="U1046" s="746">
        <v>35000</v>
      </c>
      <c r="V1046" s="741">
        <v>1100122</v>
      </c>
    </row>
    <row r="1047" spans="1:22" ht="15" x14ac:dyDescent="0.2">
      <c r="A1047" s="734">
        <v>2941</v>
      </c>
      <c r="B1047" s="735" t="s">
        <v>79</v>
      </c>
      <c r="C1047" s="736">
        <v>3874.4</v>
      </c>
      <c r="D1047" s="736">
        <v>4000</v>
      </c>
      <c r="E1047" s="749">
        <v>4000</v>
      </c>
      <c r="F1047" s="736">
        <v>0</v>
      </c>
      <c r="G1047" s="752">
        <v>4000</v>
      </c>
      <c r="H1047" s="752"/>
      <c r="I1047" s="752"/>
      <c r="J1047" s="736">
        <f t="shared" ref="J1047:J1052" si="414">G1047+H1047-I1047</f>
        <v>4000</v>
      </c>
      <c r="K1047" s="752"/>
      <c r="L1047" s="752"/>
      <c r="M1047" s="736">
        <f t="shared" si="412"/>
        <v>4000</v>
      </c>
      <c r="N1047" s="736"/>
      <c r="O1047" s="736"/>
      <c r="P1047" s="736">
        <f t="shared" si="413"/>
        <v>4000</v>
      </c>
      <c r="Q1047" s="753">
        <v>4000</v>
      </c>
      <c r="R1047" s="738">
        <v>2435</v>
      </c>
      <c r="S1047" s="753">
        <v>4160</v>
      </c>
      <c r="T1047" s="739">
        <v>1100121</v>
      </c>
      <c r="U1047" s="754">
        <v>4000</v>
      </c>
      <c r="V1047" s="741">
        <v>1100122</v>
      </c>
    </row>
    <row r="1048" spans="1:22" ht="15" x14ac:dyDescent="0.2">
      <c r="A1048" s="739">
        <v>2711</v>
      </c>
      <c r="B1048" s="743" t="s">
        <v>27</v>
      </c>
      <c r="C1048" s="736">
        <v>15140</v>
      </c>
      <c r="D1048" s="736"/>
      <c r="E1048" s="736"/>
      <c r="F1048" s="736"/>
      <c r="G1048" s="736"/>
      <c r="H1048" s="736"/>
      <c r="I1048" s="736"/>
      <c r="J1048" s="736">
        <f t="shared" si="414"/>
        <v>0</v>
      </c>
      <c r="K1048" s="736"/>
      <c r="L1048" s="736"/>
      <c r="M1048" s="736">
        <f t="shared" si="412"/>
        <v>0</v>
      </c>
      <c r="N1048" s="736"/>
      <c r="O1048" s="736"/>
      <c r="P1048" s="738">
        <f t="shared" si="413"/>
        <v>0</v>
      </c>
      <c r="Q1048" s="738"/>
      <c r="R1048" s="738"/>
      <c r="S1048" s="738"/>
      <c r="T1048" s="739"/>
      <c r="U1048" s="745"/>
      <c r="V1048" s="739"/>
    </row>
    <row r="1049" spans="1:22" ht="15" x14ac:dyDescent="0.2">
      <c r="A1049" s="734">
        <v>3151</v>
      </c>
      <c r="B1049" s="735" t="s">
        <v>28</v>
      </c>
      <c r="C1049" s="736">
        <v>9616.07</v>
      </c>
      <c r="D1049" s="736">
        <v>0</v>
      </c>
      <c r="E1049" s="749">
        <v>5500</v>
      </c>
      <c r="F1049" s="736">
        <v>4083.3</v>
      </c>
      <c r="G1049" s="736"/>
      <c r="H1049" s="736"/>
      <c r="I1049" s="736"/>
      <c r="J1049" s="736">
        <f t="shared" si="414"/>
        <v>0</v>
      </c>
      <c r="K1049" s="736">
        <v>5000</v>
      </c>
      <c r="L1049" s="736"/>
      <c r="M1049" s="736">
        <f t="shared" si="412"/>
        <v>5000</v>
      </c>
      <c r="N1049" s="736"/>
      <c r="O1049" s="736"/>
      <c r="P1049" s="736">
        <f t="shared" si="413"/>
        <v>5000</v>
      </c>
      <c r="Q1049" s="738">
        <v>5000</v>
      </c>
      <c r="R1049" s="738">
        <v>2999.7</v>
      </c>
      <c r="S1049" s="738">
        <v>5200</v>
      </c>
      <c r="T1049" s="739">
        <v>1100121</v>
      </c>
      <c r="U1049" s="742">
        <v>10000</v>
      </c>
      <c r="V1049" s="741">
        <v>1100122</v>
      </c>
    </row>
    <row r="1050" spans="1:22" ht="30" x14ac:dyDescent="0.2">
      <c r="A1050" s="734">
        <v>3361</v>
      </c>
      <c r="B1050" s="735" t="s">
        <v>29</v>
      </c>
      <c r="C1050" s="736">
        <v>1113.5999999999999</v>
      </c>
      <c r="D1050" s="736">
        <v>30000</v>
      </c>
      <c r="E1050" s="749">
        <v>30000</v>
      </c>
      <c r="F1050" s="736">
        <v>0</v>
      </c>
      <c r="G1050" s="752">
        <v>15000</v>
      </c>
      <c r="H1050" s="752"/>
      <c r="I1050" s="752"/>
      <c r="J1050" s="736">
        <f t="shared" si="414"/>
        <v>15000</v>
      </c>
      <c r="K1050" s="752"/>
      <c r="L1050" s="752"/>
      <c r="M1050" s="736">
        <f t="shared" si="412"/>
        <v>15000</v>
      </c>
      <c r="N1050" s="736"/>
      <c r="O1050" s="736"/>
      <c r="P1050" s="736">
        <f t="shared" si="413"/>
        <v>15000</v>
      </c>
      <c r="Q1050" s="753">
        <v>15000</v>
      </c>
      <c r="R1050" s="738">
        <v>1856</v>
      </c>
      <c r="S1050" s="753">
        <v>15600</v>
      </c>
      <c r="T1050" s="739">
        <v>1100121</v>
      </c>
      <c r="U1050" s="746">
        <v>15000</v>
      </c>
      <c r="V1050" s="741">
        <v>1100122</v>
      </c>
    </row>
    <row r="1051" spans="1:22" ht="15" x14ac:dyDescent="0.2">
      <c r="A1051" s="739">
        <v>3511</v>
      </c>
      <c r="B1051" s="743" t="s">
        <v>49</v>
      </c>
      <c r="C1051" s="736">
        <v>9976</v>
      </c>
      <c r="D1051" s="736">
        <v>20000</v>
      </c>
      <c r="E1051" s="736"/>
      <c r="F1051" s="736">
        <v>0</v>
      </c>
      <c r="G1051" s="736"/>
      <c r="H1051" s="736"/>
      <c r="I1051" s="736"/>
      <c r="J1051" s="736">
        <f t="shared" si="414"/>
        <v>0</v>
      </c>
      <c r="K1051" s="736"/>
      <c r="L1051" s="736"/>
      <c r="M1051" s="736">
        <f t="shared" si="412"/>
        <v>0</v>
      </c>
      <c r="N1051" s="736"/>
      <c r="O1051" s="736"/>
      <c r="P1051" s="738">
        <f t="shared" si="413"/>
        <v>0</v>
      </c>
      <c r="Q1051" s="738"/>
      <c r="R1051" s="738"/>
      <c r="S1051" s="738"/>
      <c r="T1051" s="739">
        <v>1100121</v>
      </c>
      <c r="U1051" s="745"/>
      <c r="V1051" s="739">
        <v>1100122</v>
      </c>
    </row>
    <row r="1052" spans="1:22" ht="15" x14ac:dyDescent="0.2">
      <c r="A1052" s="739">
        <v>3551</v>
      </c>
      <c r="B1052" s="743" t="s">
        <v>30</v>
      </c>
      <c r="C1052" s="736"/>
      <c r="D1052" s="736"/>
      <c r="E1052" s="736"/>
      <c r="F1052" s="736"/>
      <c r="G1052" s="736"/>
      <c r="H1052" s="736">
        <v>117000</v>
      </c>
      <c r="I1052" s="736"/>
      <c r="J1052" s="736">
        <f t="shared" si="414"/>
        <v>117000</v>
      </c>
      <c r="K1052" s="736"/>
      <c r="L1052" s="736"/>
      <c r="M1052" s="736">
        <f t="shared" si="412"/>
        <v>117000</v>
      </c>
      <c r="N1052" s="736"/>
      <c r="O1052" s="736">
        <v>117000</v>
      </c>
      <c r="P1052" s="738">
        <f t="shared" si="413"/>
        <v>0</v>
      </c>
      <c r="Q1052" s="738">
        <v>0</v>
      </c>
      <c r="R1052" s="738">
        <v>89730.86</v>
      </c>
      <c r="S1052" s="738">
        <f>Q1052</f>
        <v>0</v>
      </c>
      <c r="T1052" s="739">
        <v>1100120</v>
      </c>
      <c r="U1052" s="745"/>
      <c r="V1052" s="739">
        <v>1100120</v>
      </c>
    </row>
    <row r="1053" spans="1:22" ht="15" x14ac:dyDescent="0.2">
      <c r="A1053" s="734">
        <v>5691</v>
      </c>
      <c r="B1053" s="735" t="s">
        <v>1713</v>
      </c>
      <c r="C1053" s="736"/>
      <c r="D1053" s="736"/>
      <c r="E1053" s="736"/>
      <c r="F1053" s="736"/>
      <c r="G1053" s="736"/>
      <c r="H1053" s="736"/>
      <c r="I1053" s="736"/>
      <c r="J1053" s="736"/>
      <c r="K1053" s="736"/>
      <c r="L1053" s="736"/>
      <c r="M1053" s="736"/>
      <c r="N1053" s="736">
        <v>117000</v>
      </c>
      <c r="O1053" s="736"/>
      <c r="P1053" s="736">
        <f t="shared" si="413"/>
        <v>117000</v>
      </c>
      <c r="Q1053" s="738">
        <v>117000</v>
      </c>
      <c r="R1053" s="738"/>
      <c r="S1053" s="738"/>
      <c r="T1053" s="739">
        <v>1100120</v>
      </c>
      <c r="U1053" s="740">
        <v>126000</v>
      </c>
      <c r="V1053" s="741">
        <v>1100121</v>
      </c>
    </row>
    <row r="1054" spans="1:22" ht="15" x14ac:dyDescent="0.2">
      <c r="A1054" s="734">
        <v>3551</v>
      </c>
      <c r="B1054" s="735" t="s">
        <v>30</v>
      </c>
      <c r="C1054" s="736">
        <v>87021.67</v>
      </c>
      <c r="D1054" s="736">
        <v>100000</v>
      </c>
      <c r="E1054" s="749">
        <v>90000</v>
      </c>
      <c r="F1054" s="736">
        <v>56188.08</v>
      </c>
      <c r="G1054" s="752">
        <v>80000</v>
      </c>
      <c r="H1054" s="752"/>
      <c r="I1054" s="752"/>
      <c r="J1054" s="736">
        <f t="shared" ref="J1054:J1059" si="415">G1054+H1054-I1054</f>
        <v>80000</v>
      </c>
      <c r="K1054" s="752"/>
      <c r="L1054" s="752"/>
      <c r="M1054" s="736">
        <f t="shared" ref="M1054:M1059" si="416">J1054+K1054-L1054</f>
        <v>80000</v>
      </c>
      <c r="N1054" s="736">
        <v>10000</v>
      </c>
      <c r="O1054" s="736"/>
      <c r="P1054" s="736">
        <f t="shared" si="413"/>
        <v>90000</v>
      </c>
      <c r="Q1054" s="753">
        <v>120000</v>
      </c>
      <c r="R1054" s="738"/>
      <c r="S1054" s="738">
        <f>Q1054</f>
        <v>120000</v>
      </c>
      <c r="T1054" s="739">
        <v>1100121</v>
      </c>
      <c r="U1054" s="746">
        <v>125000</v>
      </c>
      <c r="V1054" s="741">
        <v>1100122</v>
      </c>
    </row>
    <row r="1055" spans="1:22" ht="15" x14ac:dyDescent="0.2">
      <c r="A1055" s="734">
        <v>3612</v>
      </c>
      <c r="B1055" s="735" t="s">
        <v>188</v>
      </c>
      <c r="C1055" s="736">
        <v>82764.42</v>
      </c>
      <c r="D1055" s="736">
        <v>150000</v>
      </c>
      <c r="E1055" s="749">
        <v>150000</v>
      </c>
      <c r="F1055" s="736">
        <v>80313.279999999999</v>
      </c>
      <c r="G1055" s="752">
        <v>120000</v>
      </c>
      <c r="H1055" s="752"/>
      <c r="I1055" s="752"/>
      <c r="J1055" s="736">
        <f t="shared" si="415"/>
        <v>120000</v>
      </c>
      <c r="K1055" s="752"/>
      <c r="L1055" s="752"/>
      <c r="M1055" s="736">
        <f t="shared" si="416"/>
        <v>120000</v>
      </c>
      <c r="N1055" s="736"/>
      <c r="O1055" s="736"/>
      <c r="P1055" s="736">
        <f t="shared" si="413"/>
        <v>120000</v>
      </c>
      <c r="Q1055" s="753">
        <v>120000</v>
      </c>
      <c r="R1055" s="738">
        <v>30927.16</v>
      </c>
      <c r="S1055" s="753">
        <v>124800</v>
      </c>
      <c r="T1055" s="739">
        <v>1100121</v>
      </c>
      <c r="U1055" s="754">
        <v>120000</v>
      </c>
      <c r="V1055" s="741">
        <v>1100122</v>
      </c>
    </row>
    <row r="1056" spans="1:22" ht="15" x14ac:dyDescent="0.2">
      <c r="A1056" s="734">
        <v>3751</v>
      </c>
      <c r="B1056" s="735" t="s">
        <v>44</v>
      </c>
      <c r="C1056" s="736">
        <v>1410</v>
      </c>
      <c r="D1056" s="736">
        <v>20000</v>
      </c>
      <c r="E1056" s="749">
        <v>20000</v>
      </c>
      <c r="F1056" s="736">
        <v>180</v>
      </c>
      <c r="G1056" s="752">
        <v>20000</v>
      </c>
      <c r="H1056" s="752"/>
      <c r="I1056" s="752"/>
      <c r="J1056" s="736">
        <f t="shared" si="415"/>
        <v>20000</v>
      </c>
      <c r="K1056" s="752"/>
      <c r="L1056" s="752"/>
      <c r="M1056" s="736">
        <f t="shared" si="416"/>
        <v>20000</v>
      </c>
      <c r="N1056" s="736"/>
      <c r="O1056" s="736"/>
      <c r="P1056" s="736">
        <f t="shared" si="413"/>
        <v>20000</v>
      </c>
      <c r="Q1056" s="753">
        <v>20000</v>
      </c>
      <c r="R1056" s="738">
        <v>709</v>
      </c>
      <c r="S1056" s="753">
        <v>20800</v>
      </c>
      <c r="T1056" s="739">
        <v>1100121</v>
      </c>
      <c r="U1056" s="754">
        <v>15000</v>
      </c>
      <c r="V1056" s="741">
        <v>1100122</v>
      </c>
    </row>
    <row r="1057" spans="1:22" ht="15" x14ac:dyDescent="0.2">
      <c r="A1057" s="734">
        <v>3791</v>
      </c>
      <c r="B1057" s="735" t="s">
        <v>45</v>
      </c>
      <c r="C1057" s="736">
        <v>8109</v>
      </c>
      <c r="D1057" s="736">
        <v>20000</v>
      </c>
      <c r="E1057" s="749">
        <v>20000</v>
      </c>
      <c r="F1057" s="736">
        <v>7444</v>
      </c>
      <c r="G1057" s="752">
        <v>20000</v>
      </c>
      <c r="H1057" s="752"/>
      <c r="I1057" s="752"/>
      <c r="J1057" s="736">
        <f t="shared" si="415"/>
        <v>20000</v>
      </c>
      <c r="K1057" s="752"/>
      <c r="L1057" s="752"/>
      <c r="M1057" s="736">
        <f t="shared" si="416"/>
        <v>20000</v>
      </c>
      <c r="N1057" s="736"/>
      <c r="O1057" s="736"/>
      <c r="P1057" s="736">
        <f t="shared" si="413"/>
        <v>20000</v>
      </c>
      <c r="Q1057" s="753">
        <v>20000</v>
      </c>
      <c r="R1057" s="738">
        <v>6292</v>
      </c>
      <c r="S1057" s="753">
        <v>20800</v>
      </c>
      <c r="T1057" s="739">
        <v>1100121</v>
      </c>
      <c r="U1057" s="740">
        <v>20000</v>
      </c>
      <c r="V1057" s="741">
        <v>1100122</v>
      </c>
    </row>
    <row r="1058" spans="1:22" ht="15" x14ac:dyDescent="0.2">
      <c r="A1058" s="734">
        <v>3852</v>
      </c>
      <c r="B1058" s="735" t="s">
        <v>32</v>
      </c>
      <c r="C1058" s="736">
        <v>63240.61</v>
      </c>
      <c r="D1058" s="736">
        <v>80000</v>
      </c>
      <c r="E1058" s="749">
        <v>80000</v>
      </c>
      <c r="F1058" s="736">
        <v>46712.92</v>
      </c>
      <c r="G1058" s="752">
        <v>80000</v>
      </c>
      <c r="H1058" s="752"/>
      <c r="I1058" s="752"/>
      <c r="J1058" s="736">
        <f t="shared" si="415"/>
        <v>80000</v>
      </c>
      <c r="K1058" s="752"/>
      <c r="L1058" s="752"/>
      <c r="M1058" s="736">
        <f t="shared" si="416"/>
        <v>80000</v>
      </c>
      <c r="N1058" s="736"/>
      <c r="O1058" s="736"/>
      <c r="P1058" s="736">
        <f t="shared" si="413"/>
        <v>80000</v>
      </c>
      <c r="Q1058" s="753">
        <v>80000</v>
      </c>
      <c r="R1058" s="738">
        <v>42551.81</v>
      </c>
      <c r="S1058" s="753">
        <v>83200</v>
      </c>
      <c r="T1058" s="739">
        <v>1100121</v>
      </c>
      <c r="U1058" s="754">
        <v>80000</v>
      </c>
      <c r="V1058" s="741">
        <v>1100122</v>
      </c>
    </row>
    <row r="1059" spans="1:22" ht="15" x14ac:dyDescent="0.2">
      <c r="A1059" s="734">
        <v>3921</v>
      </c>
      <c r="B1059" s="735" t="s">
        <v>33</v>
      </c>
      <c r="C1059" s="736">
        <v>3525.05</v>
      </c>
      <c r="D1059" s="736">
        <v>4160</v>
      </c>
      <c r="E1059" s="749">
        <v>4160</v>
      </c>
      <c r="F1059" s="736">
        <v>2047.98</v>
      </c>
      <c r="G1059" s="752">
        <v>6366.8</v>
      </c>
      <c r="H1059" s="752"/>
      <c r="I1059" s="752"/>
      <c r="J1059" s="736">
        <f t="shared" si="415"/>
        <v>6366.8</v>
      </c>
      <c r="K1059" s="752"/>
      <c r="L1059" s="752"/>
      <c r="M1059" s="736">
        <f t="shared" si="416"/>
        <v>6366.8</v>
      </c>
      <c r="N1059" s="736"/>
      <c r="O1059" s="736"/>
      <c r="P1059" s="736">
        <f t="shared" si="413"/>
        <v>6366.8</v>
      </c>
      <c r="Q1059" s="753">
        <v>6366.8</v>
      </c>
      <c r="R1059" s="738">
        <v>4733.92</v>
      </c>
      <c r="S1059" s="753">
        <v>6621.68</v>
      </c>
      <c r="T1059" s="739">
        <v>1100121</v>
      </c>
      <c r="U1059" s="746">
        <v>7331.5</v>
      </c>
      <c r="V1059" s="741">
        <v>1100122</v>
      </c>
    </row>
    <row r="1060" spans="1:22" ht="15" x14ac:dyDescent="0.2">
      <c r="A1060" s="739">
        <v>3921</v>
      </c>
      <c r="B1060" s="743" t="s">
        <v>33</v>
      </c>
      <c r="C1060" s="736"/>
      <c r="D1060" s="736"/>
      <c r="E1060" s="749"/>
      <c r="F1060" s="736"/>
      <c r="G1060" s="752"/>
      <c r="H1060" s="752"/>
      <c r="I1060" s="752"/>
      <c r="J1060" s="736"/>
      <c r="K1060" s="752"/>
      <c r="L1060" s="752"/>
      <c r="M1060" s="736"/>
      <c r="N1060" s="736"/>
      <c r="O1060" s="736"/>
      <c r="P1060" s="736"/>
      <c r="Q1060" s="753"/>
      <c r="R1060" s="738"/>
      <c r="S1060" s="753"/>
      <c r="T1060" s="739"/>
      <c r="U1060" s="744"/>
      <c r="V1060" s="739"/>
    </row>
    <row r="1061" spans="1:22" ht="15" x14ac:dyDescent="0.2">
      <c r="A1061" s="734">
        <v>4411</v>
      </c>
      <c r="B1061" s="735" t="s">
        <v>34</v>
      </c>
      <c r="C1061" s="736">
        <v>157526.32999999999</v>
      </c>
      <c r="D1061" s="736">
        <v>120000</v>
      </c>
      <c r="E1061" s="749">
        <v>120000</v>
      </c>
      <c r="F1061" s="736">
        <v>97596.56</v>
      </c>
      <c r="G1061" s="752">
        <v>120000</v>
      </c>
      <c r="H1061" s="752"/>
      <c r="I1061" s="752"/>
      <c r="J1061" s="736">
        <f t="shared" ref="J1061:J1066" si="417">G1061+H1061-I1061</f>
        <v>120000</v>
      </c>
      <c r="K1061" s="752"/>
      <c r="L1061" s="752"/>
      <c r="M1061" s="736">
        <f t="shared" ref="M1061:M1067" si="418">J1061+K1061-L1061</f>
        <v>120000</v>
      </c>
      <c r="N1061" s="736"/>
      <c r="O1061" s="736"/>
      <c r="P1061" s="736">
        <f t="shared" ref="P1061:P1067" si="419">M1061+N1061-O1061</f>
        <v>120000</v>
      </c>
      <c r="Q1061" s="753">
        <v>120000</v>
      </c>
      <c r="R1061" s="738">
        <v>60013.51</v>
      </c>
      <c r="S1061" s="753">
        <v>124800</v>
      </c>
      <c r="T1061" s="739">
        <v>1100121</v>
      </c>
      <c r="U1061" s="746">
        <v>200000</v>
      </c>
      <c r="V1061" s="741">
        <v>1100122</v>
      </c>
    </row>
    <row r="1062" spans="1:22" ht="15" x14ac:dyDescent="0.2">
      <c r="A1062" s="739">
        <v>5151</v>
      </c>
      <c r="B1062" s="743" t="s">
        <v>36</v>
      </c>
      <c r="C1062" s="736">
        <v>22225.599999999999</v>
      </c>
      <c r="D1062" s="736"/>
      <c r="E1062" s="900"/>
      <c r="F1062" s="736"/>
      <c r="G1062" s="736"/>
      <c r="H1062" s="736"/>
      <c r="I1062" s="736"/>
      <c r="J1062" s="736">
        <f t="shared" si="417"/>
        <v>0</v>
      </c>
      <c r="K1062" s="736"/>
      <c r="L1062" s="736"/>
      <c r="M1062" s="736">
        <f t="shared" si="418"/>
        <v>0</v>
      </c>
      <c r="N1062" s="736"/>
      <c r="O1062" s="736"/>
      <c r="P1062" s="738">
        <f t="shared" si="419"/>
        <v>0</v>
      </c>
      <c r="Q1062" s="738"/>
      <c r="R1062" s="738"/>
      <c r="S1062" s="738"/>
      <c r="T1062" s="739"/>
      <c r="U1062" s="745"/>
      <c r="V1062" s="739"/>
    </row>
    <row r="1063" spans="1:22" ht="15" x14ac:dyDescent="0.2">
      <c r="A1063" s="739">
        <v>5191</v>
      </c>
      <c r="B1063" s="743" t="s">
        <v>69</v>
      </c>
      <c r="C1063" s="736"/>
      <c r="D1063" s="736">
        <v>0</v>
      </c>
      <c r="E1063" s="900">
        <v>40200</v>
      </c>
      <c r="F1063" s="736">
        <v>0</v>
      </c>
      <c r="G1063" s="736"/>
      <c r="H1063" s="736"/>
      <c r="I1063" s="736"/>
      <c r="J1063" s="736">
        <f t="shared" si="417"/>
        <v>0</v>
      </c>
      <c r="K1063" s="736"/>
      <c r="L1063" s="736"/>
      <c r="M1063" s="736">
        <f t="shared" si="418"/>
        <v>0</v>
      </c>
      <c r="N1063" s="736"/>
      <c r="O1063" s="736"/>
      <c r="P1063" s="738">
        <f t="shared" si="419"/>
        <v>0</v>
      </c>
      <c r="Q1063" s="738"/>
      <c r="R1063" s="738"/>
      <c r="S1063" s="738"/>
      <c r="T1063" s="739">
        <v>1100121</v>
      </c>
      <c r="U1063" s="745"/>
      <c r="V1063" s="739">
        <v>1100122</v>
      </c>
    </row>
    <row r="1064" spans="1:22" ht="15" x14ac:dyDescent="0.2">
      <c r="A1064" s="739">
        <v>5211</v>
      </c>
      <c r="B1064" s="743" t="s">
        <v>71</v>
      </c>
      <c r="C1064" s="736"/>
      <c r="D1064" s="736">
        <v>0</v>
      </c>
      <c r="E1064" s="749">
        <v>52300</v>
      </c>
      <c r="F1064" s="736">
        <v>33473.910000000003</v>
      </c>
      <c r="G1064" s="736"/>
      <c r="H1064" s="736"/>
      <c r="I1064" s="736"/>
      <c r="J1064" s="736">
        <f t="shared" si="417"/>
        <v>0</v>
      </c>
      <c r="K1064" s="736"/>
      <c r="L1064" s="736"/>
      <c r="M1064" s="736">
        <f t="shared" si="418"/>
        <v>0</v>
      </c>
      <c r="N1064" s="736"/>
      <c r="O1064" s="736"/>
      <c r="P1064" s="738">
        <f t="shared" si="419"/>
        <v>0</v>
      </c>
      <c r="Q1064" s="738"/>
      <c r="R1064" s="738"/>
      <c r="S1064" s="738"/>
      <c r="T1064" s="739">
        <v>1100119</v>
      </c>
      <c r="U1064" s="745"/>
      <c r="V1064" s="739">
        <v>1100119</v>
      </c>
    </row>
    <row r="1065" spans="1:22" ht="15" x14ac:dyDescent="0.2">
      <c r="A1065" s="739">
        <v>5211</v>
      </c>
      <c r="B1065" s="743" t="s">
        <v>71</v>
      </c>
      <c r="C1065" s="736"/>
      <c r="D1065" s="736">
        <v>0</v>
      </c>
      <c r="E1065" s="749">
        <v>3350</v>
      </c>
      <c r="F1065" s="736">
        <v>0</v>
      </c>
      <c r="G1065" s="736"/>
      <c r="H1065" s="736"/>
      <c r="I1065" s="736"/>
      <c r="J1065" s="736">
        <f t="shared" si="417"/>
        <v>0</v>
      </c>
      <c r="K1065" s="736"/>
      <c r="L1065" s="736"/>
      <c r="M1065" s="736">
        <f t="shared" si="418"/>
        <v>0</v>
      </c>
      <c r="N1065" s="736"/>
      <c r="O1065" s="736"/>
      <c r="P1065" s="738">
        <f t="shared" si="419"/>
        <v>0</v>
      </c>
      <c r="Q1065" s="738"/>
      <c r="R1065" s="738"/>
      <c r="S1065" s="738"/>
      <c r="T1065" s="739">
        <v>1100121</v>
      </c>
      <c r="U1065" s="745"/>
      <c r="V1065" s="739">
        <v>1100122</v>
      </c>
    </row>
    <row r="1066" spans="1:22" ht="15" x14ac:dyDescent="0.2">
      <c r="A1066" s="739">
        <v>5231</v>
      </c>
      <c r="B1066" s="743" t="s">
        <v>81</v>
      </c>
      <c r="C1066" s="736"/>
      <c r="D1066" s="736">
        <v>0</v>
      </c>
      <c r="E1066" s="749">
        <v>9600</v>
      </c>
      <c r="F1066" s="736">
        <v>8222.43</v>
      </c>
      <c r="G1066" s="736"/>
      <c r="H1066" s="736"/>
      <c r="I1066" s="736"/>
      <c r="J1066" s="736">
        <f t="shared" si="417"/>
        <v>0</v>
      </c>
      <c r="K1066" s="736"/>
      <c r="L1066" s="736"/>
      <c r="M1066" s="736">
        <f t="shared" si="418"/>
        <v>0</v>
      </c>
      <c r="N1066" s="736"/>
      <c r="O1066" s="736"/>
      <c r="P1066" s="738">
        <f t="shared" si="419"/>
        <v>0</v>
      </c>
      <c r="Q1066" s="738"/>
      <c r="R1066" s="738"/>
      <c r="S1066" s="738"/>
      <c r="T1066" s="739">
        <v>1100121</v>
      </c>
      <c r="U1066" s="745"/>
      <c r="V1066" s="739">
        <v>1100122</v>
      </c>
    </row>
    <row r="1067" spans="1:22" ht="15" x14ac:dyDescent="0.2">
      <c r="A1067" s="739">
        <v>5491</v>
      </c>
      <c r="B1067" s="743" t="s">
        <v>1735</v>
      </c>
      <c r="C1067" s="736"/>
      <c r="D1067" s="736"/>
      <c r="E1067" s="749"/>
      <c r="F1067" s="736"/>
      <c r="G1067" s="736"/>
      <c r="H1067" s="736"/>
      <c r="I1067" s="736"/>
      <c r="J1067" s="736"/>
      <c r="K1067" s="736"/>
      <c r="L1067" s="736"/>
      <c r="M1067" s="736">
        <f t="shared" si="418"/>
        <v>0</v>
      </c>
      <c r="N1067" s="736">
        <v>90000</v>
      </c>
      <c r="O1067" s="736"/>
      <c r="P1067" s="736">
        <f t="shared" si="419"/>
        <v>90000</v>
      </c>
      <c r="Q1067" s="738">
        <v>90000</v>
      </c>
      <c r="R1067" s="738"/>
      <c r="S1067" s="738"/>
      <c r="T1067" s="739">
        <v>1100121</v>
      </c>
      <c r="U1067" s="745"/>
      <c r="V1067" s="739">
        <v>1100122</v>
      </c>
    </row>
    <row r="1068" spans="1:22" ht="15" x14ac:dyDescent="0.2">
      <c r="A1068" s="728" t="s">
        <v>189</v>
      </c>
      <c r="B1068" s="729" t="s">
        <v>1604</v>
      </c>
      <c r="C1068" s="730">
        <f t="shared" ref="C1068:S1068" si="420">SUM(C1069:C1093)</f>
        <v>17401779.43</v>
      </c>
      <c r="D1068" s="730">
        <f t="shared" si="420"/>
        <v>18993397.440000001</v>
      </c>
      <c r="E1068" s="730">
        <f t="shared" si="420"/>
        <v>18873225.259999998</v>
      </c>
      <c r="F1068" s="730">
        <f t="shared" si="420"/>
        <v>19003406.889999997</v>
      </c>
      <c r="G1068" s="730">
        <f t="shared" si="420"/>
        <v>20356456.699999999</v>
      </c>
      <c r="H1068" s="730">
        <f t="shared" si="420"/>
        <v>405934</v>
      </c>
      <c r="I1068" s="730">
        <f t="shared" si="420"/>
        <v>0</v>
      </c>
      <c r="J1068" s="730">
        <f t="shared" si="420"/>
        <v>20762390.699999999</v>
      </c>
      <c r="K1068" s="730">
        <f t="shared" si="420"/>
        <v>399536.23</v>
      </c>
      <c r="L1068" s="730">
        <f t="shared" si="420"/>
        <v>24000</v>
      </c>
      <c r="M1068" s="730">
        <f t="shared" si="420"/>
        <v>21137926.93</v>
      </c>
      <c r="N1068" s="730">
        <f t="shared" si="420"/>
        <v>0</v>
      </c>
      <c r="O1068" s="730">
        <f t="shared" si="420"/>
        <v>40000</v>
      </c>
      <c r="P1068" s="730">
        <f t="shared" si="420"/>
        <v>21097926.93</v>
      </c>
      <c r="Q1068" s="748">
        <f t="shared" si="420"/>
        <v>21139637.48</v>
      </c>
      <c r="R1068" s="748">
        <f t="shared" si="420"/>
        <v>14500364.399999999</v>
      </c>
      <c r="S1068" s="748">
        <f t="shared" si="420"/>
        <v>22080067.979999997</v>
      </c>
      <c r="T1068" s="731"/>
      <c r="U1068" s="732">
        <f>SUM(U1069:U1093)</f>
        <v>20945834.950000003</v>
      </c>
      <c r="V1068" s="733"/>
    </row>
    <row r="1069" spans="1:22" ht="15" x14ac:dyDescent="0.25">
      <c r="A1069" s="734">
        <v>1131</v>
      </c>
      <c r="B1069" s="735" t="s">
        <v>6</v>
      </c>
      <c r="C1069" s="736">
        <v>1927754.99</v>
      </c>
      <c r="D1069" s="736">
        <v>1920351.16</v>
      </c>
      <c r="E1069" s="749">
        <v>1909769.01</v>
      </c>
      <c r="F1069" s="736">
        <v>2157800.7400000002</v>
      </c>
      <c r="G1069" s="736">
        <v>2051164.7000000002</v>
      </c>
      <c r="H1069" s="736"/>
      <c r="I1069" s="736"/>
      <c r="J1069" s="736">
        <f t="shared" ref="J1069:J1089" si="421">G1069+H1069-I1069</f>
        <v>2051164.7000000002</v>
      </c>
      <c r="K1069" s="736">
        <v>9197.99</v>
      </c>
      <c r="L1069" s="736"/>
      <c r="M1069" s="736">
        <f t="shared" ref="M1069:M1093" si="422">J1069+K1069-L1069</f>
        <v>2060362.6900000002</v>
      </c>
      <c r="N1069" s="736"/>
      <c r="O1069" s="736"/>
      <c r="P1069" s="736">
        <f t="shared" ref="P1069:P1093" si="423">M1069+N1069-O1069</f>
        <v>2060362.6900000002</v>
      </c>
      <c r="Q1069" s="898">
        <v>2060362.69</v>
      </c>
      <c r="R1069" s="738">
        <v>1499411.97</v>
      </c>
      <c r="S1069" s="751">
        <v>2205050.12</v>
      </c>
      <c r="T1069" s="739">
        <v>1500521</v>
      </c>
      <c r="U1069" s="779">
        <v>2150487.36</v>
      </c>
      <c r="V1069" s="741">
        <v>1500522</v>
      </c>
    </row>
    <row r="1070" spans="1:22" ht="15" x14ac:dyDescent="0.25">
      <c r="A1070" s="734">
        <v>1132</v>
      </c>
      <c r="B1070" s="735" t="s">
        <v>8</v>
      </c>
      <c r="C1070" s="736">
        <v>4147274.13</v>
      </c>
      <c r="D1070" s="736">
        <v>4380561.6399999997</v>
      </c>
      <c r="E1070" s="749">
        <v>4428453.6399999997</v>
      </c>
      <c r="F1070" s="736">
        <v>4584638.32</v>
      </c>
      <c r="G1070" s="736">
        <v>4632169.3999999994</v>
      </c>
      <c r="H1070" s="736"/>
      <c r="I1070" s="736"/>
      <c r="J1070" s="736">
        <f t="shared" si="421"/>
        <v>4632169.3999999994</v>
      </c>
      <c r="K1070" s="736">
        <v>32779.82</v>
      </c>
      <c r="L1070" s="736"/>
      <c r="M1070" s="736">
        <f t="shared" si="422"/>
        <v>4664949.22</v>
      </c>
      <c r="N1070" s="736"/>
      <c r="O1070" s="736"/>
      <c r="P1070" s="736">
        <f t="shared" si="423"/>
        <v>4664949.22</v>
      </c>
      <c r="Q1070" s="898">
        <v>4664949.22</v>
      </c>
      <c r="R1070" s="738">
        <v>3386467.2</v>
      </c>
      <c r="S1070" s="751">
        <v>5031815.88</v>
      </c>
      <c r="T1070" s="739">
        <v>1500521</v>
      </c>
      <c r="U1070" s="779">
        <v>4863891.49</v>
      </c>
      <c r="V1070" s="741">
        <v>1500522</v>
      </c>
    </row>
    <row r="1071" spans="1:22" ht="15" x14ac:dyDescent="0.25">
      <c r="A1071" s="734">
        <v>1321</v>
      </c>
      <c r="B1071" s="735" t="s">
        <v>9</v>
      </c>
      <c r="C1071" s="736">
        <v>354151.56</v>
      </c>
      <c r="D1071" s="736">
        <v>369827.7</v>
      </c>
      <c r="E1071" s="749">
        <v>369827.7</v>
      </c>
      <c r="F1071" s="736">
        <v>369118.08</v>
      </c>
      <c r="G1071" s="736">
        <v>390110</v>
      </c>
      <c r="H1071" s="736"/>
      <c r="I1071" s="736"/>
      <c r="J1071" s="736">
        <f t="shared" si="421"/>
        <v>390110</v>
      </c>
      <c r="K1071" s="736">
        <v>8159.08</v>
      </c>
      <c r="L1071" s="736"/>
      <c r="M1071" s="736">
        <f t="shared" si="422"/>
        <v>398269.08</v>
      </c>
      <c r="N1071" s="736"/>
      <c r="O1071" s="736"/>
      <c r="P1071" s="736">
        <f t="shared" si="423"/>
        <v>398269.08</v>
      </c>
      <c r="Q1071" s="898">
        <v>398269.08</v>
      </c>
      <c r="R1071" s="738">
        <v>193005.07</v>
      </c>
      <c r="S1071" s="751">
        <v>449838.64</v>
      </c>
      <c r="T1071" s="739">
        <v>1500521</v>
      </c>
      <c r="U1071" s="779">
        <v>417442.26</v>
      </c>
      <c r="V1071" s="741">
        <v>1500522</v>
      </c>
    </row>
    <row r="1072" spans="1:22" ht="15" x14ac:dyDescent="0.25">
      <c r="A1072" s="734">
        <v>1323</v>
      </c>
      <c r="B1072" s="735" t="s">
        <v>11</v>
      </c>
      <c r="C1072" s="736">
        <v>1519633.34</v>
      </c>
      <c r="D1072" s="736">
        <v>1398308</v>
      </c>
      <c r="E1072" s="749">
        <v>1430198.81</v>
      </c>
      <c r="F1072" s="736">
        <v>1414935.53</v>
      </c>
      <c r="G1072" s="736">
        <v>1463174.5</v>
      </c>
      <c r="H1072" s="736"/>
      <c r="I1072" s="736"/>
      <c r="J1072" s="736">
        <f t="shared" si="421"/>
        <v>1463174.5</v>
      </c>
      <c r="K1072" s="736">
        <v>24469.11</v>
      </c>
      <c r="L1072" s="736"/>
      <c r="M1072" s="736">
        <f t="shared" si="422"/>
        <v>1487643.61</v>
      </c>
      <c r="N1072" s="736"/>
      <c r="O1072" s="736"/>
      <c r="P1072" s="736">
        <f t="shared" si="423"/>
        <v>1487643.61</v>
      </c>
      <c r="Q1072" s="898">
        <v>1487643.61</v>
      </c>
      <c r="R1072" s="738">
        <v>1122365.5900000001</v>
      </c>
      <c r="S1072" s="751">
        <v>1599792</v>
      </c>
      <c r="T1072" s="739">
        <v>1500521</v>
      </c>
      <c r="U1072" s="779">
        <v>1507418.71</v>
      </c>
      <c r="V1072" s="741">
        <v>1500522</v>
      </c>
    </row>
    <row r="1073" spans="1:22" ht="15" x14ac:dyDescent="0.25">
      <c r="A1073" s="734">
        <v>1413</v>
      </c>
      <c r="B1073" s="735" t="s">
        <v>13</v>
      </c>
      <c r="C1073" s="736">
        <v>1946132.02</v>
      </c>
      <c r="D1073" s="736">
        <v>2245118.52</v>
      </c>
      <c r="E1073" s="749">
        <v>2175140.2200000002</v>
      </c>
      <c r="F1073" s="736">
        <v>2136221.79</v>
      </c>
      <c r="G1073" s="736">
        <v>2480008.6</v>
      </c>
      <c r="H1073" s="736"/>
      <c r="I1073" s="736"/>
      <c r="J1073" s="736">
        <f t="shared" si="421"/>
        <v>2480008.6</v>
      </c>
      <c r="K1073" s="736">
        <v>39535.269999999997</v>
      </c>
      <c r="L1073" s="736"/>
      <c r="M1073" s="736">
        <f t="shared" si="422"/>
        <v>2519543.87</v>
      </c>
      <c r="N1073" s="736"/>
      <c r="O1073" s="736"/>
      <c r="P1073" s="736">
        <f t="shared" si="423"/>
        <v>2519543.87</v>
      </c>
      <c r="Q1073" s="898">
        <v>2481072.65</v>
      </c>
      <c r="R1073" s="738">
        <v>1715020.02</v>
      </c>
      <c r="S1073" s="751">
        <v>2813875.56</v>
      </c>
      <c r="T1073" s="739">
        <v>1500521</v>
      </c>
      <c r="U1073" s="779">
        <v>2601527.02</v>
      </c>
      <c r="V1073" s="741">
        <v>1500522</v>
      </c>
    </row>
    <row r="1074" spans="1:22" ht="15" x14ac:dyDescent="0.25">
      <c r="A1074" s="734">
        <v>1421</v>
      </c>
      <c r="B1074" s="735" t="s">
        <v>15</v>
      </c>
      <c r="C1074" s="736">
        <v>573704.15</v>
      </c>
      <c r="D1074" s="736">
        <v>606698.68000000005</v>
      </c>
      <c r="E1074" s="749">
        <v>543376.28</v>
      </c>
      <c r="F1074" s="736">
        <v>581152.98</v>
      </c>
      <c r="G1074" s="736">
        <v>640512.6</v>
      </c>
      <c r="H1074" s="736"/>
      <c r="I1074" s="736"/>
      <c r="J1074" s="736">
        <f t="shared" si="421"/>
        <v>640512.6</v>
      </c>
      <c r="K1074" s="736">
        <v>9706.5</v>
      </c>
      <c r="L1074" s="736"/>
      <c r="M1074" s="736">
        <f t="shared" si="422"/>
        <v>650219.1</v>
      </c>
      <c r="N1074" s="736"/>
      <c r="O1074" s="736"/>
      <c r="P1074" s="736">
        <f t="shared" si="423"/>
        <v>650219.1</v>
      </c>
      <c r="Q1074" s="738">
        <v>650219.1</v>
      </c>
      <c r="R1074" s="738">
        <v>414498.3</v>
      </c>
      <c r="S1074" s="751">
        <v>698936.28</v>
      </c>
      <c r="T1074" s="739">
        <v>1500521</v>
      </c>
      <c r="U1074" s="779">
        <v>639375.71</v>
      </c>
      <c r="V1074" s="741">
        <v>1500522</v>
      </c>
    </row>
    <row r="1075" spans="1:22" ht="15" x14ac:dyDescent="0.25">
      <c r="A1075" s="734">
        <v>1431</v>
      </c>
      <c r="B1075" s="735" t="s">
        <v>16</v>
      </c>
      <c r="C1075" s="736">
        <v>609616.9</v>
      </c>
      <c r="D1075" s="736">
        <v>624899.5</v>
      </c>
      <c r="E1075" s="749">
        <v>568964.17000000004</v>
      </c>
      <c r="F1075" s="736">
        <v>611470.01</v>
      </c>
      <c r="G1075" s="736">
        <v>659727</v>
      </c>
      <c r="H1075" s="736"/>
      <c r="I1075" s="736"/>
      <c r="J1075" s="736">
        <f t="shared" si="421"/>
        <v>659727</v>
      </c>
      <c r="K1075" s="736">
        <v>9864.57</v>
      </c>
      <c r="L1075" s="736"/>
      <c r="M1075" s="736">
        <f t="shared" si="422"/>
        <v>669591.56999999995</v>
      </c>
      <c r="N1075" s="736"/>
      <c r="O1075" s="736"/>
      <c r="P1075" s="736">
        <f t="shared" si="423"/>
        <v>669591.56999999995</v>
      </c>
      <c r="Q1075" s="898">
        <v>653803.06000000006</v>
      </c>
      <c r="R1075" s="738">
        <v>421980.59</v>
      </c>
      <c r="S1075" s="751">
        <v>719909.76</v>
      </c>
      <c r="T1075" s="739">
        <v>1500521</v>
      </c>
      <c r="U1075" s="779">
        <v>639894.4</v>
      </c>
      <c r="V1075" s="741">
        <v>1500522</v>
      </c>
    </row>
    <row r="1076" spans="1:22" ht="15" x14ac:dyDescent="0.25">
      <c r="A1076" s="734">
        <v>1511</v>
      </c>
      <c r="B1076" s="735" t="s">
        <v>18</v>
      </c>
      <c r="C1076" s="736">
        <v>188755.17</v>
      </c>
      <c r="D1076" s="736">
        <v>203567</v>
      </c>
      <c r="E1076" s="749">
        <v>202727.35</v>
      </c>
      <c r="F1076" s="736">
        <v>209784.54</v>
      </c>
      <c r="G1076" s="736">
        <v>213016.5</v>
      </c>
      <c r="H1076" s="736"/>
      <c r="I1076" s="736"/>
      <c r="J1076" s="736">
        <f t="shared" si="421"/>
        <v>213016.5</v>
      </c>
      <c r="K1076" s="736">
        <v>3559.96</v>
      </c>
      <c r="L1076" s="736"/>
      <c r="M1076" s="736">
        <f t="shared" si="422"/>
        <v>216576.46</v>
      </c>
      <c r="N1076" s="736"/>
      <c r="O1076" s="736"/>
      <c r="P1076" s="736">
        <f t="shared" si="423"/>
        <v>216576.46</v>
      </c>
      <c r="Q1076" s="898">
        <v>216576.46</v>
      </c>
      <c r="R1076" s="738">
        <v>154661.20000000001</v>
      </c>
      <c r="S1076" s="751">
        <v>233000.04</v>
      </c>
      <c r="T1076" s="739">
        <v>1500521</v>
      </c>
      <c r="U1076" s="779">
        <v>222300.89</v>
      </c>
      <c r="V1076" s="741">
        <v>1500522</v>
      </c>
    </row>
    <row r="1077" spans="1:22" ht="15" x14ac:dyDescent="0.25">
      <c r="A1077" s="734">
        <v>1541</v>
      </c>
      <c r="B1077" s="735" t="s">
        <v>19</v>
      </c>
      <c r="C1077" s="736">
        <v>1206049.8500000001</v>
      </c>
      <c r="D1077" s="736">
        <v>1380295.8</v>
      </c>
      <c r="E1077" s="749">
        <v>1337013.8400000001</v>
      </c>
      <c r="F1077" s="736">
        <v>1377875.89</v>
      </c>
      <c r="G1077" s="736">
        <v>1795794.5</v>
      </c>
      <c r="H1077" s="736"/>
      <c r="I1077" s="736"/>
      <c r="J1077" s="736">
        <f t="shared" si="421"/>
        <v>1795794.5</v>
      </c>
      <c r="K1077" s="736">
        <v>68356.899999999994</v>
      </c>
      <c r="L1077" s="736"/>
      <c r="M1077" s="736">
        <f t="shared" si="422"/>
        <v>1864151.4</v>
      </c>
      <c r="N1077" s="736"/>
      <c r="O1077" s="736"/>
      <c r="P1077" s="736">
        <f t="shared" si="423"/>
        <v>1864151.4</v>
      </c>
      <c r="Q1077" s="898">
        <v>1740208.49</v>
      </c>
      <c r="R1077" s="738">
        <v>1130104.53</v>
      </c>
      <c r="S1077" s="751">
        <v>1890269.94</v>
      </c>
      <c r="T1077" s="739">
        <v>1500521</v>
      </c>
      <c r="U1077" s="779">
        <v>1720598.44</v>
      </c>
      <c r="V1077" s="741">
        <v>1500522</v>
      </c>
    </row>
    <row r="1078" spans="1:22" ht="15" x14ac:dyDescent="0.25">
      <c r="A1078" s="734">
        <v>1592</v>
      </c>
      <c r="B1078" s="735" t="s">
        <v>20</v>
      </c>
      <c r="C1078" s="736">
        <v>3592362.02</v>
      </c>
      <c r="D1078" s="736">
        <v>3878769.44</v>
      </c>
      <c r="E1078" s="749">
        <v>3847224.24</v>
      </c>
      <c r="F1078" s="736">
        <v>3981194.51</v>
      </c>
      <c r="G1078" s="736">
        <v>4039278.9</v>
      </c>
      <c r="H1078" s="736"/>
      <c r="I1078" s="736"/>
      <c r="J1078" s="736">
        <f t="shared" si="421"/>
        <v>4039278.9</v>
      </c>
      <c r="K1078" s="736">
        <v>86907.03</v>
      </c>
      <c r="L1078" s="736"/>
      <c r="M1078" s="736">
        <f t="shared" si="422"/>
        <v>4126185.9299999997</v>
      </c>
      <c r="N1078" s="736"/>
      <c r="O1078" s="736"/>
      <c r="P1078" s="736">
        <f t="shared" si="423"/>
        <v>4126185.9299999997</v>
      </c>
      <c r="Q1078" s="898">
        <v>4356426.96</v>
      </c>
      <c r="R1078" s="738">
        <v>2928322.42</v>
      </c>
      <c r="S1078" s="751">
        <v>4409619.76</v>
      </c>
      <c r="T1078" s="739">
        <v>1500521</v>
      </c>
      <c r="U1078" s="779">
        <v>4201098.67</v>
      </c>
      <c r="V1078" s="741">
        <v>1500522</v>
      </c>
    </row>
    <row r="1079" spans="1:22" ht="15" x14ac:dyDescent="0.25">
      <c r="A1079" s="734">
        <v>2111</v>
      </c>
      <c r="B1079" s="735" t="s">
        <v>22</v>
      </c>
      <c r="C1079" s="736">
        <v>40999.39</v>
      </c>
      <c r="D1079" s="736">
        <v>60000</v>
      </c>
      <c r="E1079" s="749">
        <v>42000</v>
      </c>
      <c r="F1079" s="736">
        <v>38754.269999999997</v>
      </c>
      <c r="G1079" s="752">
        <v>42000</v>
      </c>
      <c r="H1079" s="752"/>
      <c r="I1079" s="752"/>
      <c r="J1079" s="736">
        <f t="shared" si="421"/>
        <v>42000</v>
      </c>
      <c r="K1079" s="752"/>
      <c r="L1079" s="752"/>
      <c r="M1079" s="736">
        <f t="shared" si="422"/>
        <v>42000</v>
      </c>
      <c r="N1079" s="736"/>
      <c r="O1079" s="736"/>
      <c r="P1079" s="736">
        <f t="shared" si="423"/>
        <v>42000</v>
      </c>
      <c r="Q1079" s="898">
        <v>36209.199999999997</v>
      </c>
      <c r="R1079" s="738">
        <v>33507</v>
      </c>
      <c r="S1079" s="753">
        <v>43680</v>
      </c>
      <c r="T1079" s="739">
        <v>1100121</v>
      </c>
      <c r="U1079" s="740">
        <v>42000</v>
      </c>
      <c r="V1079" s="741">
        <v>1100122</v>
      </c>
    </row>
    <row r="1080" spans="1:22" ht="15" x14ac:dyDescent="0.25">
      <c r="A1080" s="734">
        <v>2121</v>
      </c>
      <c r="B1080" s="735" t="s">
        <v>24</v>
      </c>
      <c r="C1080" s="736">
        <v>59499.44</v>
      </c>
      <c r="D1080" s="736">
        <v>35000</v>
      </c>
      <c r="E1080" s="749">
        <v>24500</v>
      </c>
      <c r="F1080" s="736">
        <v>22453</v>
      </c>
      <c r="G1080" s="752">
        <v>24500</v>
      </c>
      <c r="H1080" s="752"/>
      <c r="I1080" s="752"/>
      <c r="J1080" s="736">
        <f t="shared" si="421"/>
        <v>24500</v>
      </c>
      <c r="K1080" s="752"/>
      <c r="L1080" s="752"/>
      <c r="M1080" s="736">
        <f t="shared" si="422"/>
        <v>24500</v>
      </c>
      <c r="N1080" s="736"/>
      <c r="O1080" s="736"/>
      <c r="P1080" s="736">
        <f t="shared" si="423"/>
        <v>24500</v>
      </c>
      <c r="Q1080" s="898">
        <v>19962.96</v>
      </c>
      <c r="R1080" s="738">
        <v>18737.96</v>
      </c>
      <c r="S1080" s="753">
        <v>25480</v>
      </c>
      <c r="T1080" s="739">
        <v>1100121</v>
      </c>
      <c r="U1080" s="740">
        <v>24000</v>
      </c>
      <c r="V1080" s="741">
        <v>1100122</v>
      </c>
    </row>
    <row r="1081" spans="1:22" ht="15" x14ac:dyDescent="0.2">
      <c r="A1081" s="734">
        <v>2421</v>
      </c>
      <c r="B1081" s="735" t="s">
        <v>111</v>
      </c>
      <c r="C1081" s="736">
        <v>99308.45</v>
      </c>
      <c r="D1081" s="736">
        <v>300000</v>
      </c>
      <c r="E1081" s="749">
        <v>300000</v>
      </c>
      <c r="F1081" s="736">
        <v>196194.65</v>
      </c>
      <c r="G1081" s="752">
        <v>300000</v>
      </c>
      <c r="H1081" s="752"/>
      <c r="I1081" s="752"/>
      <c r="J1081" s="736">
        <f t="shared" si="421"/>
        <v>300000</v>
      </c>
      <c r="K1081" s="752"/>
      <c r="L1081" s="752"/>
      <c r="M1081" s="736">
        <f t="shared" si="422"/>
        <v>300000</v>
      </c>
      <c r="N1081" s="736"/>
      <c r="O1081" s="736"/>
      <c r="P1081" s="736">
        <f t="shared" si="423"/>
        <v>300000</v>
      </c>
      <c r="Q1081" s="753">
        <v>300000</v>
      </c>
      <c r="R1081" s="738">
        <v>298925.92</v>
      </c>
      <c r="S1081" s="753">
        <v>312000</v>
      </c>
      <c r="T1081" s="739">
        <v>1100121</v>
      </c>
      <c r="U1081" s="754">
        <v>300000</v>
      </c>
      <c r="V1081" s="741">
        <v>1100122</v>
      </c>
    </row>
    <row r="1082" spans="1:22" ht="15" x14ac:dyDescent="0.2">
      <c r="A1082" s="734">
        <v>2461</v>
      </c>
      <c r="B1082" s="735" t="s">
        <v>115</v>
      </c>
      <c r="C1082" s="736">
        <v>8371.15</v>
      </c>
      <c r="D1082" s="736">
        <v>35000</v>
      </c>
      <c r="E1082" s="749">
        <v>35000</v>
      </c>
      <c r="F1082" s="736">
        <v>27335.4</v>
      </c>
      <c r="G1082" s="752">
        <v>35000</v>
      </c>
      <c r="H1082" s="752"/>
      <c r="I1082" s="752"/>
      <c r="J1082" s="736">
        <f t="shared" si="421"/>
        <v>35000</v>
      </c>
      <c r="K1082" s="752"/>
      <c r="L1082" s="752"/>
      <c r="M1082" s="736">
        <f t="shared" si="422"/>
        <v>35000</v>
      </c>
      <c r="N1082" s="736"/>
      <c r="O1082" s="736"/>
      <c r="P1082" s="736">
        <f t="shared" si="423"/>
        <v>35000</v>
      </c>
      <c r="Q1082" s="753">
        <v>35000</v>
      </c>
      <c r="R1082" s="738"/>
      <c r="S1082" s="753">
        <v>36400</v>
      </c>
      <c r="T1082" s="739">
        <v>1100121</v>
      </c>
      <c r="U1082" s="754">
        <v>35000</v>
      </c>
      <c r="V1082" s="741">
        <v>1100122</v>
      </c>
    </row>
    <row r="1083" spans="1:22" ht="15" x14ac:dyDescent="0.2">
      <c r="A1083" s="739">
        <v>2491</v>
      </c>
      <c r="B1083" s="743" t="s">
        <v>41</v>
      </c>
      <c r="C1083" s="736"/>
      <c r="D1083" s="736">
        <v>0</v>
      </c>
      <c r="E1083" s="749">
        <v>2030</v>
      </c>
      <c r="F1083" s="736">
        <v>0</v>
      </c>
      <c r="G1083" s="736"/>
      <c r="H1083" s="736"/>
      <c r="I1083" s="736"/>
      <c r="J1083" s="736">
        <f t="shared" si="421"/>
        <v>0</v>
      </c>
      <c r="K1083" s="736"/>
      <c r="L1083" s="736"/>
      <c r="M1083" s="736">
        <f t="shared" si="422"/>
        <v>0</v>
      </c>
      <c r="N1083" s="736"/>
      <c r="O1083" s="736"/>
      <c r="P1083" s="738">
        <f t="shared" si="423"/>
        <v>0</v>
      </c>
      <c r="Q1083" s="738">
        <v>381934</v>
      </c>
      <c r="R1083" s="738"/>
      <c r="S1083" s="738"/>
      <c r="T1083" s="739">
        <v>1100119</v>
      </c>
      <c r="U1083" s="744"/>
      <c r="V1083" s="739">
        <v>1100119</v>
      </c>
    </row>
    <row r="1084" spans="1:22" ht="15" x14ac:dyDescent="0.2">
      <c r="A1084" s="739">
        <v>2491</v>
      </c>
      <c r="B1084" s="743" t="s">
        <v>41</v>
      </c>
      <c r="C1084" s="736"/>
      <c r="D1084" s="736"/>
      <c r="E1084" s="749"/>
      <c r="F1084" s="736"/>
      <c r="G1084" s="736"/>
      <c r="H1084" s="736">
        <f>5934+400000</f>
        <v>405934</v>
      </c>
      <c r="I1084" s="736"/>
      <c r="J1084" s="736">
        <f t="shared" si="421"/>
        <v>405934</v>
      </c>
      <c r="K1084" s="736"/>
      <c r="L1084" s="736">
        <v>24000</v>
      </c>
      <c r="M1084" s="736">
        <f t="shared" si="422"/>
        <v>381934</v>
      </c>
      <c r="N1084" s="736"/>
      <c r="O1084" s="736"/>
      <c r="P1084" s="736">
        <f t="shared" si="423"/>
        <v>381934</v>
      </c>
      <c r="Q1084" s="738"/>
      <c r="R1084" s="738">
        <v>13920</v>
      </c>
      <c r="S1084" s="738"/>
      <c r="T1084" s="739">
        <v>1100120</v>
      </c>
      <c r="U1084" s="744"/>
      <c r="V1084" s="739">
        <v>1100120</v>
      </c>
    </row>
    <row r="1085" spans="1:22" ht="15" x14ac:dyDescent="0.2">
      <c r="A1085" s="734">
        <v>2491</v>
      </c>
      <c r="B1085" s="735" t="s">
        <v>41</v>
      </c>
      <c r="C1085" s="736">
        <v>830644.71</v>
      </c>
      <c r="D1085" s="736">
        <v>700000</v>
      </c>
      <c r="E1085" s="749">
        <v>1190000</v>
      </c>
      <c r="F1085" s="736">
        <v>984119.11</v>
      </c>
      <c r="G1085" s="752">
        <v>1000000</v>
      </c>
      <c r="H1085" s="752"/>
      <c r="I1085" s="752"/>
      <c r="J1085" s="736">
        <f t="shared" si="421"/>
        <v>1000000</v>
      </c>
      <c r="K1085" s="752"/>
      <c r="L1085" s="752"/>
      <c r="M1085" s="736">
        <f t="shared" si="422"/>
        <v>1000000</v>
      </c>
      <c r="N1085" s="736"/>
      <c r="O1085" s="736"/>
      <c r="P1085" s="736">
        <f t="shared" si="423"/>
        <v>1000000</v>
      </c>
      <c r="Q1085" s="753">
        <v>1000000</v>
      </c>
      <c r="R1085" s="738">
        <v>981047.43</v>
      </c>
      <c r="S1085" s="753">
        <v>1040000</v>
      </c>
      <c r="T1085" s="739">
        <v>1100121</v>
      </c>
      <c r="U1085" s="754">
        <v>1000000</v>
      </c>
      <c r="V1085" s="741">
        <v>1100122</v>
      </c>
    </row>
    <row r="1086" spans="1:22" ht="30" x14ac:dyDescent="0.2">
      <c r="A1086" s="734">
        <v>2612</v>
      </c>
      <c r="B1086" s="735" t="s">
        <v>26</v>
      </c>
      <c r="C1086" s="736"/>
      <c r="D1086" s="736">
        <v>150000</v>
      </c>
      <c r="E1086" s="749">
        <v>100000</v>
      </c>
      <c r="F1086" s="736">
        <v>97408.1</v>
      </c>
      <c r="G1086" s="752">
        <v>80000</v>
      </c>
      <c r="H1086" s="752"/>
      <c r="I1086" s="752"/>
      <c r="J1086" s="736">
        <f t="shared" si="421"/>
        <v>80000</v>
      </c>
      <c r="K1086" s="752"/>
      <c r="L1086" s="752"/>
      <c r="M1086" s="736">
        <f t="shared" si="422"/>
        <v>80000</v>
      </c>
      <c r="N1086" s="736"/>
      <c r="O1086" s="736">
        <v>40000</v>
      </c>
      <c r="P1086" s="736">
        <f t="shared" si="423"/>
        <v>40000</v>
      </c>
      <c r="Q1086" s="753">
        <v>40000</v>
      </c>
      <c r="R1086" s="738">
        <v>21720.9</v>
      </c>
      <c r="S1086" s="738">
        <f>Q1086</f>
        <v>40000</v>
      </c>
      <c r="T1086" s="739">
        <v>1100121</v>
      </c>
      <c r="U1086" s="746">
        <v>40000</v>
      </c>
      <c r="V1086" s="741">
        <v>1100122</v>
      </c>
    </row>
    <row r="1087" spans="1:22" ht="15" x14ac:dyDescent="0.2">
      <c r="A1087" s="734">
        <v>2911</v>
      </c>
      <c r="B1087" s="735" t="s">
        <v>60</v>
      </c>
      <c r="C1087" s="736">
        <v>6746.79</v>
      </c>
      <c r="D1087" s="736">
        <v>10000</v>
      </c>
      <c r="E1087" s="749">
        <v>10000</v>
      </c>
      <c r="F1087" s="736">
        <v>9282</v>
      </c>
      <c r="G1087" s="752">
        <v>20000</v>
      </c>
      <c r="H1087" s="752"/>
      <c r="I1087" s="752"/>
      <c r="J1087" s="736">
        <f t="shared" si="421"/>
        <v>20000</v>
      </c>
      <c r="K1087" s="752"/>
      <c r="L1087" s="752"/>
      <c r="M1087" s="736">
        <f t="shared" si="422"/>
        <v>20000</v>
      </c>
      <c r="N1087" s="736"/>
      <c r="O1087" s="736"/>
      <c r="P1087" s="736">
        <f t="shared" si="423"/>
        <v>20000</v>
      </c>
      <c r="Q1087" s="753">
        <v>20000</v>
      </c>
      <c r="R1087" s="738">
        <v>17680.009999999998</v>
      </c>
      <c r="S1087" s="753">
        <v>20800</v>
      </c>
      <c r="T1087" s="739">
        <v>1100121</v>
      </c>
      <c r="U1087" s="754">
        <v>20800</v>
      </c>
      <c r="V1087" s="741">
        <v>1100122</v>
      </c>
    </row>
    <row r="1088" spans="1:22" ht="15" x14ac:dyDescent="0.2">
      <c r="A1088" s="734">
        <v>3111</v>
      </c>
      <c r="B1088" s="735" t="s">
        <v>47</v>
      </c>
      <c r="C1088" s="736">
        <v>41473</v>
      </c>
      <c r="D1088" s="736">
        <v>50000</v>
      </c>
      <c r="E1088" s="749">
        <v>50000</v>
      </c>
      <c r="F1088" s="736">
        <v>44542</v>
      </c>
      <c r="G1088" s="736"/>
      <c r="H1088" s="736"/>
      <c r="I1088" s="736"/>
      <c r="J1088" s="736">
        <f t="shared" si="421"/>
        <v>0</v>
      </c>
      <c r="K1088" s="736">
        <v>40000</v>
      </c>
      <c r="L1088" s="736"/>
      <c r="M1088" s="736">
        <f t="shared" si="422"/>
        <v>40000</v>
      </c>
      <c r="N1088" s="736"/>
      <c r="O1088" s="736"/>
      <c r="P1088" s="736">
        <f t="shared" si="423"/>
        <v>40000</v>
      </c>
      <c r="Q1088" s="738">
        <v>40000</v>
      </c>
      <c r="R1088" s="738">
        <v>20321</v>
      </c>
      <c r="S1088" s="738"/>
      <c r="T1088" s="739">
        <v>1100121</v>
      </c>
      <c r="U1088" s="742">
        <v>38000</v>
      </c>
      <c r="V1088" s="741">
        <v>1100122</v>
      </c>
    </row>
    <row r="1089" spans="1:22" ht="15" x14ac:dyDescent="0.2">
      <c r="A1089" s="734">
        <v>3141</v>
      </c>
      <c r="B1089" s="735" t="s">
        <v>48</v>
      </c>
      <c r="C1089" s="736">
        <v>41658.980000000003</v>
      </c>
      <c r="D1089" s="736">
        <v>55000</v>
      </c>
      <c r="E1089" s="749">
        <v>47000</v>
      </c>
      <c r="F1089" s="736">
        <v>37991.47</v>
      </c>
      <c r="G1089" s="736"/>
      <c r="H1089" s="736"/>
      <c r="I1089" s="736"/>
      <c r="J1089" s="736">
        <f t="shared" si="421"/>
        <v>0</v>
      </c>
      <c r="K1089" s="736">
        <v>43000</v>
      </c>
      <c r="L1089" s="736"/>
      <c r="M1089" s="736">
        <f t="shared" si="422"/>
        <v>43000</v>
      </c>
      <c r="N1089" s="736"/>
      <c r="O1089" s="736"/>
      <c r="P1089" s="736">
        <f t="shared" si="423"/>
        <v>43000</v>
      </c>
      <c r="Q1089" s="738">
        <v>43000</v>
      </c>
      <c r="R1089" s="738">
        <v>19685.28</v>
      </c>
      <c r="S1089" s="738"/>
      <c r="T1089" s="739">
        <v>1100121</v>
      </c>
      <c r="U1089" s="742">
        <v>32000</v>
      </c>
      <c r="V1089" s="741">
        <v>1100122</v>
      </c>
    </row>
    <row r="1090" spans="1:22" ht="15" x14ac:dyDescent="0.2">
      <c r="A1090" s="739">
        <v>3321</v>
      </c>
      <c r="B1090" s="822" t="s">
        <v>190</v>
      </c>
      <c r="C1090" s="736"/>
      <c r="D1090" s="736"/>
      <c r="E1090" s="749"/>
      <c r="F1090" s="736"/>
      <c r="G1090" s="752"/>
      <c r="H1090" s="752"/>
      <c r="I1090" s="752"/>
      <c r="J1090" s="736"/>
      <c r="K1090" s="752">
        <v>24000</v>
      </c>
      <c r="L1090" s="752"/>
      <c r="M1090" s="736">
        <f t="shared" si="422"/>
        <v>24000</v>
      </c>
      <c r="N1090" s="736"/>
      <c r="O1090" s="736"/>
      <c r="P1090" s="736">
        <f t="shared" si="423"/>
        <v>24000</v>
      </c>
      <c r="Q1090" s="753">
        <v>24000</v>
      </c>
      <c r="R1090" s="738">
        <v>23999.99</v>
      </c>
      <c r="S1090" s="753"/>
      <c r="T1090" s="739">
        <v>1100120</v>
      </c>
      <c r="U1090" s="841"/>
      <c r="V1090" s="739">
        <v>1100120</v>
      </c>
    </row>
    <row r="1091" spans="1:22" ht="30" x14ac:dyDescent="0.2">
      <c r="A1091" s="734">
        <v>3361</v>
      </c>
      <c r="B1091" s="735" t="s">
        <v>29</v>
      </c>
      <c r="C1091" s="736"/>
      <c r="D1091" s="736">
        <v>10000</v>
      </c>
      <c r="E1091" s="749">
        <v>10000</v>
      </c>
      <c r="F1091" s="736">
        <v>0</v>
      </c>
      <c r="G1091" s="752">
        <v>10000</v>
      </c>
      <c r="H1091" s="752"/>
      <c r="I1091" s="752"/>
      <c r="J1091" s="736">
        <f t="shared" ref="J1091:J1093" si="424">G1091+H1091-I1091</f>
        <v>10000</v>
      </c>
      <c r="K1091" s="752"/>
      <c r="L1091" s="752"/>
      <c r="M1091" s="736">
        <f t="shared" si="422"/>
        <v>10000</v>
      </c>
      <c r="N1091" s="736"/>
      <c r="O1091" s="736"/>
      <c r="P1091" s="736">
        <f t="shared" si="423"/>
        <v>10000</v>
      </c>
      <c r="Q1091" s="753">
        <v>10000</v>
      </c>
      <c r="R1091" s="738"/>
      <c r="S1091" s="753">
        <v>10400</v>
      </c>
      <c r="T1091" s="739">
        <v>1100121</v>
      </c>
      <c r="U1091" s="746">
        <v>15000</v>
      </c>
      <c r="V1091" s="741">
        <v>1100122</v>
      </c>
    </row>
    <row r="1092" spans="1:22" ht="15" x14ac:dyDescent="0.2">
      <c r="A1092" s="734">
        <v>3821</v>
      </c>
      <c r="B1092" s="735" t="s">
        <v>31</v>
      </c>
      <c r="C1092" s="736">
        <v>123138.28</v>
      </c>
      <c r="D1092" s="736">
        <v>130000</v>
      </c>
      <c r="E1092" s="736"/>
      <c r="F1092" s="736">
        <v>0</v>
      </c>
      <c r="G1092" s="752">
        <v>130000</v>
      </c>
      <c r="H1092" s="752"/>
      <c r="I1092" s="752"/>
      <c r="J1092" s="736">
        <f t="shared" si="424"/>
        <v>130000</v>
      </c>
      <c r="K1092" s="752"/>
      <c r="L1092" s="752"/>
      <c r="M1092" s="736">
        <f t="shared" si="422"/>
        <v>130000</v>
      </c>
      <c r="N1092" s="736"/>
      <c r="O1092" s="736"/>
      <c r="P1092" s="736">
        <f t="shared" si="423"/>
        <v>130000</v>
      </c>
      <c r="Q1092" s="753">
        <v>130000</v>
      </c>
      <c r="R1092" s="738"/>
      <c r="S1092" s="753">
        <v>135200</v>
      </c>
      <c r="T1092" s="739">
        <v>1100121</v>
      </c>
      <c r="U1092" s="740">
        <v>135000</v>
      </c>
      <c r="V1092" s="741">
        <v>1100122</v>
      </c>
    </row>
    <row r="1093" spans="1:22" ht="15" x14ac:dyDescent="0.2">
      <c r="A1093" s="734">
        <v>3852</v>
      </c>
      <c r="B1093" s="735" t="s">
        <v>32</v>
      </c>
      <c r="C1093" s="736">
        <v>84505.11</v>
      </c>
      <c r="D1093" s="736">
        <v>450000</v>
      </c>
      <c r="E1093" s="749">
        <v>250000</v>
      </c>
      <c r="F1093" s="736">
        <v>121134.5</v>
      </c>
      <c r="G1093" s="752">
        <v>350000</v>
      </c>
      <c r="H1093" s="752"/>
      <c r="I1093" s="752"/>
      <c r="J1093" s="736">
        <f t="shared" si="424"/>
        <v>350000</v>
      </c>
      <c r="K1093" s="752"/>
      <c r="L1093" s="752"/>
      <c r="M1093" s="736">
        <f t="shared" si="422"/>
        <v>350000</v>
      </c>
      <c r="N1093" s="736"/>
      <c r="O1093" s="736"/>
      <c r="P1093" s="736">
        <f t="shared" si="423"/>
        <v>350000</v>
      </c>
      <c r="Q1093" s="753">
        <v>350000</v>
      </c>
      <c r="R1093" s="738">
        <v>84982.02</v>
      </c>
      <c r="S1093" s="753">
        <v>364000</v>
      </c>
      <c r="T1093" s="739">
        <v>1100121</v>
      </c>
      <c r="U1093" s="740">
        <v>300000</v>
      </c>
      <c r="V1093" s="741">
        <v>1100122</v>
      </c>
    </row>
    <row r="1094" spans="1:22" ht="15" x14ac:dyDescent="0.2">
      <c r="A1094" s="728" t="s">
        <v>191</v>
      </c>
      <c r="B1094" s="729" t="s">
        <v>1566</v>
      </c>
      <c r="C1094" s="730">
        <f t="shared" ref="C1094:S1094" si="425">SUM(C1095:C1108)</f>
        <v>10401.42</v>
      </c>
      <c r="D1094" s="730">
        <f t="shared" si="425"/>
        <v>345788.44</v>
      </c>
      <c r="E1094" s="730">
        <f t="shared" si="425"/>
        <v>72920.5</v>
      </c>
      <c r="F1094" s="730">
        <f t="shared" si="425"/>
        <v>2999.66</v>
      </c>
      <c r="G1094" s="730">
        <f t="shared" si="425"/>
        <v>6300</v>
      </c>
      <c r="H1094" s="730">
        <f t="shared" si="425"/>
        <v>0</v>
      </c>
      <c r="I1094" s="730">
        <f t="shared" si="425"/>
        <v>0</v>
      </c>
      <c r="J1094" s="730">
        <f t="shared" si="425"/>
        <v>6300</v>
      </c>
      <c r="K1094" s="730">
        <f t="shared" si="425"/>
        <v>0</v>
      </c>
      <c r="L1094" s="730">
        <f t="shared" si="425"/>
        <v>0</v>
      </c>
      <c r="M1094" s="730">
        <f t="shared" si="425"/>
        <v>6300</v>
      </c>
      <c r="N1094" s="730">
        <f t="shared" si="425"/>
        <v>0</v>
      </c>
      <c r="O1094" s="730">
        <f t="shared" si="425"/>
        <v>0</v>
      </c>
      <c r="P1094" s="730">
        <f t="shared" si="425"/>
        <v>6300</v>
      </c>
      <c r="Q1094" s="748">
        <f t="shared" si="425"/>
        <v>4763</v>
      </c>
      <c r="R1094" s="748">
        <f>SUM(R1095:R1108)</f>
        <v>3063</v>
      </c>
      <c r="S1094" s="748">
        <f t="shared" si="425"/>
        <v>363583.95999999996</v>
      </c>
      <c r="T1094" s="731"/>
      <c r="U1094" s="732">
        <f>SUM(U1095:U1108)</f>
        <v>6552</v>
      </c>
      <c r="V1094" s="733"/>
    </row>
    <row r="1095" spans="1:22" ht="15" x14ac:dyDescent="0.2">
      <c r="A1095" s="739">
        <v>1131</v>
      </c>
      <c r="B1095" s="743" t="s">
        <v>6</v>
      </c>
      <c r="C1095" s="736">
        <v>379.87</v>
      </c>
      <c r="D1095" s="736">
        <v>164637.20000000001</v>
      </c>
      <c r="E1095" s="749">
        <v>38107</v>
      </c>
      <c r="F1095" s="736">
        <v>0</v>
      </c>
      <c r="G1095" s="736"/>
      <c r="H1095" s="736"/>
      <c r="I1095" s="736"/>
      <c r="J1095" s="736">
        <f t="shared" ref="J1095:J1108" si="426">G1095+H1095-I1095</f>
        <v>0</v>
      </c>
      <c r="K1095" s="736"/>
      <c r="L1095" s="736"/>
      <c r="M1095" s="736">
        <f t="shared" ref="M1095:M1108" si="427">J1095+K1095-L1095</f>
        <v>0</v>
      </c>
      <c r="N1095" s="736"/>
      <c r="O1095" s="736"/>
      <c r="P1095" s="738">
        <f t="shared" ref="P1095:P1108" si="428">M1095+N1095-O1095</f>
        <v>0</v>
      </c>
      <c r="Q1095" s="738"/>
      <c r="R1095" s="738"/>
      <c r="S1095" s="738">
        <v>186080.44</v>
      </c>
      <c r="T1095" s="739">
        <v>1500521</v>
      </c>
      <c r="U1095" s="750"/>
      <c r="V1095" s="739">
        <v>1500522</v>
      </c>
    </row>
    <row r="1096" spans="1:22" ht="15" x14ac:dyDescent="0.2">
      <c r="A1096" s="739">
        <v>1321</v>
      </c>
      <c r="B1096" s="743" t="s">
        <v>9</v>
      </c>
      <c r="C1096" s="736"/>
      <c r="D1096" s="736">
        <v>5606.5</v>
      </c>
      <c r="E1096" s="749">
        <v>672.5</v>
      </c>
      <c r="F1096" s="736">
        <v>0</v>
      </c>
      <c r="G1096" s="736"/>
      <c r="H1096" s="736"/>
      <c r="I1096" s="736"/>
      <c r="J1096" s="736">
        <f t="shared" si="426"/>
        <v>0</v>
      </c>
      <c r="K1096" s="736"/>
      <c r="L1096" s="736"/>
      <c r="M1096" s="736">
        <f t="shared" si="427"/>
        <v>0</v>
      </c>
      <c r="N1096" s="736"/>
      <c r="O1096" s="736"/>
      <c r="P1096" s="738">
        <f t="shared" si="428"/>
        <v>0</v>
      </c>
      <c r="Q1096" s="738"/>
      <c r="R1096" s="738"/>
      <c r="S1096" s="738">
        <v>8542.56</v>
      </c>
      <c r="T1096" s="739">
        <v>1500521</v>
      </c>
      <c r="U1096" s="750"/>
      <c r="V1096" s="739">
        <v>1500522</v>
      </c>
    </row>
    <row r="1097" spans="1:22" ht="15" x14ac:dyDescent="0.2">
      <c r="A1097" s="739">
        <v>1322</v>
      </c>
      <c r="B1097" s="743" t="s">
        <v>182</v>
      </c>
      <c r="C1097" s="736"/>
      <c r="D1097" s="736">
        <v>5000</v>
      </c>
      <c r="E1097" s="749">
        <v>0</v>
      </c>
      <c r="F1097" s="736">
        <v>0</v>
      </c>
      <c r="G1097" s="736"/>
      <c r="H1097" s="736"/>
      <c r="I1097" s="736"/>
      <c r="J1097" s="736">
        <f t="shared" si="426"/>
        <v>0</v>
      </c>
      <c r="K1097" s="736"/>
      <c r="L1097" s="736"/>
      <c r="M1097" s="736">
        <f t="shared" si="427"/>
        <v>0</v>
      </c>
      <c r="N1097" s="736"/>
      <c r="O1097" s="736"/>
      <c r="P1097" s="738">
        <f t="shared" si="428"/>
        <v>0</v>
      </c>
      <c r="Q1097" s="738"/>
      <c r="R1097" s="738"/>
      <c r="S1097" s="738"/>
      <c r="T1097" s="739">
        <v>1500521</v>
      </c>
      <c r="U1097" s="750"/>
      <c r="V1097" s="739">
        <v>1500522</v>
      </c>
    </row>
    <row r="1098" spans="1:22" ht="15" x14ac:dyDescent="0.2">
      <c r="A1098" s="739">
        <v>1323</v>
      </c>
      <c r="B1098" s="743" t="s">
        <v>11</v>
      </c>
      <c r="C1098" s="736"/>
      <c r="D1098" s="736">
        <v>28032.5</v>
      </c>
      <c r="E1098" s="749">
        <v>3104.85</v>
      </c>
      <c r="F1098" s="736">
        <v>0</v>
      </c>
      <c r="G1098" s="736"/>
      <c r="H1098" s="736"/>
      <c r="I1098" s="736"/>
      <c r="J1098" s="736">
        <f t="shared" si="426"/>
        <v>0</v>
      </c>
      <c r="K1098" s="736"/>
      <c r="L1098" s="736"/>
      <c r="M1098" s="736">
        <f t="shared" si="427"/>
        <v>0</v>
      </c>
      <c r="N1098" s="736"/>
      <c r="O1098" s="736"/>
      <c r="P1098" s="738">
        <f t="shared" si="428"/>
        <v>0</v>
      </c>
      <c r="Q1098" s="738"/>
      <c r="R1098" s="738"/>
      <c r="S1098" s="738">
        <v>31684.5</v>
      </c>
      <c r="T1098" s="739">
        <v>1500521</v>
      </c>
      <c r="U1098" s="750"/>
      <c r="V1098" s="739">
        <v>1500522</v>
      </c>
    </row>
    <row r="1099" spans="1:22" ht="15" x14ac:dyDescent="0.2">
      <c r="A1099" s="739">
        <v>1331</v>
      </c>
      <c r="B1099" s="743" t="s">
        <v>183</v>
      </c>
      <c r="C1099" s="736"/>
      <c r="D1099" s="736">
        <v>21566.400000000001</v>
      </c>
      <c r="E1099" s="749">
        <v>0</v>
      </c>
      <c r="F1099" s="736">
        <v>0</v>
      </c>
      <c r="G1099" s="736"/>
      <c r="H1099" s="736"/>
      <c r="I1099" s="736"/>
      <c r="J1099" s="736">
        <f t="shared" si="426"/>
        <v>0</v>
      </c>
      <c r="K1099" s="736"/>
      <c r="L1099" s="736"/>
      <c r="M1099" s="736">
        <f t="shared" si="427"/>
        <v>0</v>
      </c>
      <c r="N1099" s="736"/>
      <c r="O1099" s="736"/>
      <c r="P1099" s="738">
        <f t="shared" si="428"/>
        <v>0</v>
      </c>
      <c r="Q1099" s="738"/>
      <c r="R1099" s="738"/>
      <c r="S1099" s="738"/>
      <c r="T1099" s="739">
        <v>1500521</v>
      </c>
      <c r="U1099" s="750"/>
      <c r="V1099" s="739">
        <v>1500522</v>
      </c>
    </row>
    <row r="1100" spans="1:22" ht="15" x14ac:dyDescent="0.2">
      <c r="A1100" s="739">
        <v>1413</v>
      </c>
      <c r="B1100" s="743" t="s">
        <v>13</v>
      </c>
      <c r="C1100" s="736"/>
      <c r="D1100" s="736">
        <v>37275.74</v>
      </c>
      <c r="E1100" s="749">
        <v>8697.19</v>
      </c>
      <c r="F1100" s="736">
        <v>0</v>
      </c>
      <c r="G1100" s="736"/>
      <c r="H1100" s="736"/>
      <c r="I1100" s="736"/>
      <c r="J1100" s="736">
        <f t="shared" si="426"/>
        <v>0</v>
      </c>
      <c r="K1100" s="736"/>
      <c r="L1100" s="736"/>
      <c r="M1100" s="736">
        <f t="shared" si="427"/>
        <v>0</v>
      </c>
      <c r="N1100" s="736"/>
      <c r="O1100" s="736"/>
      <c r="P1100" s="738">
        <f t="shared" si="428"/>
        <v>0</v>
      </c>
      <c r="Q1100" s="738"/>
      <c r="R1100" s="738"/>
      <c r="S1100" s="738">
        <v>47781.120000000003</v>
      </c>
      <c r="T1100" s="739">
        <v>1500521</v>
      </c>
      <c r="U1100" s="750"/>
      <c r="V1100" s="739">
        <v>1500522</v>
      </c>
    </row>
    <row r="1101" spans="1:22" ht="15" x14ac:dyDescent="0.2">
      <c r="A1101" s="739">
        <v>1421</v>
      </c>
      <c r="B1101" s="743" t="s">
        <v>15</v>
      </c>
      <c r="C1101" s="736"/>
      <c r="D1101" s="736">
        <v>12074</v>
      </c>
      <c r="E1101" s="749">
        <v>4829</v>
      </c>
      <c r="F1101" s="736">
        <v>0</v>
      </c>
      <c r="G1101" s="736"/>
      <c r="H1101" s="736"/>
      <c r="I1101" s="736"/>
      <c r="J1101" s="736">
        <f t="shared" si="426"/>
        <v>0</v>
      </c>
      <c r="K1101" s="736"/>
      <c r="L1101" s="736"/>
      <c r="M1101" s="736">
        <f t="shared" si="427"/>
        <v>0</v>
      </c>
      <c r="N1101" s="736"/>
      <c r="O1101" s="736"/>
      <c r="P1101" s="738">
        <f t="shared" si="428"/>
        <v>0</v>
      </c>
      <c r="Q1101" s="738"/>
      <c r="R1101" s="738"/>
      <c r="S1101" s="738">
        <v>13724.4</v>
      </c>
      <c r="T1101" s="739">
        <v>1500521</v>
      </c>
      <c r="U1101" s="750"/>
      <c r="V1101" s="739">
        <v>1500522</v>
      </c>
    </row>
    <row r="1102" spans="1:22" ht="15" x14ac:dyDescent="0.2">
      <c r="A1102" s="739">
        <v>1431</v>
      </c>
      <c r="B1102" s="743" t="s">
        <v>16</v>
      </c>
      <c r="C1102" s="736"/>
      <c r="D1102" s="736">
        <v>12436.26</v>
      </c>
      <c r="E1102" s="749">
        <v>4974.26</v>
      </c>
      <c r="F1102" s="736">
        <v>0</v>
      </c>
      <c r="G1102" s="736"/>
      <c r="H1102" s="736"/>
      <c r="I1102" s="736"/>
      <c r="J1102" s="736">
        <f t="shared" si="426"/>
        <v>0</v>
      </c>
      <c r="K1102" s="736"/>
      <c r="L1102" s="736"/>
      <c r="M1102" s="736">
        <f t="shared" si="427"/>
        <v>0</v>
      </c>
      <c r="N1102" s="736"/>
      <c r="O1102" s="736"/>
      <c r="P1102" s="738">
        <f t="shared" si="428"/>
        <v>0</v>
      </c>
      <c r="Q1102" s="738"/>
      <c r="R1102" s="738"/>
      <c r="S1102" s="738">
        <v>14136.12</v>
      </c>
      <c r="T1102" s="739">
        <v>1500521</v>
      </c>
      <c r="U1102" s="750"/>
      <c r="V1102" s="739">
        <v>1500522</v>
      </c>
    </row>
    <row r="1103" spans="1:22" ht="15" x14ac:dyDescent="0.2">
      <c r="A1103" s="739">
        <v>1511</v>
      </c>
      <c r="B1103" s="743" t="s">
        <v>18</v>
      </c>
      <c r="C1103" s="736"/>
      <c r="D1103" s="736">
        <v>4080.44</v>
      </c>
      <c r="E1103" s="749">
        <v>1631.44</v>
      </c>
      <c r="F1103" s="736">
        <v>0</v>
      </c>
      <c r="G1103" s="736"/>
      <c r="H1103" s="736"/>
      <c r="I1103" s="736"/>
      <c r="J1103" s="736">
        <f t="shared" si="426"/>
        <v>0</v>
      </c>
      <c r="K1103" s="736"/>
      <c r="L1103" s="736"/>
      <c r="M1103" s="736">
        <f t="shared" si="427"/>
        <v>0</v>
      </c>
      <c r="N1103" s="736"/>
      <c r="O1103" s="736"/>
      <c r="P1103" s="738">
        <f t="shared" si="428"/>
        <v>0</v>
      </c>
      <c r="Q1103" s="738"/>
      <c r="R1103" s="738"/>
      <c r="S1103" s="738">
        <v>4611.88</v>
      </c>
      <c r="T1103" s="739">
        <v>1500521</v>
      </c>
      <c r="U1103" s="750"/>
      <c r="V1103" s="739">
        <v>1500522</v>
      </c>
    </row>
    <row r="1104" spans="1:22" ht="15" x14ac:dyDescent="0.2">
      <c r="A1104" s="739">
        <v>1541</v>
      </c>
      <c r="B1104" s="743" t="s">
        <v>19</v>
      </c>
      <c r="C1104" s="736"/>
      <c r="D1104" s="736">
        <v>3640</v>
      </c>
      <c r="E1104" s="749">
        <v>728</v>
      </c>
      <c r="F1104" s="736">
        <v>0</v>
      </c>
      <c r="G1104" s="736"/>
      <c r="H1104" s="736"/>
      <c r="I1104" s="736"/>
      <c r="J1104" s="736">
        <f t="shared" si="426"/>
        <v>0</v>
      </c>
      <c r="K1104" s="736"/>
      <c r="L1104" s="736"/>
      <c r="M1104" s="736">
        <f t="shared" si="427"/>
        <v>0</v>
      </c>
      <c r="N1104" s="736"/>
      <c r="O1104" s="736"/>
      <c r="P1104" s="738">
        <f t="shared" si="428"/>
        <v>0</v>
      </c>
      <c r="Q1104" s="738"/>
      <c r="R1104" s="738"/>
      <c r="S1104" s="738">
        <v>5888.22</v>
      </c>
      <c r="T1104" s="739">
        <v>1500521</v>
      </c>
      <c r="U1104" s="750"/>
      <c r="V1104" s="739">
        <v>1500522</v>
      </c>
    </row>
    <row r="1105" spans="1:22" ht="15" x14ac:dyDescent="0.2">
      <c r="A1105" s="739">
        <v>1591</v>
      </c>
      <c r="B1105" s="743" t="s">
        <v>184</v>
      </c>
      <c r="C1105" s="736"/>
      <c r="D1105" s="736">
        <v>3000</v>
      </c>
      <c r="E1105" s="749">
        <v>600</v>
      </c>
      <c r="F1105" s="736">
        <v>0</v>
      </c>
      <c r="G1105" s="736"/>
      <c r="H1105" s="736"/>
      <c r="I1105" s="736"/>
      <c r="J1105" s="736">
        <f t="shared" si="426"/>
        <v>0</v>
      </c>
      <c r="K1105" s="736"/>
      <c r="L1105" s="736"/>
      <c r="M1105" s="736">
        <f t="shared" si="427"/>
        <v>0</v>
      </c>
      <c r="N1105" s="736"/>
      <c r="O1105" s="736"/>
      <c r="P1105" s="738">
        <f t="shared" si="428"/>
        <v>0</v>
      </c>
      <c r="Q1105" s="738"/>
      <c r="R1105" s="738"/>
      <c r="S1105" s="738"/>
      <c r="T1105" s="739">
        <v>1500521</v>
      </c>
      <c r="U1105" s="750"/>
      <c r="V1105" s="739">
        <v>1500522</v>
      </c>
    </row>
    <row r="1106" spans="1:22" ht="15" x14ac:dyDescent="0.2">
      <c r="A1106" s="739">
        <v>1592</v>
      </c>
      <c r="B1106" s="743" t="s">
        <v>20</v>
      </c>
      <c r="C1106" s="736"/>
      <c r="D1106" s="736">
        <v>39439.4</v>
      </c>
      <c r="E1106" s="749">
        <v>3276.26</v>
      </c>
      <c r="F1106" s="736">
        <v>0</v>
      </c>
      <c r="G1106" s="752"/>
      <c r="H1106" s="752"/>
      <c r="I1106" s="752"/>
      <c r="J1106" s="736">
        <f t="shared" si="426"/>
        <v>0</v>
      </c>
      <c r="K1106" s="752"/>
      <c r="L1106" s="752"/>
      <c r="M1106" s="736">
        <f t="shared" si="427"/>
        <v>0</v>
      </c>
      <c r="N1106" s="736"/>
      <c r="O1106" s="736"/>
      <c r="P1106" s="738">
        <f t="shared" si="428"/>
        <v>0</v>
      </c>
      <c r="Q1106" s="753"/>
      <c r="R1106" s="738"/>
      <c r="S1106" s="753">
        <v>44582.720000000001</v>
      </c>
      <c r="T1106" s="739">
        <v>1500521</v>
      </c>
      <c r="U1106" s="750"/>
      <c r="V1106" s="739">
        <v>1500522</v>
      </c>
    </row>
    <row r="1107" spans="1:22" ht="15" x14ac:dyDescent="0.25">
      <c r="A1107" s="734">
        <v>2111</v>
      </c>
      <c r="B1107" s="735" t="s">
        <v>22</v>
      </c>
      <c r="C1107" s="736">
        <v>5638.95</v>
      </c>
      <c r="D1107" s="736">
        <v>4000</v>
      </c>
      <c r="E1107" s="749">
        <v>2800</v>
      </c>
      <c r="F1107" s="736">
        <v>2100.66</v>
      </c>
      <c r="G1107" s="752">
        <v>2800</v>
      </c>
      <c r="H1107" s="752"/>
      <c r="I1107" s="752"/>
      <c r="J1107" s="736">
        <f t="shared" si="426"/>
        <v>2800</v>
      </c>
      <c r="K1107" s="752"/>
      <c r="L1107" s="752"/>
      <c r="M1107" s="736">
        <f t="shared" si="427"/>
        <v>2800</v>
      </c>
      <c r="N1107" s="736"/>
      <c r="O1107" s="736"/>
      <c r="P1107" s="736">
        <f t="shared" si="428"/>
        <v>2800</v>
      </c>
      <c r="Q1107" s="898">
        <v>2800</v>
      </c>
      <c r="R1107" s="738">
        <v>1275</v>
      </c>
      <c r="S1107" s="753">
        <v>2912</v>
      </c>
      <c r="T1107" s="739">
        <v>1100121</v>
      </c>
      <c r="U1107" s="754">
        <v>2912</v>
      </c>
      <c r="V1107" s="741">
        <v>1100122</v>
      </c>
    </row>
    <row r="1108" spans="1:22" ht="15" x14ac:dyDescent="0.25">
      <c r="A1108" s="734">
        <v>2121</v>
      </c>
      <c r="B1108" s="735" t="s">
        <v>24</v>
      </c>
      <c r="C1108" s="736">
        <v>4382.6000000000004</v>
      </c>
      <c r="D1108" s="736">
        <v>5000</v>
      </c>
      <c r="E1108" s="749">
        <v>3500</v>
      </c>
      <c r="F1108" s="736">
        <v>899</v>
      </c>
      <c r="G1108" s="752">
        <v>3500</v>
      </c>
      <c r="H1108" s="752"/>
      <c r="I1108" s="752"/>
      <c r="J1108" s="736">
        <f t="shared" si="426"/>
        <v>3500</v>
      </c>
      <c r="K1108" s="752"/>
      <c r="L1108" s="752"/>
      <c r="M1108" s="736">
        <f t="shared" si="427"/>
        <v>3500</v>
      </c>
      <c r="N1108" s="736"/>
      <c r="O1108" s="736"/>
      <c r="P1108" s="736">
        <f t="shared" si="428"/>
        <v>3500</v>
      </c>
      <c r="Q1108" s="898">
        <v>1963</v>
      </c>
      <c r="R1108" s="738">
        <v>1788</v>
      </c>
      <c r="S1108" s="753">
        <v>3640</v>
      </c>
      <c r="T1108" s="739">
        <v>1100121</v>
      </c>
      <c r="U1108" s="754">
        <v>3640</v>
      </c>
      <c r="V1108" s="741">
        <v>1100122</v>
      </c>
    </row>
    <row r="1109" spans="1:22" ht="15" x14ac:dyDescent="0.2">
      <c r="A1109" s="728" t="s">
        <v>192</v>
      </c>
      <c r="B1109" s="729" t="s">
        <v>1620</v>
      </c>
      <c r="C1109" s="730">
        <f t="shared" ref="C1109:S1109" si="429">SUM(C1110:C1129)</f>
        <v>625276.93999999994</v>
      </c>
      <c r="D1109" s="730">
        <f t="shared" si="429"/>
        <v>737262.42</v>
      </c>
      <c r="E1109" s="730">
        <f t="shared" si="429"/>
        <v>737964.73</v>
      </c>
      <c r="F1109" s="730">
        <f t="shared" si="429"/>
        <v>735669.42999999982</v>
      </c>
      <c r="G1109" s="730">
        <f t="shared" si="429"/>
        <v>759601.89999999991</v>
      </c>
      <c r="H1109" s="730">
        <f t="shared" si="429"/>
        <v>0</v>
      </c>
      <c r="I1109" s="730">
        <f t="shared" si="429"/>
        <v>0</v>
      </c>
      <c r="J1109" s="730">
        <f t="shared" si="429"/>
        <v>759601.89999999991</v>
      </c>
      <c r="K1109" s="730">
        <f t="shared" si="429"/>
        <v>26213.33</v>
      </c>
      <c r="L1109" s="730">
        <f t="shared" si="429"/>
        <v>0</v>
      </c>
      <c r="M1109" s="730">
        <f t="shared" si="429"/>
        <v>785815.2300000001</v>
      </c>
      <c r="N1109" s="730">
        <f t="shared" si="429"/>
        <v>0</v>
      </c>
      <c r="O1109" s="730">
        <f t="shared" si="429"/>
        <v>0</v>
      </c>
      <c r="P1109" s="730">
        <f t="shared" si="429"/>
        <v>785815.2300000001</v>
      </c>
      <c r="Q1109" s="748">
        <f t="shared" si="429"/>
        <v>788378.51000000013</v>
      </c>
      <c r="R1109" s="748">
        <f>SUM(R1110:R1129)</f>
        <v>534652.80999999994</v>
      </c>
      <c r="S1109" s="748">
        <f t="shared" si="429"/>
        <v>783103.92</v>
      </c>
      <c r="T1109" s="731"/>
      <c r="U1109" s="732">
        <f>SUM(U1110:U1129)</f>
        <v>791715.42</v>
      </c>
      <c r="V1109" s="733"/>
    </row>
    <row r="1110" spans="1:22" ht="15" x14ac:dyDescent="0.25">
      <c r="A1110" s="734">
        <v>1131</v>
      </c>
      <c r="B1110" s="735" t="s">
        <v>6</v>
      </c>
      <c r="C1110" s="736">
        <v>61018.82</v>
      </c>
      <c r="D1110" s="736">
        <v>90304.76</v>
      </c>
      <c r="E1110" s="749">
        <v>90304.76</v>
      </c>
      <c r="F1110" s="736">
        <v>99561.89</v>
      </c>
      <c r="G1110" s="736">
        <v>98252.400000000009</v>
      </c>
      <c r="H1110" s="736"/>
      <c r="I1110" s="736"/>
      <c r="J1110" s="736">
        <f t="shared" ref="J1110:J1129" si="430">G1110+H1110-I1110</f>
        <v>98252.400000000009</v>
      </c>
      <c r="K1110" s="736">
        <v>443.48</v>
      </c>
      <c r="L1110" s="736"/>
      <c r="M1110" s="736">
        <f t="shared" ref="M1110:M1129" si="431">J1110+K1110-L1110</f>
        <v>98695.88</v>
      </c>
      <c r="N1110" s="736"/>
      <c r="O1110" s="736"/>
      <c r="P1110" s="736">
        <f t="shared" ref="P1110:P1129" si="432">M1110+N1110-O1110</f>
        <v>98695.88</v>
      </c>
      <c r="Q1110" s="738">
        <v>98695.88</v>
      </c>
      <c r="R1110" s="738">
        <v>71056.960000000006</v>
      </c>
      <c r="S1110" s="751">
        <v>102065.60000000001</v>
      </c>
      <c r="T1110" s="739">
        <v>1500521</v>
      </c>
      <c r="U1110" s="779">
        <v>101775.83</v>
      </c>
      <c r="V1110" s="741">
        <v>1500522</v>
      </c>
    </row>
    <row r="1111" spans="1:22" ht="15" x14ac:dyDescent="0.25">
      <c r="A1111" s="734">
        <v>1132</v>
      </c>
      <c r="B1111" s="735" t="s">
        <v>8</v>
      </c>
      <c r="C1111" s="736">
        <v>225867.84</v>
      </c>
      <c r="D1111" s="736">
        <v>240818.76</v>
      </c>
      <c r="E1111" s="749">
        <v>240818.76</v>
      </c>
      <c r="F1111" s="736">
        <v>250252.34</v>
      </c>
      <c r="G1111" s="736">
        <v>252991</v>
      </c>
      <c r="H1111" s="736"/>
      <c r="I1111" s="736"/>
      <c r="J1111" s="736">
        <f t="shared" si="430"/>
        <v>252991</v>
      </c>
      <c r="K1111" s="736">
        <v>8921.6200000000008</v>
      </c>
      <c r="L1111" s="736"/>
      <c r="M1111" s="736">
        <f t="shared" si="431"/>
        <v>261912.62</v>
      </c>
      <c r="N1111" s="736"/>
      <c r="O1111" s="736"/>
      <c r="P1111" s="736">
        <f t="shared" si="432"/>
        <v>261912.62</v>
      </c>
      <c r="Q1111" s="738">
        <v>261912.62</v>
      </c>
      <c r="R1111" s="738">
        <v>186164.7</v>
      </c>
      <c r="S1111" s="751">
        <v>272191.92</v>
      </c>
      <c r="T1111" s="739">
        <v>1500521</v>
      </c>
      <c r="U1111" s="779">
        <v>267290.32</v>
      </c>
      <c r="V1111" s="741">
        <v>1500522</v>
      </c>
    </row>
    <row r="1112" spans="1:22" ht="15" x14ac:dyDescent="0.25">
      <c r="A1112" s="734">
        <v>1321</v>
      </c>
      <c r="B1112" s="735" t="s">
        <v>9</v>
      </c>
      <c r="C1112" s="736">
        <v>13928.12</v>
      </c>
      <c r="D1112" s="736">
        <v>14574.28</v>
      </c>
      <c r="E1112" s="749">
        <v>14574.28</v>
      </c>
      <c r="F1112" s="736">
        <v>14574.28</v>
      </c>
      <c r="G1112" s="736">
        <v>16386.099999999999</v>
      </c>
      <c r="H1112" s="736"/>
      <c r="I1112" s="736"/>
      <c r="J1112" s="736">
        <f t="shared" si="430"/>
        <v>16386.099999999999</v>
      </c>
      <c r="K1112" s="736">
        <v>549.20000000000005</v>
      </c>
      <c r="L1112" s="736"/>
      <c r="M1112" s="736">
        <f t="shared" si="431"/>
        <v>16935.3</v>
      </c>
      <c r="N1112" s="736"/>
      <c r="O1112" s="736"/>
      <c r="P1112" s="736">
        <f t="shared" si="432"/>
        <v>16935.3</v>
      </c>
      <c r="Q1112" s="738">
        <v>16935.3</v>
      </c>
      <c r="R1112" s="738">
        <v>7655.42</v>
      </c>
      <c r="S1112" s="751">
        <v>17629.96</v>
      </c>
      <c r="T1112" s="739">
        <v>1500521</v>
      </c>
      <c r="U1112" s="779">
        <v>16624.2</v>
      </c>
      <c r="V1112" s="741">
        <v>1500522</v>
      </c>
    </row>
    <row r="1113" spans="1:22" ht="15" x14ac:dyDescent="0.25">
      <c r="A1113" s="734">
        <v>1323</v>
      </c>
      <c r="B1113" s="735" t="s">
        <v>11</v>
      </c>
      <c r="C1113" s="736">
        <v>55572</v>
      </c>
      <c r="D1113" s="736">
        <v>57516.5</v>
      </c>
      <c r="E1113" s="749">
        <v>57516.5</v>
      </c>
      <c r="F1113" s="736">
        <v>58380</v>
      </c>
      <c r="G1113" s="736">
        <v>60422.5</v>
      </c>
      <c r="H1113" s="736"/>
      <c r="I1113" s="736"/>
      <c r="J1113" s="736">
        <f t="shared" si="430"/>
        <v>60422.5</v>
      </c>
      <c r="K1113" s="736">
        <v>2025.12</v>
      </c>
      <c r="L1113" s="736"/>
      <c r="M1113" s="736">
        <f t="shared" si="431"/>
        <v>62447.62</v>
      </c>
      <c r="N1113" s="736"/>
      <c r="O1113" s="736"/>
      <c r="P1113" s="736">
        <f t="shared" si="432"/>
        <v>62447.62</v>
      </c>
      <c r="Q1113" s="738">
        <v>62447.62</v>
      </c>
      <c r="R1113" s="738">
        <v>45999</v>
      </c>
      <c r="S1113" s="751">
        <v>65009</v>
      </c>
      <c r="T1113" s="739">
        <v>1500521</v>
      </c>
      <c r="U1113" s="779">
        <v>61843.1</v>
      </c>
      <c r="V1113" s="741">
        <v>1500522</v>
      </c>
    </row>
    <row r="1114" spans="1:22" ht="15" x14ac:dyDescent="0.25">
      <c r="A1114" s="734">
        <v>1413</v>
      </c>
      <c r="B1114" s="735" t="s">
        <v>13</v>
      </c>
      <c r="C1114" s="736">
        <v>60776.34</v>
      </c>
      <c r="D1114" s="736">
        <v>76596.820000000007</v>
      </c>
      <c r="E1114" s="749">
        <v>75361.820000000007</v>
      </c>
      <c r="F1114" s="736">
        <v>74484.47</v>
      </c>
      <c r="G1114" s="736">
        <v>86504.8</v>
      </c>
      <c r="H1114" s="736"/>
      <c r="I1114" s="736"/>
      <c r="J1114" s="736">
        <f t="shared" si="430"/>
        <v>86504.8</v>
      </c>
      <c r="K1114" s="736">
        <v>5194.0200000000004</v>
      </c>
      <c r="L1114" s="736"/>
      <c r="M1114" s="736">
        <f t="shared" si="431"/>
        <v>91698.82</v>
      </c>
      <c r="N1114" s="736"/>
      <c r="O1114" s="736"/>
      <c r="P1114" s="736">
        <f t="shared" si="432"/>
        <v>91698.82</v>
      </c>
      <c r="Q1114" s="738">
        <v>91698.82</v>
      </c>
      <c r="R1114" s="738">
        <v>61767.65</v>
      </c>
      <c r="S1114" s="751">
        <v>98451.6</v>
      </c>
      <c r="T1114" s="739">
        <v>1500521</v>
      </c>
      <c r="U1114" s="779">
        <v>92801.47</v>
      </c>
      <c r="V1114" s="741">
        <v>1500522</v>
      </c>
    </row>
    <row r="1115" spans="1:22" ht="15" x14ac:dyDescent="0.25">
      <c r="A1115" s="734">
        <v>1421</v>
      </c>
      <c r="B1115" s="735" t="s">
        <v>15</v>
      </c>
      <c r="C1115" s="736">
        <v>23286.48</v>
      </c>
      <c r="D1115" s="736">
        <v>24928.5</v>
      </c>
      <c r="E1115" s="749">
        <v>22462.5</v>
      </c>
      <c r="F1115" s="736">
        <v>24145.22</v>
      </c>
      <c r="G1115" s="736">
        <v>26336.400000000001</v>
      </c>
      <c r="H1115" s="736"/>
      <c r="I1115" s="736"/>
      <c r="J1115" s="736">
        <f t="shared" si="430"/>
        <v>26336.400000000001</v>
      </c>
      <c r="K1115" s="736">
        <v>1679.65</v>
      </c>
      <c r="L1115" s="736"/>
      <c r="M1115" s="736">
        <f t="shared" si="431"/>
        <v>28016.050000000003</v>
      </c>
      <c r="N1115" s="736"/>
      <c r="O1115" s="736"/>
      <c r="P1115" s="736">
        <f t="shared" si="432"/>
        <v>28016.050000000003</v>
      </c>
      <c r="Q1115" s="738">
        <v>28016.05</v>
      </c>
      <c r="R1115" s="738">
        <v>17331.63</v>
      </c>
      <c r="S1115" s="751">
        <v>28395.119999999999</v>
      </c>
      <c r="T1115" s="739">
        <v>1500521</v>
      </c>
      <c r="U1115" s="779">
        <v>26661.22</v>
      </c>
      <c r="V1115" s="741">
        <v>1500522</v>
      </c>
    </row>
    <row r="1116" spans="1:22" ht="15" x14ac:dyDescent="0.25">
      <c r="A1116" s="734">
        <v>1431</v>
      </c>
      <c r="B1116" s="735" t="s">
        <v>16</v>
      </c>
      <c r="C1116" s="736">
        <v>23820.7</v>
      </c>
      <c r="D1116" s="736">
        <v>25676.42</v>
      </c>
      <c r="E1116" s="749">
        <v>23565.42</v>
      </c>
      <c r="F1116" s="736">
        <v>25543.200000000001</v>
      </c>
      <c r="G1116" s="736">
        <v>27126.5</v>
      </c>
      <c r="H1116" s="736"/>
      <c r="I1116" s="736"/>
      <c r="J1116" s="736">
        <f t="shared" si="430"/>
        <v>27126.5</v>
      </c>
      <c r="K1116" s="736">
        <v>1724.48</v>
      </c>
      <c r="L1116" s="736"/>
      <c r="M1116" s="736">
        <f t="shared" si="431"/>
        <v>28850.98</v>
      </c>
      <c r="N1116" s="736"/>
      <c r="O1116" s="736"/>
      <c r="P1116" s="736">
        <f t="shared" si="432"/>
        <v>28850.98</v>
      </c>
      <c r="Q1116" s="738">
        <v>28850.98</v>
      </c>
      <c r="R1116" s="738">
        <v>17886.939999999999</v>
      </c>
      <c r="S1116" s="751">
        <v>29246.880000000001</v>
      </c>
      <c r="T1116" s="739">
        <v>1500521</v>
      </c>
      <c r="U1116" s="779">
        <v>26974.39</v>
      </c>
      <c r="V1116" s="741">
        <v>1500522</v>
      </c>
    </row>
    <row r="1117" spans="1:22" ht="15" x14ac:dyDescent="0.25">
      <c r="A1117" s="734">
        <v>1511</v>
      </c>
      <c r="B1117" s="735" t="s">
        <v>18</v>
      </c>
      <c r="C1117" s="736">
        <v>7773.06</v>
      </c>
      <c r="D1117" s="736">
        <v>8372</v>
      </c>
      <c r="E1117" s="749">
        <v>8372</v>
      </c>
      <c r="F1117" s="736">
        <v>8679.32</v>
      </c>
      <c r="G1117" s="736">
        <v>8797.9</v>
      </c>
      <c r="H1117" s="736"/>
      <c r="I1117" s="736"/>
      <c r="J1117" s="736">
        <f t="shared" si="430"/>
        <v>8797.9</v>
      </c>
      <c r="K1117" s="736">
        <v>294.77</v>
      </c>
      <c r="L1117" s="736"/>
      <c r="M1117" s="736">
        <f t="shared" si="431"/>
        <v>9092.67</v>
      </c>
      <c r="N1117" s="736"/>
      <c r="O1117" s="736"/>
      <c r="P1117" s="736">
        <f t="shared" si="432"/>
        <v>9092.67</v>
      </c>
      <c r="Q1117" s="738">
        <v>9092.67</v>
      </c>
      <c r="R1117" s="738">
        <v>6445.02</v>
      </c>
      <c r="S1117" s="751">
        <v>9464</v>
      </c>
      <c r="T1117" s="739">
        <v>1500521</v>
      </c>
      <c r="U1117" s="779">
        <v>9259.15</v>
      </c>
      <c r="V1117" s="741">
        <v>1500522</v>
      </c>
    </row>
    <row r="1118" spans="1:22" ht="15" x14ac:dyDescent="0.25">
      <c r="A1118" s="734">
        <v>1541</v>
      </c>
      <c r="B1118" s="735" t="s">
        <v>19</v>
      </c>
      <c r="C1118" s="736">
        <v>40255.75</v>
      </c>
      <c r="D1118" s="736">
        <v>45877.78</v>
      </c>
      <c r="E1118" s="749">
        <v>45692.09</v>
      </c>
      <c r="F1118" s="736">
        <v>47157.36</v>
      </c>
      <c r="G1118" s="736">
        <v>60365.1</v>
      </c>
      <c r="H1118" s="736"/>
      <c r="I1118" s="736"/>
      <c r="J1118" s="736">
        <f t="shared" si="430"/>
        <v>60365.1</v>
      </c>
      <c r="K1118" s="736">
        <v>2297.66</v>
      </c>
      <c r="L1118" s="736"/>
      <c r="M1118" s="736">
        <f t="shared" si="431"/>
        <v>62662.759999999995</v>
      </c>
      <c r="N1118" s="736"/>
      <c r="O1118" s="736"/>
      <c r="P1118" s="736">
        <f t="shared" si="432"/>
        <v>62662.759999999995</v>
      </c>
      <c r="Q1118" s="738">
        <v>58610.28</v>
      </c>
      <c r="R1118" s="738">
        <v>37684.15</v>
      </c>
      <c r="S1118" s="751">
        <v>61641.84</v>
      </c>
      <c r="T1118" s="739">
        <v>1500521</v>
      </c>
      <c r="U1118" s="779">
        <v>61641.84</v>
      </c>
      <c r="V1118" s="741">
        <v>1500522</v>
      </c>
    </row>
    <row r="1119" spans="1:22" ht="15" x14ac:dyDescent="0.25">
      <c r="A1119" s="734">
        <v>1592</v>
      </c>
      <c r="B1119" s="735" t="s">
        <v>20</v>
      </c>
      <c r="C1119" s="736">
        <v>81316.259999999995</v>
      </c>
      <c r="D1119" s="736">
        <v>87596.6</v>
      </c>
      <c r="E1119" s="749">
        <v>87596.6</v>
      </c>
      <c r="F1119" s="736">
        <v>90796.479999999996</v>
      </c>
      <c r="G1119" s="736">
        <v>92019.199999999997</v>
      </c>
      <c r="H1119" s="736"/>
      <c r="I1119" s="736"/>
      <c r="J1119" s="736">
        <f t="shared" si="430"/>
        <v>92019.199999999997</v>
      </c>
      <c r="K1119" s="736">
        <v>3083.33</v>
      </c>
      <c r="L1119" s="736"/>
      <c r="M1119" s="736">
        <f t="shared" si="431"/>
        <v>95102.53</v>
      </c>
      <c r="N1119" s="736"/>
      <c r="O1119" s="736"/>
      <c r="P1119" s="736">
        <f t="shared" si="432"/>
        <v>95102.53</v>
      </c>
      <c r="Q1119" s="738">
        <v>102242.29</v>
      </c>
      <c r="R1119" s="738">
        <v>67409.119999999995</v>
      </c>
      <c r="S1119" s="751">
        <v>99008</v>
      </c>
      <c r="T1119" s="739">
        <v>1500521</v>
      </c>
      <c r="U1119" s="779">
        <v>96843.9</v>
      </c>
      <c r="V1119" s="741">
        <v>1500522</v>
      </c>
    </row>
    <row r="1120" spans="1:22" ht="15" x14ac:dyDescent="0.2">
      <c r="A1120" s="734">
        <v>2111</v>
      </c>
      <c r="B1120" s="735" t="s">
        <v>22</v>
      </c>
      <c r="C1120" s="736">
        <v>5315</v>
      </c>
      <c r="D1120" s="736">
        <v>5000</v>
      </c>
      <c r="E1120" s="749">
        <v>3500</v>
      </c>
      <c r="F1120" s="736">
        <v>1214.99</v>
      </c>
      <c r="G1120" s="752">
        <v>3500</v>
      </c>
      <c r="H1120" s="752"/>
      <c r="I1120" s="752"/>
      <c r="J1120" s="736">
        <f t="shared" si="430"/>
        <v>3500</v>
      </c>
      <c r="K1120" s="752"/>
      <c r="L1120" s="752"/>
      <c r="M1120" s="736">
        <f t="shared" si="431"/>
        <v>3500</v>
      </c>
      <c r="N1120" s="736"/>
      <c r="O1120" s="736"/>
      <c r="P1120" s="736">
        <f t="shared" si="432"/>
        <v>3500</v>
      </c>
      <c r="Q1120" s="753">
        <v>3500</v>
      </c>
      <c r="R1120" s="738">
        <v>1615.96</v>
      </c>
      <c r="S1120" s="753"/>
      <c r="T1120" s="739">
        <v>1100121</v>
      </c>
      <c r="U1120" s="754">
        <v>3500</v>
      </c>
      <c r="V1120" s="741">
        <v>1100122</v>
      </c>
    </row>
    <row r="1121" spans="1:22" ht="15" x14ac:dyDescent="0.2">
      <c r="A1121" s="739">
        <v>2112</v>
      </c>
      <c r="B1121" s="743" t="s">
        <v>39</v>
      </c>
      <c r="C1121" s="736">
        <v>4004.32</v>
      </c>
      <c r="D1121" s="736">
        <v>15000</v>
      </c>
      <c r="E1121" s="749">
        <v>15000</v>
      </c>
      <c r="F1121" s="736">
        <v>14480</v>
      </c>
      <c r="G1121" s="752">
        <v>0</v>
      </c>
      <c r="H1121" s="752"/>
      <c r="I1121" s="752"/>
      <c r="J1121" s="736">
        <f t="shared" si="430"/>
        <v>0</v>
      </c>
      <c r="K1121" s="752"/>
      <c r="L1121" s="752"/>
      <c r="M1121" s="736">
        <f t="shared" si="431"/>
        <v>0</v>
      </c>
      <c r="N1121" s="736"/>
      <c r="O1121" s="736"/>
      <c r="P1121" s="738">
        <f t="shared" si="432"/>
        <v>0</v>
      </c>
      <c r="Q1121" s="753">
        <v>0</v>
      </c>
      <c r="R1121" s="738"/>
      <c r="S1121" s="753"/>
      <c r="T1121" s="739">
        <v>1100121</v>
      </c>
      <c r="U1121" s="841">
        <v>0</v>
      </c>
      <c r="V1121" s="739">
        <v>1100122</v>
      </c>
    </row>
    <row r="1122" spans="1:22" ht="15" x14ac:dyDescent="0.2">
      <c r="A1122" s="734">
        <v>2121</v>
      </c>
      <c r="B1122" s="735" t="s">
        <v>24</v>
      </c>
      <c r="C1122" s="736">
        <v>5000</v>
      </c>
      <c r="D1122" s="736">
        <v>6000</v>
      </c>
      <c r="E1122" s="749">
        <v>4200</v>
      </c>
      <c r="F1122" s="736">
        <v>3745</v>
      </c>
      <c r="G1122" s="752">
        <v>4200</v>
      </c>
      <c r="H1122" s="752"/>
      <c r="I1122" s="752"/>
      <c r="J1122" s="736">
        <f t="shared" si="430"/>
        <v>4200</v>
      </c>
      <c r="K1122" s="752"/>
      <c r="L1122" s="752"/>
      <c r="M1122" s="736">
        <f t="shared" si="431"/>
        <v>4200</v>
      </c>
      <c r="N1122" s="736"/>
      <c r="O1122" s="736"/>
      <c r="P1122" s="736">
        <f t="shared" si="432"/>
        <v>4200</v>
      </c>
      <c r="Q1122" s="753">
        <v>3676</v>
      </c>
      <c r="R1122" s="738">
        <v>3466</v>
      </c>
      <c r="S1122" s="753"/>
      <c r="T1122" s="739">
        <v>1100121</v>
      </c>
      <c r="U1122" s="754">
        <v>5000</v>
      </c>
      <c r="V1122" s="741">
        <v>1100122</v>
      </c>
    </row>
    <row r="1123" spans="1:22" ht="15" x14ac:dyDescent="0.2">
      <c r="A1123" s="734">
        <v>3141</v>
      </c>
      <c r="B1123" s="735" t="s">
        <v>48</v>
      </c>
      <c r="C1123" s="736">
        <v>5717.53</v>
      </c>
      <c r="D1123" s="736">
        <v>7000</v>
      </c>
      <c r="E1123" s="749">
        <v>7000</v>
      </c>
      <c r="F1123" s="736">
        <v>5085.91</v>
      </c>
      <c r="G1123" s="752">
        <v>7700</v>
      </c>
      <c r="H1123" s="752"/>
      <c r="I1123" s="752"/>
      <c r="J1123" s="736">
        <f t="shared" si="430"/>
        <v>7700</v>
      </c>
      <c r="K1123" s="752"/>
      <c r="L1123" s="752"/>
      <c r="M1123" s="736">
        <f t="shared" si="431"/>
        <v>7700</v>
      </c>
      <c r="N1123" s="736"/>
      <c r="O1123" s="736"/>
      <c r="P1123" s="736">
        <f t="shared" si="432"/>
        <v>7700</v>
      </c>
      <c r="Q1123" s="753">
        <v>7700</v>
      </c>
      <c r="R1123" s="738">
        <v>3751.57</v>
      </c>
      <c r="S1123" s="753"/>
      <c r="T1123" s="739">
        <v>1100121</v>
      </c>
      <c r="U1123" s="754">
        <v>6500</v>
      </c>
      <c r="V1123" s="741">
        <v>1100122</v>
      </c>
    </row>
    <row r="1124" spans="1:22" ht="15" x14ac:dyDescent="0.2">
      <c r="A1124" s="734">
        <v>3691</v>
      </c>
      <c r="B1124" s="735" t="s">
        <v>72</v>
      </c>
      <c r="C1124" s="736">
        <v>1446</v>
      </c>
      <c r="D1124" s="736">
        <v>2000</v>
      </c>
      <c r="E1124" s="749">
        <v>2000</v>
      </c>
      <c r="F1124" s="736">
        <v>1497</v>
      </c>
      <c r="G1124" s="752">
        <v>2000</v>
      </c>
      <c r="H1124" s="752"/>
      <c r="I1124" s="752"/>
      <c r="J1124" s="736">
        <f t="shared" si="430"/>
        <v>2000</v>
      </c>
      <c r="K1124" s="752"/>
      <c r="L1124" s="752"/>
      <c r="M1124" s="736">
        <f t="shared" si="431"/>
        <v>2000</v>
      </c>
      <c r="N1124" s="736"/>
      <c r="O1124" s="736"/>
      <c r="P1124" s="736">
        <f t="shared" si="432"/>
        <v>2000</v>
      </c>
      <c r="Q1124" s="753">
        <v>2000</v>
      </c>
      <c r="R1124" s="738">
        <v>1549</v>
      </c>
      <c r="S1124" s="753"/>
      <c r="T1124" s="739">
        <v>1100121</v>
      </c>
      <c r="U1124" s="754">
        <v>2000</v>
      </c>
      <c r="V1124" s="741">
        <v>1100122</v>
      </c>
    </row>
    <row r="1125" spans="1:22" ht="15" x14ac:dyDescent="0.2">
      <c r="A1125" s="734">
        <v>3751</v>
      </c>
      <c r="B1125" s="735" t="s">
        <v>44</v>
      </c>
      <c r="C1125" s="736">
        <v>2114.0100000000002</v>
      </c>
      <c r="D1125" s="736">
        <v>3000</v>
      </c>
      <c r="E1125" s="749">
        <v>3000</v>
      </c>
      <c r="F1125" s="736">
        <v>0</v>
      </c>
      <c r="G1125" s="752">
        <v>3000</v>
      </c>
      <c r="H1125" s="752"/>
      <c r="I1125" s="752"/>
      <c r="J1125" s="736">
        <f t="shared" si="430"/>
        <v>3000</v>
      </c>
      <c r="K1125" s="752"/>
      <c r="L1125" s="752"/>
      <c r="M1125" s="736">
        <f t="shared" si="431"/>
        <v>3000</v>
      </c>
      <c r="N1125" s="736"/>
      <c r="O1125" s="736"/>
      <c r="P1125" s="736">
        <f t="shared" si="432"/>
        <v>3000</v>
      </c>
      <c r="Q1125" s="753">
        <v>3000</v>
      </c>
      <c r="R1125" s="738"/>
      <c r="S1125" s="753"/>
      <c r="T1125" s="739">
        <v>1100121</v>
      </c>
      <c r="U1125" s="754">
        <v>3000</v>
      </c>
      <c r="V1125" s="741">
        <v>1100122</v>
      </c>
    </row>
    <row r="1126" spans="1:22" ht="15" x14ac:dyDescent="0.2">
      <c r="A1126" s="739">
        <v>3791</v>
      </c>
      <c r="B1126" s="743" t="s">
        <v>45</v>
      </c>
      <c r="C1126" s="736">
        <v>960</v>
      </c>
      <c r="D1126" s="736">
        <v>5000</v>
      </c>
      <c r="E1126" s="749">
        <v>5000</v>
      </c>
      <c r="F1126" s="736">
        <v>0</v>
      </c>
      <c r="G1126" s="752">
        <v>5000</v>
      </c>
      <c r="H1126" s="752"/>
      <c r="I1126" s="752"/>
      <c r="J1126" s="736">
        <f t="shared" si="430"/>
        <v>5000</v>
      </c>
      <c r="K1126" s="752"/>
      <c r="L1126" s="752"/>
      <c r="M1126" s="736">
        <f t="shared" si="431"/>
        <v>5000</v>
      </c>
      <c r="N1126" s="736"/>
      <c r="O1126" s="736"/>
      <c r="P1126" s="736">
        <f t="shared" si="432"/>
        <v>5000</v>
      </c>
      <c r="Q1126" s="753">
        <v>5000</v>
      </c>
      <c r="R1126" s="738"/>
      <c r="S1126" s="753"/>
      <c r="T1126" s="739">
        <v>1100121</v>
      </c>
      <c r="U1126" s="841"/>
      <c r="V1126" s="739">
        <v>1100122</v>
      </c>
    </row>
    <row r="1127" spans="1:22" ht="15" x14ac:dyDescent="0.2">
      <c r="A1127" s="734">
        <v>3852</v>
      </c>
      <c r="B1127" s="735" t="s">
        <v>32</v>
      </c>
      <c r="C1127" s="736">
        <v>7104.71</v>
      </c>
      <c r="D1127" s="736">
        <v>7000</v>
      </c>
      <c r="E1127" s="749">
        <v>7000</v>
      </c>
      <c r="F1127" s="736">
        <v>4171.97</v>
      </c>
      <c r="G1127" s="752">
        <v>5000</v>
      </c>
      <c r="H1127" s="752"/>
      <c r="I1127" s="752"/>
      <c r="J1127" s="736">
        <f t="shared" si="430"/>
        <v>5000</v>
      </c>
      <c r="K1127" s="752"/>
      <c r="L1127" s="752"/>
      <c r="M1127" s="736">
        <f t="shared" si="431"/>
        <v>5000</v>
      </c>
      <c r="N1127" s="736"/>
      <c r="O1127" s="736"/>
      <c r="P1127" s="736">
        <f t="shared" si="432"/>
        <v>5000</v>
      </c>
      <c r="Q1127" s="753">
        <v>5000</v>
      </c>
      <c r="R1127" s="738">
        <v>4869.6899999999996</v>
      </c>
      <c r="S1127" s="753"/>
      <c r="T1127" s="739">
        <v>1100121</v>
      </c>
      <c r="U1127" s="754">
        <v>10000</v>
      </c>
      <c r="V1127" s="741">
        <v>1100122</v>
      </c>
    </row>
    <row r="1128" spans="1:22" ht="15" x14ac:dyDescent="0.2">
      <c r="A1128" s="739">
        <v>5111</v>
      </c>
      <c r="B1128" s="743" t="s">
        <v>35</v>
      </c>
      <c r="C1128" s="736"/>
      <c r="D1128" s="736">
        <v>15000</v>
      </c>
      <c r="E1128" s="749">
        <v>0</v>
      </c>
      <c r="F1128" s="736">
        <v>0</v>
      </c>
      <c r="G1128" s="736"/>
      <c r="H1128" s="736"/>
      <c r="I1128" s="736"/>
      <c r="J1128" s="736">
        <f t="shared" si="430"/>
        <v>0</v>
      </c>
      <c r="K1128" s="736"/>
      <c r="L1128" s="736"/>
      <c r="M1128" s="736">
        <f t="shared" si="431"/>
        <v>0</v>
      </c>
      <c r="N1128" s="736"/>
      <c r="O1128" s="736"/>
      <c r="P1128" s="738">
        <f t="shared" si="432"/>
        <v>0</v>
      </c>
      <c r="Q1128" s="738"/>
      <c r="R1128" s="738"/>
      <c r="S1128" s="738"/>
      <c r="T1128" s="739">
        <v>1100121</v>
      </c>
      <c r="U1128" s="750"/>
      <c r="V1128" s="739">
        <v>1100122</v>
      </c>
    </row>
    <row r="1129" spans="1:22" ht="15" x14ac:dyDescent="0.2">
      <c r="A1129" s="739">
        <v>5231</v>
      </c>
      <c r="B1129" s="743" t="s">
        <v>81</v>
      </c>
      <c r="C1129" s="736"/>
      <c r="D1129" s="736">
        <v>0</v>
      </c>
      <c r="E1129" s="749">
        <v>25000</v>
      </c>
      <c r="F1129" s="736">
        <v>11900</v>
      </c>
      <c r="G1129" s="736"/>
      <c r="H1129" s="736"/>
      <c r="I1129" s="736"/>
      <c r="J1129" s="736">
        <f t="shared" si="430"/>
        <v>0</v>
      </c>
      <c r="K1129" s="736"/>
      <c r="L1129" s="736"/>
      <c r="M1129" s="736">
        <f t="shared" si="431"/>
        <v>0</v>
      </c>
      <c r="N1129" s="736"/>
      <c r="O1129" s="736"/>
      <c r="P1129" s="738">
        <f t="shared" si="432"/>
        <v>0</v>
      </c>
      <c r="Q1129" s="738"/>
      <c r="R1129" s="738"/>
      <c r="S1129" s="738"/>
      <c r="T1129" s="739">
        <v>1100121</v>
      </c>
      <c r="U1129" s="750"/>
      <c r="V1129" s="739">
        <v>1100122</v>
      </c>
    </row>
    <row r="1130" spans="1:22" ht="15" x14ac:dyDescent="0.2">
      <c r="A1130" s="728" t="s">
        <v>193</v>
      </c>
      <c r="B1130" s="729" t="s">
        <v>1591</v>
      </c>
      <c r="C1130" s="730">
        <f t="shared" ref="C1130:S1130" si="433">SUM(C1131:C1158)</f>
        <v>4997473.3100000005</v>
      </c>
      <c r="D1130" s="730">
        <f t="shared" si="433"/>
        <v>5127748.2</v>
      </c>
      <c r="E1130" s="730">
        <f t="shared" si="433"/>
        <v>5160698.24</v>
      </c>
      <c r="F1130" s="730">
        <f t="shared" si="433"/>
        <v>5113936.83</v>
      </c>
      <c r="G1130" s="730">
        <f t="shared" si="433"/>
        <v>5620634.7000000002</v>
      </c>
      <c r="H1130" s="730">
        <f t="shared" si="433"/>
        <v>0</v>
      </c>
      <c r="I1130" s="730">
        <f t="shared" si="433"/>
        <v>0</v>
      </c>
      <c r="J1130" s="730">
        <f t="shared" si="433"/>
        <v>5620634.7000000002</v>
      </c>
      <c r="K1130" s="730">
        <f t="shared" si="433"/>
        <v>4499.75</v>
      </c>
      <c r="L1130" s="730">
        <f t="shared" si="433"/>
        <v>0</v>
      </c>
      <c r="M1130" s="730">
        <f t="shared" si="433"/>
        <v>5625134.4500000002</v>
      </c>
      <c r="N1130" s="730">
        <f t="shared" si="433"/>
        <v>345000</v>
      </c>
      <c r="O1130" s="730">
        <f t="shared" si="433"/>
        <v>0</v>
      </c>
      <c r="P1130" s="730">
        <f t="shared" si="433"/>
        <v>5970134.4500000002</v>
      </c>
      <c r="Q1130" s="748">
        <f t="shared" si="433"/>
        <v>6098529.0600000005</v>
      </c>
      <c r="R1130" s="748">
        <f>SUM(R1131:R1158)</f>
        <v>4558400.9800000004</v>
      </c>
      <c r="S1130" s="748">
        <f t="shared" si="433"/>
        <v>1099158.7000000002</v>
      </c>
      <c r="T1130" s="731"/>
      <c r="U1130" s="732">
        <f>SUM(U1131:U1158)</f>
        <v>6604895.8100000005</v>
      </c>
      <c r="V1130" s="733"/>
    </row>
    <row r="1131" spans="1:22" ht="15" x14ac:dyDescent="0.25">
      <c r="A1131" s="734">
        <v>1131</v>
      </c>
      <c r="B1131" s="735" t="s">
        <v>6</v>
      </c>
      <c r="C1131" s="736">
        <v>104012.4</v>
      </c>
      <c r="D1131" s="736">
        <v>107150.68</v>
      </c>
      <c r="E1131" s="749">
        <v>107150.68</v>
      </c>
      <c r="F1131" s="736">
        <v>117368.05</v>
      </c>
      <c r="G1131" s="736">
        <v>116581.90000000001</v>
      </c>
      <c r="H1131" s="736"/>
      <c r="I1131" s="736"/>
      <c r="J1131" s="736">
        <f t="shared" ref="J1131:J1158" si="434">G1131+H1131-I1131</f>
        <v>116581.90000000001</v>
      </c>
      <c r="K1131" s="736">
        <v>529.99</v>
      </c>
      <c r="L1131" s="736"/>
      <c r="M1131" s="736">
        <f t="shared" ref="M1131:M1158" si="435">J1131+K1131-L1131</f>
        <v>117111.89000000001</v>
      </c>
      <c r="N1131" s="736"/>
      <c r="O1131" s="736"/>
      <c r="P1131" s="736">
        <f t="shared" ref="P1131:P1158" si="436">M1131+N1131-O1131</f>
        <v>117111.89000000001</v>
      </c>
      <c r="Q1131" s="738">
        <v>117111.89</v>
      </c>
      <c r="R1131" s="738">
        <v>84236.06</v>
      </c>
      <c r="S1131" s="751">
        <v>121110.08</v>
      </c>
      <c r="T1131" s="739">
        <v>1500521</v>
      </c>
      <c r="U1131" s="779">
        <v>120889.19</v>
      </c>
      <c r="V1131" s="741">
        <v>1500522</v>
      </c>
    </row>
    <row r="1132" spans="1:22" ht="15" x14ac:dyDescent="0.25">
      <c r="A1132" s="734">
        <v>1132</v>
      </c>
      <c r="B1132" s="735" t="s">
        <v>8</v>
      </c>
      <c r="C1132" s="736">
        <v>314668.32</v>
      </c>
      <c r="D1132" s="736">
        <v>339087.84</v>
      </c>
      <c r="E1132" s="749">
        <v>339087.84</v>
      </c>
      <c r="F1132" s="736">
        <v>352350.07</v>
      </c>
      <c r="G1132" s="736">
        <v>356217.69999999995</v>
      </c>
      <c r="H1132" s="736"/>
      <c r="I1132" s="736"/>
      <c r="J1132" s="736">
        <f t="shared" si="434"/>
        <v>356217.69999999995</v>
      </c>
      <c r="K1132" s="736">
        <v>83.55</v>
      </c>
      <c r="L1132" s="736"/>
      <c r="M1132" s="736">
        <f t="shared" si="435"/>
        <v>356301.24999999994</v>
      </c>
      <c r="N1132" s="736"/>
      <c r="O1132" s="736"/>
      <c r="P1132" s="736">
        <f t="shared" si="436"/>
        <v>356301.24999999994</v>
      </c>
      <c r="Q1132" s="738">
        <v>352040.49</v>
      </c>
      <c r="R1132" s="738">
        <v>252454.13</v>
      </c>
      <c r="S1132" s="751">
        <v>364819</v>
      </c>
      <c r="T1132" s="739">
        <v>1500521</v>
      </c>
      <c r="U1132" s="779">
        <v>361887.39</v>
      </c>
      <c r="V1132" s="741">
        <v>1500522</v>
      </c>
    </row>
    <row r="1133" spans="1:22" ht="15" x14ac:dyDescent="0.25">
      <c r="A1133" s="734">
        <v>1321</v>
      </c>
      <c r="B1133" s="735" t="s">
        <v>9</v>
      </c>
      <c r="C1133" s="736">
        <v>28525.74</v>
      </c>
      <c r="D1133" s="736">
        <v>29685.5</v>
      </c>
      <c r="E1133" s="749">
        <v>29685.5</v>
      </c>
      <c r="F1133" s="736">
        <v>29685.5</v>
      </c>
      <c r="G1133" s="736">
        <v>31185.399999999998</v>
      </c>
      <c r="H1133" s="736"/>
      <c r="I1133" s="736"/>
      <c r="J1133" s="736">
        <f t="shared" si="434"/>
        <v>31185.399999999998</v>
      </c>
      <c r="K1133" s="736">
        <v>268.37</v>
      </c>
      <c r="L1133" s="736"/>
      <c r="M1133" s="736">
        <f t="shared" si="435"/>
        <v>31453.769999999997</v>
      </c>
      <c r="N1133" s="736"/>
      <c r="O1133" s="736"/>
      <c r="P1133" s="736">
        <f t="shared" si="436"/>
        <v>31453.769999999997</v>
      </c>
      <c r="Q1133" s="738">
        <v>31453.77</v>
      </c>
      <c r="R1133" s="738">
        <v>15217</v>
      </c>
      <c r="S1133" s="751">
        <v>32752.78</v>
      </c>
      <c r="T1133" s="739">
        <v>1500521</v>
      </c>
      <c r="U1133" s="779">
        <v>30501.21</v>
      </c>
      <c r="V1133" s="741">
        <v>1500522</v>
      </c>
    </row>
    <row r="1134" spans="1:22" ht="15" x14ac:dyDescent="0.25">
      <c r="A1134" s="734">
        <v>1323</v>
      </c>
      <c r="B1134" s="735" t="s">
        <v>11</v>
      </c>
      <c r="C1134" s="736">
        <v>72528</v>
      </c>
      <c r="D1134" s="736">
        <v>75060.5</v>
      </c>
      <c r="E1134" s="749">
        <v>75060.5</v>
      </c>
      <c r="F1134" s="736">
        <v>76188</v>
      </c>
      <c r="G1134" s="736">
        <v>78853</v>
      </c>
      <c r="H1134" s="736"/>
      <c r="I1134" s="736"/>
      <c r="J1134" s="736">
        <f t="shared" si="434"/>
        <v>78853</v>
      </c>
      <c r="K1134" s="736">
        <v>598.41</v>
      </c>
      <c r="L1134" s="736"/>
      <c r="M1134" s="736">
        <f t="shared" si="435"/>
        <v>79451.41</v>
      </c>
      <c r="N1134" s="736"/>
      <c r="O1134" s="736"/>
      <c r="P1134" s="736">
        <f t="shared" si="436"/>
        <v>79451.41</v>
      </c>
      <c r="Q1134" s="738">
        <v>79451.41</v>
      </c>
      <c r="R1134" s="738">
        <v>57888</v>
      </c>
      <c r="S1134" s="751">
        <v>81811.5</v>
      </c>
      <c r="T1134" s="739">
        <v>1500521</v>
      </c>
      <c r="U1134" s="779">
        <v>77827.199999999997</v>
      </c>
      <c r="V1134" s="741">
        <v>1500522</v>
      </c>
    </row>
    <row r="1135" spans="1:22" ht="15" x14ac:dyDescent="0.25">
      <c r="A1135" s="734">
        <v>1413</v>
      </c>
      <c r="B1135" s="735" t="s">
        <v>13</v>
      </c>
      <c r="C1135" s="736">
        <v>71263.320000000007</v>
      </c>
      <c r="D1135" s="736">
        <v>89058.7</v>
      </c>
      <c r="E1135" s="749">
        <v>89058.7</v>
      </c>
      <c r="F1135" s="736">
        <v>88213.84</v>
      </c>
      <c r="G1135" s="736">
        <v>111865.40000000001</v>
      </c>
      <c r="H1135" s="736"/>
      <c r="I1135" s="736"/>
      <c r="J1135" s="736">
        <f t="shared" si="434"/>
        <v>111865.40000000001</v>
      </c>
      <c r="K1135" s="736">
        <v>735.16</v>
      </c>
      <c r="L1135" s="736"/>
      <c r="M1135" s="736">
        <f t="shared" si="435"/>
        <v>112600.56000000001</v>
      </c>
      <c r="N1135" s="736"/>
      <c r="O1135" s="736"/>
      <c r="P1135" s="736">
        <f t="shared" si="436"/>
        <v>112600.56000000001</v>
      </c>
      <c r="Q1135" s="738">
        <v>112600.56</v>
      </c>
      <c r="R1135" s="738">
        <v>77568.12</v>
      </c>
      <c r="S1135" s="751">
        <v>122443.44</v>
      </c>
      <c r="T1135" s="739">
        <v>1500521</v>
      </c>
      <c r="U1135" s="779">
        <v>115424.6</v>
      </c>
      <c r="V1135" s="741">
        <v>1500522</v>
      </c>
    </row>
    <row r="1136" spans="1:22" ht="15" x14ac:dyDescent="0.25">
      <c r="A1136" s="734">
        <v>1421</v>
      </c>
      <c r="B1136" s="735" t="s">
        <v>15</v>
      </c>
      <c r="C1136" s="736">
        <v>25461.919999999998</v>
      </c>
      <c r="D1136" s="736">
        <v>29691.46</v>
      </c>
      <c r="E1136" s="749">
        <v>27234.46</v>
      </c>
      <c r="F1136" s="736">
        <v>29321.759999999998</v>
      </c>
      <c r="G1136" s="736">
        <v>35225.599999999999</v>
      </c>
      <c r="H1136" s="736"/>
      <c r="I1136" s="736"/>
      <c r="J1136" s="736">
        <f t="shared" si="434"/>
        <v>35225.599999999999</v>
      </c>
      <c r="K1136" s="736">
        <v>118.19</v>
      </c>
      <c r="L1136" s="736"/>
      <c r="M1136" s="736">
        <f t="shared" si="435"/>
        <v>35343.79</v>
      </c>
      <c r="N1136" s="736"/>
      <c r="O1136" s="736"/>
      <c r="P1136" s="736">
        <f t="shared" si="436"/>
        <v>35343.79</v>
      </c>
      <c r="Q1136" s="738">
        <v>35343.79</v>
      </c>
      <c r="R1136" s="738">
        <v>22488.43</v>
      </c>
      <c r="S1136" s="751">
        <v>36253.56</v>
      </c>
      <c r="T1136" s="739">
        <v>1500521</v>
      </c>
      <c r="U1136" s="779">
        <v>34491</v>
      </c>
      <c r="V1136" s="741">
        <v>1500522</v>
      </c>
    </row>
    <row r="1137" spans="1:22" ht="15" x14ac:dyDescent="0.25">
      <c r="A1137" s="734">
        <v>1431</v>
      </c>
      <c r="B1137" s="735" t="s">
        <v>16</v>
      </c>
      <c r="C1137" s="736">
        <v>27301.84</v>
      </c>
      <c r="D1137" s="736">
        <v>30582.080000000002</v>
      </c>
      <c r="E1137" s="749">
        <v>28572.080000000002</v>
      </c>
      <c r="F1137" s="736">
        <v>31013.75</v>
      </c>
      <c r="G1137" s="736">
        <v>36282.299999999996</v>
      </c>
      <c r="H1137" s="736"/>
      <c r="I1137" s="736"/>
      <c r="J1137" s="736">
        <f t="shared" si="434"/>
        <v>36282.299999999996</v>
      </c>
      <c r="K1137" s="736">
        <v>114.61</v>
      </c>
      <c r="L1137" s="736"/>
      <c r="M1137" s="736">
        <f t="shared" si="435"/>
        <v>36396.909999999996</v>
      </c>
      <c r="N1137" s="736"/>
      <c r="O1137" s="736"/>
      <c r="P1137" s="736">
        <f t="shared" si="436"/>
        <v>36396.909999999996</v>
      </c>
      <c r="Q1137" s="738">
        <v>36396.910000000003</v>
      </c>
      <c r="R1137" s="738">
        <v>23206.01</v>
      </c>
      <c r="S1137" s="751">
        <v>37341.120000000003</v>
      </c>
      <c r="T1137" s="739">
        <v>1500521</v>
      </c>
      <c r="U1137" s="779">
        <v>34896.550000000003</v>
      </c>
      <c r="V1137" s="741">
        <v>1500522</v>
      </c>
    </row>
    <row r="1138" spans="1:22" ht="15" x14ac:dyDescent="0.25">
      <c r="A1138" s="734">
        <v>1511</v>
      </c>
      <c r="B1138" s="735" t="s">
        <v>18</v>
      </c>
      <c r="C1138" s="736">
        <v>10148.52</v>
      </c>
      <c r="D1138" s="736">
        <v>10927.28</v>
      </c>
      <c r="E1138" s="749">
        <v>10927.28</v>
      </c>
      <c r="F1138" s="736">
        <v>11327.44</v>
      </c>
      <c r="G1138" s="736">
        <v>11480.6</v>
      </c>
      <c r="H1138" s="736"/>
      <c r="I1138" s="736"/>
      <c r="J1138" s="736">
        <f t="shared" si="434"/>
        <v>11480.6</v>
      </c>
      <c r="K1138" s="736">
        <v>87.45</v>
      </c>
      <c r="L1138" s="736"/>
      <c r="M1138" s="736">
        <f t="shared" si="435"/>
        <v>11568.050000000001</v>
      </c>
      <c r="N1138" s="736"/>
      <c r="O1138" s="736"/>
      <c r="P1138" s="736">
        <f t="shared" si="436"/>
        <v>11568.050000000001</v>
      </c>
      <c r="Q1138" s="738">
        <v>11568.05</v>
      </c>
      <c r="R1138" s="738">
        <v>8207.4599999999991</v>
      </c>
      <c r="S1138" s="751">
        <v>11910.08</v>
      </c>
      <c r="T1138" s="739">
        <v>1500521</v>
      </c>
      <c r="U1138" s="779">
        <v>11772</v>
      </c>
      <c r="V1138" s="741">
        <v>1500522</v>
      </c>
    </row>
    <row r="1139" spans="1:22" ht="15" x14ac:dyDescent="0.25">
      <c r="A1139" s="734">
        <v>1541</v>
      </c>
      <c r="B1139" s="735" t="s">
        <v>19</v>
      </c>
      <c r="C1139" s="736">
        <v>12276.65</v>
      </c>
      <c r="D1139" s="736">
        <v>16802.240000000002</v>
      </c>
      <c r="E1139" s="749">
        <v>16802.240000000002</v>
      </c>
      <c r="F1139" s="736">
        <v>16328.99</v>
      </c>
      <c r="G1139" s="736">
        <v>22774</v>
      </c>
      <c r="H1139" s="736"/>
      <c r="I1139" s="736"/>
      <c r="J1139" s="736">
        <f t="shared" si="434"/>
        <v>22774</v>
      </c>
      <c r="K1139" s="736">
        <v>866.96</v>
      </c>
      <c r="L1139" s="736"/>
      <c r="M1139" s="736">
        <f t="shared" si="435"/>
        <v>23640.959999999999</v>
      </c>
      <c r="N1139" s="736"/>
      <c r="O1139" s="736"/>
      <c r="P1139" s="736">
        <f t="shared" si="436"/>
        <v>23640.959999999999</v>
      </c>
      <c r="Q1139" s="738">
        <v>21913.37</v>
      </c>
      <c r="R1139" s="738">
        <v>14583.82</v>
      </c>
      <c r="S1139" s="751">
        <v>26058.5</v>
      </c>
      <c r="T1139" s="739">
        <v>1500521</v>
      </c>
      <c r="U1139" s="779">
        <v>26058.5</v>
      </c>
      <c r="V1139" s="741">
        <v>1500522</v>
      </c>
    </row>
    <row r="1140" spans="1:22" ht="15" x14ac:dyDescent="0.25">
      <c r="A1140" s="734">
        <v>1592</v>
      </c>
      <c r="B1140" s="735" t="s">
        <v>20</v>
      </c>
      <c r="C1140" s="736">
        <v>93017.16</v>
      </c>
      <c r="D1140" s="736">
        <v>100201.92</v>
      </c>
      <c r="E1140" s="749">
        <v>100201.92</v>
      </c>
      <c r="F1140" s="736">
        <v>103862.94</v>
      </c>
      <c r="G1140" s="736">
        <v>105268.8</v>
      </c>
      <c r="H1140" s="736"/>
      <c r="I1140" s="736"/>
      <c r="J1140" s="736">
        <f t="shared" si="434"/>
        <v>105268.8</v>
      </c>
      <c r="K1140" s="736">
        <v>1097.06</v>
      </c>
      <c r="L1140" s="736"/>
      <c r="M1140" s="736">
        <f t="shared" si="435"/>
        <v>106365.86</v>
      </c>
      <c r="N1140" s="736"/>
      <c r="O1140" s="736"/>
      <c r="P1140" s="736">
        <f t="shared" si="436"/>
        <v>106365.86</v>
      </c>
      <c r="Q1140" s="738">
        <v>114204.02</v>
      </c>
      <c r="R1140" s="738">
        <v>75456.62</v>
      </c>
      <c r="S1140" s="751">
        <v>109658.64</v>
      </c>
      <c r="T1140" s="739">
        <v>1500521</v>
      </c>
      <c r="U1140" s="779">
        <v>108248.17</v>
      </c>
      <c r="V1140" s="741">
        <v>1500522</v>
      </c>
    </row>
    <row r="1141" spans="1:22" ht="15" x14ac:dyDescent="0.2">
      <c r="A1141" s="734">
        <v>2111</v>
      </c>
      <c r="B1141" s="735" t="s">
        <v>22</v>
      </c>
      <c r="C1141" s="736">
        <v>760.18</v>
      </c>
      <c r="D1141" s="736">
        <v>2000</v>
      </c>
      <c r="E1141" s="749">
        <v>1400</v>
      </c>
      <c r="F1141" s="736">
        <v>970</v>
      </c>
      <c r="G1141" s="752">
        <v>2000</v>
      </c>
      <c r="H1141" s="752"/>
      <c r="I1141" s="752"/>
      <c r="J1141" s="736">
        <f t="shared" si="434"/>
        <v>2000</v>
      </c>
      <c r="K1141" s="752"/>
      <c r="L1141" s="752"/>
      <c r="M1141" s="736">
        <f t="shared" si="435"/>
        <v>2000</v>
      </c>
      <c r="N1141" s="736"/>
      <c r="O1141" s="736"/>
      <c r="P1141" s="736">
        <f t="shared" si="436"/>
        <v>2000</v>
      </c>
      <c r="Q1141" s="753">
        <v>2000</v>
      </c>
      <c r="R1141" s="738">
        <v>708.79</v>
      </c>
      <c r="S1141" s="753"/>
      <c r="T1141" s="739">
        <v>1100121</v>
      </c>
      <c r="U1141" s="754">
        <v>3000</v>
      </c>
      <c r="V1141" s="741">
        <v>1100122</v>
      </c>
    </row>
    <row r="1142" spans="1:22" ht="15" x14ac:dyDescent="0.2">
      <c r="A1142" s="734">
        <v>2121</v>
      </c>
      <c r="B1142" s="735" t="s">
        <v>24</v>
      </c>
      <c r="C1142" s="736">
        <v>1800</v>
      </c>
      <c r="D1142" s="736">
        <v>2000</v>
      </c>
      <c r="E1142" s="749">
        <v>1400</v>
      </c>
      <c r="F1142" s="736">
        <v>665</v>
      </c>
      <c r="G1142" s="752">
        <v>1400</v>
      </c>
      <c r="H1142" s="752"/>
      <c r="I1142" s="752"/>
      <c r="J1142" s="736">
        <f t="shared" si="434"/>
        <v>1400</v>
      </c>
      <c r="K1142" s="752"/>
      <c r="L1142" s="752"/>
      <c r="M1142" s="736">
        <f t="shared" si="435"/>
        <v>1400</v>
      </c>
      <c r="N1142" s="736"/>
      <c r="O1142" s="736"/>
      <c r="P1142" s="736">
        <f t="shared" si="436"/>
        <v>1400</v>
      </c>
      <c r="Q1142" s="753">
        <v>944.8</v>
      </c>
      <c r="R1142" s="738">
        <v>768.51</v>
      </c>
      <c r="S1142" s="753"/>
      <c r="T1142" s="739">
        <v>1100121</v>
      </c>
      <c r="U1142" s="754">
        <v>1400</v>
      </c>
      <c r="V1142" s="741">
        <v>1100122</v>
      </c>
    </row>
    <row r="1143" spans="1:22" ht="30" x14ac:dyDescent="0.2">
      <c r="A1143" s="734">
        <v>2612</v>
      </c>
      <c r="B1143" s="735" t="s">
        <v>26</v>
      </c>
      <c r="C1143" s="736">
        <v>38736.86</v>
      </c>
      <c r="D1143" s="736">
        <v>45000</v>
      </c>
      <c r="E1143" s="749">
        <v>55000</v>
      </c>
      <c r="F1143" s="736">
        <v>54490.13</v>
      </c>
      <c r="G1143" s="752">
        <v>60000</v>
      </c>
      <c r="H1143" s="752"/>
      <c r="I1143" s="752"/>
      <c r="J1143" s="736">
        <f t="shared" si="434"/>
        <v>60000</v>
      </c>
      <c r="K1143" s="752"/>
      <c r="L1143" s="752"/>
      <c r="M1143" s="736">
        <f t="shared" si="435"/>
        <v>60000</v>
      </c>
      <c r="N1143" s="736">
        <v>40000</v>
      </c>
      <c r="O1143" s="736"/>
      <c r="P1143" s="736">
        <f t="shared" si="436"/>
        <v>100000</v>
      </c>
      <c r="Q1143" s="753">
        <v>110000</v>
      </c>
      <c r="R1143" s="738">
        <v>91676.59</v>
      </c>
      <c r="S1143" s="738">
        <f>Q1143</f>
        <v>110000</v>
      </c>
      <c r="T1143" s="739">
        <v>1100121</v>
      </c>
      <c r="U1143" s="746">
        <v>120000</v>
      </c>
      <c r="V1143" s="741">
        <v>1100122</v>
      </c>
    </row>
    <row r="1144" spans="1:22" ht="15" x14ac:dyDescent="0.2">
      <c r="A1144" s="734">
        <v>3331</v>
      </c>
      <c r="B1144" s="735" t="s">
        <v>171</v>
      </c>
      <c r="C1144" s="736">
        <v>57420</v>
      </c>
      <c r="D1144" s="736">
        <v>0</v>
      </c>
      <c r="E1144" s="749">
        <v>13432.8</v>
      </c>
      <c r="F1144" s="736">
        <v>0</v>
      </c>
      <c r="G1144" s="752">
        <v>200000</v>
      </c>
      <c r="H1144" s="752"/>
      <c r="I1144" s="752"/>
      <c r="J1144" s="736">
        <f t="shared" si="434"/>
        <v>200000</v>
      </c>
      <c r="K1144" s="752"/>
      <c r="L1144" s="752"/>
      <c r="M1144" s="736">
        <f t="shared" si="435"/>
        <v>200000</v>
      </c>
      <c r="N1144" s="736">
        <v>300000</v>
      </c>
      <c r="O1144" s="736"/>
      <c r="P1144" s="736">
        <f t="shared" si="436"/>
        <v>500000</v>
      </c>
      <c r="Q1144" s="753">
        <v>500000</v>
      </c>
      <c r="R1144" s="738">
        <v>106259.48</v>
      </c>
      <c r="S1144" s="753"/>
      <c r="T1144" s="739">
        <v>1100121</v>
      </c>
      <c r="U1144" s="746">
        <v>500000</v>
      </c>
      <c r="V1144" s="741">
        <v>1100122</v>
      </c>
    </row>
    <row r="1145" spans="1:22" ht="15" x14ac:dyDescent="0.2">
      <c r="A1145" s="739">
        <v>3331</v>
      </c>
      <c r="B1145" s="743" t="s">
        <v>171</v>
      </c>
      <c r="C1145" s="736"/>
      <c r="D1145" s="736">
        <v>100000</v>
      </c>
      <c r="E1145" s="749">
        <v>100000</v>
      </c>
      <c r="F1145" s="736">
        <v>88250.48</v>
      </c>
      <c r="G1145" s="752"/>
      <c r="H1145" s="752"/>
      <c r="I1145" s="752"/>
      <c r="J1145" s="736">
        <f t="shared" si="434"/>
        <v>0</v>
      </c>
      <c r="K1145" s="752"/>
      <c r="L1145" s="752"/>
      <c r="M1145" s="736">
        <f t="shared" si="435"/>
        <v>0</v>
      </c>
      <c r="N1145" s="736"/>
      <c r="O1145" s="736"/>
      <c r="P1145" s="738">
        <f t="shared" si="436"/>
        <v>0</v>
      </c>
      <c r="Q1145" s="753"/>
      <c r="R1145" s="738"/>
      <c r="S1145" s="753"/>
      <c r="T1145" s="739">
        <v>1100121</v>
      </c>
      <c r="U1145" s="745"/>
      <c r="V1145" s="739">
        <v>1100122</v>
      </c>
    </row>
    <row r="1146" spans="1:22" ht="15" x14ac:dyDescent="0.2">
      <c r="A1146" s="734">
        <v>3513</v>
      </c>
      <c r="B1146" s="735" t="s">
        <v>194</v>
      </c>
      <c r="C1146" s="736"/>
      <c r="D1146" s="736">
        <v>1000000</v>
      </c>
      <c r="E1146" s="749">
        <v>1233170.24</v>
      </c>
      <c r="F1146" s="736">
        <v>1203695.73</v>
      </c>
      <c r="G1146" s="752">
        <v>1200000</v>
      </c>
      <c r="H1146" s="752"/>
      <c r="I1146" s="752"/>
      <c r="J1146" s="736">
        <f t="shared" si="434"/>
        <v>1200000</v>
      </c>
      <c r="K1146" s="752"/>
      <c r="L1146" s="752"/>
      <c r="M1146" s="736">
        <f t="shared" si="435"/>
        <v>1200000</v>
      </c>
      <c r="N1146" s="736"/>
      <c r="O1146" s="736"/>
      <c r="P1146" s="736">
        <f t="shared" si="436"/>
        <v>1200000</v>
      </c>
      <c r="Q1146" s="753">
        <v>1200000</v>
      </c>
      <c r="R1146" s="738">
        <v>1184278.8799999999</v>
      </c>
      <c r="S1146" s="753"/>
      <c r="T1146" s="739">
        <v>1100121</v>
      </c>
      <c r="U1146" s="746">
        <v>1500000</v>
      </c>
      <c r="V1146" s="741">
        <v>1100122</v>
      </c>
    </row>
    <row r="1147" spans="1:22" ht="15" x14ac:dyDescent="0.2">
      <c r="A1147" s="739">
        <v>3513</v>
      </c>
      <c r="B1147" s="743" t="s">
        <v>194</v>
      </c>
      <c r="C1147" s="736"/>
      <c r="D1147" s="736">
        <v>0</v>
      </c>
      <c r="E1147" s="749">
        <v>0</v>
      </c>
      <c r="F1147" s="736">
        <v>0</v>
      </c>
      <c r="G1147" s="736"/>
      <c r="H1147" s="736"/>
      <c r="I1147" s="736"/>
      <c r="J1147" s="736">
        <f t="shared" si="434"/>
        <v>0</v>
      </c>
      <c r="K1147" s="736"/>
      <c r="L1147" s="736"/>
      <c r="M1147" s="736">
        <f t="shared" si="435"/>
        <v>0</v>
      </c>
      <c r="N1147" s="736"/>
      <c r="O1147" s="736"/>
      <c r="P1147" s="738">
        <f t="shared" si="436"/>
        <v>0</v>
      </c>
      <c r="Q1147" s="738"/>
      <c r="R1147" s="738"/>
      <c r="S1147" s="738"/>
      <c r="T1147" s="739">
        <v>2510221</v>
      </c>
      <c r="U1147" s="745"/>
      <c r="V1147" s="739">
        <v>2510222</v>
      </c>
    </row>
    <row r="1148" spans="1:22" ht="15" x14ac:dyDescent="0.2">
      <c r="A1148" s="734">
        <v>3551</v>
      </c>
      <c r="B1148" s="735" t="s">
        <v>30</v>
      </c>
      <c r="C1148" s="736">
        <v>14850.8</v>
      </c>
      <c r="D1148" s="736">
        <v>20000</v>
      </c>
      <c r="E1148" s="749">
        <v>20000</v>
      </c>
      <c r="F1148" s="736">
        <v>4408</v>
      </c>
      <c r="G1148" s="752">
        <v>25000</v>
      </c>
      <c r="H1148" s="752"/>
      <c r="I1148" s="752"/>
      <c r="J1148" s="736">
        <f t="shared" si="434"/>
        <v>25000</v>
      </c>
      <c r="K1148" s="752"/>
      <c r="L1148" s="752"/>
      <c r="M1148" s="736">
        <f t="shared" si="435"/>
        <v>25000</v>
      </c>
      <c r="N1148" s="736">
        <v>5000</v>
      </c>
      <c r="O1148" s="736"/>
      <c r="P1148" s="736">
        <f t="shared" si="436"/>
        <v>30000</v>
      </c>
      <c r="Q1148" s="753">
        <v>45000</v>
      </c>
      <c r="R1148" s="738">
        <v>39529.089999999997</v>
      </c>
      <c r="S1148" s="738">
        <f>Q1148</f>
        <v>45000</v>
      </c>
      <c r="T1148" s="739">
        <v>1100121</v>
      </c>
      <c r="U1148" s="746">
        <v>55000</v>
      </c>
      <c r="V1148" s="741">
        <v>1100122</v>
      </c>
    </row>
    <row r="1149" spans="1:22" ht="15" x14ac:dyDescent="0.2">
      <c r="A1149" s="739">
        <v>3581</v>
      </c>
      <c r="B1149" s="743" t="s">
        <v>1760</v>
      </c>
      <c r="C1149" s="736">
        <v>1201767.51</v>
      </c>
      <c r="D1149" s="736"/>
      <c r="E1149" s="736"/>
      <c r="F1149" s="736"/>
      <c r="G1149" s="736"/>
      <c r="H1149" s="736"/>
      <c r="I1149" s="736"/>
      <c r="J1149" s="736">
        <f t="shared" si="434"/>
        <v>0</v>
      </c>
      <c r="K1149" s="736"/>
      <c r="L1149" s="736"/>
      <c r="M1149" s="736">
        <f t="shared" si="435"/>
        <v>0</v>
      </c>
      <c r="N1149" s="736"/>
      <c r="O1149" s="736"/>
      <c r="P1149" s="738">
        <f t="shared" si="436"/>
        <v>0</v>
      </c>
      <c r="Q1149" s="738"/>
      <c r="R1149" s="738"/>
      <c r="S1149" s="738"/>
      <c r="T1149" s="739"/>
      <c r="U1149" s="745"/>
      <c r="V1149" s="739"/>
    </row>
    <row r="1150" spans="1:22" ht="15" x14ac:dyDescent="0.2">
      <c r="A1150" s="739">
        <v>3611</v>
      </c>
      <c r="B1150" s="743" t="s">
        <v>66</v>
      </c>
      <c r="C1150" s="736"/>
      <c r="D1150" s="736">
        <v>2500</v>
      </c>
      <c r="E1150" s="749">
        <v>2500</v>
      </c>
      <c r="F1150" s="736">
        <v>0</v>
      </c>
      <c r="G1150" s="736"/>
      <c r="H1150" s="736"/>
      <c r="I1150" s="736"/>
      <c r="J1150" s="736">
        <f t="shared" si="434"/>
        <v>0</v>
      </c>
      <c r="K1150" s="736"/>
      <c r="L1150" s="736"/>
      <c r="M1150" s="736">
        <f t="shared" si="435"/>
        <v>0</v>
      </c>
      <c r="N1150" s="736"/>
      <c r="O1150" s="736"/>
      <c r="P1150" s="738">
        <f t="shared" si="436"/>
        <v>0</v>
      </c>
      <c r="Q1150" s="738"/>
      <c r="R1150" s="738"/>
      <c r="S1150" s="738"/>
      <c r="T1150" s="739">
        <v>1100121</v>
      </c>
      <c r="U1150" s="745"/>
      <c r="V1150" s="739">
        <v>1100122</v>
      </c>
    </row>
    <row r="1151" spans="1:22" ht="15" x14ac:dyDescent="0.2">
      <c r="A1151" s="739">
        <v>3721</v>
      </c>
      <c r="B1151" s="743" t="s">
        <v>50</v>
      </c>
      <c r="C1151" s="736"/>
      <c r="D1151" s="736">
        <v>1000</v>
      </c>
      <c r="E1151" s="749">
        <v>1000</v>
      </c>
      <c r="F1151" s="736">
        <v>0</v>
      </c>
      <c r="G1151" s="736"/>
      <c r="H1151" s="736"/>
      <c r="I1151" s="736"/>
      <c r="J1151" s="736">
        <f t="shared" si="434"/>
        <v>0</v>
      </c>
      <c r="K1151" s="736"/>
      <c r="L1151" s="736"/>
      <c r="M1151" s="736">
        <f t="shared" si="435"/>
        <v>0</v>
      </c>
      <c r="N1151" s="736"/>
      <c r="O1151" s="736"/>
      <c r="P1151" s="738">
        <f t="shared" si="436"/>
        <v>0</v>
      </c>
      <c r="Q1151" s="738"/>
      <c r="R1151" s="738"/>
      <c r="S1151" s="738"/>
      <c r="T1151" s="739">
        <v>1100121</v>
      </c>
      <c r="U1151" s="745"/>
      <c r="V1151" s="739">
        <v>1100122</v>
      </c>
    </row>
    <row r="1152" spans="1:22" ht="15" x14ac:dyDescent="0.2">
      <c r="A1152" s="739">
        <v>3751</v>
      </c>
      <c r="B1152" s="743" t="s">
        <v>44</v>
      </c>
      <c r="C1152" s="736">
        <v>290</v>
      </c>
      <c r="D1152" s="736">
        <v>2500</v>
      </c>
      <c r="E1152" s="749">
        <v>2500</v>
      </c>
      <c r="F1152" s="736">
        <v>432</v>
      </c>
      <c r="G1152" s="752">
        <v>2000</v>
      </c>
      <c r="H1152" s="752"/>
      <c r="I1152" s="752"/>
      <c r="J1152" s="736">
        <f t="shared" si="434"/>
        <v>2000</v>
      </c>
      <c r="K1152" s="752"/>
      <c r="L1152" s="752"/>
      <c r="M1152" s="736">
        <f t="shared" si="435"/>
        <v>2000</v>
      </c>
      <c r="N1152" s="736"/>
      <c r="O1152" s="736"/>
      <c r="P1152" s="736">
        <f t="shared" si="436"/>
        <v>2000</v>
      </c>
      <c r="Q1152" s="753">
        <v>2000</v>
      </c>
      <c r="R1152" s="738"/>
      <c r="S1152" s="753"/>
      <c r="T1152" s="739">
        <v>1100121</v>
      </c>
      <c r="U1152" s="745"/>
      <c r="V1152" s="739">
        <v>1100122</v>
      </c>
    </row>
    <row r="1153" spans="1:22" ht="15" x14ac:dyDescent="0.2">
      <c r="A1153" s="739">
        <v>3791</v>
      </c>
      <c r="B1153" s="743" t="s">
        <v>45</v>
      </c>
      <c r="C1153" s="736">
        <v>337</v>
      </c>
      <c r="D1153" s="736">
        <v>1000</v>
      </c>
      <c r="E1153" s="749">
        <v>1000</v>
      </c>
      <c r="F1153" s="736">
        <v>0</v>
      </c>
      <c r="G1153" s="752">
        <v>1000</v>
      </c>
      <c r="H1153" s="752"/>
      <c r="I1153" s="752"/>
      <c r="J1153" s="736">
        <f t="shared" si="434"/>
        <v>1000</v>
      </c>
      <c r="K1153" s="752"/>
      <c r="L1153" s="752"/>
      <c r="M1153" s="736">
        <f t="shared" si="435"/>
        <v>1000</v>
      </c>
      <c r="N1153" s="736"/>
      <c r="O1153" s="736"/>
      <c r="P1153" s="736">
        <f t="shared" si="436"/>
        <v>1000</v>
      </c>
      <c r="Q1153" s="753">
        <v>1000</v>
      </c>
      <c r="R1153" s="738"/>
      <c r="S1153" s="753"/>
      <c r="T1153" s="739">
        <v>1100121</v>
      </c>
      <c r="U1153" s="745"/>
      <c r="V1153" s="739">
        <v>1100122</v>
      </c>
    </row>
    <row r="1154" spans="1:22" ht="15" x14ac:dyDescent="0.2">
      <c r="A1154" s="734">
        <v>3852</v>
      </c>
      <c r="B1154" s="735" t="s">
        <v>32</v>
      </c>
      <c r="C1154" s="736">
        <v>2471.09</v>
      </c>
      <c r="D1154" s="736">
        <v>3500</v>
      </c>
      <c r="E1154" s="749">
        <v>3500</v>
      </c>
      <c r="F1154" s="736">
        <v>3351.15</v>
      </c>
      <c r="G1154" s="752">
        <v>3500</v>
      </c>
      <c r="H1154" s="752"/>
      <c r="I1154" s="752"/>
      <c r="J1154" s="736">
        <f t="shared" si="434"/>
        <v>3500</v>
      </c>
      <c r="K1154" s="752"/>
      <c r="L1154" s="752"/>
      <c r="M1154" s="736">
        <f t="shared" si="435"/>
        <v>3500</v>
      </c>
      <c r="N1154" s="736"/>
      <c r="O1154" s="736"/>
      <c r="P1154" s="736">
        <f t="shared" si="436"/>
        <v>3500</v>
      </c>
      <c r="Q1154" s="753">
        <v>3500</v>
      </c>
      <c r="R1154" s="738">
        <v>1190.99</v>
      </c>
      <c r="S1154" s="753"/>
      <c r="T1154" s="739">
        <v>1100121</v>
      </c>
      <c r="U1154" s="754">
        <v>3500</v>
      </c>
      <c r="V1154" s="741">
        <v>1100122</v>
      </c>
    </row>
    <row r="1155" spans="1:22" ht="15" x14ac:dyDescent="0.2">
      <c r="A1155" s="739">
        <v>3921</v>
      </c>
      <c r="B1155" s="743" t="s">
        <v>33</v>
      </c>
      <c r="C1155" s="736"/>
      <c r="D1155" s="736"/>
      <c r="E1155" s="749"/>
      <c r="F1155" s="736"/>
      <c r="G1155" s="752"/>
      <c r="H1155" s="752"/>
      <c r="I1155" s="752"/>
      <c r="J1155" s="736"/>
      <c r="K1155" s="752"/>
      <c r="L1155" s="752"/>
      <c r="M1155" s="736"/>
      <c r="N1155" s="736"/>
      <c r="O1155" s="736"/>
      <c r="P1155" s="736"/>
      <c r="Q1155" s="753">
        <v>102000</v>
      </c>
      <c r="R1155" s="738"/>
      <c r="S1155" s="753"/>
      <c r="T1155" s="739">
        <v>1100120</v>
      </c>
      <c r="U1155" s="841"/>
      <c r="V1155" s="739">
        <v>1100120</v>
      </c>
    </row>
    <row r="1156" spans="1:22" ht="15" x14ac:dyDescent="0.2">
      <c r="A1156" s="739">
        <v>3921</v>
      </c>
      <c r="B1156" s="743" t="s">
        <v>33</v>
      </c>
      <c r="C1156" s="736"/>
      <c r="D1156" s="736"/>
      <c r="E1156" s="749"/>
      <c r="F1156" s="736"/>
      <c r="G1156" s="752"/>
      <c r="H1156" s="752"/>
      <c r="I1156" s="752"/>
      <c r="J1156" s="736"/>
      <c r="K1156" s="752"/>
      <c r="L1156" s="752"/>
      <c r="M1156" s="736"/>
      <c r="N1156" s="736"/>
      <c r="O1156" s="736"/>
      <c r="P1156" s="736"/>
      <c r="Q1156" s="753">
        <v>100000</v>
      </c>
      <c r="R1156" s="738"/>
      <c r="S1156" s="753"/>
      <c r="T1156" s="739">
        <v>1100121</v>
      </c>
      <c r="U1156" s="841"/>
      <c r="V1156" s="739">
        <v>1100122</v>
      </c>
    </row>
    <row r="1157" spans="1:22" ht="15" x14ac:dyDescent="0.2">
      <c r="A1157" s="734">
        <v>3921</v>
      </c>
      <c r="B1157" s="735" t="s">
        <v>33</v>
      </c>
      <c r="C1157" s="736">
        <v>2919836</v>
      </c>
      <c r="D1157" s="736">
        <v>3120000</v>
      </c>
      <c r="E1157" s="749">
        <v>2902014</v>
      </c>
      <c r="F1157" s="736">
        <v>2902014</v>
      </c>
      <c r="G1157" s="752">
        <v>3120000</v>
      </c>
      <c r="H1157" s="752"/>
      <c r="I1157" s="752"/>
      <c r="J1157" s="736">
        <f t="shared" si="434"/>
        <v>3120000</v>
      </c>
      <c r="K1157" s="752"/>
      <c r="L1157" s="752"/>
      <c r="M1157" s="736">
        <f t="shared" si="435"/>
        <v>3120000</v>
      </c>
      <c r="N1157" s="736"/>
      <c r="O1157" s="736"/>
      <c r="P1157" s="736">
        <f t="shared" si="436"/>
        <v>3120000</v>
      </c>
      <c r="Q1157" s="753">
        <v>3120000</v>
      </c>
      <c r="R1157" s="738">
        <v>2502683</v>
      </c>
      <c r="S1157" s="753"/>
      <c r="T1157" s="739">
        <v>2510221</v>
      </c>
      <c r="U1157" s="754">
        <v>3500000</v>
      </c>
      <c r="V1157" s="741">
        <v>2510222</v>
      </c>
    </row>
    <row r="1158" spans="1:22" ht="15" x14ac:dyDescent="0.2">
      <c r="A1158" s="739">
        <v>4411</v>
      </c>
      <c r="B1158" s="806" t="s">
        <v>34</v>
      </c>
      <c r="C1158" s="736"/>
      <c r="D1158" s="736"/>
      <c r="E1158" s="749"/>
      <c r="F1158" s="736"/>
      <c r="G1158" s="752">
        <v>100000</v>
      </c>
      <c r="H1158" s="752"/>
      <c r="I1158" s="752"/>
      <c r="J1158" s="736">
        <f t="shared" si="434"/>
        <v>100000</v>
      </c>
      <c r="K1158" s="752"/>
      <c r="L1158" s="752"/>
      <c r="M1158" s="736">
        <f t="shared" si="435"/>
        <v>100000</v>
      </c>
      <c r="N1158" s="736"/>
      <c r="O1158" s="736"/>
      <c r="P1158" s="736">
        <f t="shared" si="436"/>
        <v>100000</v>
      </c>
      <c r="Q1158" s="753">
        <v>0</v>
      </c>
      <c r="R1158" s="738"/>
      <c r="S1158" s="753"/>
      <c r="T1158" s="739">
        <v>1100121</v>
      </c>
      <c r="U1158" s="745"/>
      <c r="V1158" s="739">
        <v>1100122</v>
      </c>
    </row>
    <row r="1159" spans="1:22" ht="15" x14ac:dyDescent="0.2">
      <c r="A1159" s="724" t="s">
        <v>195</v>
      </c>
      <c r="B1159" s="725" t="s">
        <v>1121</v>
      </c>
      <c r="C1159" s="721">
        <f t="shared" ref="C1159:S1159" si="437">SUM(C1160)</f>
        <v>23602510.659999996</v>
      </c>
      <c r="D1159" s="721">
        <f t="shared" si="437"/>
        <v>16248903.699999999</v>
      </c>
      <c r="E1159" s="721">
        <f t="shared" si="437"/>
        <v>14230074.289999999</v>
      </c>
      <c r="F1159" s="721">
        <f t="shared" si="437"/>
        <v>10855136.330000002</v>
      </c>
      <c r="G1159" s="721">
        <f t="shared" si="437"/>
        <v>11066648.699999999</v>
      </c>
      <c r="H1159" s="721">
        <f t="shared" si="437"/>
        <v>4958328</v>
      </c>
      <c r="I1159" s="721">
        <f t="shared" si="437"/>
        <v>0</v>
      </c>
      <c r="J1159" s="721">
        <f t="shared" si="437"/>
        <v>16024976.699999999</v>
      </c>
      <c r="K1159" s="721">
        <f t="shared" si="437"/>
        <v>1291112.1000000001</v>
      </c>
      <c r="L1159" s="721">
        <f t="shared" si="437"/>
        <v>1459668.22</v>
      </c>
      <c r="M1159" s="721">
        <f t="shared" si="437"/>
        <v>15856420.579999998</v>
      </c>
      <c r="N1159" s="721">
        <f t="shared" si="437"/>
        <v>25000</v>
      </c>
      <c r="O1159" s="721">
        <f t="shared" si="437"/>
        <v>20000</v>
      </c>
      <c r="P1159" s="721">
        <f t="shared" si="437"/>
        <v>15861420.579999998</v>
      </c>
      <c r="Q1159" s="756">
        <f t="shared" si="437"/>
        <v>15764334.089999998</v>
      </c>
      <c r="R1159" s="756">
        <f t="shared" si="437"/>
        <v>7521114.0700000003</v>
      </c>
      <c r="S1159" s="756">
        <f t="shared" si="437"/>
        <v>17428815.219999999</v>
      </c>
      <c r="T1159" s="724"/>
      <c r="U1159" s="726">
        <f t="shared" ref="U1159" si="438">SUM(U1160)</f>
        <v>13091975.6</v>
      </c>
      <c r="V1159" s="727"/>
    </row>
    <row r="1160" spans="1:22" ht="15" x14ac:dyDescent="0.2">
      <c r="A1160" s="728" t="s">
        <v>196</v>
      </c>
      <c r="B1160" s="729" t="s">
        <v>1567</v>
      </c>
      <c r="C1160" s="730">
        <f t="shared" ref="C1160:S1160" si="439">SUM(C1161:C1213)</f>
        <v>23602510.659999996</v>
      </c>
      <c r="D1160" s="730">
        <f t="shared" si="439"/>
        <v>16248903.699999999</v>
      </c>
      <c r="E1160" s="730">
        <f t="shared" si="439"/>
        <v>14230074.289999999</v>
      </c>
      <c r="F1160" s="730">
        <f t="shared" si="439"/>
        <v>10855136.330000002</v>
      </c>
      <c r="G1160" s="730">
        <f t="shared" si="439"/>
        <v>11066648.699999999</v>
      </c>
      <c r="H1160" s="730">
        <f t="shared" si="439"/>
        <v>4958328</v>
      </c>
      <c r="I1160" s="730">
        <f t="shared" si="439"/>
        <v>0</v>
      </c>
      <c r="J1160" s="730">
        <f t="shared" si="439"/>
        <v>16024976.699999999</v>
      </c>
      <c r="K1160" s="730">
        <f t="shared" si="439"/>
        <v>1291112.1000000001</v>
      </c>
      <c r="L1160" s="730">
        <f t="shared" si="439"/>
        <v>1459668.22</v>
      </c>
      <c r="M1160" s="730">
        <f t="shared" si="439"/>
        <v>15856420.579999998</v>
      </c>
      <c r="N1160" s="730">
        <f t="shared" si="439"/>
        <v>25000</v>
      </c>
      <c r="O1160" s="730">
        <f t="shared" si="439"/>
        <v>20000</v>
      </c>
      <c r="P1160" s="730">
        <f t="shared" si="439"/>
        <v>15861420.579999998</v>
      </c>
      <c r="Q1160" s="748">
        <f t="shared" si="439"/>
        <v>15764334.089999998</v>
      </c>
      <c r="R1160" s="748">
        <f>SUM(R1161:R1213)</f>
        <v>7521114.0700000003</v>
      </c>
      <c r="S1160" s="748">
        <f t="shared" si="439"/>
        <v>17428815.219999999</v>
      </c>
      <c r="T1160" s="731"/>
      <c r="U1160" s="732">
        <f>SUM(U1161:U1213)</f>
        <v>13091975.6</v>
      </c>
      <c r="V1160" s="733"/>
    </row>
    <row r="1161" spans="1:22" ht="15" x14ac:dyDescent="0.25">
      <c r="A1161" s="734">
        <v>1131</v>
      </c>
      <c r="B1161" s="735" t="s">
        <v>6</v>
      </c>
      <c r="C1161" s="736">
        <v>328026.48</v>
      </c>
      <c r="D1161" s="736">
        <v>344231.16</v>
      </c>
      <c r="E1161" s="749">
        <v>344231.16</v>
      </c>
      <c r="F1161" s="736">
        <v>372932.08</v>
      </c>
      <c r="G1161" s="736">
        <v>374544.39999999997</v>
      </c>
      <c r="H1161" s="736"/>
      <c r="I1161" s="736"/>
      <c r="J1161" s="736">
        <f t="shared" ref="J1161:J1180" si="440">G1161+H1161-I1161</f>
        <v>374544.39999999997</v>
      </c>
      <c r="K1161" s="736">
        <v>1679.21</v>
      </c>
      <c r="L1161" s="736"/>
      <c r="M1161" s="736">
        <f t="shared" ref="M1161:M1180" si="441">J1161+K1161-L1161</f>
        <v>376223.61</v>
      </c>
      <c r="N1161" s="736"/>
      <c r="O1161" s="736"/>
      <c r="P1161" s="736">
        <f t="shared" ref="P1161:P1180" si="442">M1161+N1161-O1161</f>
        <v>376223.61</v>
      </c>
      <c r="Q1161" s="753">
        <v>376223.61</v>
      </c>
      <c r="R1161" s="738">
        <v>270303.46000000002</v>
      </c>
      <c r="S1161" s="751">
        <v>389072.32</v>
      </c>
      <c r="T1161" s="739">
        <v>1500521</v>
      </c>
      <c r="U1161" s="779">
        <v>387266.89</v>
      </c>
      <c r="V1161" s="741">
        <v>1500522</v>
      </c>
    </row>
    <row r="1162" spans="1:22" ht="15" x14ac:dyDescent="0.25">
      <c r="A1162" s="734">
        <v>1132</v>
      </c>
      <c r="B1162" s="735" t="s">
        <v>8</v>
      </c>
      <c r="C1162" s="736">
        <v>3401457.47</v>
      </c>
      <c r="D1162" s="736">
        <v>3872213.8</v>
      </c>
      <c r="E1162" s="749">
        <v>3714653.04</v>
      </c>
      <c r="F1162" s="736">
        <v>3785600.9</v>
      </c>
      <c r="G1162" s="736">
        <v>3343372.8000000003</v>
      </c>
      <c r="H1162" s="736"/>
      <c r="I1162" s="736"/>
      <c r="J1162" s="736">
        <f t="shared" si="440"/>
        <v>3343372.8000000003</v>
      </c>
      <c r="K1162" s="736">
        <v>109393.99</v>
      </c>
      <c r="L1162" s="736"/>
      <c r="M1162" s="736">
        <f t="shared" si="441"/>
        <v>3452766.7900000005</v>
      </c>
      <c r="N1162" s="736"/>
      <c r="O1162" s="736"/>
      <c r="P1162" s="736">
        <f t="shared" si="442"/>
        <v>3452766.7900000005</v>
      </c>
      <c r="Q1162" s="753">
        <v>3427606.06</v>
      </c>
      <c r="R1162" s="738">
        <v>2436618.5699999998</v>
      </c>
      <c r="S1162" s="751">
        <v>4865238.5599999996</v>
      </c>
      <c r="T1162" s="739">
        <v>1500521</v>
      </c>
      <c r="U1162" s="779">
        <v>3518045.11</v>
      </c>
      <c r="V1162" s="741">
        <v>1500522</v>
      </c>
    </row>
    <row r="1163" spans="1:22" ht="15" x14ac:dyDescent="0.25">
      <c r="A1163" s="734">
        <v>1212</v>
      </c>
      <c r="B1163" s="735" t="s">
        <v>53</v>
      </c>
      <c r="C1163" s="736">
        <v>1149461.05</v>
      </c>
      <c r="D1163" s="736">
        <v>1187143.2</v>
      </c>
      <c r="E1163" s="749">
        <v>1722733.9</v>
      </c>
      <c r="F1163" s="736">
        <v>1679703.73</v>
      </c>
      <c r="G1163" s="736">
        <v>1400144.4</v>
      </c>
      <c r="H1163" s="736"/>
      <c r="I1163" s="736"/>
      <c r="J1163" s="736">
        <f t="shared" si="440"/>
        <v>1400144.4</v>
      </c>
      <c r="K1163" s="736">
        <v>555352.65</v>
      </c>
      <c r="L1163" s="736"/>
      <c r="M1163" s="736">
        <f t="shared" si="441"/>
        <v>1955497.0499999998</v>
      </c>
      <c r="N1163" s="736"/>
      <c r="O1163" s="736"/>
      <c r="P1163" s="736">
        <f t="shared" si="442"/>
        <v>1955497.0499999998</v>
      </c>
      <c r="Q1163" s="753">
        <v>1820798.74</v>
      </c>
      <c r="R1163" s="738">
        <v>1396137.78</v>
      </c>
      <c r="S1163" s="751">
        <v>2046528</v>
      </c>
      <c r="T1163" s="739">
        <v>1500521</v>
      </c>
      <c r="U1163" s="779">
        <v>2024827.77</v>
      </c>
      <c r="V1163" s="741">
        <v>1500522</v>
      </c>
    </row>
    <row r="1164" spans="1:22" ht="15" x14ac:dyDescent="0.25">
      <c r="A1164" s="734">
        <v>1321</v>
      </c>
      <c r="B1164" s="735" t="s">
        <v>9</v>
      </c>
      <c r="C1164" s="736">
        <v>210675.01</v>
      </c>
      <c r="D1164" s="736">
        <v>242371.84</v>
      </c>
      <c r="E1164" s="749">
        <v>233087.84</v>
      </c>
      <c r="F1164" s="736">
        <v>225233.92000000001</v>
      </c>
      <c r="G1164" s="736">
        <v>226451</v>
      </c>
      <c r="H1164" s="736"/>
      <c r="I1164" s="736"/>
      <c r="J1164" s="736">
        <f t="shared" si="440"/>
        <v>226451</v>
      </c>
      <c r="K1164" s="736">
        <v>9666.77</v>
      </c>
      <c r="L1164" s="736"/>
      <c r="M1164" s="736">
        <f t="shared" si="441"/>
        <v>236117.77</v>
      </c>
      <c r="N1164" s="736"/>
      <c r="O1164" s="736"/>
      <c r="P1164" s="736">
        <f t="shared" si="442"/>
        <v>236117.77</v>
      </c>
      <c r="Q1164" s="753">
        <v>236117.77</v>
      </c>
      <c r="R1164" s="738">
        <v>117154.02</v>
      </c>
      <c r="S1164" s="751">
        <v>311546.08</v>
      </c>
      <c r="T1164" s="739">
        <v>1500521</v>
      </c>
      <c r="U1164" s="779">
        <v>240734.39</v>
      </c>
      <c r="V1164" s="741">
        <v>1500522</v>
      </c>
    </row>
    <row r="1165" spans="1:22" ht="15" x14ac:dyDescent="0.25">
      <c r="A1165" s="734">
        <v>1323</v>
      </c>
      <c r="B1165" s="735" t="s">
        <v>11</v>
      </c>
      <c r="C1165" s="736">
        <v>667277.36</v>
      </c>
      <c r="D1165" s="736">
        <v>755945.8</v>
      </c>
      <c r="E1165" s="749">
        <v>756897.14</v>
      </c>
      <c r="F1165" s="736">
        <v>733547.53</v>
      </c>
      <c r="G1165" s="736">
        <v>678359.9</v>
      </c>
      <c r="H1165" s="736"/>
      <c r="I1165" s="736"/>
      <c r="J1165" s="736">
        <f t="shared" si="440"/>
        <v>678359.9</v>
      </c>
      <c r="K1165" s="736">
        <v>40389.53</v>
      </c>
      <c r="L1165" s="736"/>
      <c r="M1165" s="736">
        <f t="shared" si="441"/>
        <v>718749.43</v>
      </c>
      <c r="N1165" s="736"/>
      <c r="O1165" s="736"/>
      <c r="P1165" s="736">
        <f t="shared" si="442"/>
        <v>718749.43</v>
      </c>
      <c r="Q1165" s="753">
        <v>718749.43</v>
      </c>
      <c r="R1165" s="738">
        <v>471849.62</v>
      </c>
      <c r="S1165" s="751">
        <v>966664.5</v>
      </c>
      <c r="T1165" s="739">
        <v>1500521</v>
      </c>
      <c r="U1165" s="779">
        <v>735274.95</v>
      </c>
      <c r="V1165" s="741">
        <v>1500522</v>
      </c>
    </row>
    <row r="1166" spans="1:22" ht="15" x14ac:dyDescent="0.25">
      <c r="A1166" s="734">
        <v>1413</v>
      </c>
      <c r="B1166" s="735" t="s">
        <v>13</v>
      </c>
      <c r="C1166" s="736">
        <v>901624.17</v>
      </c>
      <c r="D1166" s="736">
        <v>1086270.7</v>
      </c>
      <c r="E1166" s="749">
        <v>1146217.7</v>
      </c>
      <c r="F1166" s="736">
        <v>1102716.56</v>
      </c>
      <c r="G1166" s="736">
        <v>1118980.6000000001</v>
      </c>
      <c r="H1166" s="736"/>
      <c r="I1166" s="736"/>
      <c r="J1166" s="736">
        <f t="shared" si="440"/>
        <v>1118980.6000000001</v>
      </c>
      <c r="K1166" s="736">
        <v>127236.34</v>
      </c>
      <c r="L1166" s="736"/>
      <c r="M1166" s="736">
        <f t="shared" si="441"/>
        <v>1246216.9400000002</v>
      </c>
      <c r="N1166" s="736"/>
      <c r="O1166" s="736"/>
      <c r="P1166" s="736">
        <f t="shared" si="442"/>
        <v>1246216.9400000002</v>
      </c>
      <c r="Q1166" s="753">
        <v>1246216.94</v>
      </c>
      <c r="R1166" s="738">
        <v>862950.13</v>
      </c>
      <c r="S1166" s="751">
        <v>1702013.04</v>
      </c>
      <c r="T1166" s="739">
        <v>1500521</v>
      </c>
      <c r="U1166" s="779">
        <v>1316771.6000000001</v>
      </c>
      <c r="V1166" s="741">
        <v>1500522</v>
      </c>
    </row>
    <row r="1167" spans="1:22" ht="15" x14ac:dyDescent="0.25">
      <c r="A1167" s="734">
        <v>1421</v>
      </c>
      <c r="B1167" s="735" t="s">
        <v>15</v>
      </c>
      <c r="C1167" s="736">
        <v>319081.2</v>
      </c>
      <c r="D1167" s="736">
        <v>360786.82</v>
      </c>
      <c r="E1167" s="749">
        <v>350756.82</v>
      </c>
      <c r="F1167" s="736">
        <v>366136.63</v>
      </c>
      <c r="G1167" s="736">
        <v>348385.5</v>
      </c>
      <c r="H1167" s="736"/>
      <c r="I1167" s="736"/>
      <c r="J1167" s="736">
        <f t="shared" si="440"/>
        <v>348385.5</v>
      </c>
      <c r="K1167" s="736">
        <v>36867.82</v>
      </c>
      <c r="L1167" s="736"/>
      <c r="M1167" s="736">
        <f t="shared" si="441"/>
        <v>385253.32</v>
      </c>
      <c r="N1167" s="736"/>
      <c r="O1167" s="736"/>
      <c r="P1167" s="736">
        <f t="shared" si="442"/>
        <v>385253.32</v>
      </c>
      <c r="Q1167" s="753">
        <v>385253.32</v>
      </c>
      <c r="R1167" s="738">
        <v>251945.27</v>
      </c>
      <c r="S1167" s="751">
        <v>497834.28</v>
      </c>
      <c r="T1167" s="739">
        <v>1500521</v>
      </c>
      <c r="U1167" s="779">
        <v>460206.35</v>
      </c>
      <c r="V1167" s="741">
        <v>1500522</v>
      </c>
    </row>
    <row r="1168" spans="1:22" ht="15" x14ac:dyDescent="0.25">
      <c r="A1168" s="734">
        <v>1431</v>
      </c>
      <c r="B1168" s="735" t="s">
        <v>16</v>
      </c>
      <c r="C1168" s="736">
        <v>335153.84000000003</v>
      </c>
      <c r="D1168" s="736">
        <v>371610.06</v>
      </c>
      <c r="E1168" s="749">
        <v>367722.06</v>
      </c>
      <c r="F1168" s="736">
        <v>386291.24</v>
      </c>
      <c r="G1168" s="736">
        <v>358837.1</v>
      </c>
      <c r="H1168" s="736"/>
      <c r="I1168" s="736"/>
      <c r="J1168" s="736">
        <f t="shared" si="440"/>
        <v>358837.1</v>
      </c>
      <c r="K1168" s="736">
        <v>37894.6</v>
      </c>
      <c r="L1168" s="736"/>
      <c r="M1168" s="736">
        <f t="shared" si="441"/>
        <v>396731.69999999995</v>
      </c>
      <c r="N1168" s="736"/>
      <c r="O1168" s="736"/>
      <c r="P1168" s="736">
        <f t="shared" si="442"/>
        <v>396731.69999999995</v>
      </c>
      <c r="Q1168" s="753">
        <v>396731.7</v>
      </c>
      <c r="R1168" s="738">
        <v>253099.05</v>
      </c>
      <c r="S1168" s="751">
        <v>512769.72</v>
      </c>
      <c r="T1168" s="739">
        <v>1500521</v>
      </c>
      <c r="U1168" s="779">
        <v>455714.56</v>
      </c>
      <c r="V1168" s="741">
        <v>1500522</v>
      </c>
    </row>
    <row r="1169" spans="1:22" ht="15" x14ac:dyDescent="0.25">
      <c r="A1169" s="734">
        <v>1511</v>
      </c>
      <c r="B1169" s="735" t="s">
        <v>18</v>
      </c>
      <c r="C1169" s="736">
        <v>89437.06</v>
      </c>
      <c r="D1169" s="736">
        <v>102866.4</v>
      </c>
      <c r="E1169" s="749">
        <v>97691.05</v>
      </c>
      <c r="F1169" s="736">
        <v>99290.18</v>
      </c>
      <c r="G1169" s="736">
        <v>90279.3</v>
      </c>
      <c r="H1169" s="736"/>
      <c r="I1169" s="736"/>
      <c r="J1169" s="736">
        <f t="shared" si="440"/>
        <v>90279.3</v>
      </c>
      <c r="K1169" s="736">
        <v>2411.81</v>
      </c>
      <c r="L1169" s="736"/>
      <c r="M1169" s="736">
        <f t="shared" si="441"/>
        <v>92691.11</v>
      </c>
      <c r="N1169" s="736"/>
      <c r="O1169" s="736"/>
      <c r="P1169" s="736">
        <f t="shared" si="442"/>
        <v>92691.11</v>
      </c>
      <c r="Q1169" s="753">
        <v>92691.11</v>
      </c>
      <c r="R1169" s="738">
        <v>65414.54</v>
      </c>
      <c r="S1169" s="751">
        <v>128331.84</v>
      </c>
      <c r="T1169" s="739">
        <v>1500521</v>
      </c>
      <c r="U1169" s="779">
        <v>93821.23</v>
      </c>
      <c r="V1169" s="741">
        <v>1500522</v>
      </c>
    </row>
    <row r="1170" spans="1:22" ht="15" x14ac:dyDescent="0.25">
      <c r="A1170" s="734">
        <v>1541</v>
      </c>
      <c r="B1170" s="735" t="s">
        <v>19</v>
      </c>
      <c r="C1170" s="736">
        <v>144186.84</v>
      </c>
      <c r="D1170" s="736">
        <v>162914.44</v>
      </c>
      <c r="E1170" s="749">
        <v>171570.78</v>
      </c>
      <c r="F1170" s="736">
        <v>175362.72</v>
      </c>
      <c r="G1170" s="736">
        <v>216815.4</v>
      </c>
      <c r="H1170" s="736"/>
      <c r="I1170" s="736"/>
      <c r="J1170" s="736">
        <f t="shared" si="440"/>
        <v>216815.4</v>
      </c>
      <c r="K1170" s="736">
        <v>8252.11</v>
      </c>
      <c r="L1170" s="736"/>
      <c r="M1170" s="736">
        <f t="shared" si="441"/>
        <v>225067.51</v>
      </c>
      <c r="N1170" s="736"/>
      <c r="O1170" s="736"/>
      <c r="P1170" s="736">
        <f t="shared" si="442"/>
        <v>225067.51</v>
      </c>
      <c r="Q1170" s="753">
        <v>215352.14</v>
      </c>
      <c r="R1170" s="738">
        <v>132574.32</v>
      </c>
      <c r="S1170" s="751">
        <v>202069.92</v>
      </c>
      <c r="T1170" s="739">
        <v>1500521</v>
      </c>
      <c r="U1170" s="779">
        <v>202069.9</v>
      </c>
      <c r="V1170" s="741">
        <v>1500522</v>
      </c>
    </row>
    <row r="1171" spans="1:22" ht="15" x14ac:dyDescent="0.25">
      <c r="A1171" s="734">
        <v>1592</v>
      </c>
      <c r="B1171" s="735" t="s">
        <v>20</v>
      </c>
      <c r="C1171" s="736">
        <v>803628.06</v>
      </c>
      <c r="D1171" s="736">
        <v>926740.36</v>
      </c>
      <c r="E1171" s="749">
        <v>886693.68</v>
      </c>
      <c r="F1171" s="736">
        <v>899493.41</v>
      </c>
      <c r="G1171" s="736">
        <v>808742.5</v>
      </c>
      <c r="H1171" s="736"/>
      <c r="I1171" s="736"/>
      <c r="J1171" s="736">
        <f t="shared" si="440"/>
        <v>808742.5</v>
      </c>
      <c r="K1171" s="736">
        <v>4967.2700000000004</v>
      </c>
      <c r="L1171" s="736"/>
      <c r="M1171" s="736">
        <f t="shared" si="441"/>
        <v>813709.77</v>
      </c>
      <c r="N1171" s="736"/>
      <c r="O1171" s="736"/>
      <c r="P1171" s="736">
        <f t="shared" si="442"/>
        <v>813709.77</v>
      </c>
      <c r="Q1171" s="753">
        <v>885712.82</v>
      </c>
      <c r="R1171" s="738">
        <v>577736.80000000005</v>
      </c>
      <c r="S1171" s="751">
        <v>1162226.52</v>
      </c>
      <c r="T1171" s="739">
        <v>1500521</v>
      </c>
      <c r="U1171" s="779">
        <v>830125.85</v>
      </c>
      <c r="V1171" s="741">
        <v>1500522</v>
      </c>
    </row>
    <row r="1172" spans="1:22" ht="15" x14ac:dyDescent="0.2">
      <c r="A1172" s="734">
        <v>2111</v>
      </c>
      <c r="B1172" s="735" t="s">
        <v>22</v>
      </c>
      <c r="C1172" s="736">
        <v>26835.1</v>
      </c>
      <c r="D1172" s="736">
        <v>40000</v>
      </c>
      <c r="E1172" s="749">
        <v>66925.959999999992</v>
      </c>
      <c r="F1172" s="736">
        <v>64925.06</v>
      </c>
      <c r="G1172" s="752">
        <v>40000</v>
      </c>
      <c r="H1172" s="752"/>
      <c r="I1172" s="752"/>
      <c r="J1172" s="736">
        <f t="shared" si="440"/>
        <v>40000</v>
      </c>
      <c r="K1172" s="752"/>
      <c r="L1172" s="752"/>
      <c r="M1172" s="736">
        <f t="shared" si="441"/>
        <v>40000</v>
      </c>
      <c r="N1172" s="736"/>
      <c r="O1172" s="736"/>
      <c r="P1172" s="736">
        <f t="shared" si="442"/>
        <v>40000</v>
      </c>
      <c r="Q1172" s="901">
        <v>30513.67</v>
      </c>
      <c r="R1172" s="738">
        <v>20299.7</v>
      </c>
      <c r="S1172" s="753">
        <v>70000</v>
      </c>
      <c r="T1172" s="739">
        <v>1100121</v>
      </c>
      <c r="U1172" s="740">
        <v>40000</v>
      </c>
      <c r="V1172" s="741">
        <v>1100122</v>
      </c>
    </row>
    <row r="1173" spans="1:22" ht="15" x14ac:dyDescent="0.2">
      <c r="A1173" s="739">
        <v>2112</v>
      </c>
      <c r="B1173" s="743" t="s">
        <v>39</v>
      </c>
      <c r="C1173" s="736">
        <v>60624.12</v>
      </c>
      <c r="D1173" s="736">
        <v>50000</v>
      </c>
      <c r="E1173" s="749">
        <v>900</v>
      </c>
      <c r="F1173" s="736">
        <v>893.2</v>
      </c>
      <c r="G1173" s="736"/>
      <c r="H1173" s="736"/>
      <c r="I1173" s="736"/>
      <c r="J1173" s="736">
        <f t="shared" si="440"/>
        <v>0</v>
      </c>
      <c r="K1173" s="736"/>
      <c r="L1173" s="736"/>
      <c r="M1173" s="736">
        <f t="shared" si="441"/>
        <v>0</v>
      </c>
      <c r="N1173" s="736"/>
      <c r="O1173" s="736"/>
      <c r="P1173" s="738">
        <f t="shared" si="442"/>
        <v>0</v>
      </c>
      <c r="Q1173" s="738"/>
      <c r="R1173" s="738"/>
      <c r="S1173" s="738"/>
      <c r="T1173" s="739">
        <v>1100121</v>
      </c>
      <c r="U1173" s="745"/>
      <c r="V1173" s="739">
        <v>1100122</v>
      </c>
    </row>
    <row r="1174" spans="1:22" ht="15" x14ac:dyDescent="0.25">
      <c r="A1174" s="734">
        <v>2121</v>
      </c>
      <c r="B1174" s="735" t="s">
        <v>24</v>
      </c>
      <c r="C1174" s="736">
        <v>2446.8200000000002</v>
      </c>
      <c r="D1174" s="736">
        <v>5000</v>
      </c>
      <c r="E1174" s="749">
        <v>2291</v>
      </c>
      <c r="F1174" s="736">
        <v>2291</v>
      </c>
      <c r="G1174" s="752">
        <v>5000</v>
      </c>
      <c r="H1174" s="752"/>
      <c r="I1174" s="752"/>
      <c r="J1174" s="736">
        <f t="shared" si="440"/>
        <v>5000</v>
      </c>
      <c r="K1174" s="752"/>
      <c r="L1174" s="752"/>
      <c r="M1174" s="736">
        <f t="shared" si="441"/>
        <v>5000</v>
      </c>
      <c r="N1174" s="736"/>
      <c r="O1174" s="736"/>
      <c r="P1174" s="736">
        <f t="shared" si="442"/>
        <v>5000</v>
      </c>
      <c r="Q1174" s="898">
        <v>4971.2</v>
      </c>
      <c r="R1174" s="738">
        <v>4721.2</v>
      </c>
      <c r="S1174" s="753">
        <v>30000</v>
      </c>
      <c r="T1174" s="739">
        <v>1100121</v>
      </c>
      <c r="U1174" s="740">
        <v>10000</v>
      </c>
      <c r="V1174" s="741">
        <v>1100122</v>
      </c>
    </row>
    <row r="1175" spans="1:22" ht="15" x14ac:dyDescent="0.2">
      <c r="A1175" s="734">
        <v>2161</v>
      </c>
      <c r="B1175" s="735" t="s">
        <v>59</v>
      </c>
      <c r="C1175" s="736">
        <v>13984.98</v>
      </c>
      <c r="D1175" s="736">
        <v>15000</v>
      </c>
      <c r="E1175" s="749">
        <v>20000</v>
      </c>
      <c r="F1175" s="736">
        <v>19959.5</v>
      </c>
      <c r="G1175" s="752">
        <v>20000</v>
      </c>
      <c r="H1175" s="752"/>
      <c r="I1175" s="752"/>
      <c r="J1175" s="736">
        <f t="shared" si="440"/>
        <v>20000</v>
      </c>
      <c r="K1175" s="752"/>
      <c r="L1175" s="752"/>
      <c r="M1175" s="736">
        <f t="shared" si="441"/>
        <v>20000</v>
      </c>
      <c r="N1175" s="736"/>
      <c r="O1175" s="736"/>
      <c r="P1175" s="736">
        <f t="shared" si="442"/>
        <v>20000</v>
      </c>
      <c r="Q1175" s="753">
        <v>20000</v>
      </c>
      <c r="R1175" s="738">
        <v>12392.76</v>
      </c>
      <c r="S1175" s="753">
        <v>27000</v>
      </c>
      <c r="T1175" s="739">
        <v>1100121</v>
      </c>
      <c r="U1175" s="740">
        <v>20000</v>
      </c>
      <c r="V1175" s="741">
        <v>1100122</v>
      </c>
    </row>
    <row r="1176" spans="1:22" ht="15" x14ac:dyDescent="0.2">
      <c r="A1176" s="734">
        <v>2171</v>
      </c>
      <c r="B1176" s="735" t="s">
        <v>174</v>
      </c>
      <c r="C1176" s="736">
        <v>1955</v>
      </c>
      <c r="D1176" s="736">
        <v>2000</v>
      </c>
      <c r="E1176" s="749">
        <v>2000</v>
      </c>
      <c r="F1176" s="736">
        <v>0</v>
      </c>
      <c r="G1176" s="752">
        <v>6000</v>
      </c>
      <c r="H1176" s="752"/>
      <c r="I1176" s="752"/>
      <c r="J1176" s="736">
        <f t="shared" si="440"/>
        <v>6000</v>
      </c>
      <c r="K1176" s="752"/>
      <c r="L1176" s="752"/>
      <c r="M1176" s="736">
        <f t="shared" si="441"/>
        <v>6000</v>
      </c>
      <c r="N1176" s="736"/>
      <c r="O1176" s="736"/>
      <c r="P1176" s="736">
        <f t="shared" si="442"/>
        <v>6000</v>
      </c>
      <c r="Q1176" s="753">
        <v>0</v>
      </c>
      <c r="R1176" s="738"/>
      <c r="S1176" s="753">
        <v>5000</v>
      </c>
      <c r="T1176" s="739">
        <v>1100121</v>
      </c>
      <c r="U1176" s="740">
        <v>5000</v>
      </c>
      <c r="V1176" s="741">
        <v>1100122</v>
      </c>
    </row>
    <row r="1177" spans="1:22" ht="15" x14ac:dyDescent="0.2">
      <c r="A1177" s="734">
        <v>2212</v>
      </c>
      <c r="B1177" s="735" t="s">
        <v>40</v>
      </c>
      <c r="C1177" s="736">
        <v>3000</v>
      </c>
      <c r="D1177" s="736">
        <v>5000</v>
      </c>
      <c r="E1177" s="749">
        <v>5000</v>
      </c>
      <c r="F1177" s="736">
        <v>1440.7</v>
      </c>
      <c r="G1177" s="736"/>
      <c r="H1177" s="736"/>
      <c r="I1177" s="736"/>
      <c r="J1177" s="736">
        <f t="shared" si="440"/>
        <v>0</v>
      </c>
      <c r="K1177" s="736"/>
      <c r="L1177" s="736"/>
      <c r="M1177" s="736">
        <f t="shared" si="441"/>
        <v>0</v>
      </c>
      <c r="N1177" s="736"/>
      <c r="O1177" s="736"/>
      <c r="P1177" s="738">
        <f t="shared" si="442"/>
        <v>0</v>
      </c>
      <c r="Q1177" s="738">
        <v>2000</v>
      </c>
      <c r="R1177" s="738"/>
      <c r="S1177" s="738">
        <v>8500</v>
      </c>
      <c r="T1177" s="739">
        <v>1100121</v>
      </c>
      <c r="U1177" s="740">
        <v>5000</v>
      </c>
      <c r="V1177" s="741">
        <v>1100122</v>
      </c>
    </row>
    <row r="1178" spans="1:22" ht="15" x14ac:dyDescent="0.2">
      <c r="A1178" s="734">
        <v>2491</v>
      </c>
      <c r="B1178" s="735" t="s">
        <v>41</v>
      </c>
      <c r="C1178" s="736">
        <v>12221.03</v>
      </c>
      <c r="D1178" s="736">
        <v>15000</v>
      </c>
      <c r="E1178" s="749">
        <v>10000</v>
      </c>
      <c r="F1178" s="736">
        <v>4072.85</v>
      </c>
      <c r="G1178" s="752">
        <v>10000</v>
      </c>
      <c r="H1178" s="752"/>
      <c r="I1178" s="752"/>
      <c r="J1178" s="736">
        <f t="shared" si="440"/>
        <v>10000</v>
      </c>
      <c r="K1178" s="752"/>
      <c r="L1178" s="752"/>
      <c r="M1178" s="736">
        <f t="shared" si="441"/>
        <v>10000</v>
      </c>
      <c r="N1178" s="736"/>
      <c r="O1178" s="736"/>
      <c r="P1178" s="736">
        <f t="shared" si="442"/>
        <v>10000</v>
      </c>
      <c r="Q1178" s="753">
        <v>16000</v>
      </c>
      <c r="R1178" s="738">
        <v>9968.11</v>
      </c>
      <c r="S1178" s="753">
        <v>15000</v>
      </c>
      <c r="T1178" s="739">
        <v>1100121</v>
      </c>
      <c r="U1178" s="740">
        <v>20000</v>
      </c>
      <c r="V1178" s="741">
        <v>1100122</v>
      </c>
    </row>
    <row r="1179" spans="1:22" ht="30" x14ac:dyDescent="0.2">
      <c r="A1179" s="734">
        <v>2612</v>
      </c>
      <c r="B1179" s="735" t="s">
        <v>26</v>
      </c>
      <c r="C1179" s="736">
        <v>79145.3</v>
      </c>
      <c r="D1179" s="736">
        <v>85000</v>
      </c>
      <c r="E1179" s="749">
        <v>85000</v>
      </c>
      <c r="F1179" s="736">
        <v>59594.49</v>
      </c>
      <c r="G1179" s="752">
        <v>85000</v>
      </c>
      <c r="H1179" s="752"/>
      <c r="I1179" s="752"/>
      <c r="J1179" s="736">
        <f t="shared" si="440"/>
        <v>85000</v>
      </c>
      <c r="K1179" s="736"/>
      <c r="L1179" s="736"/>
      <c r="M1179" s="736">
        <f t="shared" si="441"/>
        <v>85000</v>
      </c>
      <c r="N1179" s="736">
        <v>25000</v>
      </c>
      <c r="O1179" s="736"/>
      <c r="P1179" s="736">
        <f t="shared" si="442"/>
        <v>110000</v>
      </c>
      <c r="Q1179" s="753">
        <v>120000</v>
      </c>
      <c r="R1179" s="738">
        <v>87310.36</v>
      </c>
      <c r="S1179" s="738">
        <f>Q1179</f>
        <v>120000</v>
      </c>
      <c r="T1179" s="739">
        <v>1100121</v>
      </c>
      <c r="U1179" s="746">
        <v>125000</v>
      </c>
      <c r="V1179" s="741">
        <v>1100122</v>
      </c>
    </row>
    <row r="1180" spans="1:22" ht="15" x14ac:dyDescent="0.2">
      <c r="A1180" s="739">
        <v>2911</v>
      </c>
      <c r="B1180" s="743" t="s">
        <v>60</v>
      </c>
      <c r="C1180" s="736"/>
      <c r="D1180" s="736">
        <v>0</v>
      </c>
      <c r="E1180" s="749">
        <v>3000</v>
      </c>
      <c r="F1180" s="736">
        <v>0</v>
      </c>
      <c r="G1180" s="736"/>
      <c r="H1180" s="736"/>
      <c r="I1180" s="736"/>
      <c r="J1180" s="736">
        <f t="shared" si="440"/>
        <v>0</v>
      </c>
      <c r="K1180" s="736"/>
      <c r="L1180" s="736"/>
      <c r="M1180" s="736">
        <f t="shared" si="441"/>
        <v>0</v>
      </c>
      <c r="N1180" s="736"/>
      <c r="O1180" s="736"/>
      <c r="P1180" s="738">
        <f t="shared" si="442"/>
        <v>0</v>
      </c>
      <c r="Q1180" s="738"/>
      <c r="R1180" s="738"/>
      <c r="S1180" s="738">
        <v>20000</v>
      </c>
      <c r="T1180" s="739">
        <v>1100121</v>
      </c>
      <c r="U1180" s="745"/>
      <c r="V1180" s="739">
        <v>1100122</v>
      </c>
    </row>
    <row r="1181" spans="1:22" ht="15" x14ac:dyDescent="0.2">
      <c r="A1181" s="739">
        <v>2911</v>
      </c>
      <c r="B1181" s="743" t="s">
        <v>60</v>
      </c>
      <c r="C1181" s="736"/>
      <c r="D1181" s="736"/>
      <c r="E1181" s="749"/>
      <c r="F1181" s="736"/>
      <c r="G1181" s="736"/>
      <c r="H1181" s="736"/>
      <c r="I1181" s="736"/>
      <c r="J1181" s="736"/>
      <c r="K1181" s="736"/>
      <c r="L1181" s="736"/>
      <c r="M1181" s="736"/>
      <c r="N1181" s="736"/>
      <c r="O1181" s="736"/>
      <c r="P1181" s="738"/>
      <c r="Q1181" s="738"/>
      <c r="R1181" s="738"/>
      <c r="S1181" s="738">
        <v>30000</v>
      </c>
      <c r="T1181" s="739"/>
      <c r="U1181" s="745"/>
      <c r="V1181" s="739"/>
    </row>
    <row r="1182" spans="1:22" ht="15" x14ac:dyDescent="0.2">
      <c r="A1182" s="734">
        <v>3111</v>
      </c>
      <c r="B1182" s="735" t="s">
        <v>47</v>
      </c>
      <c r="C1182" s="736">
        <v>35806</v>
      </c>
      <c r="D1182" s="736">
        <v>40000</v>
      </c>
      <c r="E1182" s="749">
        <v>40000</v>
      </c>
      <c r="F1182" s="736">
        <v>27256</v>
      </c>
      <c r="G1182" s="752">
        <v>40000</v>
      </c>
      <c r="H1182" s="752"/>
      <c r="I1182" s="752"/>
      <c r="J1182" s="736">
        <f t="shared" ref="J1182:J1187" si="443">G1182+H1182-I1182</f>
        <v>40000</v>
      </c>
      <c r="K1182" s="752"/>
      <c r="L1182" s="752"/>
      <c r="M1182" s="736">
        <f t="shared" ref="M1182:M1187" si="444">J1182+K1182-L1182</f>
        <v>40000</v>
      </c>
      <c r="N1182" s="736"/>
      <c r="O1182" s="736"/>
      <c r="P1182" s="736">
        <f t="shared" ref="P1182:P1187" si="445">M1182+N1182-O1182</f>
        <v>40000</v>
      </c>
      <c r="Q1182" s="753">
        <v>40000</v>
      </c>
      <c r="R1182" s="738">
        <v>33700</v>
      </c>
      <c r="S1182" s="753"/>
      <c r="T1182" s="739">
        <v>1100121</v>
      </c>
      <c r="U1182" s="746">
        <v>50000</v>
      </c>
      <c r="V1182" s="741">
        <v>1100122</v>
      </c>
    </row>
    <row r="1183" spans="1:22" ht="15" x14ac:dyDescent="0.2">
      <c r="A1183" s="734">
        <v>3131</v>
      </c>
      <c r="B1183" s="735" t="s">
        <v>61</v>
      </c>
      <c r="C1183" s="736">
        <v>1821.67</v>
      </c>
      <c r="D1183" s="736">
        <v>5000</v>
      </c>
      <c r="E1183" s="749">
        <v>5000</v>
      </c>
      <c r="F1183" s="736">
        <v>2647.49</v>
      </c>
      <c r="G1183" s="752">
        <v>6000</v>
      </c>
      <c r="H1183" s="752"/>
      <c r="I1183" s="752"/>
      <c r="J1183" s="736">
        <f t="shared" si="443"/>
        <v>6000</v>
      </c>
      <c r="K1183" s="752"/>
      <c r="L1183" s="752"/>
      <c r="M1183" s="736">
        <f t="shared" si="444"/>
        <v>6000</v>
      </c>
      <c r="N1183" s="736"/>
      <c r="O1183" s="736"/>
      <c r="P1183" s="736">
        <f t="shared" si="445"/>
        <v>6000</v>
      </c>
      <c r="Q1183" s="753">
        <v>6000</v>
      </c>
      <c r="R1183" s="738">
        <v>2800.74</v>
      </c>
      <c r="S1183" s="753"/>
      <c r="T1183" s="739">
        <v>1100121</v>
      </c>
      <c r="U1183" s="746">
        <v>6500</v>
      </c>
      <c r="V1183" s="741">
        <v>1100122</v>
      </c>
    </row>
    <row r="1184" spans="1:22" ht="15" x14ac:dyDescent="0.2">
      <c r="A1184" s="734">
        <v>3141</v>
      </c>
      <c r="B1184" s="735" t="s">
        <v>48</v>
      </c>
      <c r="C1184" s="736">
        <v>9490.24</v>
      </c>
      <c r="D1184" s="736">
        <v>15800</v>
      </c>
      <c r="E1184" s="749">
        <v>15800</v>
      </c>
      <c r="F1184" s="736">
        <v>10350.24</v>
      </c>
      <c r="G1184" s="752">
        <v>15000</v>
      </c>
      <c r="H1184" s="752"/>
      <c r="I1184" s="752"/>
      <c r="J1184" s="736">
        <f t="shared" si="443"/>
        <v>15000</v>
      </c>
      <c r="K1184" s="752"/>
      <c r="L1184" s="752"/>
      <c r="M1184" s="736">
        <f t="shared" si="444"/>
        <v>15000</v>
      </c>
      <c r="N1184" s="736"/>
      <c r="O1184" s="736"/>
      <c r="P1184" s="736">
        <f t="shared" si="445"/>
        <v>15000</v>
      </c>
      <c r="Q1184" s="753">
        <v>15000</v>
      </c>
      <c r="R1184" s="738">
        <v>6382.43</v>
      </c>
      <c r="S1184" s="753"/>
      <c r="T1184" s="739">
        <v>1100121</v>
      </c>
      <c r="U1184" s="746">
        <v>10000</v>
      </c>
      <c r="V1184" s="741">
        <v>1100122</v>
      </c>
    </row>
    <row r="1185" spans="1:22" ht="15" x14ac:dyDescent="0.2">
      <c r="A1185" s="734">
        <v>3151</v>
      </c>
      <c r="B1185" s="735" t="s">
        <v>28</v>
      </c>
      <c r="C1185" s="736">
        <v>6841.38</v>
      </c>
      <c r="D1185" s="736">
        <v>10000</v>
      </c>
      <c r="E1185" s="749">
        <v>10000</v>
      </c>
      <c r="F1185" s="736">
        <v>9305.4599999999991</v>
      </c>
      <c r="G1185" s="752">
        <v>11000</v>
      </c>
      <c r="H1185" s="752"/>
      <c r="I1185" s="752"/>
      <c r="J1185" s="736">
        <f t="shared" si="443"/>
        <v>11000</v>
      </c>
      <c r="K1185" s="752"/>
      <c r="L1185" s="752"/>
      <c r="M1185" s="736">
        <f t="shared" si="444"/>
        <v>11000</v>
      </c>
      <c r="N1185" s="736"/>
      <c r="O1185" s="736"/>
      <c r="P1185" s="736">
        <f t="shared" si="445"/>
        <v>11000</v>
      </c>
      <c r="Q1185" s="753">
        <v>11000</v>
      </c>
      <c r="R1185" s="738">
        <v>6080.48</v>
      </c>
      <c r="S1185" s="753"/>
      <c r="T1185" s="739">
        <v>1100121</v>
      </c>
      <c r="U1185" s="746">
        <v>11000</v>
      </c>
      <c r="V1185" s="741">
        <v>1100122</v>
      </c>
    </row>
    <row r="1186" spans="1:22" ht="15" x14ac:dyDescent="0.2">
      <c r="A1186" s="739">
        <v>3221</v>
      </c>
      <c r="B1186" s="743" t="s">
        <v>99</v>
      </c>
      <c r="C1186" s="736">
        <v>159085.68</v>
      </c>
      <c r="D1186" s="736">
        <v>165449.12</v>
      </c>
      <c r="E1186" s="749">
        <v>165959.12</v>
      </c>
      <c r="F1186" s="736">
        <v>165958.68</v>
      </c>
      <c r="G1186" s="752">
        <v>172000</v>
      </c>
      <c r="H1186" s="752"/>
      <c r="I1186" s="896"/>
      <c r="J1186" s="736">
        <f t="shared" si="443"/>
        <v>172000</v>
      </c>
      <c r="K1186" s="752"/>
      <c r="L1186" s="896">
        <v>144340.22</v>
      </c>
      <c r="M1186" s="736">
        <f t="shared" si="444"/>
        <v>27659.78</v>
      </c>
      <c r="N1186" s="736"/>
      <c r="O1186" s="736"/>
      <c r="P1186" s="736">
        <f t="shared" si="445"/>
        <v>27659.78</v>
      </c>
      <c r="Q1186" s="753">
        <v>27659.78</v>
      </c>
      <c r="R1186" s="738">
        <v>27659.78</v>
      </c>
      <c r="S1186" s="753"/>
      <c r="T1186" s="739">
        <v>1100121</v>
      </c>
      <c r="U1186" s="745"/>
      <c r="V1186" s="739">
        <v>1100122</v>
      </c>
    </row>
    <row r="1187" spans="1:22" ht="15" x14ac:dyDescent="0.25">
      <c r="A1187" s="734">
        <v>3311</v>
      </c>
      <c r="B1187" s="735" t="s">
        <v>117</v>
      </c>
      <c r="C1187" s="736">
        <v>80952.539999999994</v>
      </c>
      <c r="D1187" s="736">
        <v>900000</v>
      </c>
      <c r="E1187" s="749">
        <v>416100</v>
      </c>
      <c r="F1187" s="736">
        <v>208973.72</v>
      </c>
      <c r="G1187" s="752">
        <v>250000</v>
      </c>
      <c r="H1187" s="752"/>
      <c r="I1187" s="752"/>
      <c r="J1187" s="736">
        <f t="shared" si="443"/>
        <v>250000</v>
      </c>
      <c r="K1187" s="752"/>
      <c r="L1187" s="752"/>
      <c r="M1187" s="736">
        <f t="shared" si="444"/>
        <v>250000</v>
      </c>
      <c r="N1187" s="736"/>
      <c r="O1187" s="736"/>
      <c r="P1187" s="736">
        <f t="shared" si="445"/>
        <v>250000</v>
      </c>
      <c r="Q1187" s="898">
        <v>425000</v>
      </c>
      <c r="R1187" s="738">
        <v>302123.96000000002</v>
      </c>
      <c r="S1187" s="753">
        <v>250000</v>
      </c>
      <c r="T1187" s="739">
        <v>1100121</v>
      </c>
      <c r="U1187" s="754">
        <v>250000</v>
      </c>
      <c r="V1187" s="741">
        <v>1100122</v>
      </c>
    </row>
    <row r="1188" spans="1:22" ht="15" x14ac:dyDescent="0.2">
      <c r="A1188" s="739">
        <v>3314</v>
      </c>
      <c r="B1188" s="743" t="s">
        <v>197</v>
      </c>
      <c r="C1188" s="736"/>
      <c r="D1188" s="736"/>
      <c r="E1188" s="749"/>
      <c r="F1188" s="736"/>
      <c r="G1188" s="752"/>
      <c r="H1188" s="752"/>
      <c r="I1188" s="752"/>
      <c r="J1188" s="736"/>
      <c r="K1188" s="752"/>
      <c r="L1188" s="752"/>
      <c r="M1188" s="736"/>
      <c r="N1188" s="736"/>
      <c r="O1188" s="736"/>
      <c r="P1188" s="736"/>
      <c r="Q1188" s="753"/>
      <c r="R1188" s="738"/>
      <c r="S1188" s="753">
        <v>50000</v>
      </c>
      <c r="T1188" s="739"/>
      <c r="U1188" s="745"/>
      <c r="V1188" s="739"/>
    </row>
    <row r="1189" spans="1:22" ht="15" x14ac:dyDescent="0.2">
      <c r="A1189" s="739">
        <v>3314</v>
      </c>
      <c r="B1189" s="743" t="s">
        <v>197</v>
      </c>
      <c r="C1189" s="736"/>
      <c r="D1189" s="736"/>
      <c r="E1189" s="749"/>
      <c r="F1189" s="736"/>
      <c r="G1189" s="752"/>
      <c r="H1189" s="752"/>
      <c r="I1189" s="752"/>
      <c r="J1189" s="736"/>
      <c r="K1189" s="752"/>
      <c r="L1189" s="752"/>
      <c r="M1189" s="736"/>
      <c r="N1189" s="736"/>
      <c r="O1189" s="736"/>
      <c r="P1189" s="736"/>
      <c r="Q1189" s="753"/>
      <c r="R1189" s="738"/>
      <c r="S1189" s="753">
        <v>80000</v>
      </c>
      <c r="T1189" s="739"/>
      <c r="U1189" s="745"/>
      <c r="V1189" s="739"/>
    </row>
    <row r="1190" spans="1:22" ht="15" x14ac:dyDescent="0.2">
      <c r="A1190" s="739">
        <v>3341</v>
      </c>
      <c r="B1190" s="743" t="s">
        <v>1761</v>
      </c>
      <c r="C1190" s="736"/>
      <c r="D1190" s="736"/>
      <c r="E1190" s="749"/>
      <c r="F1190" s="736"/>
      <c r="G1190" s="752"/>
      <c r="H1190" s="752"/>
      <c r="I1190" s="752"/>
      <c r="J1190" s="736"/>
      <c r="K1190" s="752"/>
      <c r="L1190" s="752"/>
      <c r="M1190" s="736"/>
      <c r="N1190" s="736"/>
      <c r="O1190" s="736"/>
      <c r="P1190" s="736"/>
      <c r="Q1190" s="753"/>
      <c r="R1190" s="738"/>
      <c r="S1190" s="753">
        <v>50000</v>
      </c>
      <c r="T1190" s="739"/>
      <c r="U1190" s="744"/>
      <c r="V1190" s="739"/>
    </row>
    <row r="1191" spans="1:22" ht="15" x14ac:dyDescent="0.2">
      <c r="A1191" s="739">
        <v>3341</v>
      </c>
      <c r="B1191" s="743" t="s">
        <v>1761</v>
      </c>
      <c r="C1191" s="736"/>
      <c r="D1191" s="736"/>
      <c r="E1191" s="749"/>
      <c r="F1191" s="736"/>
      <c r="G1191" s="752"/>
      <c r="H1191" s="752"/>
      <c r="I1191" s="752"/>
      <c r="J1191" s="736"/>
      <c r="K1191" s="752"/>
      <c r="L1191" s="752"/>
      <c r="M1191" s="736"/>
      <c r="N1191" s="736"/>
      <c r="O1191" s="736"/>
      <c r="P1191" s="736"/>
      <c r="Q1191" s="753"/>
      <c r="R1191" s="738"/>
      <c r="S1191" s="753">
        <v>50000</v>
      </c>
      <c r="T1191" s="739"/>
      <c r="U1191" s="744"/>
      <c r="V1191" s="739"/>
    </row>
    <row r="1192" spans="1:22" ht="30" x14ac:dyDescent="0.2">
      <c r="A1192" s="734">
        <v>3361</v>
      </c>
      <c r="B1192" s="735" t="s">
        <v>29</v>
      </c>
      <c r="C1192" s="736">
        <v>603.20000000000005</v>
      </c>
      <c r="D1192" s="736">
        <v>5000</v>
      </c>
      <c r="E1192" s="749">
        <v>823.04</v>
      </c>
      <c r="F1192" s="736">
        <v>603.20000000000005</v>
      </c>
      <c r="G1192" s="752">
        <v>5000</v>
      </c>
      <c r="H1192" s="752"/>
      <c r="I1192" s="752"/>
      <c r="J1192" s="736">
        <f t="shared" ref="J1192:J1213" si="446">G1192+H1192-I1192</f>
        <v>5000</v>
      </c>
      <c r="K1192" s="752"/>
      <c r="L1192" s="752"/>
      <c r="M1192" s="736">
        <f t="shared" ref="M1192:M1213" si="447">J1192+K1192-L1192</f>
        <v>5000</v>
      </c>
      <c r="N1192" s="736"/>
      <c r="O1192" s="736"/>
      <c r="P1192" s="736">
        <f t="shared" ref="P1192:P1213" si="448">M1192+N1192-O1192</f>
        <v>5000</v>
      </c>
      <c r="Q1192" s="753">
        <v>5000</v>
      </c>
      <c r="R1192" s="738">
        <v>603.20000000000005</v>
      </c>
      <c r="S1192" s="753">
        <v>15000</v>
      </c>
      <c r="T1192" s="739">
        <v>1100121</v>
      </c>
      <c r="U1192" s="740">
        <v>5000</v>
      </c>
      <c r="V1192" s="741">
        <v>1100122</v>
      </c>
    </row>
    <row r="1193" spans="1:22" ht="15" x14ac:dyDescent="0.2">
      <c r="A1193" s="734">
        <v>3391</v>
      </c>
      <c r="B1193" s="735" t="s">
        <v>118</v>
      </c>
      <c r="C1193" s="736">
        <v>64197.68</v>
      </c>
      <c r="D1193" s="736">
        <v>100000</v>
      </c>
      <c r="E1193" s="749">
        <v>80000</v>
      </c>
      <c r="F1193" s="736">
        <v>77632.5</v>
      </c>
      <c r="G1193" s="752">
        <v>200000</v>
      </c>
      <c r="H1193" s="752"/>
      <c r="I1193" s="752"/>
      <c r="J1193" s="736">
        <f t="shared" si="446"/>
        <v>200000</v>
      </c>
      <c r="K1193" s="752"/>
      <c r="L1193" s="752"/>
      <c r="M1193" s="736">
        <f t="shared" si="447"/>
        <v>200000</v>
      </c>
      <c r="N1193" s="736"/>
      <c r="O1193" s="736"/>
      <c r="P1193" s="736">
        <f t="shared" si="448"/>
        <v>200000</v>
      </c>
      <c r="Q1193" s="753">
        <v>130000</v>
      </c>
      <c r="R1193" s="738">
        <v>102360.13</v>
      </c>
      <c r="S1193" s="753">
        <v>300000</v>
      </c>
      <c r="T1193" s="739">
        <v>1100121</v>
      </c>
      <c r="U1193" s="746">
        <v>100000</v>
      </c>
      <c r="V1193" s="741">
        <v>1100122</v>
      </c>
    </row>
    <row r="1194" spans="1:22" ht="15" x14ac:dyDescent="0.2">
      <c r="A1194" s="739">
        <v>3461</v>
      </c>
      <c r="B1194" s="743" t="s">
        <v>119</v>
      </c>
      <c r="C1194" s="736"/>
      <c r="D1194" s="736">
        <v>50000</v>
      </c>
      <c r="E1194" s="749">
        <v>0</v>
      </c>
      <c r="F1194" s="736">
        <v>0</v>
      </c>
      <c r="G1194" s="736"/>
      <c r="H1194" s="736"/>
      <c r="I1194" s="736"/>
      <c r="J1194" s="736">
        <f t="shared" si="446"/>
        <v>0</v>
      </c>
      <c r="K1194" s="736"/>
      <c r="L1194" s="736"/>
      <c r="M1194" s="736">
        <f t="shared" si="447"/>
        <v>0</v>
      </c>
      <c r="N1194" s="736"/>
      <c r="O1194" s="736"/>
      <c r="P1194" s="738">
        <f t="shared" si="448"/>
        <v>0</v>
      </c>
      <c r="Q1194" s="738"/>
      <c r="R1194" s="738"/>
      <c r="S1194" s="738"/>
      <c r="T1194" s="739">
        <v>1100121</v>
      </c>
      <c r="U1194" s="745"/>
      <c r="V1194" s="739">
        <v>1100122</v>
      </c>
    </row>
    <row r="1195" spans="1:22" ht="15" x14ac:dyDescent="0.2">
      <c r="A1195" s="739">
        <v>3511</v>
      </c>
      <c r="B1195" s="743" t="s">
        <v>49</v>
      </c>
      <c r="C1195" s="736">
        <v>9744</v>
      </c>
      <c r="D1195" s="736">
        <v>50000</v>
      </c>
      <c r="E1195" s="749">
        <v>50000</v>
      </c>
      <c r="F1195" s="736">
        <v>0</v>
      </c>
      <c r="G1195" s="752">
        <v>50000</v>
      </c>
      <c r="H1195" s="752"/>
      <c r="I1195" s="752"/>
      <c r="J1195" s="736">
        <f t="shared" si="446"/>
        <v>50000</v>
      </c>
      <c r="K1195" s="752"/>
      <c r="L1195" s="752"/>
      <c r="M1195" s="736">
        <f t="shared" si="447"/>
        <v>50000</v>
      </c>
      <c r="N1195" s="736"/>
      <c r="O1195" s="736"/>
      <c r="P1195" s="736">
        <f t="shared" si="448"/>
        <v>50000</v>
      </c>
      <c r="Q1195" s="753">
        <v>10000</v>
      </c>
      <c r="R1195" s="738">
        <v>5185.95</v>
      </c>
      <c r="S1195" s="753">
        <v>200000</v>
      </c>
      <c r="T1195" s="739">
        <v>1100121</v>
      </c>
      <c r="U1195" s="744"/>
      <c r="V1195" s="739">
        <v>1100122</v>
      </c>
    </row>
    <row r="1196" spans="1:22" ht="15" x14ac:dyDescent="0.2">
      <c r="A1196" s="734">
        <v>3551</v>
      </c>
      <c r="B1196" s="735" t="s">
        <v>30</v>
      </c>
      <c r="C1196" s="736">
        <v>39966.629999999997</v>
      </c>
      <c r="D1196" s="736">
        <v>46000</v>
      </c>
      <c r="E1196" s="749">
        <v>46000</v>
      </c>
      <c r="F1196" s="736">
        <v>37980.39</v>
      </c>
      <c r="G1196" s="752">
        <v>50000</v>
      </c>
      <c r="H1196" s="752"/>
      <c r="I1196" s="752"/>
      <c r="J1196" s="736">
        <f t="shared" si="446"/>
        <v>50000</v>
      </c>
      <c r="K1196" s="752"/>
      <c r="L1196" s="752"/>
      <c r="M1196" s="736">
        <f t="shared" si="447"/>
        <v>50000</v>
      </c>
      <c r="N1196" s="736"/>
      <c r="O1196" s="736">
        <v>20000</v>
      </c>
      <c r="P1196" s="736">
        <f t="shared" si="448"/>
        <v>30000</v>
      </c>
      <c r="Q1196" s="753">
        <v>30000</v>
      </c>
      <c r="R1196" s="738">
        <v>17517.02</v>
      </c>
      <c r="S1196" s="738">
        <f>Q1196</f>
        <v>30000</v>
      </c>
      <c r="T1196" s="739">
        <v>1100121</v>
      </c>
      <c r="U1196" s="746">
        <v>40000</v>
      </c>
      <c r="V1196" s="741">
        <v>1100122</v>
      </c>
    </row>
    <row r="1197" spans="1:22" ht="15" x14ac:dyDescent="0.2">
      <c r="A1197" s="734">
        <v>3751</v>
      </c>
      <c r="B1197" s="735" t="s">
        <v>44</v>
      </c>
      <c r="C1197" s="736">
        <v>4481</v>
      </c>
      <c r="D1197" s="736">
        <v>10000</v>
      </c>
      <c r="E1197" s="749">
        <v>10000</v>
      </c>
      <c r="F1197" s="736">
        <v>5620.3</v>
      </c>
      <c r="G1197" s="752">
        <v>10000</v>
      </c>
      <c r="H1197" s="752"/>
      <c r="I1197" s="752"/>
      <c r="J1197" s="736">
        <f t="shared" si="446"/>
        <v>10000</v>
      </c>
      <c r="K1197" s="752"/>
      <c r="L1197" s="752"/>
      <c r="M1197" s="736">
        <f t="shared" si="447"/>
        <v>10000</v>
      </c>
      <c r="N1197" s="736"/>
      <c r="O1197" s="736"/>
      <c r="P1197" s="736">
        <f t="shared" si="448"/>
        <v>10000</v>
      </c>
      <c r="Q1197" s="753">
        <v>5000</v>
      </c>
      <c r="R1197" s="738">
        <v>1947.51</v>
      </c>
      <c r="S1197" s="753">
        <v>100000</v>
      </c>
      <c r="T1197" s="739">
        <v>1100121</v>
      </c>
      <c r="U1197" s="740">
        <v>10000</v>
      </c>
      <c r="V1197" s="741">
        <v>1100122</v>
      </c>
    </row>
    <row r="1198" spans="1:22" ht="15" x14ac:dyDescent="0.2">
      <c r="A1198" s="734">
        <v>3791</v>
      </c>
      <c r="B1198" s="735" t="s">
        <v>45</v>
      </c>
      <c r="C1198" s="736">
        <v>6310.99</v>
      </c>
      <c r="D1198" s="736">
        <v>8000</v>
      </c>
      <c r="E1198" s="749">
        <v>1196</v>
      </c>
      <c r="F1198" s="736">
        <v>1196</v>
      </c>
      <c r="G1198" s="752">
        <v>5000</v>
      </c>
      <c r="H1198" s="752"/>
      <c r="I1198" s="752"/>
      <c r="J1198" s="736">
        <f t="shared" si="446"/>
        <v>5000</v>
      </c>
      <c r="K1198" s="752"/>
      <c r="L1198" s="752"/>
      <c r="M1198" s="736">
        <f t="shared" si="447"/>
        <v>5000</v>
      </c>
      <c r="N1198" s="736"/>
      <c r="O1198" s="736"/>
      <c r="P1198" s="736">
        <f t="shared" si="448"/>
        <v>5000</v>
      </c>
      <c r="Q1198" s="753">
        <v>5000</v>
      </c>
      <c r="R1198" s="738">
        <v>1370</v>
      </c>
      <c r="S1198" s="753">
        <v>7000</v>
      </c>
      <c r="T1198" s="739">
        <v>1100121</v>
      </c>
      <c r="U1198" s="754">
        <v>7000</v>
      </c>
      <c r="V1198" s="741">
        <v>1100122</v>
      </c>
    </row>
    <row r="1199" spans="1:22" ht="15" x14ac:dyDescent="0.2">
      <c r="A1199" s="734">
        <v>3852</v>
      </c>
      <c r="B1199" s="735" t="s">
        <v>32</v>
      </c>
      <c r="C1199" s="736">
        <v>19792.52</v>
      </c>
      <c r="D1199" s="736">
        <v>20000</v>
      </c>
      <c r="E1199" s="749">
        <v>20000</v>
      </c>
      <c r="F1199" s="736">
        <v>19984.66</v>
      </c>
      <c r="G1199" s="752">
        <v>20000</v>
      </c>
      <c r="H1199" s="752"/>
      <c r="I1199" s="752"/>
      <c r="J1199" s="736">
        <f t="shared" si="446"/>
        <v>20000</v>
      </c>
      <c r="K1199" s="752"/>
      <c r="L1199" s="752"/>
      <c r="M1199" s="736">
        <f t="shared" si="447"/>
        <v>20000</v>
      </c>
      <c r="N1199" s="736"/>
      <c r="O1199" s="736"/>
      <c r="P1199" s="736">
        <f t="shared" si="448"/>
        <v>20000</v>
      </c>
      <c r="Q1199" s="753">
        <v>28000</v>
      </c>
      <c r="R1199" s="738">
        <v>23551.19</v>
      </c>
      <c r="S1199" s="753">
        <v>70000</v>
      </c>
      <c r="T1199" s="739">
        <v>1100121</v>
      </c>
      <c r="U1199" s="740">
        <v>30000</v>
      </c>
      <c r="V1199" s="741">
        <v>1100122</v>
      </c>
    </row>
    <row r="1200" spans="1:22" ht="15" x14ac:dyDescent="0.2">
      <c r="A1200" s="734">
        <v>3921</v>
      </c>
      <c r="B1200" s="735" t="s">
        <v>33</v>
      </c>
      <c r="C1200" s="736">
        <v>1410</v>
      </c>
      <c r="D1200" s="736">
        <v>3560</v>
      </c>
      <c r="E1200" s="749">
        <v>1824</v>
      </c>
      <c r="F1200" s="736">
        <v>1480.99</v>
      </c>
      <c r="G1200" s="752">
        <v>1735.8</v>
      </c>
      <c r="H1200" s="752"/>
      <c r="I1200" s="752"/>
      <c r="J1200" s="736">
        <f t="shared" si="446"/>
        <v>1735.8</v>
      </c>
      <c r="K1200" s="752"/>
      <c r="L1200" s="752"/>
      <c r="M1200" s="736">
        <f t="shared" si="447"/>
        <v>1735.8</v>
      </c>
      <c r="N1200" s="736"/>
      <c r="O1200" s="736"/>
      <c r="P1200" s="736">
        <f t="shared" si="448"/>
        <v>1735.8</v>
      </c>
      <c r="Q1200" s="753">
        <v>1735.8</v>
      </c>
      <c r="R1200" s="738">
        <v>1577.99</v>
      </c>
      <c r="S1200" s="753">
        <v>2020.44</v>
      </c>
      <c r="T1200" s="739">
        <v>1100121</v>
      </c>
      <c r="U1200" s="746">
        <v>2617</v>
      </c>
      <c r="V1200" s="741">
        <v>1100122</v>
      </c>
    </row>
    <row r="1201" spans="1:22" ht="15" x14ac:dyDescent="0.2">
      <c r="A1201" s="734">
        <v>3951</v>
      </c>
      <c r="B1201" s="735" t="s">
        <v>198</v>
      </c>
      <c r="C1201" s="736">
        <v>22695.599999999999</v>
      </c>
      <c r="D1201" s="736">
        <v>20000</v>
      </c>
      <c r="E1201" s="749">
        <v>20000</v>
      </c>
      <c r="F1201" s="736">
        <v>8699</v>
      </c>
      <c r="G1201" s="752">
        <v>50000</v>
      </c>
      <c r="H1201" s="752"/>
      <c r="I1201" s="752"/>
      <c r="J1201" s="736">
        <f t="shared" si="446"/>
        <v>50000</v>
      </c>
      <c r="K1201" s="752"/>
      <c r="L1201" s="752"/>
      <c r="M1201" s="736">
        <f t="shared" si="447"/>
        <v>50000</v>
      </c>
      <c r="N1201" s="736"/>
      <c r="O1201" s="736"/>
      <c r="P1201" s="736">
        <f t="shared" si="448"/>
        <v>50000</v>
      </c>
      <c r="Q1201" s="753">
        <v>25000</v>
      </c>
      <c r="R1201" s="738">
        <v>17778</v>
      </c>
      <c r="S1201" s="753">
        <v>80000</v>
      </c>
      <c r="T1201" s="739">
        <v>1100121</v>
      </c>
      <c r="U1201" s="740">
        <v>50000</v>
      </c>
      <c r="V1201" s="741">
        <v>1100122</v>
      </c>
    </row>
    <row r="1202" spans="1:22" ht="15" x14ac:dyDescent="0.2">
      <c r="A1202" s="739">
        <v>3961</v>
      </c>
      <c r="B1202" s="743" t="s">
        <v>122</v>
      </c>
      <c r="C1202" s="736">
        <v>1624</v>
      </c>
      <c r="D1202" s="736">
        <v>50000</v>
      </c>
      <c r="E1202" s="749">
        <v>50000</v>
      </c>
      <c r="F1202" s="736">
        <v>0</v>
      </c>
      <c r="G1202" s="752">
        <v>50000</v>
      </c>
      <c r="H1202" s="752"/>
      <c r="I1202" s="752"/>
      <c r="J1202" s="736">
        <f t="shared" si="446"/>
        <v>50000</v>
      </c>
      <c r="K1202" s="752"/>
      <c r="L1202" s="752"/>
      <c r="M1202" s="736">
        <f t="shared" si="447"/>
        <v>50000</v>
      </c>
      <c r="N1202" s="736"/>
      <c r="O1202" s="736"/>
      <c r="P1202" s="736">
        <f t="shared" si="448"/>
        <v>50000</v>
      </c>
      <c r="Q1202" s="753">
        <v>5000</v>
      </c>
      <c r="R1202" s="738"/>
      <c r="S1202" s="753"/>
      <c r="T1202" s="739">
        <v>1100121</v>
      </c>
      <c r="U1202" s="745"/>
      <c r="V1202" s="739">
        <v>1100122</v>
      </c>
    </row>
    <row r="1203" spans="1:22" ht="15" x14ac:dyDescent="0.2">
      <c r="A1203" s="739">
        <v>5111</v>
      </c>
      <c r="B1203" s="743" t="s">
        <v>35</v>
      </c>
      <c r="C1203" s="736"/>
      <c r="D1203" s="736">
        <v>50000</v>
      </c>
      <c r="E1203" s="749">
        <v>0</v>
      </c>
      <c r="F1203" s="736">
        <v>0</v>
      </c>
      <c r="G1203" s="736"/>
      <c r="H1203" s="736"/>
      <c r="I1203" s="736"/>
      <c r="J1203" s="736">
        <f t="shared" si="446"/>
        <v>0</v>
      </c>
      <c r="K1203" s="736"/>
      <c r="L1203" s="736"/>
      <c r="M1203" s="736">
        <f t="shared" si="447"/>
        <v>0</v>
      </c>
      <c r="N1203" s="736"/>
      <c r="O1203" s="736"/>
      <c r="P1203" s="738">
        <f t="shared" si="448"/>
        <v>0</v>
      </c>
      <c r="Q1203" s="738"/>
      <c r="R1203" s="738"/>
      <c r="S1203" s="738"/>
      <c r="T1203" s="739">
        <v>1100121</v>
      </c>
      <c r="U1203" s="745"/>
      <c r="V1203" s="739">
        <v>1100122</v>
      </c>
    </row>
    <row r="1204" spans="1:22" ht="15" x14ac:dyDescent="0.2">
      <c r="A1204" s="739">
        <v>5151</v>
      </c>
      <c r="B1204" s="743" t="s">
        <v>36</v>
      </c>
      <c r="C1204" s="736"/>
      <c r="D1204" s="736">
        <v>0</v>
      </c>
      <c r="E1204" s="749">
        <v>30000</v>
      </c>
      <c r="F1204" s="736">
        <v>30000</v>
      </c>
      <c r="G1204" s="736"/>
      <c r="H1204" s="736"/>
      <c r="I1204" s="736"/>
      <c r="J1204" s="736">
        <f t="shared" si="446"/>
        <v>0</v>
      </c>
      <c r="K1204" s="736"/>
      <c r="L1204" s="736"/>
      <c r="M1204" s="736">
        <f t="shared" si="447"/>
        <v>0</v>
      </c>
      <c r="N1204" s="736"/>
      <c r="O1204" s="736"/>
      <c r="P1204" s="738">
        <f t="shared" si="448"/>
        <v>0</v>
      </c>
      <c r="Q1204" s="738"/>
      <c r="R1204" s="738"/>
      <c r="S1204" s="738"/>
      <c r="T1204" s="739">
        <v>1100119</v>
      </c>
      <c r="U1204" s="745"/>
      <c r="V1204" s="739">
        <v>1100119</v>
      </c>
    </row>
    <row r="1205" spans="1:22" ht="15" x14ac:dyDescent="0.2">
      <c r="A1205" s="739">
        <v>5191</v>
      </c>
      <c r="B1205" s="743" t="s">
        <v>69</v>
      </c>
      <c r="C1205" s="736">
        <v>6000</v>
      </c>
      <c r="D1205" s="736">
        <v>20000</v>
      </c>
      <c r="E1205" s="749">
        <v>0</v>
      </c>
      <c r="F1205" s="736">
        <v>0</v>
      </c>
      <c r="G1205" s="736"/>
      <c r="H1205" s="736"/>
      <c r="I1205" s="736"/>
      <c r="J1205" s="736">
        <f t="shared" si="446"/>
        <v>0</v>
      </c>
      <c r="K1205" s="736"/>
      <c r="L1205" s="736"/>
      <c r="M1205" s="736">
        <f t="shared" si="447"/>
        <v>0</v>
      </c>
      <c r="N1205" s="736"/>
      <c r="O1205" s="736"/>
      <c r="P1205" s="738">
        <f t="shared" si="448"/>
        <v>0</v>
      </c>
      <c r="Q1205" s="738"/>
      <c r="R1205" s="738"/>
      <c r="S1205" s="738">
        <v>5000</v>
      </c>
      <c r="T1205" s="739">
        <v>1100121</v>
      </c>
      <c r="U1205" s="744"/>
      <c r="V1205" s="739">
        <v>1100122</v>
      </c>
    </row>
    <row r="1206" spans="1:22" ht="15" x14ac:dyDescent="0.2">
      <c r="A1206" s="739">
        <v>5411</v>
      </c>
      <c r="B1206" s="743" t="s">
        <v>123</v>
      </c>
      <c r="C1206" s="736"/>
      <c r="D1206" s="736">
        <v>0</v>
      </c>
      <c r="E1206" s="749">
        <v>280000</v>
      </c>
      <c r="F1206" s="736">
        <v>267962</v>
      </c>
      <c r="G1206" s="736"/>
      <c r="H1206" s="736"/>
      <c r="I1206" s="736"/>
      <c r="J1206" s="736">
        <f t="shared" si="446"/>
        <v>0</v>
      </c>
      <c r="K1206" s="736"/>
      <c r="L1206" s="736"/>
      <c r="M1206" s="736">
        <f t="shared" si="447"/>
        <v>0</v>
      </c>
      <c r="N1206" s="736"/>
      <c r="O1206" s="736"/>
      <c r="P1206" s="738">
        <f t="shared" si="448"/>
        <v>0</v>
      </c>
      <c r="Q1206" s="738"/>
      <c r="R1206" s="738"/>
      <c r="S1206" s="738"/>
      <c r="T1206" s="739">
        <v>1100119</v>
      </c>
      <c r="U1206" s="745"/>
      <c r="V1206" s="739">
        <v>1100119</v>
      </c>
    </row>
    <row r="1207" spans="1:22" ht="15" x14ac:dyDescent="0.2">
      <c r="A1207" s="739">
        <v>5491</v>
      </c>
      <c r="B1207" s="743" t="s">
        <v>1735</v>
      </c>
      <c r="C1207" s="736">
        <v>27490</v>
      </c>
      <c r="D1207" s="736"/>
      <c r="E1207" s="749">
        <v>0</v>
      </c>
      <c r="F1207" s="736"/>
      <c r="G1207" s="736"/>
      <c r="H1207" s="736"/>
      <c r="I1207" s="736"/>
      <c r="J1207" s="736">
        <f t="shared" si="446"/>
        <v>0</v>
      </c>
      <c r="K1207" s="736"/>
      <c r="L1207" s="736"/>
      <c r="M1207" s="736">
        <f t="shared" si="447"/>
        <v>0</v>
      </c>
      <c r="N1207" s="736"/>
      <c r="O1207" s="736"/>
      <c r="P1207" s="738">
        <f t="shared" si="448"/>
        <v>0</v>
      </c>
      <c r="Q1207" s="738"/>
      <c r="R1207" s="738"/>
      <c r="S1207" s="738"/>
      <c r="T1207" s="739"/>
      <c r="U1207" s="745"/>
      <c r="V1207" s="739"/>
    </row>
    <row r="1208" spans="1:22" ht="15" x14ac:dyDescent="0.2">
      <c r="A1208" s="734">
        <v>5641</v>
      </c>
      <c r="B1208" s="735" t="s">
        <v>124</v>
      </c>
      <c r="C1208" s="736"/>
      <c r="D1208" s="736">
        <v>50000</v>
      </c>
      <c r="E1208" s="749"/>
      <c r="F1208" s="736">
        <v>0</v>
      </c>
      <c r="G1208" s="736"/>
      <c r="H1208" s="736"/>
      <c r="I1208" s="736"/>
      <c r="J1208" s="736">
        <f t="shared" si="446"/>
        <v>0</v>
      </c>
      <c r="K1208" s="736"/>
      <c r="L1208" s="736"/>
      <c r="M1208" s="736">
        <f t="shared" si="447"/>
        <v>0</v>
      </c>
      <c r="N1208" s="736"/>
      <c r="O1208" s="736"/>
      <c r="P1208" s="738">
        <f t="shared" si="448"/>
        <v>0</v>
      </c>
      <c r="Q1208" s="738"/>
      <c r="R1208" s="738"/>
      <c r="S1208" s="738">
        <v>30000</v>
      </c>
      <c r="T1208" s="739">
        <v>1100121</v>
      </c>
      <c r="U1208" s="742">
        <v>30000</v>
      </c>
      <c r="V1208" s="741">
        <v>1100122</v>
      </c>
    </row>
    <row r="1209" spans="1:22" ht="15" x14ac:dyDescent="0.2">
      <c r="A1209" s="739">
        <v>5811</v>
      </c>
      <c r="B1209" s="743" t="s">
        <v>199</v>
      </c>
      <c r="C1209" s="736"/>
      <c r="D1209" s="736">
        <v>0</v>
      </c>
      <c r="E1209" s="749">
        <v>2458328</v>
      </c>
      <c r="F1209" s="736">
        <v>0</v>
      </c>
      <c r="G1209" s="749">
        <v>1000000</v>
      </c>
      <c r="H1209" s="749"/>
      <c r="I1209" s="749"/>
      <c r="J1209" s="736">
        <f t="shared" si="446"/>
        <v>1000000</v>
      </c>
      <c r="K1209" s="749"/>
      <c r="L1209" s="749">
        <v>1000000</v>
      </c>
      <c r="M1209" s="736">
        <f t="shared" si="447"/>
        <v>0</v>
      </c>
      <c r="N1209" s="736"/>
      <c r="O1209" s="736"/>
      <c r="P1209" s="738">
        <f t="shared" si="448"/>
        <v>0</v>
      </c>
      <c r="Q1209" s="783"/>
      <c r="R1209" s="738"/>
      <c r="S1209" s="783"/>
      <c r="T1209" s="739">
        <v>1500521</v>
      </c>
      <c r="U1209" s="745"/>
      <c r="V1209" s="739">
        <v>1500522</v>
      </c>
    </row>
    <row r="1210" spans="1:22" ht="15" x14ac:dyDescent="0.25">
      <c r="A1210" s="739">
        <v>5811</v>
      </c>
      <c r="B1210" s="743" t="s">
        <v>199</v>
      </c>
      <c r="C1210" s="736"/>
      <c r="D1210" s="736"/>
      <c r="E1210" s="749"/>
      <c r="F1210" s="736"/>
      <c r="G1210" s="749"/>
      <c r="H1210" s="749">
        <v>2500000</v>
      </c>
      <c r="I1210" s="749"/>
      <c r="J1210" s="736">
        <f t="shared" si="446"/>
        <v>2500000</v>
      </c>
      <c r="K1210" s="749">
        <v>357000</v>
      </c>
      <c r="L1210" s="749">
        <f>63424.84+251903.16</f>
        <v>315328</v>
      </c>
      <c r="M1210" s="736">
        <f t="shared" si="447"/>
        <v>2541672</v>
      </c>
      <c r="N1210" s="736"/>
      <c r="O1210" s="736"/>
      <c r="P1210" s="736">
        <f t="shared" si="448"/>
        <v>2541672</v>
      </c>
      <c r="Q1210" s="898">
        <v>2541672</v>
      </c>
      <c r="R1210" s="738"/>
      <c r="S1210" s="783"/>
      <c r="T1210" s="739">
        <v>1100120</v>
      </c>
      <c r="U1210" s="745"/>
      <c r="V1210" s="739">
        <v>1100120</v>
      </c>
    </row>
    <row r="1211" spans="1:22" ht="15" x14ac:dyDescent="0.25">
      <c r="A1211" s="739">
        <v>5811</v>
      </c>
      <c r="B1211" s="743" t="s">
        <v>199</v>
      </c>
      <c r="C1211" s="736"/>
      <c r="D1211" s="736"/>
      <c r="E1211" s="749"/>
      <c r="F1211" s="736"/>
      <c r="G1211" s="749"/>
      <c r="H1211" s="749">
        <v>2458328</v>
      </c>
      <c r="I1211" s="749"/>
      <c r="J1211" s="736">
        <f t="shared" si="446"/>
        <v>2458328</v>
      </c>
      <c r="K1211" s="749"/>
      <c r="L1211" s="749"/>
      <c r="M1211" s="736">
        <f t="shared" si="447"/>
        <v>2458328</v>
      </c>
      <c r="N1211" s="736"/>
      <c r="O1211" s="736"/>
      <c r="P1211" s="736">
        <f t="shared" si="448"/>
        <v>2458328</v>
      </c>
      <c r="Q1211" s="898">
        <v>2458328</v>
      </c>
      <c r="R1211" s="738"/>
      <c r="S1211" s="783"/>
      <c r="T1211" s="739">
        <v>1100118</v>
      </c>
      <c r="U1211" s="745"/>
      <c r="V1211" s="739">
        <v>1100118</v>
      </c>
    </row>
    <row r="1212" spans="1:22" ht="15" x14ac:dyDescent="0.2">
      <c r="A1212" s="734">
        <v>5811</v>
      </c>
      <c r="B1212" s="735" t="s">
        <v>199</v>
      </c>
      <c r="C1212" s="736"/>
      <c r="D1212" s="736">
        <v>0</v>
      </c>
      <c r="E1212" s="749">
        <v>541672</v>
      </c>
      <c r="F1212" s="736">
        <v>0</v>
      </c>
      <c r="G1212" s="736"/>
      <c r="H1212" s="736"/>
      <c r="I1212" s="736"/>
      <c r="J1212" s="736">
        <f t="shared" si="446"/>
        <v>0</v>
      </c>
      <c r="K1212" s="736"/>
      <c r="L1212" s="736"/>
      <c r="M1212" s="736">
        <f t="shared" si="447"/>
        <v>0</v>
      </c>
      <c r="N1212" s="736"/>
      <c r="O1212" s="736"/>
      <c r="P1212" s="738">
        <f t="shared" si="448"/>
        <v>0</v>
      </c>
      <c r="Q1212" s="738"/>
      <c r="R1212" s="738"/>
      <c r="S1212" s="738"/>
      <c r="T1212" s="739">
        <v>1100119</v>
      </c>
      <c r="U1212" s="740">
        <v>935316</v>
      </c>
      <c r="V1212" s="741">
        <v>1600722</v>
      </c>
    </row>
    <row r="1213" spans="1:22" ht="15" x14ac:dyDescent="0.2">
      <c r="A1213" s="734">
        <v>5811</v>
      </c>
      <c r="B1213" s="735" t="s">
        <v>199</v>
      </c>
      <c r="C1213" s="736">
        <v>14553976.640000001</v>
      </c>
      <c r="D1213" s="736">
        <v>5000000</v>
      </c>
      <c r="E1213" s="736"/>
      <c r="F1213" s="736">
        <v>0</v>
      </c>
      <c r="G1213" s="736"/>
      <c r="H1213" s="736"/>
      <c r="I1213" s="736"/>
      <c r="J1213" s="736">
        <f t="shared" si="446"/>
        <v>0</v>
      </c>
      <c r="K1213" s="736"/>
      <c r="L1213" s="736"/>
      <c r="M1213" s="736">
        <f t="shared" si="447"/>
        <v>0</v>
      </c>
      <c r="N1213" s="736"/>
      <c r="O1213" s="736"/>
      <c r="P1213" s="738">
        <f t="shared" si="448"/>
        <v>0</v>
      </c>
      <c r="Q1213" s="738"/>
      <c r="R1213" s="738"/>
      <c r="S1213" s="815">
        <v>3000000</v>
      </c>
      <c r="T1213" s="739">
        <v>1100121</v>
      </c>
      <c r="U1213" s="746">
        <f>2000000-935316</f>
        <v>1064684</v>
      </c>
      <c r="V1213" s="741">
        <v>1100122</v>
      </c>
    </row>
    <row r="1214" spans="1:22" ht="15" x14ac:dyDescent="0.2">
      <c r="A1214" s="724" t="s">
        <v>200</v>
      </c>
      <c r="B1214" s="725" t="s">
        <v>201</v>
      </c>
      <c r="C1214" s="721">
        <f t="shared" ref="C1214:S1214" si="449">SUM(C1215)</f>
        <v>5458986.6100000013</v>
      </c>
      <c r="D1214" s="721">
        <f t="shared" si="449"/>
        <v>6400257.3299999991</v>
      </c>
      <c r="E1214" s="721">
        <f t="shared" si="449"/>
        <v>5840893.0599999996</v>
      </c>
      <c r="F1214" s="721">
        <f t="shared" si="449"/>
        <v>5213361.2699999996</v>
      </c>
      <c r="G1214" s="721">
        <f t="shared" si="449"/>
        <v>6387279.8000000007</v>
      </c>
      <c r="H1214" s="721">
        <f t="shared" si="449"/>
        <v>250000</v>
      </c>
      <c r="I1214" s="721">
        <f t="shared" si="449"/>
        <v>0</v>
      </c>
      <c r="J1214" s="721">
        <f t="shared" si="449"/>
        <v>6637279.8000000007</v>
      </c>
      <c r="K1214" s="721">
        <f t="shared" si="449"/>
        <v>309309.33999999997</v>
      </c>
      <c r="L1214" s="721">
        <f t="shared" si="449"/>
        <v>180000</v>
      </c>
      <c r="M1214" s="721">
        <f t="shared" si="449"/>
        <v>6766589.1399999997</v>
      </c>
      <c r="N1214" s="721">
        <f t="shared" si="449"/>
        <v>15000</v>
      </c>
      <c r="O1214" s="721">
        <f t="shared" si="449"/>
        <v>55000</v>
      </c>
      <c r="P1214" s="721">
        <f t="shared" si="449"/>
        <v>6726589.1399999997</v>
      </c>
      <c r="Q1214" s="756">
        <f t="shared" si="449"/>
        <v>6850404.8699999992</v>
      </c>
      <c r="R1214" s="756">
        <f t="shared" si="449"/>
        <v>4336967.76</v>
      </c>
      <c r="S1214" s="756">
        <f t="shared" si="449"/>
        <v>7796320.1900000013</v>
      </c>
      <c r="T1214" s="724"/>
      <c r="U1214" s="726">
        <f t="shared" ref="U1214" si="450">SUM(U1215)</f>
        <v>6800254.9100000001</v>
      </c>
      <c r="V1214" s="727"/>
    </row>
    <row r="1215" spans="1:22" ht="15" x14ac:dyDescent="0.2">
      <c r="A1215" s="728" t="s">
        <v>202</v>
      </c>
      <c r="B1215" s="729" t="s">
        <v>1568</v>
      </c>
      <c r="C1215" s="730">
        <f t="shared" ref="C1215:S1215" si="451">SUM(C1216:C1259)</f>
        <v>5458986.6100000013</v>
      </c>
      <c r="D1215" s="730">
        <f t="shared" si="451"/>
        <v>6400257.3299999991</v>
      </c>
      <c r="E1215" s="730">
        <f t="shared" si="451"/>
        <v>5840893.0599999996</v>
      </c>
      <c r="F1215" s="730">
        <f t="shared" si="451"/>
        <v>5213361.2699999996</v>
      </c>
      <c r="G1215" s="730">
        <f t="shared" si="451"/>
        <v>6387279.8000000007</v>
      </c>
      <c r="H1215" s="730">
        <f t="shared" si="451"/>
        <v>250000</v>
      </c>
      <c r="I1215" s="730">
        <f t="shared" si="451"/>
        <v>0</v>
      </c>
      <c r="J1215" s="730">
        <f t="shared" si="451"/>
        <v>6637279.8000000007</v>
      </c>
      <c r="K1215" s="730">
        <f t="shared" si="451"/>
        <v>309309.33999999997</v>
      </c>
      <c r="L1215" s="730">
        <f t="shared" si="451"/>
        <v>180000</v>
      </c>
      <c r="M1215" s="730">
        <f t="shared" si="451"/>
        <v>6766589.1399999997</v>
      </c>
      <c r="N1215" s="730">
        <f t="shared" si="451"/>
        <v>15000</v>
      </c>
      <c r="O1215" s="730">
        <f t="shared" si="451"/>
        <v>55000</v>
      </c>
      <c r="P1215" s="730">
        <f t="shared" si="451"/>
        <v>6726589.1399999997</v>
      </c>
      <c r="Q1215" s="748">
        <f>SUM(Q1216:Q1260)</f>
        <v>6850404.8699999992</v>
      </c>
      <c r="R1215" s="748">
        <f>SUM(R1216:R1259)</f>
        <v>4336967.76</v>
      </c>
      <c r="S1215" s="748">
        <f t="shared" si="451"/>
        <v>7796320.1900000013</v>
      </c>
      <c r="T1215" s="731"/>
      <c r="U1215" s="732">
        <f>SUM(U1216:U1260)</f>
        <v>6800254.9100000001</v>
      </c>
      <c r="V1215" s="733"/>
    </row>
    <row r="1216" spans="1:22" ht="15" x14ac:dyDescent="0.25">
      <c r="A1216" s="734">
        <v>1131</v>
      </c>
      <c r="B1216" s="735" t="s">
        <v>6</v>
      </c>
      <c r="C1216" s="736">
        <v>643508.11</v>
      </c>
      <c r="D1216" s="736">
        <v>755037.92</v>
      </c>
      <c r="E1216" s="749">
        <v>676866.22</v>
      </c>
      <c r="F1216" s="736">
        <v>732546.35</v>
      </c>
      <c r="G1216" s="736">
        <v>692660.1</v>
      </c>
      <c r="H1216" s="736"/>
      <c r="I1216" s="736"/>
      <c r="J1216" s="736">
        <f t="shared" ref="J1216:J1234" si="452">G1216+H1216-I1216</f>
        <v>692660.1</v>
      </c>
      <c r="K1216" s="736">
        <v>3103.83</v>
      </c>
      <c r="L1216" s="736"/>
      <c r="M1216" s="736">
        <f t="shared" ref="M1216:M1234" si="453">J1216+K1216-L1216</f>
        <v>695763.92999999993</v>
      </c>
      <c r="N1216" s="736"/>
      <c r="O1216" s="736"/>
      <c r="P1216" s="736">
        <f t="shared" ref="P1216:P1234" si="454">M1216+N1216-O1216</f>
        <v>695763.92999999993</v>
      </c>
      <c r="Q1216" s="738">
        <v>756844.12</v>
      </c>
      <c r="R1216" s="738">
        <v>526523.57999999996</v>
      </c>
      <c r="S1216" s="751">
        <v>1077210.68</v>
      </c>
      <c r="T1216" s="739">
        <v>1500521</v>
      </c>
      <c r="U1216" s="779">
        <v>779370.46</v>
      </c>
      <c r="V1216" s="741">
        <v>1500522</v>
      </c>
    </row>
    <row r="1217" spans="1:22" ht="15" x14ac:dyDescent="0.25">
      <c r="A1217" s="734">
        <v>1132</v>
      </c>
      <c r="B1217" s="735" t="s">
        <v>8</v>
      </c>
      <c r="C1217" s="736">
        <v>912200.28</v>
      </c>
      <c r="D1217" s="736">
        <v>972469.68</v>
      </c>
      <c r="E1217" s="749">
        <v>975202.68</v>
      </c>
      <c r="F1217" s="736">
        <v>1010585.75</v>
      </c>
      <c r="G1217" s="736">
        <v>1021606.1</v>
      </c>
      <c r="H1217" s="736"/>
      <c r="I1217" s="736"/>
      <c r="J1217" s="736">
        <f t="shared" si="452"/>
        <v>1021606.1</v>
      </c>
      <c r="K1217" s="736">
        <v>21609.07</v>
      </c>
      <c r="L1217" s="736"/>
      <c r="M1217" s="736">
        <f t="shared" si="453"/>
        <v>1043215.1699999999</v>
      </c>
      <c r="N1217" s="736"/>
      <c r="O1217" s="736"/>
      <c r="P1217" s="736">
        <f t="shared" si="454"/>
        <v>1043215.1699999999</v>
      </c>
      <c r="Q1217" s="738">
        <v>1033968.1</v>
      </c>
      <c r="R1217" s="738">
        <v>737460.19</v>
      </c>
      <c r="S1217" s="751">
        <v>1077836.76</v>
      </c>
      <c r="T1217" s="739">
        <v>1500521</v>
      </c>
      <c r="U1217" s="779">
        <v>1058326.48</v>
      </c>
      <c r="V1217" s="741">
        <v>1500522</v>
      </c>
    </row>
    <row r="1218" spans="1:22" ht="15" x14ac:dyDescent="0.25">
      <c r="A1218" s="734">
        <v>1212</v>
      </c>
      <c r="B1218" s="735" t="s">
        <v>53</v>
      </c>
      <c r="C1218" s="736">
        <v>452957.73</v>
      </c>
      <c r="D1218" s="736">
        <v>515966.4</v>
      </c>
      <c r="E1218" s="749">
        <v>429597.87</v>
      </c>
      <c r="F1218" s="736">
        <v>422918.5</v>
      </c>
      <c r="G1218" s="736">
        <v>425498.4</v>
      </c>
      <c r="H1218" s="736"/>
      <c r="I1218" s="736"/>
      <c r="J1218" s="736">
        <f t="shared" si="452"/>
        <v>425498.4</v>
      </c>
      <c r="K1218" s="736">
        <v>6427.17</v>
      </c>
      <c r="L1218" s="736"/>
      <c r="M1218" s="736">
        <f t="shared" si="453"/>
        <v>431925.57</v>
      </c>
      <c r="N1218" s="736"/>
      <c r="O1218" s="736"/>
      <c r="P1218" s="736">
        <f t="shared" si="454"/>
        <v>431925.57</v>
      </c>
      <c r="Q1218" s="738">
        <v>425200.51</v>
      </c>
      <c r="R1218" s="738">
        <v>304049.56</v>
      </c>
      <c r="S1218" s="751">
        <v>453373.2</v>
      </c>
      <c r="T1218" s="739">
        <v>1500521</v>
      </c>
      <c r="U1218" s="779">
        <v>411036.5</v>
      </c>
      <c r="V1218" s="741">
        <v>1500522</v>
      </c>
    </row>
    <row r="1219" spans="1:22" ht="15" x14ac:dyDescent="0.25">
      <c r="A1219" s="734">
        <v>1321</v>
      </c>
      <c r="B1219" s="735" t="s">
        <v>9</v>
      </c>
      <c r="C1219" s="736">
        <v>107343.39</v>
      </c>
      <c r="D1219" s="736">
        <v>119756.57</v>
      </c>
      <c r="E1219" s="749">
        <v>119756.57</v>
      </c>
      <c r="F1219" s="736">
        <v>114718.3</v>
      </c>
      <c r="G1219" s="736">
        <v>116553.8</v>
      </c>
      <c r="H1219" s="736"/>
      <c r="I1219" s="736"/>
      <c r="J1219" s="736">
        <f t="shared" si="452"/>
        <v>116553.8</v>
      </c>
      <c r="K1219" s="736">
        <v>2505</v>
      </c>
      <c r="L1219" s="736"/>
      <c r="M1219" s="736">
        <f t="shared" si="453"/>
        <v>119058.8</v>
      </c>
      <c r="N1219" s="736"/>
      <c r="O1219" s="736"/>
      <c r="P1219" s="736">
        <f t="shared" si="454"/>
        <v>119058.8</v>
      </c>
      <c r="Q1219" s="738">
        <v>123692.84</v>
      </c>
      <c r="R1219" s="738">
        <v>58226.79</v>
      </c>
      <c r="S1219" s="751">
        <v>143476.92000000001</v>
      </c>
      <c r="T1219" s="739">
        <v>1500521</v>
      </c>
      <c r="U1219" s="779">
        <v>129265.68</v>
      </c>
      <c r="V1219" s="741">
        <v>1500522</v>
      </c>
    </row>
    <row r="1220" spans="1:22" ht="15" x14ac:dyDescent="0.25">
      <c r="A1220" s="734">
        <v>1323</v>
      </c>
      <c r="B1220" s="735" t="s">
        <v>11</v>
      </c>
      <c r="C1220" s="736">
        <v>289739.34999999998</v>
      </c>
      <c r="D1220" s="736">
        <v>319139.09999999998</v>
      </c>
      <c r="E1220" s="749">
        <v>310180.59999999998</v>
      </c>
      <c r="F1220" s="736">
        <v>305610.18</v>
      </c>
      <c r="G1220" s="736">
        <v>308377.59999999998</v>
      </c>
      <c r="H1220" s="736"/>
      <c r="I1220" s="736"/>
      <c r="J1220" s="736">
        <f t="shared" si="452"/>
        <v>308377.59999999998</v>
      </c>
      <c r="K1220" s="736">
        <v>7805.88</v>
      </c>
      <c r="L1220" s="736"/>
      <c r="M1220" s="736">
        <f t="shared" si="453"/>
        <v>316183.48</v>
      </c>
      <c r="N1220" s="736"/>
      <c r="O1220" s="736"/>
      <c r="P1220" s="736">
        <f t="shared" si="454"/>
        <v>316183.48</v>
      </c>
      <c r="Q1220" s="738">
        <v>348535.62</v>
      </c>
      <c r="R1220" s="738">
        <v>227389.7</v>
      </c>
      <c r="S1220" s="751">
        <v>393217.05</v>
      </c>
      <c r="T1220" s="739">
        <v>1500521</v>
      </c>
      <c r="U1220" s="779">
        <v>325638.82</v>
      </c>
      <c r="V1220" s="741">
        <v>1500522</v>
      </c>
    </row>
    <row r="1221" spans="1:22" ht="15" x14ac:dyDescent="0.25">
      <c r="A1221" s="734">
        <v>1413</v>
      </c>
      <c r="B1221" s="735" t="s">
        <v>13</v>
      </c>
      <c r="C1221" s="736">
        <v>391903.84</v>
      </c>
      <c r="D1221" s="736">
        <v>488062.94</v>
      </c>
      <c r="E1221" s="749">
        <v>437832.34</v>
      </c>
      <c r="F1221" s="736">
        <v>431922.68</v>
      </c>
      <c r="G1221" s="736">
        <v>502592.1</v>
      </c>
      <c r="H1221" s="736"/>
      <c r="I1221" s="736"/>
      <c r="J1221" s="736">
        <f t="shared" si="452"/>
        <v>502592.1</v>
      </c>
      <c r="K1221" s="736">
        <v>12003.23</v>
      </c>
      <c r="L1221" s="736"/>
      <c r="M1221" s="736">
        <f t="shared" si="453"/>
        <v>514595.32999999996</v>
      </c>
      <c r="N1221" s="736"/>
      <c r="O1221" s="736"/>
      <c r="P1221" s="736">
        <f t="shared" si="454"/>
        <v>514595.32999999996</v>
      </c>
      <c r="Q1221" s="738">
        <v>514595.33</v>
      </c>
      <c r="R1221" s="738">
        <v>363544.56</v>
      </c>
      <c r="S1221" s="751">
        <v>675336.6</v>
      </c>
      <c r="T1221" s="739">
        <v>1500521</v>
      </c>
      <c r="U1221" s="779">
        <v>605137.19999999995</v>
      </c>
      <c r="V1221" s="741">
        <v>1500522</v>
      </c>
    </row>
    <row r="1222" spans="1:22" ht="15" x14ac:dyDescent="0.25">
      <c r="A1222" s="734">
        <v>1421</v>
      </c>
      <c r="B1222" s="735" t="s">
        <v>15</v>
      </c>
      <c r="C1222" s="736">
        <v>130837.44</v>
      </c>
      <c r="D1222" s="736">
        <v>151709.57999999999</v>
      </c>
      <c r="E1222" s="749">
        <v>128811.58</v>
      </c>
      <c r="F1222" s="736">
        <v>138174.28</v>
      </c>
      <c r="G1222" s="736">
        <v>148154.20000000001</v>
      </c>
      <c r="H1222" s="736"/>
      <c r="I1222" s="736"/>
      <c r="J1222" s="736">
        <f t="shared" si="452"/>
        <v>148154.20000000001</v>
      </c>
      <c r="K1222" s="736">
        <v>3204.75</v>
      </c>
      <c r="L1222" s="736"/>
      <c r="M1222" s="736">
        <f t="shared" si="453"/>
        <v>151358.95000000001</v>
      </c>
      <c r="N1222" s="736"/>
      <c r="O1222" s="736"/>
      <c r="P1222" s="736">
        <f t="shared" si="454"/>
        <v>151358.95000000001</v>
      </c>
      <c r="Q1222" s="738">
        <v>151358.95000000001</v>
      </c>
      <c r="R1222" s="738">
        <v>98744.81</v>
      </c>
      <c r="S1222" s="751">
        <v>188375.76</v>
      </c>
      <c r="T1222" s="739">
        <v>1500521</v>
      </c>
      <c r="U1222" s="779">
        <v>181627.67</v>
      </c>
      <c r="V1222" s="741">
        <v>1500522</v>
      </c>
    </row>
    <row r="1223" spans="1:22" ht="15" x14ac:dyDescent="0.25">
      <c r="A1223" s="734">
        <v>1431</v>
      </c>
      <c r="B1223" s="735" t="s">
        <v>16</v>
      </c>
      <c r="C1223" s="736">
        <v>139562.4</v>
      </c>
      <c r="D1223" s="736">
        <v>156260.74</v>
      </c>
      <c r="E1223" s="749">
        <v>134067.74</v>
      </c>
      <c r="F1223" s="736">
        <v>145056.03</v>
      </c>
      <c r="G1223" s="736">
        <v>152599</v>
      </c>
      <c r="H1223" s="736"/>
      <c r="I1223" s="736"/>
      <c r="J1223" s="736">
        <f t="shared" si="452"/>
        <v>152599</v>
      </c>
      <c r="K1223" s="736">
        <v>3269.6</v>
      </c>
      <c r="L1223" s="736"/>
      <c r="M1223" s="736">
        <f t="shared" si="453"/>
        <v>155868.6</v>
      </c>
      <c r="N1223" s="736"/>
      <c r="O1223" s="736"/>
      <c r="P1223" s="736">
        <f t="shared" si="454"/>
        <v>155868.6</v>
      </c>
      <c r="Q1223" s="738">
        <v>155868.6</v>
      </c>
      <c r="R1223" s="738">
        <v>101708.86</v>
      </c>
      <c r="S1223" s="751">
        <v>194027.4</v>
      </c>
      <c r="T1223" s="739">
        <v>1500521</v>
      </c>
      <c r="U1223" s="779">
        <v>183284.85</v>
      </c>
      <c r="V1223" s="741">
        <v>1500522</v>
      </c>
    </row>
    <row r="1224" spans="1:22" ht="15" x14ac:dyDescent="0.25">
      <c r="A1224" s="734">
        <v>1511</v>
      </c>
      <c r="B1224" s="735" t="s">
        <v>18</v>
      </c>
      <c r="C1224" s="736">
        <v>37942.58</v>
      </c>
      <c r="D1224" s="736">
        <v>43341.48</v>
      </c>
      <c r="E1224" s="749">
        <v>41106.58</v>
      </c>
      <c r="F1224" s="736">
        <v>42542.85</v>
      </c>
      <c r="G1224" s="736">
        <v>42318.7</v>
      </c>
      <c r="H1224" s="736"/>
      <c r="I1224" s="736"/>
      <c r="J1224" s="736">
        <f t="shared" si="452"/>
        <v>42318.7</v>
      </c>
      <c r="K1224" s="736">
        <v>1075.5899999999999</v>
      </c>
      <c r="L1224" s="736"/>
      <c r="M1224" s="736">
        <f t="shared" si="453"/>
        <v>43394.289999999994</v>
      </c>
      <c r="N1224" s="736"/>
      <c r="O1224" s="736"/>
      <c r="P1224" s="736">
        <f t="shared" si="454"/>
        <v>43394.289999999994</v>
      </c>
      <c r="Q1224" s="738">
        <v>45572.11</v>
      </c>
      <c r="R1224" s="738">
        <v>31302.51</v>
      </c>
      <c r="S1224" s="751">
        <v>54505.36</v>
      </c>
      <c r="T1224" s="739">
        <v>1500521</v>
      </c>
      <c r="U1224" s="779">
        <v>45642.55</v>
      </c>
      <c r="V1224" s="741">
        <v>1500522</v>
      </c>
    </row>
    <row r="1225" spans="1:22" ht="15" x14ac:dyDescent="0.25">
      <c r="A1225" s="734">
        <v>1541</v>
      </c>
      <c r="B1225" s="735" t="s">
        <v>19</v>
      </c>
      <c r="C1225" s="736">
        <v>264939.99</v>
      </c>
      <c r="D1225" s="736">
        <v>288062.58</v>
      </c>
      <c r="E1225" s="749">
        <v>246251.68</v>
      </c>
      <c r="F1225" s="736">
        <v>252429.57</v>
      </c>
      <c r="G1225" s="736">
        <v>279809.19999999995</v>
      </c>
      <c r="H1225" s="736"/>
      <c r="I1225" s="736"/>
      <c r="J1225" s="736">
        <f t="shared" si="452"/>
        <v>279809.19999999995</v>
      </c>
      <c r="K1225" s="736">
        <v>10650.41</v>
      </c>
      <c r="L1225" s="736"/>
      <c r="M1225" s="736">
        <f t="shared" si="453"/>
        <v>290459.60999999993</v>
      </c>
      <c r="N1225" s="736"/>
      <c r="O1225" s="736"/>
      <c r="P1225" s="736">
        <f t="shared" si="454"/>
        <v>290459.60999999993</v>
      </c>
      <c r="Q1225" s="738">
        <v>279505.86</v>
      </c>
      <c r="R1225" s="738">
        <v>187204.92</v>
      </c>
      <c r="S1225" s="751">
        <v>372910.98</v>
      </c>
      <c r="T1225" s="739">
        <v>1500521</v>
      </c>
      <c r="U1225" s="779">
        <v>367022.76</v>
      </c>
      <c r="V1225" s="741">
        <v>1500522</v>
      </c>
    </row>
    <row r="1226" spans="1:22" ht="15" x14ac:dyDescent="0.25">
      <c r="A1226" s="734">
        <v>1592</v>
      </c>
      <c r="B1226" s="735" t="s">
        <v>20</v>
      </c>
      <c r="C1226" s="736">
        <v>382050.39</v>
      </c>
      <c r="D1226" s="736">
        <v>439315.24</v>
      </c>
      <c r="E1226" s="749">
        <v>414874.1</v>
      </c>
      <c r="F1226" s="736">
        <v>429324.88</v>
      </c>
      <c r="G1226" s="736">
        <v>425530.6</v>
      </c>
      <c r="H1226" s="736"/>
      <c r="I1226" s="736"/>
      <c r="J1226" s="736">
        <f t="shared" si="452"/>
        <v>425530.6</v>
      </c>
      <c r="K1226" s="736">
        <v>11549.81</v>
      </c>
      <c r="L1226" s="736"/>
      <c r="M1226" s="736">
        <f t="shared" si="453"/>
        <v>437080.41</v>
      </c>
      <c r="N1226" s="736"/>
      <c r="O1226" s="736"/>
      <c r="P1226" s="736">
        <f t="shared" si="454"/>
        <v>437080.41</v>
      </c>
      <c r="Q1226" s="738">
        <v>496495.47</v>
      </c>
      <c r="R1226" s="738">
        <v>317004.61</v>
      </c>
      <c r="S1226" s="751">
        <v>570049.48</v>
      </c>
      <c r="T1226" s="739">
        <v>1500521</v>
      </c>
      <c r="U1226" s="779">
        <v>464159.94</v>
      </c>
      <c r="V1226" s="741">
        <v>1500522</v>
      </c>
    </row>
    <row r="1227" spans="1:22" ht="15" x14ac:dyDescent="0.25">
      <c r="A1227" s="734">
        <v>2111</v>
      </c>
      <c r="B1227" s="735" t="s">
        <v>22</v>
      </c>
      <c r="C1227" s="736">
        <v>39941.839999999997</v>
      </c>
      <c r="D1227" s="736">
        <v>60000</v>
      </c>
      <c r="E1227" s="749">
        <v>42000</v>
      </c>
      <c r="F1227" s="736">
        <v>38855.57</v>
      </c>
      <c r="G1227" s="752">
        <v>42000</v>
      </c>
      <c r="H1227" s="752"/>
      <c r="I1227" s="752"/>
      <c r="J1227" s="736">
        <f t="shared" si="452"/>
        <v>42000</v>
      </c>
      <c r="K1227" s="752"/>
      <c r="L1227" s="752"/>
      <c r="M1227" s="736">
        <f t="shared" si="453"/>
        <v>42000</v>
      </c>
      <c r="N1227" s="736"/>
      <c r="O1227" s="736"/>
      <c r="P1227" s="736">
        <f t="shared" si="454"/>
        <v>42000</v>
      </c>
      <c r="Q1227" s="898">
        <v>36719.93</v>
      </c>
      <c r="R1227" s="738">
        <v>32392.5</v>
      </c>
      <c r="S1227" s="753">
        <v>60000</v>
      </c>
      <c r="T1227" s="739">
        <v>1100121</v>
      </c>
      <c r="U1227" s="740">
        <v>42000</v>
      </c>
      <c r="V1227" s="741">
        <v>1100122</v>
      </c>
    </row>
    <row r="1228" spans="1:22" ht="15" x14ac:dyDescent="0.25">
      <c r="A1228" s="734">
        <v>2121</v>
      </c>
      <c r="B1228" s="735" t="s">
        <v>24</v>
      </c>
      <c r="C1228" s="736">
        <v>27473.06</v>
      </c>
      <c r="D1228" s="736">
        <v>20000</v>
      </c>
      <c r="E1228" s="749">
        <v>14000</v>
      </c>
      <c r="F1228" s="736">
        <v>12304</v>
      </c>
      <c r="G1228" s="752">
        <v>14000</v>
      </c>
      <c r="H1228" s="752"/>
      <c r="I1228" s="752"/>
      <c r="J1228" s="736">
        <f t="shared" si="452"/>
        <v>14000</v>
      </c>
      <c r="K1228" s="752"/>
      <c r="L1228" s="752"/>
      <c r="M1228" s="736">
        <f t="shared" si="453"/>
        <v>14000</v>
      </c>
      <c r="N1228" s="736"/>
      <c r="O1228" s="736"/>
      <c r="P1228" s="736">
        <f t="shared" si="454"/>
        <v>14000</v>
      </c>
      <c r="Q1228" s="898">
        <v>10362.43</v>
      </c>
      <c r="R1228" s="738">
        <v>9390.92</v>
      </c>
      <c r="S1228" s="753">
        <v>20000</v>
      </c>
      <c r="T1228" s="739">
        <v>1100121</v>
      </c>
      <c r="U1228" s="740">
        <v>14000</v>
      </c>
      <c r="V1228" s="741">
        <v>1100122</v>
      </c>
    </row>
    <row r="1229" spans="1:22" ht="15" x14ac:dyDescent="0.25">
      <c r="A1229" s="734">
        <v>2182</v>
      </c>
      <c r="B1229" s="735" t="s">
        <v>203</v>
      </c>
      <c r="C1229" s="736"/>
      <c r="D1229" s="736">
        <v>50000</v>
      </c>
      <c r="E1229" s="749">
        <v>25500</v>
      </c>
      <c r="F1229" s="736">
        <v>0</v>
      </c>
      <c r="G1229" s="752">
        <v>80000</v>
      </c>
      <c r="H1229" s="752"/>
      <c r="I1229" s="752"/>
      <c r="J1229" s="736">
        <f t="shared" si="452"/>
        <v>80000</v>
      </c>
      <c r="K1229" s="752"/>
      <c r="L1229" s="752"/>
      <c r="M1229" s="736">
        <f t="shared" si="453"/>
        <v>80000</v>
      </c>
      <c r="N1229" s="736"/>
      <c r="O1229" s="736">
        <v>15000</v>
      </c>
      <c r="P1229" s="736">
        <f t="shared" si="454"/>
        <v>65000</v>
      </c>
      <c r="Q1229" s="898">
        <v>65000</v>
      </c>
      <c r="R1229" s="738">
        <v>44555.6</v>
      </c>
      <c r="S1229" s="753">
        <v>100000</v>
      </c>
      <c r="T1229" s="739">
        <v>1100121</v>
      </c>
      <c r="U1229" s="740">
        <v>80000</v>
      </c>
      <c r="V1229" s="741">
        <v>1100122</v>
      </c>
    </row>
    <row r="1230" spans="1:22" ht="15" x14ac:dyDescent="0.25">
      <c r="A1230" s="734">
        <v>2212</v>
      </c>
      <c r="B1230" s="735" t="s">
        <v>40</v>
      </c>
      <c r="C1230" s="736"/>
      <c r="D1230" s="736">
        <v>5000</v>
      </c>
      <c r="E1230" s="749">
        <v>5000</v>
      </c>
      <c r="F1230" s="736">
        <v>0</v>
      </c>
      <c r="G1230" s="752">
        <v>5000</v>
      </c>
      <c r="H1230" s="752"/>
      <c r="I1230" s="752"/>
      <c r="J1230" s="736">
        <f t="shared" si="452"/>
        <v>5000</v>
      </c>
      <c r="K1230" s="752"/>
      <c r="L1230" s="752"/>
      <c r="M1230" s="736">
        <f t="shared" si="453"/>
        <v>5000</v>
      </c>
      <c r="N1230" s="736"/>
      <c r="O1230" s="736"/>
      <c r="P1230" s="736">
        <f t="shared" si="454"/>
        <v>5000</v>
      </c>
      <c r="Q1230" s="898">
        <v>5000</v>
      </c>
      <c r="R1230" s="738">
        <v>398</v>
      </c>
      <c r="S1230" s="753">
        <v>10000</v>
      </c>
      <c r="T1230" s="739">
        <v>1100121</v>
      </c>
      <c r="U1230" s="740">
        <v>5000</v>
      </c>
      <c r="V1230" s="741">
        <v>1100122</v>
      </c>
    </row>
    <row r="1231" spans="1:22" ht="15" x14ac:dyDescent="0.25">
      <c r="A1231" s="734">
        <v>2491</v>
      </c>
      <c r="B1231" s="735" t="s">
        <v>41</v>
      </c>
      <c r="C1231" s="736">
        <v>7056.59</v>
      </c>
      <c r="D1231" s="736">
        <v>15000</v>
      </c>
      <c r="E1231" s="749">
        <v>15000</v>
      </c>
      <c r="F1231" s="736">
        <v>14967.58</v>
      </c>
      <c r="G1231" s="752">
        <v>25000</v>
      </c>
      <c r="H1231" s="752"/>
      <c r="I1231" s="752"/>
      <c r="J1231" s="736">
        <f t="shared" si="452"/>
        <v>25000</v>
      </c>
      <c r="K1231" s="752"/>
      <c r="L1231" s="752"/>
      <c r="M1231" s="736">
        <f t="shared" si="453"/>
        <v>25000</v>
      </c>
      <c r="N1231" s="736"/>
      <c r="O1231" s="736"/>
      <c r="P1231" s="736">
        <f t="shared" si="454"/>
        <v>25000</v>
      </c>
      <c r="Q1231" s="898">
        <v>25000</v>
      </c>
      <c r="R1231" s="738">
        <v>5525.91</v>
      </c>
      <c r="S1231" s="753">
        <v>30000</v>
      </c>
      <c r="T1231" s="739">
        <v>1100121</v>
      </c>
      <c r="U1231" s="740">
        <v>25000</v>
      </c>
      <c r="V1231" s="741">
        <v>1100122</v>
      </c>
    </row>
    <row r="1232" spans="1:22" ht="15" x14ac:dyDescent="0.2">
      <c r="A1232" s="734">
        <v>2541</v>
      </c>
      <c r="B1232" s="735" t="s">
        <v>148</v>
      </c>
      <c r="C1232" s="736"/>
      <c r="D1232" s="736">
        <v>0</v>
      </c>
      <c r="E1232" s="749">
        <v>12000</v>
      </c>
      <c r="F1232" s="736">
        <v>0</v>
      </c>
      <c r="G1232" s="752">
        <v>10000</v>
      </c>
      <c r="H1232" s="752"/>
      <c r="I1232" s="752"/>
      <c r="J1232" s="736">
        <f t="shared" si="452"/>
        <v>10000</v>
      </c>
      <c r="K1232" s="752"/>
      <c r="L1232" s="752"/>
      <c r="M1232" s="736">
        <f t="shared" si="453"/>
        <v>10000</v>
      </c>
      <c r="N1232" s="736"/>
      <c r="O1232" s="736"/>
      <c r="P1232" s="736">
        <f t="shared" si="454"/>
        <v>10000</v>
      </c>
      <c r="Q1232" s="753">
        <v>10000</v>
      </c>
      <c r="R1232" s="738">
        <v>372.48</v>
      </c>
      <c r="S1232" s="753">
        <v>10000</v>
      </c>
      <c r="T1232" s="739">
        <v>1100121</v>
      </c>
      <c r="U1232" s="740">
        <v>5000</v>
      </c>
      <c r="V1232" s="741">
        <v>1100122</v>
      </c>
    </row>
    <row r="1233" spans="1:22" ht="30" x14ac:dyDescent="0.2">
      <c r="A1233" s="734">
        <v>2612</v>
      </c>
      <c r="B1233" s="735" t="s">
        <v>26</v>
      </c>
      <c r="C1233" s="736">
        <v>17248.29</v>
      </c>
      <c r="D1233" s="736">
        <v>18000</v>
      </c>
      <c r="E1233" s="749">
        <v>18000</v>
      </c>
      <c r="F1233" s="736">
        <v>10802.56</v>
      </c>
      <c r="G1233" s="752">
        <v>100000</v>
      </c>
      <c r="H1233" s="752"/>
      <c r="I1233" s="752"/>
      <c r="J1233" s="736">
        <f t="shared" si="452"/>
        <v>100000</v>
      </c>
      <c r="K1233" s="752"/>
      <c r="L1233" s="752"/>
      <c r="M1233" s="736">
        <f t="shared" si="453"/>
        <v>100000</v>
      </c>
      <c r="N1233" s="736"/>
      <c r="O1233" s="736">
        <v>40000</v>
      </c>
      <c r="P1233" s="736">
        <f t="shared" si="454"/>
        <v>60000</v>
      </c>
      <c r="Q1233" s="753">
        <v>60000</v>
      </c>
      <c r="R1233" s="738">
        <v>13096.28</v>
      </c>
      <c r="S1233" s="738">
        <f>Q1233</f>
        <v>60000</v>
      </c>
      <c r="T1233" s="739">
        <v>1100121</v>
      </c>
      <c r="U1233" s="746">
        <v>60000</v>
      </c>
      <c r="V1233" s="741">
        <v>1100122</v>
      </c>
    </row>
    <row r="1234" spans="1:22" ht="15" x14ac:dyDescent="0.2">
      <c r="A1234" s="734">
        <v>2711</v>
      </c>
      <c r="B1234" s="735" t="s">
        <v>27</v>
      </c>
      <c r="C1234" s="736">
        <v>15000</v>
      </c>
      <c r="D1234" s="736"/>
      <c r="E1234" s="736"/>
      <c r="F1234" s="736"/>
      <c r="G1234" s="736"/>
      <c r="H1234" s="736"/>
      <c r="I1234" s="736"/>
      <c r="J1234" s="736">
        <f t="shared" si="452"/>
        <v>0</v>
      </c>
      <c r="K1234" s="736"/>
      <c r="L1234" s="736"/>
      <c r="M1234" s="736">
        <f t="shared" si="453"/>
        <v>0</v>
      </c>
      <c r="N1234" s="736"/>
      <c r="O1234" s="736"/>
      <c r="P1234" s="738">
        <f t="shared" si="454"/>
        <v>0</v>
      </c>
      <c r="Q1234" s="738"/>
      <c r="R1234" s="738"/>
      <c r="S1234" s="738">
        <v>30000</v>
      </c>
      <c r="T1234" s="739"/>
      <c r="U1234" s="742">
        <v>30000</v>
      </c>
      <c r="V1234" s="741">
        <v>1100122</v>
      </c>
    </row>
    <row r="1235" spans="1:22" ht="15" x14ac:dyDescent="0.2">
      <c r="A1235" s="734">
        <v>2941</v>
      </c>
      <c r="B1235" s="735" t="s">
        <v>79</v>
      </c>
      <c r="C1235" s="736"/>
      <c r="D1235" s="736"/>
      <c r="E1235" s="736"/>
      <c r="F1235" s="736"/>
      <c r="G1235" s="736"/>
      <c r="H1235" s="736"/>
      <c r="I1235" s="736"/>
      <c r="J1235" s="736"/>
      <c r="K1235" s="736"/>
      <c r="L1235" s="736"/>
      <c r="M1235" s="736"/>
      <c r="N1235" s="736"/>
      <c r="O1235" s="736"/>
      <c r="P1235" s="738"/>
      <c r="Q1235" s="738"/>
      <c r="R1235" s="738"/>
      <c r="S1235" s="738">
        <v>10000</v>
      </c>
      <c r="T1235" s="739"/>
      <c r="U1235" s="740">
        <v>10000</v>
      </c>
      <c r="V1235" s="741">
        <v>1100122</v>
      </c>
    </row>
    <row r="1236" spans="1:22" ht="15" x14ac:dyDescent="0.2">
      <c r="A1236" s="734">
        <v>3111</v>
      </c>
      <c r="B1236" s="735" t="s">
        <v>47</v>
      </c>
      <c r="C1236" s="736">
        <v>44476</v>
      </c>
      <c r="D1236" s="736">
        <v>50000</v>
      </c>
      <c r="E1236" s="749">
        <v>50000</v>
      </c>
      <c r="F1236" s="736">
        <v>24078</v>
      </c>
      <c r="G1236" s="752">
        <v>55000</v>
      </c>
      <c r="H1236" s="752"/>
      <c r="I1236" s="752"/>
      <c r="J1236" s="736">
        <f t="shared" ref="J1236:J1238" si="455">G1236+H1236-I1236</f>
        <v>55000</v>
      </c>
      <c r="K1236" s="752"/>
      <c r="L1236" s="752"/>
      <c r="M1236" s="736">
        <f t="shared" ref="M1236:M1238" si="456">J1236+K1236-L1236</f>
        <v>55000</v>
      </c>
      <c r="N1236" s="736"/>
      <c r="O1236" s="736"/>
      <c r="P1236" s="736">
        <f t="shared" ref="P1236:P1238" si="457">M1236+N1236-O1236</f>
        <v>55000</v>
      </c>
      <c r="Q1236" s="753">
        <v>55000</v>
      </c>
      <c r="R1236" s="738">
        <v>31222</v>
      </c>
      <c r="S1236" s="753">
        <v>55000</v>
      </c>
      <c r="T1236" s="739">
        <v>1100121</v>
      </c>
      <c r="U1236" s="746">
        <v>55000</v>
      </c>
      <c r="V1236" s="741">
        <v>1100122</v>
      </c>
    </row>
    <row r="1237" spans="1:22" ht="15" x14ac:dyDescent="0.2">
      <c r="A1237" s="734">
        <v>3131</v>
      </c>
      <c r="B1237" s="735" t="s">
        <v>61</v>
      </c>
      <c r="C1237" s="736">
        <v>1947.95</v>
      </c>
      <c r="D1237" s="736">
        <v>4500</v>
      </c>
      <c r="E1237" s="749">
        <v>4500</v>
      </c>
      <c r="F1237" s="736">
        <v>1876.51</v>
      </c>
      <c r="G1237" s="752">
        <v>5000</v>
      </c>
      <c r="H1237" s="752"/>
      <c r="I1237" s="752"/>
      <c r="J1237" s="736">
        <f t="shared" si="455"/>
        <v>5000</v>
      </c>
      <c r="K1237" s="752"/>
      <c r="L1237" s="752"/>
      <c r="M1237" s="736">
        <f t="shared" si="456"/>
        <v>5000</v>
      </c>
      <c r="N1237" s="736"/>
      <c r="O1237" s="736"/>
      <c r="P1237" s="736">
        <f t="shared" si="457"/>
        <v>5000</v>
      </c>
      <c r="Q1237" s="753">
        <v>5000</v>
      </c>
      <c r="R1237" s="738">
        <v>2624.64</v>
      </c>
      <c r="S1237" s="753">
        <v>10000</v>
      </c>
      <c r="T1237" s="739">
        <v>1100121</v>
      </c>
      <c r="U1237" s="746">
        <v>6000</v>
      </c>
      <c r="V1237" s="741">
        <v>1100122</v>
      </c>
    </row>
    <row r="1238" spans="1:22" ht="15" x14ac:dyDescent="0.2">
      <c r="A1238" s="734">
        <v>3141</v>
      </c>
      <c r="B1238" s="735" t="s">
        <v>48</v>
      </c>
      <c r="C1238" s="736">
        <v>236456.69</v>
      </c>
      <c r="D1238" s="736">
        <v>260000</v>
      </c>
      <c r="E1238" s="749">
        <v>260000</v>
      </c>
      <c r="F1238" s="736">
        <v>222976.84</v>
      </c>
      <c r="G1238" s="752">
        <v>280000</v>
      </c>
      <c r="H1238" s="752"/>
      <c r="I1238" s="752"/>
      <c r="J1238" s="736">
        <f t="shared" si="455"/>
        <v>280000</v>
      </c>
      <c r="K1238" s="752"/>
      <c r="L1238" s="752"/>
      <c r="M1238" s="736">
        <f t="shared" si="456"/>
        <v>280000</v>
      </c>
      <c r="N1238" s="736"/>
      <c r="O1238" s="736"/>
      <c r="P1238" s="736">
        <f t="shared" si="457"/>
        <v>280000</v>
      </c>
      <c r="Q1238" s="753">
        <v>280000</v>
      </c>
      <c r="R1238" s="738">
        <v>178136.17</v>
      </c>
      <c r="S1238" s="753">
        <v>280000</v>
      </c>
      <c r="T1238" s="739">
        <v>1100121</v>
      </c>
      <c r="U1238" s="746">
        <v>270000</v>
      </c>
      <c r="V1238" s="741">
        <v>1100122</v>
      </c>
    </row>
    <row r="1239" spans="1:22" ht="15" x14ac:dyDescent="0.2">
      <c r="A1239" s="734">
        <v>3172</v>
      </c>
      <c r="B1239" s="735" t="s">
        <v>98</v>
      </c>
      <c r="C1239" s="736"/>
      <c r="D1239" s="736"/>
      <c r="E1239" s="749"/>
      <c r="F1239" s="736"/>
      <c r="G1239" s="752"/>
      <c r="H1239" s="752"/>
      <c r="I1239" s="752"/>
      <c r="J1239" s="736"/>
      <c r="K1239" s="752"/>
      <c r="L1239" s="752"/>
      <c r="M1239" s="736"/>
      <c r="N1239" s="736"/>
      <c r="O1239" s="736"/>
      <c r="P1239" s="736"/>
      <c r="Q1239" s="753"/>
      <c r="R1239" s="738"/>
      <c r="S1239" s="753">
        <v>30000</v>
      </c>
      <c r="T1239" s="739"/>
      <c r="U1239" s="754">
        <v>30000</v>
      </c>
      <c r="V1239" s="741">
        <v>1100122</v>
      </c>
    </row>
    <row r="1240" spans="1:22" ht="15" x14ac:dyDescent="0.2">
      <c r="A1240" s="739">
        <v>3151</v>
      </c>
      <c r="B1240" s="743" t="s">
        <v>1707</v>
      </c>
      <c r="C1240" s="736">
        <v>807.01</v>
      </c>
      <c r="D1240" s="736"/>
      <c r="E1240" s="749"/>
      <c r="F1240" s="736"/>
      <c r="G1240" s="752"/>
      <c r="H1240" s="752"/>
      <c r="I1240" s="752"/>
      <c r="J1240" s="736">
        <f t="shared" ref="J1240:J1256" si="458">G1240+H1240-I1240</f>
        <v>0</v>
      </c>
      <c r="K1240" s="752"/>
      <c r="L1240" s="752"/>
      <c r="M1240" s="736">
        <f t="shared" ref="M1240:M1256" si="459">J1240+K1240-L1240</f>
        <v>0</v>
      </c>
      <c r="N1240" s="736"/>
      <c r="O1240" s="736"/>
      <c r="P1240" s="738">
        <f t="shared" ref="P1240:P1256" si="460">M1240+N1240-O1240</f>
        <v>0</v>
      </c>
      <c r="Q1240" s="753"/>
      <c r="R1240" s="738"/>
      <c r="S1240" s="753"/>
      <c r="T1240" s="739"/>
      <c r="U1240" s="745"/>
      <c r="V1240" s="739"/>
    </row>
    <row r="1241" spans="1:22" ht="15" x14ac:dyDescent="0.2">
      <c r="A1241" s="734">
        <v>3221</v>
      </c>
      <c r="B1241" s="735" t="s">
        <v>99</v>
      </c>
      <c r="C1241" s="736">
        <v>281841.48</v>
      </c>
      <c r="D1241" s="736">
        <v>293115.09999999998</v>
      </c>
      <c r="E1241" s="749">
        <v>289825.09999999998</v>
      </c>
      <c r="F1241" s="736">
        <v>289817.59999999998</v>
      </c>
      <c r="G1241" s="752">
        <v>300000</v>
      </c>
      <c r="H1241" s="752"/>
      <c r="I1241" s="752"/>
      <c r="J1241" s="736">
        <f t="shared" si="458"/>
        <v>300000</v>
      </c>
      <c r="K1241" s="752"/>
      <c r="L1241" s="752"/>
      <c r="M1241" s="736">
        <f t="shared" si="459"/>
        <v>300000</v>
      </c>
      <c r="N1241" s="736"/>
      <c r="O1241" s="736"/>
      <c r="P1241" s="736">
        <f t="shared" si="460"/>
        <v>300000</v>
      </c>
      <c r="Q1241" s="753">
        <v>300000</v>
      </c>
      <c r="R1241" s="738"/>
      <c r="S1241" s="753">
        <v>325000</v>
      </c>
      <c r="T1241" s="739">
        <v>1100121</v>
      </c>
      <c r="U1241" s="740">
        <v>313895</v>
      </c>
      <c r="V1241" s="741">
        <v>1100122</v>
      </c>
    </row>
    <row r="1242" spans="1:22" ht="15" x14ac:dyDescent="0.2">
      <c r="A1242" s="739">
        <v>3231</v>
      </c>
      <c r="B1242" s="743" t="s">
        <v>204</v>
      </c>
      <c r="C1242" s="736"/>
      <c r="D1242" s="736"/>
      <c r="E1242" s="749"/>
      <c r="F1242" s="736"/>
      <c r="G1242" s="752"/>
      <c r="H1242" s="752">
        <v>0</v>
      </c>
      <c r="I1242" s="752"/>
      <c r="J1242" s="736">
        <f t="shared" si="458"/>
        <v>0</v>
      </c>
      <c r="K1242" s="752">
        <v>0</v>
      </c>
      <c r="L1242" s="752"/>
      <c r="M1242" s="736">
        <f t="shared" si="459"/>
        <v>0</v>
      </c>
      <c r="N1242" s="736"/>
      <c r="O1242" s="736"/>
      <c r="P1242" s="738">
        <f t="shared" si="460"/>
        <v>0</v>
      </c>
      <c r="Q1242" s="753"/>
      <c r="R1242" s="738">
        <v>659633.67000000004</v>
      </c>
      <c r="S1242" s="753">
        <v>900000</v>
      </c>
      <c r="T1242" s="739">
        <v>1100121</v>
      </c>
      <c r="U1242" s="785"/>
      <c r="V1242" s="739">
        <v>1100122</v>
      </c>
    </row>
    <row r="1243" spans="1:22" ht="15" x14ac:dyDescent="0.2">
      <c r="A1243" s="734">
        <v>3231</v>
      </c>
      <c r="B1243" s="735" t="s">
        <v>204</v>
      </c>
      <c r="C1243" s="736">
        <v>661681.79</v>
      </c>
      <c r="D1243" s="736">
        <v>750000</v>
      </c>
      <c r="E1243" s="749">
        <v>750000</v>
      </c>
      <c r="F1243" s="736">
        <v>412312.12</v>
      </c>
      <c r="G1243" s="752">
        <v>800000</v>
      </c>
      <c r="H1243" s="896"/>
      <c r="I1243" s="752"/>
      <c r="J1243" s="736">
        <f t="shared" si="458"/>
        <v>800000</v>
      </c>
      <c r="K1243" s="896">
        <v>226105</v>
      </c>
      <c r="L1243" s="752"/>
      <c r="M1243" s="736">
        <f t="shared" si="459"/>
        <v>1026105</v>
      </c>
      <c r="N1243" s="736"/>
      <c r="O1243" s="736"/>
      <c r="P1243" s="736">
        <f t="shared" si="460"/>
        <v>1026105</v>
      </c>
      <c r="Q1243" s="753">
        <v>1026105</v>
      </c>
      <c r="R1243" s="738"/>
      <c r="S1243" s="753"/>
      <c r="T1243" s="739">
        <v>1100121</v>
      </c>
      <c r="U1243" s="754">
        <v>900000</v>
      </c>
      <c r="V1243" s="741">
        <v>1100122</v>
      </c>
    </row>
    <row r="1244" spans="1:22" ht="30" x14ac:dyDescent="0.2">
      <c r="A1244" s="734">
        <v>3361</v>
      </c>
      <c r="B1244" s="735" t="s">
        <v>29</v>
      </c>
      <c r="C1244" s="736">
        <v>2900</v>
      </c>
      <c r="D1244" s="736">
        <v>15000</v>
      </c>
      <c r="E1244" s="749">
        <v>15000</v>
      </c>
      <c r="F1244" s="736">
        <v>2212.58</v>
      </c>
      <c r="G1244" s="752">
        <v>15000</v>
      </c>
      <c r="H1244" s="752"/>
      <c r="I1244" s="752"/>
      <c r="J1244" s="736">
        <f t="shared" si="458"/>
        <v>15000</v>
      </c>
      <c r="K1244" s="752"/>
      <c r="L1244" s="752"/>
      <c r="M1244" s="736">
        <f t="shared" si="459"/>
        <v>15000</v>
      </c>
      <c r="N1244" s="736"/>
      <c r="O1244" s="736"/>
      <c r="P1244" s="736">
        <f t="shared" si="460"/>
        <v>15000</v>
      </c>
      <c r="Q1244" s="753">
        <v>15000</v>
      </c>
      <c r="R1244" s="738">
        <v>2200</v>
      </c>
      <c r="S1244" s="753">
        <v>15000</v>
      </c>
      <c r="T1244" s="739">
        <v>1100121</v>
      </c>
      <c r="U1244" s="740">
        <v>7500</v>
      </c>
      <c r="V1244" s="741">
        <v>1100122</v>
      </c>
    </row>
    <row r="1245" spans="1:22" ht="15" x14ac:dyDescent="0.2">
      <c r="A1245" s="739">
        <v>3381</v>
      </c>
      <c r="B1245" s="743" t="s">
        <v>64</v>
      </c>
      <c r="C1245" s="736">
        <v>12164.94</v>
      </c>
      <c r="D1245" s="736">
        <v>100000</v>
      </c>
      <c r="E1245" s="749">
        <v>0</v>
      </c>
      <c r="F1245" s="736">
        <v>0</v>
      </c>
      <c r="G1245" s="736"/>
      <c r="H1245" s="736"/>
      <c r="I1245" s="736"/>
      <c r="J1245" s="736">
        <f t="shared" si="458"/>
        <v>0</v>
      </c>
      <c r="K1245" s="736"/>
      <c r="L1245" s="736"/>
      <c r="M1245" s="736">
        <f t="shared" si="459"/>
        <v>0</v>
      </c>
      <c r="N1245" s="736"/>
      <c r="O1245" s="736"/>
      <c r="P1245" s="738">
        <f t="shared" si="460"/>
        <v>0</v>
      </c>
      <c r="Q1245" s="738"/>
      <c r="R1245" s="738"/>
      <c r="S1245" s="738">
        <v>100000</v>
      </c>
      <c r="T1245" s="739">
        <v>1100121</v>
      </c>
      <c r="U1245" s="744"/>
      <c r="V1245" s="739">
        <v>1100122</v>
      </c>
    </row>
    <row r="1246" spans="1:22" ht="15" x14ac:dyDescent="0.2">
      <c r="A1246" s="734">
        <v>3431</v>
      </c>
      <c r="B1246" s="735" t="s">
        <v>205</v>
      </c>
      <c r="C1246" s="736">
        <v>249481.2</v>
      </c>
      <c r="D1246" s="736">
        <v>280000</v>
      </c>
      <c r="E1246" s="749">
        <v>230000</v>
      </c>
      <c r="F1246" s="736">
        <v>0</v>
      </c>
      <c r="G1246" s="752">
        <v>130000</v>
      </c>
      <c r="H1246" s="752"/>
      <c r="I1246" s="752"/>
      <c r="J1246" s="736">
        <f t="shared" si="458"/>
        <v>130000</v>
      </c>
      <c r="K1246" s="752"/>
      <c r="L1246" s="752"/>
      <c r="M1246" s="736">
        <f t="shared" si="459"/>
        <v>130000</v>
      </c>
      <c r="N1246" s="736"/>
      <c r="O1246" s="736"/>
      <c r="P1246" s="736">
        <f t="shared" si="460"/>
        <v>130000</v>
      </c>
      <c r="Q1246" s="753">
        <v>130000</v>
      </c>
      <c r="R1246" s="738">
        <v>109799.71</v>
      </c>
      <c r="S1246" s="753">
        <v>300000</v>
      </c>
      <c r="T1246" s="739">
        <v>1100121</v>
      </c>
      <c r="U1246" s="746">
        <v>260000</v>
      </c>
      <c r="V1246" s="741">
        <v>1100122</v>
      </c>
    </row>
    <row r="1247" spans="1:22" ht="15" x14ac:dyDescent="0.2">
      <c r="A1247" s="734">
        <v>3511</v>
      </c>
      <c r="B1247" s="735" t="s">
        <v>49</v>
      </c>
      <c r="C1247" s="736">
        <v>44435.28</v>
      </c>
      <c r="D1247" s="736">
        <v>100000</v>
      </c>
      <c r="E1247" s="749">
        <v>125000</v>
      </c>
      <c r="F1247" s="736">
        <v>112691.18</v>
      </c>
      <c r="G1247" s="752">
        <v>50000</v>
      </c>
      <c r="H1247" s="752"/>
      <c r="I1247" s="752"/>
      <c r="J1247" s="736">
        <f t="shared" si="458"/>
        <v>50000</v>
      </c>
      <c r="K1247" s="752"/>
      <c r="L1247" s="752"/>
      <c r="M1247" s="736">
        <f t="shared" si="459"/>
        <v>50000</v>
      </c>
      <c r="N1247" s="736"/>
      <c r="O1247" s="736"/>
      <c r="P1247" s="736">
        <f t="shared" si="460"/>
        <v>50000</v>
      </c>
      <c r="Q1247" s="753">
        <v>50000</v>
      </c>
      <c r="R1247" s="738">
        <v>4778.3999999999996</v>
      </c>
      <c r="S1247" s="753">
        <v>50000</v>
      </c>
      <c r="T1247" s="739">
        <v>1100121</v>
      </c>
      <c r="U1247" s="740">
        <v>10000</v>
      </c>
      <c r="V1247" s="741">
        <v>1100122</v>
      </c>
    </row>
    <row r="1248" spans="1:22" ht="15" x14ac:dyDescent="0.2">
      <c r="A1248" s="734">
        <v>3551</v>
      </c>
      <c r="B1248" s="735" t="s">
        <v>30</v>
      </c>
      <c r="C1248" s="736">
        <v>2981.2</v>
      </c>
      <c r="D1248" s="736">
        <v>10000</v>
      </c>
      <c r="E1248" s="749">
        <v>15000</v>
      </c>
      <c r="F1248" s="736">
        <v>13764.2</v>
      </c>
      <c r="G1248" s="752">
        <v>15000</v>
      </c>
      <c r="H1248" s="752"/>
      <c r="I1248" s="752"/>
      <c r="J1248" s="736">
        <f t="shared" si="458"/>
        <v>15000</v>
      </c>
      <c r="K1248" s="752"/>
      <c r="L1248" s="752"/>
      <c r="M1248" s="736">
        <f t="shared" si="459"/>
        <v>15000</v>
      </c>
      <c r="N1248" s="736"/>
      <c r="O1248" s="736"/>
      <c r="P1248" s="736">
        <f t="shared" si="460"/>
        <v>15000</v>
      </c>
      <c r="Q1248" s="753">
        <v>15000</v>
      </c>
      <c r="R1248" s="738">
        <v>7157.2</v>
      </c>
      <c r="S1248" s="738">
        <f>Q1248</f>
        <v>15000</v>
      </c>
      <c r="T1248" s="739">
        <v>1100121</v>
      </c>
      <c r="U1248" s="746">
        <v>30000</v>
      </c>
      <c r="V1248" s="741">
        <v>1100122</v>
      </c>
    </row>
    <row r="1249" spans="1:22" ht="15" x14ac:dyDescent="0.2">
      <c r="A1249" s="734">
        <v>3571</v>
      </c>
      <c r="B1249" s="735" t="s">
        <v>65</v>
      </c>
      <c r="C1249" s="736">
        <v>5220</v>
      </c>
      <c r="D1249" s="736">
        <v>10000</v>
      </c>
      <c r="E1249" s="749">
        <v>10000</v>
      </c>
      <c r="F1249" s="736">
        <v>580</v>
      </c>
      <c r="G1249" s="752">
        <v>10000</v>
      </c>
      <c r="H1249" s="752"/>
      <c r="I1249" s="752"/>
      <c r="J1249" s="736">
        <f t="shared" si="458"/>
        <v>10000</v>
      </c>
      <c r="K1249" s="752"/>
      <c r="L1249" s="752"/>
      <c r="M1249" s="736">
        <f t="shared" si="459"/>
        <v>10000</v>
      </c>
      <c r="N1249" s="736"/>
      <c r="O1249" s="736"/>
      <c r="P1249" s="736">
        <f t="shared" si="460"/>
        <v>10000</v>
      </c>
      <c r="Q1249" s="753">
        <v>10000</v>
      </c>
      <c r="R1249" s="738">
        <v>10000</v>
      </c>
      <c r="S1249" s="753">
        <v>15000</v>
      </c>
      <c r="T1249" s="739">
        <v>1100121</v>
      </c>
      <c r="U1249" s="742">
        <v>10000</v>
      </c>
      <c r="V1249" s="741">
        <v>1100122</v>
      </c>
    </row>
    <row r="1250" spans="1:22" ht="15" x14ac:dyDescent="0.2">
      <c r="A1250" s="734">
        <v>3611</v>
      </c>
      <c r="B1250" s="735" t="s">
        <v>66</v>
      </c>
      <c r="C1250" s="736"/>
      <c r="D1250" s="736">
        <v>40000</v>
      </c>
      <c r="E1250" s="749">
        <v>5000</v>
      </c>
      <c r="F1250" s="736">
        <v>4524</v>
      </c>
      <c r="G1250" s="752">
        <v>20000</v>
      </c>
      <c r="H1250" s="752"/>
      <c r="I1250" s="752"/>
      <c r="J1250" s="736">
        <f t="shared" si="458"/>
        <v>20000</v>
      </c>
      <c r="K1250" s="752"/>
      <c r="L1250" s="752"/>
      <c r="M1250" s="736">
        <f t="shared" si="459"/>
        <v>20000</v>
      </c>
      <c r="N1250" s="736">
        <v>15000</v>
      </c>
      <c r="O1250" s="736"/>
      <c r="P1250" s="736">
        <f t="shared" si="460"/>
        <v>35000</v>
      </c>
      <c r="Q1250" s="753">
        <v>35000</v>
      </c>
      <c r="R1250" s="738"/>
      <c r="S1250" s="753">
        <v>30000</v>
      </c>
      <c r="T1250" s="739">
        <v>1100121</v>
      </c>
      <c r="U1250" s="742">
        <v>20000</v>
      </c>
      <c r="V1250" s="741">
        <v>1100122</v>
      </c>
    </row>
    <row r="1251" spans="1:22" ht="15" x14ac:dyDescent="0.2">
      <c r="A1251" s="739">
        <v>3712</v>
      </c>
      <c r="B1251" s="743" t="s">
        <v>43</v>
      </c>
      <c r="C1251" s="736">
        <v>12681.21</v>
      </c>
      <c r="D1251" s="736">
        <v>15000</v>
      </c>
      <c r="E1251" s="749">
        <v>10000</v>
      </c>
      <c r="F1251" s="736">
        <v>0</v>
      </c>
      <c r="G1251" s="752">
        <v>15000</v>
      </c>
      <c r="H1251" s="752"/>
      <c r="I1251" s="752"/>
      <c r="J1251" s="736">
        <f t="shared" si="458"/>
        <v>15000</v>
      </c>
      <c r="K1251" s="752"/>
      <c r="L1251" s="752"/>
      <c r="M1251" s="736">
        <f t="shared" si="459"/>
        <v>15000</v>
      </c>
      <c r="N1251" s="736"/>
      <c r="O1251" s="736"/>
      <c r="P1251" s="736">
        <f t="shared" si="460"/>
        <v>15000</v>
      </c>
      <c r="Q1251" s="753">
        <v>15000</v>
      </c>
      <c r="R1251" s="738"/>
      <c r="S1251" s="753">
        <v>15000</v>
      </c>
      <c r="T1251" s="739">
        <v>1100121</v>
      </c>
      <c r="U1251" s="744">
        <v>0</v>
      </c>
      <c r="V1251" s="739">
        <v>1100122</v>
      </c>
    </row>
    <row r="1252" spans="1:22" ht="15" x14ac:dyDescent="0.2">
      <c r="A1252" s="739">
        <v>3751</v>
      </c>
      <c r="B1252" s="743" t="s">
        <v>44</v>
      </c>
      <c r="C1252" s="736">
        <v>1300</v>
      </c>
      <c r="D1252" s="736">
        <v>10000</v>
      </c>
      <c r="E1252" s="749">
        <v>5000</v>
      </c>
      <c r="F1252" s="736">
        <v>0</v>
      </c>
      <c r="G1252" s="752">
        <v>55000</v>
      </c>
      <c r="H1252" s="752"/>
      <c r="I1252" s="752"/>
      <c r="J1252" s="736">
        <f t="shared" si="458"/>
        <v>55000</v>
      </c>
      <c r="K1252" s="752"/>
      <c r="L1252" s="752"/>
      <c r="M1252" s="736">
        <f t="shared" si="459"/>
        <v>55000</v>
      </c>
      <c r="N1252" s="736"/>
      <c r="O1252" s="736"/>
      <c r="P1252" s="736">
        <f t="shared" si="460"/>
        <v>55000</v>
      </c>
      <c r="Q1252" s="753">
        <v>55000</v>
      </c>
      <c r="R1252" s="738"/>
      <c r="S1252" s="753">
        <v>55000</v>
      </c>
      <c r="T1252" s="739">
        <v>1100121</v>
      </c>
      <c r="U1252" s="745"/>
      <c r="V1252" s="739">
        <v>1100122</v>
      </c>
    </row>
    <row r="1253" spans="1:22" ht="15" x14ac:dyDescent="0.2">
      <c r="A1253" s="739">
        <v>3761</v>
      </c>
      <c r="B1253" s="743" t="s">
        <v>80</v>
      </c>
      <c r="C1253" s="736">
        <v>8299.7199999999993</v>
      </c>
      <c r="D1253" s="736">
        <v>15000</v>
      </c>
      <c r="E1253" s="749">
        <v>0</v>
      </c>
      <c r="F1253" s="736">
        <v>0</v>
      </c>
      <c r="G1253" s="752">
        <v>10000</v>
      </c>
      <c r="H1253" s="752"/>
      <c r="I1253" s="752"/>
      <c r="J1253" s="736">
        <f t="shared" si="458"/>
        <v>10000</v>
      </c>
      <c r="K1253" s="752"/>
      <c r="L1253" s="752"/>
      <c r="M1253" s="736">
        <f t="shared" si="459"/>
        <v>10000</v>
      </c>
      <c r="N1253" s="736"/>
      <c r="O1253" s="736"/>
      <c r="P1253" s="736">
        <f t="shared" si="460"/>
        <v>10000</v>
      </c>
      <c r="Q1253" s="753">
        <v>10000</v>
      </c>
      <c r="R1253" s="738"/>
      <c r="S1253" s="753">
        <v>10000</v>
      </c>
      <c r="T1253" s="739">
        <v>1100121</v>
      </c>
      <c r="U1253" s="745">
        <v>0</v>
      </c>
      <c r="V1253" s="739">
        <v>1100122</v>
      </c>
    </row>
    <row r="1254" spans="1:22" ht="15" x14ac:dyDescent="0.2">
      <c r="A1254" s="734">
        <v>3791</v>
      </c>
      <c r="B1254" s="735" t="s">
        <v>45</v>
      </c>
      <c r="C1254" s="736"/>
      <c r="D1254" s="736">
        <v>5000</v>
      </c>
      <c r="E1254" s="749">
        <v>0</v>
      </c>
      <c r="F1254" s="736">
        <v>0</v>
      </c>
      <c r="G1254" s="752">
        <v>5000</v>
      </c>
      <c r="H1254" s="752"/>
      <c r="I1254" s="752"/>
      <c r="J1254" s="736">
        <f t="shared" si="458"/>
        <v>5000</v>
      </c>
      <c r="K1254" s="752"/>
      <c r="L1254" s="752"/>
      <c r="M1254" s="736">
        <f t="shared" si="459"/>
        <v>5000</v>
      </c>
      <c r="N1254" s="736"/>
      <c r="O1254" s="736"/>
      <c r="P1254" s="736">
        <f t="shared" si="460"/>
        <v>5000</v>
      </c>
      <c r="Q1254" s="753">
        <v>5000</v>
      </c>
      <c r="R1254" s="738"/>
      <c r="S1254" s="753">
        <v>10000</v>
      </c>
      <c r="T1254" s="739">
        <v>1100121</v>
      </c>
      <c r="U1254" s="746">
        <v>30000</v>
      </c>
      <c r="V1254" s="741">
        <v>1100122</v>
      </c>
    </row>
    <row r="1255" spans="1:22" ht="15" x14ac:dyDescent="0.2">
      <c r="A1255" s="734">
        <v>3852</v>
      </c>
      <c r="B1255" s="735" t="s">
        <v>32</v>
      </c>
      <c r="C1255" s="736">
        <v>32136.86</v>
      </c>
      <c r="D1255" s="736">
        <v>25000</v>
      </c>
      <c r="E1255" s="749">
        <v>25000</v>
      </c>
      <c r="F1255" s="736">
        <v>25534.16</v>
      </c>
      <c r="G1255" s="752">
        <v>50000</v>
      </c>
      <c r="H1255" s="752"/>
      <c r="I1255" s="752"/>
      <c r="J1255" s="736">
        <f t="shared" si="458"/>
        <v>50000</v>
      </c>
      <c r="K1255" s="752"/>
      <c r="L1255" s="752"/>
      <c r="M1255" s="736">
        <f t="shared" si="459"/>
        <v>50000</v>
      </c>
      <c r="N1255" s="736"/>
      <c r="O1255" s="736"/>
      <c r="P1255" s="736">
        <f t="shared" si="460"/>
        <v>50000</v>
      </c>
      <c r="Q1255" s="753">
        <v>50000</v>
      </c>
      <c r="R1255" s="738">
        <v>28198.19</v>
      </c>
      <c r="S1255" s="753">
        <v>50000</v>
      </c>
      <c r="T1255" s="739">
        <v>1100121</v>
      </c>
      <c r="U1255" s="740">
        <v>35000</v>
      </c>
      <c r="V1255" s="741">
        <v>1100122</v>
      </c>
    </row>
    <row r="1256" spans="1:22" ht="15" x14ac:dyDescent="0.2">
      <c r="A1256" s="734">
        <v>3921</v>
      </c>
      <c r="B1256" s="735" t="s">
        <v>33</v>
      </c>
      <c r="C1256" s="736">
        <v>470</v>
      </c>
      <c r="D1256" s="736">
        <v>520</v>
      </c>
      <c r="E1256" s="749">
        <v>520</v>
      </c>
      <c r="F1256" s="736">
        <v>235</v>
      </c>
      <c r="G1256" s="752">
        <v>580</v>
      </c>
      <c r="H1256" s="752"/>
      <c r="I1256" s="752"/>
      <c r="J1256" s="736">
        <f t="shared" si="458"/>
        <v>580</v>
      </c>
      <c r="K1256" s="752"/>
      <c r="L1256" s="752"/>
      <c r="M1256" s="736">
        <f t="shared" si="459"/>
        <v>580</v>
      </c>
      <c r="N1256" s="736"/>
      <c r="O1256" s="736"/>
      <c r="P1256" s="736">
        <f t="shared" si="460"/>
        <v>580</v>
      </c>
      <c r="Q1256" s="753">
        <v>580</v>
      </c>
      <c r="R1256" s="738">
        <v>526</v>
      </c>
      <c r="S1256" s="753">
        <v>1000</v>
      </c>
      <c r="T1256" s="739">
        <v>1100121</v>
      </c>
      <c r="U1256" s="746">
        <v>1347</v>
      </c>
      <c r="V1256" s="741">
        <v>1100122</v>
      </c>
    </row>
    <row r="1257" spans="1:22" ht="15" x14ac:dyDescent="0.2">
      <c r="A1257" s="739">
        <v>3921</v>
      </c>
      <c r="B1257" s="743" t="s">
        <v>33</v>
      </c>
      <c r="C1257" s="736"/>
      <c r="D1257" s="736"/>
      <c r="E1257" s="749"/>
      <c r="F1257" s="736"/>
      <c r="G1257" s="752"/>
      <c r="H1257" s="752"/>
      <c r="I1257" s="752"/>
      <c r="J1257" s="736"/>
      <c r="K1257" s="752"/>
      <c r="L1257" s="752"/>
      <c r="M1257" s="736"/>
      <c r="N1257" s="736"/>
      <c r="O1257" s="736"/>
      <c r="P1257" s="736"/>
      <c r="Q1257" s="753"/>
      <c r="R1257" s="738"/>
      <c r="S1257" s="753"/>
      <c r="T1257" s="739"/>
      <c r="U1257" s="744"/>
      <c r="V1257" s="739"/>
    </row>
    <row r="1258" spans="1:22" ht="15" x14ac:dyDescent="0.2">
      <c r="A1258" s="739">
        <v>5411</v>
      </c>
      <c r="B1258" s="806" t="s">
        <v>123</v>
      </c>
      <c r="C1258" s="736"/>
      <c r="D1258" s="736"/>
      <c r="E1258" s="749"/>
      <c r="F1258" s="736"/>
      <c r="G1258" s="752"/>
      <c r="H1258" s="749">
        <v>250000</v>
      </c>
      <c r="I1258" s="752"/>
      <c r="J1258" s="736">
        <f t="shared" ref="J1258:J1259" si="461">G1258+H1258-I1258</f>
        <v>250000</v>
      </c>
      <c r="K1258" s="749"/>
      <c r="L1258" s="752"/>
      <c r="M1258" s="736">
        <f t="shared" ref="M1258:M1259" si="462">J1258+K1258-L1258</f>
        <v>250000</v>
      </c>
      <c r="N1258" s="736"/>
      <c r="O1258" s="736"/>
      <c r="P1258" s="736">
        <f t="shared" ref="P1258:P1259" si="463">M1258+N1258-O1258</f>
        <v>250000</v>
      </c>
      <c r="Q1258" s="753"/>
      <c r="R1258" s="738">
        <v>243800</v>
      </c>
      <c r="S1258" s="753"/>
      <c r="T1258" s="739">
        <v>1100120</v>
      </c>
      <c r="U1258" s="745"/>
      <c r="V1258" s="739">
        <v>1100120</v>
      </c>
    </row>
    <row r="1259" spans="1:22" ht="15" x14ac:dyDescent="0.2">
      <c r="A1259" s="739">
        <v>5411</v>
      </c>
      <c r="B1259" s="806" t="s">
        <v>123</v>
      </c>
      <c r="C1259" s="736"/>
      <c r="D1259" s="736"/>
      <c r="E1259" s="749"/>
      <c r="F1259" s="736"/>
      <c r="G1259" s="752">
        <v>180000</v>
      </c>
      <c r="H1259" s="752"/>
      <c r="I1259" s="896"/>
      <c r="J1259" s="736">
        <f t="shared" si="461"/>
        <v>180000</v>
      </c>
      <c r="K1259" s="752"/>
      <c r="L1259" s="896">
        <v>180000</v>
      </c>
      <c r="M1259" s="736">
        <f t="shared" si="462"/>
        <v>0</v>
      </c>
      <c r="N1259" s="736"/>
      <c r="O1259" s="736"/>
      <c r="P1259" s="738">
        <f t="shared" si="463"/>
        <v>0</v>
      </c>
      <c r="Q1259" s="753"/>
      <c r="R1259" s="738"/>
      <c r="S1259" s="753"/>
      <c r="T1259" s="739">
        <v>1500521</v>
      </c>
      <c r="U1259" s="745"/>
      <c r="V1259" s="739">
        <v>1500522</v>
      </c>
    </row>
    <row r="1260" spans="1:22" ht="15" x14ac:dyDescent="0.2">
      <c r="A1260" s="739">
        <v>5411</v>
      </c>
      <c r="B1260" s="806" t="s">
        <v>123</v>
      </c>
      <c r="C1260" s="736"/>
      <c r="D1260" s="736"/>
      <c r="E1260" s="749"/>
      <c r="F1260" s="736"/>
      <c r="G1260" s="752"/>
      <c r="H1260" s="752"/>
      <c r="I1260" s="896"/>
      <c r="J1260" s="736"/>
      <c r="K1260" s="752"/>
      <c r="L1260" s="896"/>
      <c r="M1260" s="736"/>
      <c r="N1260" s="736"/>
      <c r="O1260" s="736"/>
      <c r="P1260" s="738"/>
      <c r="Q1260" s="753">
        <v>250000</v>
      </c>
      <c r="R1260" s="738"/>
      <c r="S1260" s="753"/>
      <c r="T1260" s="739">
        <v>1100120</v>
      </c>
      <c r="U1260" s="745"/>
      <c r="V1260" s="739">
        <v>1100120</v>
      </c>
    </row>
    <row r="1261" spans="1:22" ht="15" x14ac:dyDescent="0.2">
      <c r="A1261" s="724" t="s">
        <v>206</v>
      </c>
      <c r="B1261" s="725" t="s">
        <v>207</v>
      </c>
      <c r="C1261" s="721">
        <f t="shared" ref="C1261:S1261" si="464">SUM(C1262)</f>
        <v>1978635.98</v>
      </c>
      <c r="D1261" s="721">
        <f t="shared" si="464"/>
        <v>2181894.75</v>
      </c>
      <c r="E1261" s="721">
        <f t="shared" si="464"/>
        <v>2154771.75</v>
      </c>
      <c r="F1261" s="721">
        <f t="shared" si="464"/>
        <v>2191768.9299999997</v>
      </c>
      <c r="G1261" s="721">
        <f t="shared" si="464"/>
        <v>2443347.2599999998</v>
      </c>
      <c r="H1261" s="721">
        <f t="shared" si="464"/>
        <v>0</v>
      </c>
      <c r="I1261" s="721">
        <f t="shared" si="464"/>
        <v>0</v>
      </c>
      <c r="J1261" s="721">
        <f t="shared" si="464"/>
        <v>2443347.2599999998</v>
      </c>
      <c r="K1261" s="721">
        <f t="shared" si="464"/>
        <v>34653.240000000005</v>
      </c>
      <c r="L1261" s="721">
        <f t="shared" si="464"/>
        <v>2691</v>
      </c>
      <c r="M1261" s="721">
        <f t="shared" si="464"/>
        <v>2475309.5</v>
      </c>
      <c r="N1261" s="721">
        <f t="shared" si="464"/>
        <v>14120</v>
      </c>
      <c r="O1261" s="721">
        <f t="shared" si="464"/>
        <v>114120</v>
      </c>
      <c r="P1261" s="721">
        <f t="shared" si="464"/>
        <v>2375309.5</v>
      </c>
      <c r="Q1261" s="756">
        <f t="shared" si="464"/>
        <v>2379110.5099999998</v>
      </c>
      <c r="R1261" s="756">
        <f>SUM(R1262)</f>
        <v>1644777.3</v>
      </c>
      <c r="S1261" s="756">
        <f t="shared" si="464"/>
        <v>3102212.1300000004</v>
      </c>
      <c r="T1261" s="724"/>
      <c r="U1261" s="726">
        <f t="shared" ref="U1261" si="465">SUM(U1262)</f>
        <v>2478457.44</v>
      </c>
      <c r="V1261" s="727"/>
    </row>
    <row r="1262" spans="1:22" ht="15" x14ac:dyDescent="0.2">
      <c r="A1262" s="728" t="s">
        <v>208</v>
      </c>
      <c r="B1262" s="729" t="s">
        <v>1570</v>
      </c>
      <c r="C1262" s="730">
        <f t="shared" ref="C1262:P1262" si="466">SUM(C1263:C1288)</f>
        <v>1978635.98</v>
      </c>
      <c r="D1262" s="730">
        <f t="shared" si="466"/>
        <v>2181894.75</v>
      </c>
      <c r="E1262" s="730">
        <f t="shared" si="466"/>
        <v>2154771.75</v>
      </c>
      <c r="F1262" s="730">
        <f t="shared" si="466"/>
        <v>2191768.9299999997</v>
      </c>
      <c r="G1262" s="730">
        <f t="shared" si="466"/>
        <v>2443347.2599999998</v>
      </c>
      <c r="H1262" s="730">
        <f t="shared" si="466"/>
        <v>0</v>
      </c>
      <c r="I1262" s="730">
        <f t="shared" si="466"/>
        <v>0</v>
      </c>
      <c r="J1262" s="730">
        <f t="shared" si="466"/>
        <v>2443347.2599999998</v>
      </c>
      <c r="K1262" s="730">
        <f t="shared" si="466"/>
        <v>34653.240000000005</v>
      </c>
      <c r="L1262" s="730">
        <f t="shared" si="466"/>
        <v>2691</v>
      </c>
      <c r="M1262" s="730">
        <f t="shared" si="466"/>
        <v>2475309.5</v>
      </c>
      <c r="N1262" s="730">
        <f t="shared" si="466"/>
        <v>14120</v>
      </c>
      <c r="O1262" s="730">
        <f t="shared" si="466"/>
        <v>114120</v>
      </c>
      <c r="P1262" s="730">
        <f t="shared" si="466"/>
        <v>2375309.5</v>
      </c>
      <c r="Q1262" s="748">
        <f>SUM(Q1263:Q1290)</f>
        <v>2379110.5099999998</v>
      </c>
      <c r="R1262" s="748">
        <f t="shared" ref="R1262:S1262" si="467">SUM(R1263:R1290)</f>
        <v>1644777.3</v>
      </c>
      <c r="S1262" s="748">
        <f t="shared" si="467"/>
        <v>3102212.1300000004</v>
      </c>
      <c r="T1262" s="731"/>
      <c r="U1262" s="732">
        <f>SUM(U1263:U1290)</f>
        <v>2478457.44</v>
      </c>
      <c r="V1262" s="733"/>
    </row>
    <row r="1263" spans="1:22" ht="15" x14ac:dyDescent="0.25">
      <c r="A1263" s="734">
        <v>1131</v>
      </c>
      <c r="B1263" s="735" t="s">
        <v>6</v>
      </c>
      <c r="C1263" s="736">
        <v>391341.08</v>
      </c>
      <c r="D1263" s="736">
        <v>402132.64</v>
      </c>
      <c r="E1263" s="749">
        <v>403285.64</v>
      </c>
      <c r="F1263" s="736">
        <v>433601.83</v>
      </c>
      <c r="G1263" s="736">
        <v>437532.69999999995</v>
      </c>
      <c r="H1263" s="736"/>
      <c r="I1263" s="736"/>
      <c r="J1263" s="736">
        <f t="shared" ref="J1263:J1288" si="468">G1263+H1263-I1263</f>
        <v>437532.69999999995</v>
      </c>
      <c r="K1263" s="736">
        <v>1971.1</v>
      </c>
      <c r="L1263" s="736"/>
      <c r="M1263" s="736">
        <f t="shared" ref="M1263:M1288" si="469">J1263+K1263-L1263</f>
        <v>439503.79999999993</v>
      </c>
      <c r="N1263" s="736"/>
      <c r="O1263" s="736"/>
      <c r="P1263" s="736">
        <f t="shared" ref="P1263:P1288" si="470">M1263+N1263-O1263</f>
        <v>439503.79999999993</v>
      </c>
      <c r="Q1263" s="738">
        <v>439503.8</v>
      </c>
      <c r="R1263" s="738">
        <v>317559.23</v>
      </c>
      <c r="S1263" s="751">
        <v>484786.12</v>
      </c>
      <c r="T1263" s="739">
        <v>1500521</v>
      </c>
      <c r="U1263" s="779">
        <v>458705.93</v>
      </c>
      <c r="V1263" s="741">
        <v>1500522</v>
      </c>
    </row>
    <row r="1264" spans="1:22" ht="15" x14ac:dyDescent="0.25">
      <c r="A1264" s="734">
        <v>1132</v>
      </c>
      <c r="B1264" s="735" t="s">
        <v>8</v>
      </c>
      <c r="C1264" s="736">
        <v>590935.14</v>
      </c>
      <c r="D1264" s="736">
        <v>630156.80000000005</v>
      </c>
      <c r="E1264" s="749">
        <v>631896.80000000005</v>
      </c>
      <c r="F1264" s="736">
        <v>654812.61</v>
      </c>
      <c r="G1264" s="736">
        <v>661999.6</v>
      </c>
      <c r="H1264" s="736"/>
      <c r="I1264" s="736"/>
      <c r="J1264" s="736">
        <f t="shared" si="468"/>
        <v>661999.6</v>
      </c>
      <c r="K1264" s="736">
        <v>8955.5300000000007</v>
      </c>
      <c r="L1264" s="736"/>
      <c r="M1264" s="736">
        <f t="shared" si="469"/>
        <v>670955.13</v>
      </c>
      <c r="N1264" s="736"/>
      <c r="O1264" s="736"/>
      <c r="P1264" s="736">
        <f t="shared" si="470"/>
        <v>670955.13</v>
      </c>
      <c r="Q1264" s="898">
        <v>665422.89</v>
      </c>
      <c r="R1264" s="738">
        <v>475983.21</v>
      </c>
      <c r="S1264" s="751">
        <v>690973.92</v>
      </c>
      <c r="T1264" s="739">
        <v>1500521</v>
      </c>
      <c r="U1264" s="779">
        <v>682735</v>
      </c>
      <c r="V1264" s="741">
        <v>1500522</v>
      </c>
    </row>
    <row r="1265" spans="1:22" ht="15" x14ac:dyDescent="0.25">
      <c r="A1265" s="734">
        <v>1321</v>
      </c>
      <c r="B1265" s="735" t="s">
        <v>9</v>
      </c>
      <c r="C1265" s="736">
        <v>67147.16</v>
      </c>
      <c r="D1265" s="736">
        <v>75227.72</v>
      </c>
      <c r="E1265" s="749">
        <v>74070.720000000001</v>
      </c>
      <c r="F1265" s="736">
        <v>74070.33</v>
      </c>
      <c r="G1265" s="736">
        <v>79028.700000000012</v>
      </c>
      <c r="H1265" s="736"/>
      <c r="I1265" s="736"/>
      <c r="J1265" s="736">
        <f t="shared" si="468"/>
        <v>79028.700000000012</v>
      </c>
      <c r="K1265" s="736">
        <v>1616.2</v>
      </c>
      <c r="L1265" s="736"/>
      <c r="M1265" s="736">
        <f t="shared" si="469"/>
        <v>80644.900000000009</v>
      </c>
      <c r="N1265" s="736"/>
      <c r="O1265" s="736"/>
      <c r="P1265" s="736">
        <f t="shared" si="470"/>
        <v>80644.900000000009</v>
      </c>
      <c r="Q1265" s="738">
        <v>80644.899999999994</v>
      </c>
      <c r="R1265" s="738">
        <v>39015.14</v>
      </c>
      <c r="S1265" s="751">
        <v>85860.02</v>
      </c>
      <c r="T1265" s="739">
        <v>1500521</v>
      </c>
      <c r="U1265" s="779">
        <v>80961.83</v>
      </c>
      <c r="V1265" s="741">
        <v>1500522</v>
      </c>
    </row>
    <row r="1266" spans="1:22" ht="15" x14ac:dyDescent="0.25">
      <c r="A1266" s="734">
        <v>1323</v>
      </c>
      <c r="B1266" s="735" t="s">
        <v>11</v>
      </c>
      <c r="C1266" s="736">
        <v>168492</v>
      </c>
      <c r="D1266" s="736">
        <v>174387.5</v>
      </c>
      <c r="E1266" s="749">
        <v>174387.5</v>
      </c>
      <c r="F1266" s="736">
        <v>177000</v>
      </c>
      <c r="G1266" s="736">
        <v>183198.5</v>
      </c>
      <c r="H1266" s="736"/>
      <c r="I1266" s="736"/>
      <c r="J1266" s="736">
        <f t="shared" si="468"/>
        <v>183198.5</v>
      </c>
      <c r="K1266" s="736">
        <v>3793.5</v>
      </c>
      <c r="L1266" s="736"/>
      <c r="M1266" s="736">
        <f t="shared" si="469"/>
        <v>186992</v>
      </c>
      <c r="N1266" s="736"/>
      <c r="O1266" s="736"/>
      <c r="P1266" s="736">
        <f t="shared" si="470"/>
        <v>186992</v>
      </c>
      <c r="Q1266" s="738">
        <v>186992</v>
      </c>
      <c r="R1266" s="738">
        <v>139986</v>
      </c>
      <c r="S1266" s="751">
        <v>197844.5</v>
      </c>
      <c r="T1266" s="739">
        <v>1500521</v>
      </c>
      <c r="U1266" s="779">
        <v>188203.4</v>
      </c>
      <c r="V1266" s="741">
        <v>1500522</v>
      </c>
    </row>
    <row r="1267" spans="1:22" ht="15" x14ac:dyDescent="0.25">
      <c r="A1267" s="734">
        <v>1413</v>
      </c>
      <c r="B1267" s="735" t="s">
        <v>13</v>
      </c>
      <c r="C1267" s="736">
        <v>170924.01</v>
      </c>
      <c r="D1267" s="736">
        <v>211404.84</v>
      </c>
      <c r="E1267" s="749">
        <v>208711.84</v>
      </c>
      <c r="F1267" s="736">
        <v>206260.49</v>
      </c>
      <c r="G1267" s="736">
        <v>250800.2</v>
      </c>
      <c r="H1267" s="736"/>
      <c r="I1267" s="736"/>
      <c r="J1267" s="736">
        <f t="shared" si="468"/>
        <v>250800.2</v>
      </c>
      <c r="K1267" s="736">
        <v>4437.54</v>
      </c>
      <c r="L1267" s="736"/>
      <c r="M1267" s="736">
        <f t="shared" si="469"/>
        <v>255237.74000000002</v>
      </c>
      <c r="N1267" s="736"/>
      <c r="O1267" s="736"/>
      <c r="P1267" s="736">
        <f t="shared" si="470"/>
        <v>255237.74000000002</v>
      </c>
      <c r="Q1267" s="738">
        <v>255237.74</v>
      </c>
      <c r="R1267" s="738">
        <v>179766.78</v>
      </c>
      <c r="S1267" s="751">
        <v>293278.68</v>
      </c>
      <c r="T1267" s="739">
        <v>1500521</v>
      </c>
      <c r="U1267" s="779">
        <v>280094.71000000002</v>
      </c>
      <c r="V1267" s="741">
        <v>1500522</v>
      </c>
    </row>
    <row r="1268" spans="1:22" ht="15" x14ac:dyDescent="0.25">
      <c r="A1268" s="734">
        <v>1421</v>
      </c>
      <c r="B1268" s="735" t="s">
        <v>15</v>
      </c>
      <c r="C1268" s="736">
        <v>62751.360000000001</v>
      </c>
      <c r="D1268" s="736">
        <v>69927.399999999994</v>
      </c>
      <c r="E1268" s="749">
        <v>63479.4</v>
      </c>
      <c r="F1268" s="736">
        <v>68286.5</v>
      </c>
      <c r="G1268" s="736">
        <v>77947</v>
      </c>
      <c r="H1268" s="736"/>
      <c r="I1268" s="736"/>
      <c r="J1268" s="736">
        <f t="shared" si="468"/>
        <v>77947</v>
      </c>
      <c r="K1268" s="736">
        <v>1205.07</v>
      </c>
      <c r="L1268" s="736"/>
      <c r="M1268" s="736">
        <f t="shared" si="469"/>
        <v>79152.070000000007</v>
      </c>
      <c r="N1268" s="736"/>
      <c r="O1268" s="736"/>
      <c r="P1268" s="736">
        <f t="shared" si="470"/>
        <v>79152.070000000007</v>
      </c>
      <c r="Q1268" s="738">
        <v>79152.070000000007</v>
      </c>
      <c r="R1268" s="738">
        <v>50710.42</v>
      </c>
      <c r="S1268" s="751">
        <v>86431.32</v>
      </c>
      <c r="T1268" s="739">
        <v>1500521</v>
      </c>
      <c r="U1268" s="779">
        <v>92917.33</v>
      </c>
      <c r="V1268" s="741">
        <v>1500522</v>
      </c>
    </row>
    <row r="1269" spans="1:22" ht="15" x14ac:dyDescent="0.25">
      <c r="A1269" s="734">
        <v>1431</v>
      </c>
      <c r="B1269" s="735" t="s">
        <v>16</v>
      </c>
      <c r="C1269" s="736">
        <v>66756.17</v>
      </c>
      <c r="D1269" s="736">
        <v>72025.2</v>
      </c>
      <c r="E1269" s="749">
        <v>66435.199999999997</v>
      </c>
      <c r="F1269" s="736">
        <v>71883.25</v>
      </c>
      <c r="G1269" s="736">
        <v>80285.399999999994</v>
      </c>
      <c r="H1269" s="736"/>
      <c r="I1269" s="736"/>
      <c r="J1269" s="736">
        <f t="shared" si="468"/>
        <v>80285.399999999994</v>
      </c>
      <c r="K1269" s="736">
        <v>1225.0999999999999</v>
      </c>
      <c r="L1269" s="736"/>
      <c r="M1269" s="736">
        <f t="shared" si="469"/>
        <v>81510.5</v>
      </c>
      <c r="N1269" s="736"/>
      <c r="O1269" s="736"/>
      <c r="P1269" s="736">
        <f t="shared" si="470"/>
        <v>81510.5</v>
      </c>
      <c r="Q1269" s="738">
        <v>81510.5</v>
      </c>
      <c r="R1269" s="738">
        <v>52340.959999999999</v>
      </c>
      <c r="S1269" s="751">
        <v>89024.28</v>
      </c>
      <c r="T1269" s="739">
        <v>1500521</v>
      </c>
      <c r="U1269" s="779">
        <v>94254.38</v>
      </c>
      <c r="V1269" s="741">
        <v>1500522</v>
      </c>
    </row>
    <row r="1270" spans="1:22" ht="15" x14ac:dyDescent="0.25">
      <c r="A1270" s="734">
        <v>1511</v>
      </c>
      <c r="B1270" s="735" t="s">
        <v>18</v>
      </c>
      <c r="C1270" s="736">
        <v>23575.26</v>
      </c>
      <c r="D1270" s="736">
        <v>25392.639999999999</v>
      </c>
      <c r="E1270" s="749">
        <v>25392.639999999999</v>
      </c>
      <c r="F1270" s="736">
        <v>26319.48</v>
      </c>
      <c r="G1270" s="736">
        <v>26674</v>
      </c>
      <c r="H1270" s="736"/>
      <c r="I1270" s="736"/>
      <c r="J1270" s="736">
        <f t="shared" si="468"/>
        <v>26674</v>
      </c>
      <c r="K1270" s="736">
        <v>551.36</v>
      </c>
      <c r="L1270" s="736"/>
      <c r="M1270" s="736">
        <f t="shared" si="469"/>
        <v>27225.360000000001</v>
      </c>
      <c r="N1270" s="736"/>
      <c r="O1270" s="736"/>
      <c r="P1270" s="736">
        <f t="shared" si="470"/>
        <v>27225.360000000001</v>
      </c>
      <c r="Q1270" s="738">
        <v>27225.360000000001</v>
      </c>
      <c r="R1270" s="738">
        <v>19330.23</v>
      </c>
      <c r="S1270" s="751">
        <v>28803.32</v>
      </c>
      <c r="T1270" s="739">
        <v>1500521</v>
      </c>
      <c r="U1270" s="779">
        <v>27826.6</v>
      </c>
      <c r="V1270" s="741">
        <v>1500522</v>
      </c>
    </row>
    <row r="1271" spans="1:22" ht="15" x14ac:dyDescent="0.25">
      <c r="A1271" s="734">
        <v>1541</v>
      </c>
      <c r="B1271" s="735" t="s">
        <v>19</v>
      </c>
      <c r="C1271" s="736">
        <v>89591.67</v>
      </c>
      <c r="D1271" s="736">
        <v>105251.38</v>
      </c>
      <c r="E1271" s="749">
        <v>103585.38</v>
      </c>
      <c r="F1271" s="736">
        <v>106556.8</v>
      </c>
      <c r="G1271" s="736">
        <v>138162.70000000001</v>
      </c>
      <c r="H1271" s="736"/>
      <c r="I1271" s="736"/>
      <c r="J1271" s="736">
        <f t="shared" si="468"/>
        <v>138162.70000000001</v>
      </c>
      <c r="K1271" s="736">
        <v>5259.06</v>
      </c>
      <c r="L1271" s="736"/>
      <c r="M1271" s="736">
        <f t="shared" si="469"/>
        <v>143421.76000000001</v>
      </c>
      <c r="N1271" s="736"/>
      <c r="O1271" s="736"/>
      <c r="P1271" s="736">
        <f t="shared" si="470"/>
        <v>143421.76000000001</v>
      </c>
      <c r="Q1271" s="753">
        <v>135878.98000000001</v>
      </c>
      <c r="R1271" s="738">
        <v>86310.48</v>
      </c>
      <c r="S1271" s="751">
        <v>141697.92000000001</v>
      </c>
      <c r="T1271" s="739">
        <v>1500521</v>
      </c>
      <c r="U1271" s="779">
        <v>141697.92000000001</v>
      </c>
      <c r="V1271" s="741">
        <v>1500522</v>
      </c>
    </row>
    <row r="1272" spans="1:22" ht="15" x14ac:dyDescent="0.25">
      <c r="A1272" s="734">
        <v>1592</v>
      </c>
      <c r="B1272" s="735" t="s">
        <v>20</v>
      </c>
      <c r="C1272" s="736">
        <v>220248.72</v>
      </c>
      <c r="D1272" s="736">
        <v>237251.56</v>
      </c>
      <c r="E1272" s="749">
        <v>237251.56</v>
      </c>
      <c r="F1272" s="736">
        <v>245920.55</v>
      </c>
      <c r="G1272" s="736">
        <v>249234.5</v>
      </c>
      <c r="H1272" s="736"/>
      <c r="I1272" s="736"/>
      <c r="J1272" s="736">
        <f t="shared" si="468"/>
        <v>249234.5</v>
      </c>
      <c r="K1272" s="736">
        <v>5638.78</v>
      </c>
      <c r="L1272" s="736"/>
      <c r="M1272" s="736">
        <f t="shared" si="469"/>
        <v>254873.28</v>
      </c>
      <c r="N1272" s="736"/>
      <c r="O1272" s="736"/>
      <c r="P1272" s="736">
        <f t="shared" si="470"/>
        <v>254873.28</v>
      </c>
      <c r="Q1272" s="753">
        <v>273314.53999999998</v>
      </c>
      <c r="R1272" s="738">
        <v>180266.85</v>
      </c>
      <c r="S1272" s="751">
        <v>264547.92</v>
      </c>
      <c r="T1272" s="739">
        <v>1500521</v>
      </c>
      <c r="U1272" s="779">
        <v>258951.34</v>
      </c>
      <c r="V1272" s="741">
        <v>1500522</v>
      </c>
    </row>
    <row r="1273" spans="1:22" ht="15" x14ac:dyDescent="0.2">
      <c r="A1273" s="734">
        <v>2111</v>
      </c>
      <c r="B1273" s="735" t="s">
        <v>22</v>
      </c>
      <c r="C1273" s="736">
        <v>20257</v>
      </c>
      <c r="D1273" s="736">
        <v>27040</v>
      </c>
      <c r="E1273" s="749">
        <v>18928</v>
      </c>
      <c r="F1273" s="736">
        <v>15207.88</v>
      </c>
      <c r="G1273" s="752">
        <v>18928</v>
      </c>
      <c r="H1273" s="752"/>
      <c r="I1273" s="752"/>
      <c r="J1273" s="736">
        <f t="shared" si="468"/>
        <v>18928</v>
      </c>
      <c r="K1273" s="752"/>
      <c r="L1273" s="752"/>
      <c r="M1273" s="736">
        <f t="shared" si="469"/>
        <v>18928</v>
      </c>
      <c r="N1273" s="736"/>
      <c r="O1273" s="736"/>
      <c r="P1273" s="736">
        <f t="shared" si="470"/>
        <v>18928</v>
      </c>
      <c r="Q1273" s="753">
        <v>17362.77</v>
      </c>
      <c r="R1273" s="738">
        <v>16286.56</v>
      </c>
      <c r="S1273" s="753">
        <v>39180.93</v>
      </c>
      <c r="T1273" s="739">
        <v>1100121</v>
      </c>
      <c r="U1273" s="740">
        <v>25000</v>
      </c>
      <c r="V1273" s="741">
        <v>1100122</v>
      </c>
    </row>
    <row r="1274" spans="1:22" ht="15" x14ac:dyDescent="0.2">
      <c r="A1274" s="734">
        <v>2212</v>
      </c>
      <c r="B1274" s="735" t="s">
        <v>40</v>
      </c>
      <c r="C1274" s="736">
        <v>3324.99</v>
      </c>
      <c r="D1274" s="736">
        <v>5200</v>
      </c>
      <c r="E1274" s="749">
        <v>5200</v>
      </c>
      <c r="F1274" s="736">
        <v>2088</v>
      </c>
      <c r="G1274" s="752">
        <v>5200</v>
      </c>
      <c r="H1274" s="752"/>
      <c r="I1274" s="752"/>
      <c r="J1274" s="736">
        <f t="shared" si="468"/>
        <v>5200</v>
      </c>
      <c r="K1274" s="752"/>
      <c r="L1274" s="752"/>
      <c r="M1274" s="736">
        <f t="shared" si="469"/>
        <v>5200</v>
      </c>
      <c r="N1274" s="736"/>
      <c r="O1274" s="736"/>
      <c r="P1274" s="736">
        <f t="shared" si="470"/>
        <v>5200</v>
      </c>
      <c r="Q1274" s="753">
        <v>5200</v>
      </c>
      <c r="R1274" s="738">
        <v>3807.95</v>
      </c>
      <c r="S1274" s="753">
        <v>5382</v>
      </c>
      <c r="T1274" s="739">
        <v>1100121</v>
      </c>
      <c r="U1274" s="754">
        <v>5000</v>
      </c>
      <c r="V1274" s="741">
        <v>1100122</v>
      </c>
    </row>
    <row r="1275" spans="1:22" ht="30" x14ac:dyDescent="0.2">
      <c r="A1275" s="739">
        <v>2612</v>
      </c>
      <c r="B1275" s="743" t="s">
        <v>26</v>
      </c>
      <c r="C1275" s="736">
        <v>2735.05</v>
      </c>
      <c r="D1275" s="736">
        <v>8000</v>
      </c>
      <c r="E1275" s="749">
        <v>3000</v>
      </c>
      <c r="F1275" s="736">
        <v>2161.7600000000002</v>
      </c>
      <c r="G1275" s="736"/>
      <c r="H1275" s="736"/>
      <c r="I1275" s="736"/>
      <c r="J1275" s="736">
        <f t="shared" si="468"/>
        <v>0</v>
      </c>
      <c r="K1275" s="736"/>
      <c r="L1275" s="736"/>
      <c r="M1275" s="736">
        <f t="shared" si="469"/>
        <v>0</v>
      </c>
      <c r="N1275" s="736"/>
      <c r="O1275" s="736"/>
      <c r="P1275" s="738">
        <f t="shared" si="470"/>
        <v>0</v>
      </c>
      <c r="Q1275" s="738"/>
      <c r="R1275" s="738"/>
      <c r="S1275" s="738">
        <f>Q1275</f>
        <v>0</v>
      </c>
      <c r="T1275" s="739">
        <v>1100121</v>
      </c>
      <c r="U1275" s="745"/>
      <c r="V1275" s="739">
        <v>1100122</v>
      </c>
    </row>
    <row r="1276" spans="1:22" ht="15" x14ac:dyDescent="0.2">
      <c r="A1276" s="734">
        <v>3111</v>
      </c>
      <c r="B1276" s="735" t="s">
        <v>47</v>
      </c>
      <c r="C1276" s="736">
        <v>6716</v>
      </c>
      <c r="D1276" s="736">
        <v>12000</v>
      </c>
      <c r="E1276" s="749">
        <v>12000</v>
      </c>
      <c r="F1276" s="736">
        <v>6297</v>
      </c>
      <c r="G1276" s="752">
        <v>10000</v>
      </c>
      <c r="H1276" s="752"/>
      <c r="I1276" s="752"/>
      <c r="J1276" s="736">
        <f t="shared" si="468"/>
        <v>10000</v>
      </c>
      <c r="K1276" s="752"/>
      <c r="L1276" s="752"/>
      <c r="M1276" s="736">
        <f t="shared" si="469"/>
        <v>10000</v>
      </c>
      <c r="N1276" s="736"/>
      <c r="O1276" s="736"/>
      <c r="P1276" s="736">
        <f t="shared" si="470"/>
        <v>10000</v>
      </c>
      <c r="Q1276" s="753">
        <v>10000</v>
      </c>
      <c r="R1276" s="738">
        <v>5666</v>
      </c>
      <c r="S1276" s="753">
        <v>10350</v>
      </c>
      <c r="T1276" s="739">
        <v>1100121</v>
      </c>
      <c r="U1276" s="746">
        <v>10000</v>
      </c>
      <c r="V1276" s="741">
        <v>1100122</v>
      </c>
    </row>
    <row r="1277" spans="1:22" ht="15" x14ac:dyDescent="0.2">
      <c r="A1277" s="734">
        <v>3131</v>
      </c>
      <c r="B1277" s="735" t="s">
        <v>61</v>
      </c>
      <c r="C1277" s="736">
        <v>1271.51</v>
      </c>
      <c r="D1277" s="736">
        <v>3000</v>
      </c>
      <c r="E1277" s="749">
        <v>3000</v>
      </c>
      <c r="F1277" s="736">
        <v>1346.52</v>
      </c>
      <c r="G1277" s="752">
        <v>3500</v>
      </c>
      <c r="H1277" s="752"/>
      <c r="I1277" s="752"/>
      <c r="J1277" s="736">
        <f t="shared" si="468"/>
        <v>3500</v>
      </c>
      <c r="K1277" s="752"/>
      <c r="L1277" s="752"/>
      <c r="M1277" s="736">
        <f t="shared" si="469"/>
        <v>3500</v>
      </c>
      <c r="N1277" s="736"/>
      <c r="O1277" s="736"/>
      <c r="P1277" s="736">
        <f t="shared" si="470"/>
        <v>3500</v>
      </c>
      <c r="Q1277" s="753">
        <v>3500</v>
      </c>
      <c r="R1277" s="738">
        <v>1391.35</v>
      </c>
      <c r="S1277" s="753">
        <v>3622</v>
      </c>
      <c r="T1277" s="739">
        <v>1100121</v>
      </c>
      <c r="U1277" s="746">
        <v>3500</v>
      </c>
      <c r="V1277" s="741">
        <v>1100122</v>
      </c>
    </row>
    <row r="1278" spans="1:22" ht="15" x14ac:dyDescent="0.2">
      <c r="A1278" s="734">
        <v>3141</v>
      </c>
      <c r="B1278" s="735" t="s">
        <v>48</v>
      </c>
      <c r="C1278" s="736">
        <v>5464.03</v>
      </c>
      <c r="D1278" s="736">
        <v>9000</v>
      </c>
      <c r="E1278" s="749">
        <v>9000</v>
      </c>
      <c r="F1278" s="736">
        <v>5732.41</v>
      </c>
      <c r="G1278" s="752">
        <v>8000</v>
      </c>
      <c r="H1278" s="752"/>
      <c r="I1278" s="752"/>
      <c r="J1278" s="736">
        <f t="shared" si="468"/>
        <v>8000</v>
      </c>
      <c r="K1278" s="752"/>
      <c r="L1278" s="752"/>
      <c r="M1278" s="736">
        <f t="shared" si="469"/>
        <v>8000</v>
      </c>
      <c r="N1278" s="736"/>
      <c r="O1278" s="736"/>
      <c r="P1278" s="736">
        <f t="shared" si="470"/>
        <v>8000</v>
      </c>
      <c r="Q1278" s="753">
        <v>8000</v>
      </c>
      <c r="R1278" s="738">
        <v>3793.09</v>
      </c>
      <c r="S1278" s="753">
        <v>12400</v>
      </c>
      <c r="T1278" s="739">
        <v>1100121</v>
      </c>
      <c r="U1278" s="746">
        <v>7000</v>
      </c>
      <c r="V1278" s="741">
        <v>1100122</v>
      </c>
    </row>
    <row r="1279" spans="1:22" ht="15" x14ac:dyDescent="0.2">
      <c r="A1279" s="734">
        <v>3221</v>
      </c>
      <c r="B1279" s="735" t="s">
        <v>99</v>
      </c>
      <c r="C1279" s="736">
        <v>66285.600000000006</v>
      </c>
      <c r="D1279" s="736">
        <v>68937.070000000007</v>
      </c>
      <c r="E1279" s="749">
        <v>69587.070000000007</v>
      </c>
      <c r="F1279" s="736">
        <v>67246.399999999994</v>
      </c>
      <c r="G1279" s="752">
        <v>72023</v>
      </c>
      <c r="H1279" s="752"/>
      <c r="I1279" s="752"/>
      <c r="J1279" s="736">
        <f t="shared" si="468"/>
        <v>72023</v>
      </c>
      <c r="K1279" s="752"/>
      <c r="L1279" s="752">
        <v>2691</v>
      </c>
      <c r="M1279" s="736">
        <f t="shared" si="469"/>
        <v>69332</v>
      </c>
      <c r="N1279" s="736"/>
      <c r="O1279" s="736"/>
      <c r="P1279" s="736">
        <f t="shared" si="470"/>
        <v>69332</v>
      </c>
      <c r="Q1279" s="753">
        <v>69332</v>
      </c>
      <c r="R1279" s="738">
        <v>50434.82</v>
      </c>
      <c r="S1279" s="753">
        <v>74543</v>
      </c>
      <c r="T1279" s="739">
        <v>1100121</v>
      </c>
      <c r="U1279" s="754">
        <v>70609</v>
      </c>
      <c r="V1279" s="741">
        <v>1100122</v>
      </c>
    </row>
    <row r="1280" spans="1:22" ht="30" x14ac:dyDescent="0.2">
      <c r="A1280" s="734">
        <v>3361</v>
      </c>
      <c r="B1280" s="735" t="s">
        <v>29</v>
      </c>
      <c r="C1280" s="736">
        <v>4872</v>
      </c>
      <c r="D1280" s="736">
        <v>7280</v>
      </c>
      <c r="E1280" s="749">
        <v>7280</v>
      </c>
      <c r="F1280" s="736">
        <v>4825.6000000000004</v>
      </c>
      <c r="G1280" s="752">
        <v>7512.96</v>
      </c>
      <c r="H1280" s="752"/>
      <c r="I1280" s="752"/>
      <c r="J1280" s="736">
        <f t="shared" si="468"/>
        <v>7512.96</v>
      </c>
      <c r="K1280" s="752"/>
      <c r="L1280" s="752"/>
      <c r="M1280" s="736">
        <f t="shared" si="469"/>
        <v>7512.96</v>
      </c>
      <c r="N1280" s="736"/>
      <c r="O1280" s="736"/>
      <c r="P1280" s="736">
        <f t="shared" si="470"/>
        <v>7512.96</v>
      </c>
      <c r="Q1280" s="753">
        <v>7512.96</v>
      </c>
      <c r="R1280" s="738">
        <v>3944</v>
      </c>
      <c r="S1280" s="753">
        <v>12000</v>
      </c>
      <c r="T1280" s="739">
        <v>1100121</v>
      </c>
      <c r="U1280" s="754">
        <v>10000</v>
      </c>
      <c r="V1280" s="741">
        <v>1100122</v>
      </c>
    </row>
    <row r="1281" spans="1:22" ht="15" x14ac:dyDescent="0.2">
      <c r="A1281" s="734">
        <v>3511</v>
      </c>
      <c r="B1281" s="735" t="s">
        <v>49</v>
      </c>
      <c r="C1281" s="736"/>
      <c r="D1281" s="736">
        <v>3640</v>
      </c>
      <c r="E1281" s="749">
        <v>3640</v>
      </c>
      <c r="F1281" s="736">
        <v>1392</v>
      </c>
      <c r="G1281" s="752">
        <v>3000</v>
      </c>
      <c r="H1281" s="752"/>
      <c r="I1281" s="752"/>
      <c r="J1281" s="736">
        <f t="shared" si="468"/>
        <v>3000</v>
      </c>
      <c r="K1281" s="752"/>
      <c r="L1281" s="752"/>
      <c r="M1281" s="736">
        <f t="shared" si="469"/>
        <v>3000</v>
      </c>
      <c r="N1281" s="736"/>
      <c r="O1281" s="736">
        <v>3000</v>
      </c>
      <c r="P1281" s="738">
        <f t="shared" si="470"/>
        <v>0</v>
      </c>
      <c r="Q1281" s="753"/>
      <c r="R1281" s="738"/>
      <c r="S1281" s="753">
        <v>3105</v>
      </c>
      <c r="T1281" s="739">
        <v>1100121</v>
      </c>
      <c r="U1281" s="740">
        <v>3000</v>
      </c>
      <c r="V1281" s="741">
        <v>1100122</v>
      </c>
    </row>
    <row r="1282" spans="1:22" ht="15" x14ac:dyDescent="0.2">
      <c r="A1282" s="739">
        <v>3551</v>
      </c>
      <c r="B1282" s="743" t="s">
        <v>30</v>
      </c>
      <c r="C1282" s="736">
        <v>1489.2</v>
      </c>
      <c r="D1282" s="736">
        <v>5000</v>
      </c>
      <c r="E1282" s="749">
        <v>5000</v>
      </c>
      <c r="F1282" s="736">
        <v>1960.01</v>
      </c>
      <c r="G1282" s="736"/>
      <c r="H1282" s="736"/>
      <c r="I1282" s="736"/>
      <c r="J1282" s="736">
        <f t="shared" si="468"/>
        <v>0</v>
      </c>
      <c r="K1282" s="736"/>
      <c r="L1282" s="736"/>
      <c r="M1282" s="736">
        <f t="shared" si="469"/>
        <v>0</v>
      </c>
      <c r="N1282" s="736"/>
      <c r="O1282" s="736"/>
      <c r="P1282" s="738">
        <f t="shared" si="470"/>
        <v>0</v>
      </c>
      <c r="Q1282" s="738"/>
      <c r="R1282" s="738"/>
      <c r="S1282" s="738">
        <f>Q1282</f>
        <v>0</v>
      </c>
      <c r="T1282" s="739">
        <v>1100121</v>
      </c>
      <c r="U1282" s="745"/>
      <c r="V1282" s="739">
        <v>1100122</v>
      </c>
    </row>
    <row r="1283" spans="1:22" ht="15" x14ac:dyDescent="0.2">
      <c r="A1283" s="739">
        <v>3611</v>
      </c>
      <c r="B1283" s="743" t="s">
        <v>66</v>
      </c>
      <c r="C1283" s="736"/>
      <c r="D1283" s="736">
        <v>3120</v>
      </c>
      <c r="E1283" s="749">
        <v>3120</v>
      </c>
      <c r="F1283" s="736">
        <v>0</v>
      </c>
      <c r="G1283" s="752">
        <v>3120</v>
      </c>
      <c r="H1283" s="752"/>
      <c r="I1283" s="752"/>
      <c r="J1283" s="736">
        <f t="shared" si="468"/>
        <v>3120</v>
      </c>
      <c r="K1283" s="752"/>
      <c r="L1283" s="752"/>
      <c r="M1283" s="736">
        <f t="shared" si="469"/>
        <v>3120</v>
      </c>
      <c r="N1283" s="736"/>
      <c r="O1283" s="736">
        <v>3120</v>
      </c>
      <c r="P1283" s="738">
        <f t="shared" si="470"/>
        <v>0</v>
      </c>
      <c r="Q1283" s="753"/>
      <c r="R1283" s="738"/>
      <c r="S1283" s="753">
        <v>3229.2</v>
      </c>
      <c r="T1283" s="739">
        <v>1100121</v>
      </c>
      <c r="U1283" s="744"/>
      <c r="V1283" s="739">
        <v>1100122</v>
      </c>
    </row>
    <row r="1284" spans="1:22" ht="15" x14ac:dyDescent="0.2">
      <c r="A1284" s="734">
        <v>3751</v>
      </c>
      <c r="B1284" s="735" t="s">
        <v>44</v>
      </c>
      <c r="C1284" s="736"/>
      <c r="D1284" s="736">
        <v>4000</v>
      </c>
      <c r="E1284" s="749">
        <v>4000</v>
      </c>
      <c r="F1284" s="736">
        <v>0</v>
      </c>
      <c r="G1284" s="752">
        <v>4000</v>
      </c>
      <c r="H1284" s="752"/>
      <c r="I1284" s="752"/>
      <c r="J1284" s="736">
        <f t="shared" si="468"/>
        <v>4000</v>
      </c>
      <c r="K1284" s="752"/>
      <c r="L1284" s="752"/>
      <c r="M1284" s="736">
        <f t="shared" si="469"/>
        <v>4000</v>
      </c>
      <c r="N1284" s="736"/>
      <c r="O1284" s="736">
        <v>4000</v>
      </c>
      <c r="P1284" s="738">
        <f t="shared" si="470"/>
        <v>0</v>
      </c>
      <c r="Q1284" s="753"/>
      <c r="R1284" s="738"/>
      <c r="S1284" s="753">
        <v>4140</v>
      </c>
      <c r="T1284" s="739">
        <v>1100121</v>
      </c>
      <c r="U1284" s="740">
        <v>4000</v>
      </c>
      <c r="V1284" s="741">
        <v>1100122</v>
      </c>
    </row>
    <row r="1285" spans="1:22" ht="15" x14ac:dyDescent="0.2">
      <c r="A1285" s="734">
        <v>3791</v>
      </c>
      <c r="B1285" s="735" t="s">
        <v>45</v>
      </c>
      <c r="C1285" s="736">
        <v>3174</v>
      </c>
      <c r="D1285" s="736">
        <v>4000</v>
      </c>
      <c r="E1285" s="749">
        <v>4000</v>
      </c>
      <c r="F1285" s="736">
        <v>1206</v>
      </c>
      <c r="G1285" s="752">
        <v>4000</v>
      </c>
      <c r="H1285" s="752"/>
      <c r="I1285" s="752"/>
      <c r="J1285" s="736">
        <f t="shared" si="468"/>
        <v>4000</v>
      </c>
      <c r="K1285" s="752"/>
      <c r="L1285" s="752"/>
      <c r="M1285" s="736">
        <f t="shared" si="469"/>
        <v>4000</v>
      </c>
      <c r="N1285" s="736"/>
      <c r="O1285" s="736">
        <v>4000</v>
      </c>
      <c r="P1285" s="738">
        <f t="shared" si="470"/>
        <v>0</v>
      </c>
      <c r="Q1285" s="753"/>
      <c r="R1285" s="738"/>
      <c r="S1285" s="753">
        <v>4140</v>
      </c>
      <c r="T1285" s="739">
        <v>1100121</v>
      </c>
      <c r="U1285" s="740">
        <v>4000</v>
      </c>
      <c r="V1285" s="741">
        <v>1100122</v>
      </c>
    </row>
    <row r="1286" spans="1:22" ht="15" x14ac:dyDescent="0.2">
      <c r="A1286" s="734">
        <v>3852</v>
      </c>
      <c r="B1286" s="735" t="s">
        <v>32</v>
      </c>
      <c r="C1286" s="736">
        <v>10814.03</v>
      </c>
      <c r="D1286" s="736">
        <v>18000</v>
      </c>
      <c r="E1286" s="749">
        <v>18000</v>
      </c>
      <c r="F1286" s="736">
        <v>17593.510000000002</v>
      </c>
      <c r="G1286" s="752">
        <v>18000</v>
      </c>
      <c r="H1286" s="752"/>
      <c r="I1286" s="752"/>
      <c r="J1286" s="736">
        <f t="shared" si="468"/>
        <v>18000</v>
      </c>
      <c r="K1286" s="752"/>
      <c r="L1286" s="752"/>
      <c r="M1286" s="736">
        <f t="shared" si="469"/>
        <v>18000</v>
      </c>
      <c r="N1286" s="736">
        <v>14120</v>
      </c>
      <c r="O1286" s="736"/>
      <c r="P1286" s="736">
        <f t="shared" si="470"/>
        <v>32120</v>
      </c>
      <c r="Q1286" s="753">
        <v>32120</v>
      </c>
      <c r="R1286" s="738">
        <v>18184.23</v>
      </c>
      <c r="S1286" s="753">
        <v>30630</v>
      </c>
      <c r="T1286" s="739">
        <v>1100121</v>
      </c>
      <c r="U1286" s="740">
        <v>30000</v>
      </c>
      <c r="V1286" s="741">
        <v>1100122</v>
      </c>
    </row>
    <row r="1287" spans="1:22" ht="15" x14ac:dyDescent="0.2">
      <c r="A1287" s="739">
        <v>3921</v>
      </c>
      <c r="B1287" s="743" t="s">
        <v>33</v>
      </c>
      <c r="C1287" s="736">
        <v>470</v>
      </c>
      <c r="D1287" s="736">
        <v>520</v>
      </c>
      <c r="E1287" s="749">
        <v>520</v>
      </c>
      <c r="F1287" s="736">
        <v>0</v>
      </c>
      <c r="G1287" s="752">
        <v>1200</v>
      </c>
      <c r="H1287" s="752"/>
      <c r="I1287" s="752"/>
      <c r="J1287" s="736">
        <f t="shared" si="468"/>
        <v>1200</v>
      </c>
      <c r="K1287" s="752"/>
      <c r="L1287" s="752"/>
      <c r="M1287" s="736">
        <f t="shared" si="469"/>
        <v>1200</v>
      </c>
      <c r="N1287" s="736"/>
      <c r="O1287" s="736"/>
      <c r="P1287" s="736">
        <f t="shared" si="470"/>
        <v>1200</v>
      </c>
      <c r="Q1287" s="753">
        <v>1200</v>
      </c>
      <c r="R1287" s="738"/>
      <c r="S1287" s="753">
        <v>1242</v>
      </c>
      <c r="T1287" s="739">
        <v>1100121</v>
      </c>
      <c r="U1287" s="744"/>
      <c r="V1287" s="739">
        <v>1100122</v>
      </c>
    </row>
    <row r="1288" spans="1:22" ht="15" x14ac:dyDescent="0.2">
      <c r="A1288" s="739">
        <v>5151</v>
      </c>
      <c r="B1288" s="743" t="s">
        <v>36</v>
      </c>
      <c r="C1288" s="736"/>
      <c r="D1288" s="736"/>
      <c r="E1288" s="749"/>
      <c r="F1288" s="736"/>
      <c r="G1288" s="752">
        <v>100000</v>
      </c>
      <c r="H1288" s="752"/>
      <c r="I1288" s="752"/>
      <c r="J1288" s="736">
        <f t="shared" si="468"/>
        <v>100000</v>
      </c>
      <c r="K1288" s="752"/>
      <c r="L1288" s="752"/>
      <c r="M1288" s="736">
        <f t="shared" si="469"/>
        <v>100000</v>
      </c>
      <c r="N1288" s="736"/>
      <c r="O1288" s="736">
        <v>100000</v>
      </c>
      <c r="P1288" s="738">
        <f t="shared" si="470"/>
        <v>0</v>
      </c>
      <c r="Q1288" s="753"/>
      <c r="R1288" s="738"/>
      <c r="S1288" s="842">
        <v>135000</v>
      </c>
      <c r="T1288" s="739">
        <v>1500521</v>
      </c>
      <c r="U1288" s="744"/>
      <c r="V1288" s="739">
        <v>1500522</v>
      </c>
    </row>
    <row r="1289" spans="1:22" ht="15" x14ac:dyDescent="0.2">
      <c r="A1289" s="739">
        <v>3391</v>
      </c>
      <c r="B1289" s="806" t="s">
        <v>118</v>
      </c>
      <c r="C1289" s="736"/>
      <c r="D1289" s="736"/>
      <c r="E1289" s="749"/>
      <c r="F1289" s="736"/>
      <c r="G1289" s="752"/>
      <c r="H1289" s="752"/>
      <c r="I1289" s="752"/>
      <c r="J1289" s="736"/>
      <c r="K1289" s="752"/>
      <c r="L1289" s="752"/>
      <c r="M1289" s="736"/>
      <c r="N1289" s="736"/>
      <c r="O1289" s="736"/>
      <c r="P1289" s="738"/>
      <c r="Q1289" s="753"/>
      <c r="R1289" s="738"/>
      <c r="S1289" s="842">
        <v>400000</v>
      </c>
      <c r="T1289" s="739"/>
      <c r="U1289" s="744"/>
      <c r="V1289" s="739"/>
    </row>
    <row r="1290" spans="1:22" ht="15" x14ac:dyDescent="0.2">
      <c r="A1290" s="739">
        <v>5411</v>
      </c>
      <c r="B1290" s="806" t="s">
        <v>1762</v>
      </c>
      <c r="C1290" s="736"/>
      <c r="D1290" s="736"/>
      <c r="E1290" s="749"/>
      <c r="F1290" s="736"/>
      <c r="G1290" s="752"/>
      <c r="H1290" s="752"/>
      <c r="I1290" s="752"/>
      <c r="J1290" s="736"/>
      <c r="K1290" s="752"/>
      <c r="L1290" s="752"/>
      <c r="M1290" s="736"/>
      <c r="N1290" s="736"/>
      <c r="O1290" s="736"/>
      <c r="P1290" s="738"/>
      <c r="Q1290" s="753"/>
      <c r="R1290" s="738"/>
      <c r="S1290" s="842"/>
      <c r="T1290" s="739"/>
      <c r="U1290" s="744"/>
      <c r="V1290" s="739"/>
    </row>
    <row r="1291" spans="1:22" ht="15" x14ac:dyDescent="0.2">
      <c r="A1291" s="724" t="s">
        <v>209</v>
      </c>
      <c r="B1291" s="725" t="s">
        <v>210</v>
      </c>
      <c r="C1291" s="721">
        <f t="shared" ref="C1291:S1291" si="471">SUM(C1292)</f>
        <v>11038730.119999997</v>
      </c>
      <c r="D1291" s="721">
        <f t="shared" si="471"/>
        <v>10141509.519999998</v>
      </c>
      <c r="E1291" s="721">
        <f t="shared" si="471"/>
        <v>9706944.5199999996</v>
      </c>
      <c r="F1291" s="721">
        <f t="shared" si="471"/>
        <v>9055727.7300000004</v>
      </c>
      <c r="G1291" s="721">
        <f t="shared" si="471"/>
        <v>10289152.800000001</v>
      </c>
      <c r="H1291" s="721">
        <f t="shared" si="471"/>
        <v>129000</v>
      </c>
      <c r="I1291" s="721">
        <f t="shared" si="471"/>
        <v>0</v>
      </c>
      <c r="J1291" s="721">
        <f t="shared" si="471"/>
        <v>10418152.800000001</v>
      </c>
      <c r="K1291" s="721">
        <f t="shared" si="471"/>
        <v>252050.36000000002</v>
      </c>
      <c r="L1291" s="721">
        <f t="shared" si="471"/>
        <v>435409.86</v>
      </c>
      <c r="M1291" s="721">
        <f t="shared" si="471"/>
        <v>10234793.300000001</v>
      </c>
      <c r="N1291" s="721">
        <f t="shared" si="471"/>
        <v>129000</v>
      </c>
      <c r="O1291" s="721">
        <f t="shared" si="471"/>
        <v>529000</v>
      </c>
      <c r="P1291" s="721">
        <f t="shared" si="471"/>
        <v>9834793.3000000007</v>
      </c>
      <c r="Q1291" s="756">
        <f t="shared" si="471"/>
        <v>9631482.7100000009</v>
      </c>
      <c r="R1291" s="756">
        <f>SUM(R1292)</f>
        <v>6240198.8200000012</v>
      </c>
      <c r="S1291" s="756">
        <f t="shared" si="471"/>
        <v>52574110.07</v>
      </c>
      <c r="T1291" s="724"/>
      <c r="U1291" s="726">
        <f t="shared" ref="U1291" si="472">SUM(U1292)</f>
        <v>10215563.300000001</v>
      </c>
      <c r="V1291" s="727"/>
    </row>
    <row r="1292" spans="1:22" ht="15" x14ac:dyDescent="0.2">
      <c r="A1292" s="728" t="s">
        <v>211</v>
      </c>
      <c r="B1292" s="729" t="s">
        <v>1601</v>
      </c>
      <c r="C1292" s="730">
        <f t="shared" ref="C1292:S1292" si="473">SUM(C1293:C1342)</f>
        <v>11038730.119999997</v>
      </c>
      <c r="D1292" s="730">
        <f t="shared" si="473"/>
        <v>10141509.519999998</v>
      </c>
      <c r="E1292" s="730">
        <f t="shared" si="473"/>
        <v>9706944.5199999996</v>
      </c>
      <c r="F1292" s="730">
        <f t="shared" si="473"/>
        <v>9055727.7300000004</v>
      </c>
      <c r="G1292" s="730">
        <f t="shared" si="473"/>
        <v>10289152.800000001</v>
      </c>
      <c r="H1292" s="730">
        <f t="shared" si="473"/>
        <v>129000</v>
      </c>
      <c r="I1292" s="730">
        <f t="shared" si="473"/>
        <v>0</v>
      </c>
      <c r="J1292" s="730">
        <f t="shared" si="473"/>
        <v>10418152.800000001</v>
      </c>
      <c r="K1292" s="730">
        <f t="shared" si="473"/>
        <v>252050.36000000002</v>
      </c>
      <c r="L1292" s="730">
        <f t="shared" si="473"/>
        <v>435409.86</v>
      </c>
      <c r="M1292" s="730">
        <f t="shared" si="473"/>
        <v>10234793.300000001</v>
      </c>
      <c r="N1292" s="730">
        <f t="shared" si="473"/>
        <v>129000</v>
      </c>
      <c r="O1292" s="730">
        <f t="shared" si="473"/>
        <v>529000</v>
      </c>
      <c r="P1292" s="730">
        <f t="shared" si="473"/>
        <v>9834793.3000000007</v>
      </c>
      <c r="Q1292" s="748">
        <f t="shared" si="473"/>
        <v>9631482.7100000009</v>
      </c>
      <c r="R1292" s="748">
        <f>SUM(R1293:R1342)</f>
        <v>6240198.8200000012</v>
      </c>
      <c r="S1292" s="748">
        <f t="shared" si="473"/>
        <v>52574110.07</v>
      </c>
      <c r="T1292" s="731"/>
      <c r="U1292" s="732">
        <f>SUM(U1293:U1342)</f>
        <v>10215563.300000001</v>
      </c>
      <c r="V1292" s="733"/>
    </row>
    <row r="1293" spans="1:22" ht="15" x14ac:dyDescent="0.25">
      <c r="A1293" s="734">
        <v>1131</v>
      </c>
      <c r="B1293" s="735" t="s">
        <v>6</v>
      </c>
      <c r="C1293" s="736">
        <v>286942.46000000002</v>
      </c>
      <c r="D1293" s="736">
        <v>297133.2</v>
      </c>
      <c r="E1293" s="749">
        <v>297133.2</v>
      </c>
      <c r="F1293" s="736">
        <v>322250.18</v>
      </c>
      <c r="G1293" s="736">
        <v>323288.19999999995</v>
      </c>
      <c r="H1293" s="736"/>
      <c r="I1293" s="736"/>
      <c r="J1293" s="736">
        <f t="shared" ref="J1293:J1307" si="474">G1293+H1293-I1293</f>
        <v>323288.19999999995</v>
      </c>
      <c r="K1293" s="736">
        <v>1455.41</v>
      </c>
      <c r="L1293" s="736"/>
      <c r="M1293" s="736">
        <f t="shared" ref="M1293:M1307" si="475">J1293+K1293-L1293</f>
        <v>324743.60999999993</v>
      </c>
      <c r="N1293" s="736"/>
      <c r="O1293" s="736"/>
      <c r="P1293" s="736">
        <f t="shared" ref="P1293:P1307" si="476">M1293+N1293-O1293</f>
        <v>324743.60999999993</v>
      </c>
      <c r="Q1293" s="738">
        <v>324743.61</v>
      </c>
      <c r="R1293" s="738">
        <v>233287.67999999999</v>
      </c>
      <c r="S1293" s="751">
        <v>335815.48</v>
      </c>
      <c r="T1293" s="739">
        <v>1500521</v>
      </c>
      <c r="U1293" s="779">
        <v>334238.15000000002</v>
      </c>
      <c r="V1293" s="741">
        <v>1500522</v>
      </c>
    </row>
    <row r="1294" spans="1:22" ht="15" x14ac:dyDescent="0.25">
      <c r="A1294" s="734">
        <v>1132</v>
      </c>
      <c r="B1294" s="735" t="s">
        <v>8</v>
      </c>
      <c r="C1294" s="736">
        <v>1166849.6200000001</v>
      </c>
      <c r="D1294" s="736">
        <v>1359634.64</v>
      </c>
      <c r="E1294" s="749">
        <v>1359634.64</v>
      </c>
      <c r="F1294" s="736">
        <v>1405593.13</v>
      </c>
      <c r="G1294" s="736">
        <v>1421398.2000000002</v>
      </c>
      <c r="H1294" s="736"/>
      <c r="I1294" s="736"/>
      <c r="J1294" s="736">
        <f t="shared" si="474"/>
        <v>1421398.2000000002</v>
      </c>
      <c r="K1294" s="736">
        <v>44508.3</v>
      </c>
      <c r="L1294" s="736"/>
      <c r="M1294" s="736">
        <f t="shared" si="475"/>
        <v>1465906.5000000002</v>
      </c>
      <c r="N1294" s="736"/>
      <c r="O1294" s="736"/>
      <c r="P1294" s="736">
        <f t="shared" si="476"/>
        <v>1465906.5000000002</v>
      </c>
      <c r="Q1294" s="738">
        <v>1465906.5</v>
      </c>
      <c r="R1294" s="738">
        <v>1035526.61</v>
      </c>
      <c r="S1294" s="751">
        <v>1788495.8</v>
      </c>
      <c r="T1294" s="739">
        <v>1500521</v>
      </c>
      <c r="U1294" s="779">
        <v>1487069.42</v>
      </c>
      <c r="V1294" s="741">
        <v>1500522</v>
      </c>
    </row>
    <row r="1295" spans="1:22" ht="15" x14ac:dyDescent="0.25">
      <c r="A1295" s="734">
        <v>1212</v>
      </c>
      <c r="B1295" s="735" t="s">
        <v>53</v>
      </c>
      <c r="C1295" s="736">
        <v>2800315.67</v>
      </c>
      <c r="D1295" s="736">
        <v>3411716.4</v>
      </c>
      <c r="E1295" s="749">
        <v>3474503.14</v>
      </c>
      <c r="F1295" s="736">
        <v>3417176.87</v>
      </c>
      <c r="G1295" s="736">
        <v>3559028.4</v>
      </c>
      <c r="H1295" s="736"/>
      <c r="I1295" s="736"/>
      <c r="J1295" s="736">
        <f t="shared" si="474"/>
        <v>3559028.4</v>
      </c>
      <c r="K1295" s="736"/>
      <c r="L1295" s="736">
        <v>200213.73</v>
      </c>
      <c r="M1295" s="736">
        <f t="shared" si="475"/>
        <v>3358814.67</v>
      </c>
      <c r="N1295" s="736"/>
      <c r="O1295" s="736"/>
      <c r="P1295" s="736">
        <f t="shared" si="476"/>
        <v>3358814.67</v>
      </c>
      <c r="Q1295" s="738">
        <v>3287936.05</v>
      </c>
      <c r="R1295" s="738">
        <v>2233450</v>
      </c>
      <c r="S1295" s="751">
        <v>3522322.8</v>
      </c>
      <c r="T1295" s="739">
        <v>1500521</v>
      </c>
      <c r="U1295" s="779">
        <v>3354593.14</v>
      </c>
      <c r="V1295" s="741">
        <v>1500522</v>
      </c>
    </row>
    <row r="1296" spans="1:22" ht="15" x14ac:dyDescent="0.25">
      <c r="A1296" s="734">
        <v>1321</v>
      </c>
      <c r="B1296" s="735" t="s">
        <v>9</v>
      </c>
      <c r="C1296" s="736">
        <v>87030.27</v>
      </c>
      <c r="D1296" s="736">
        <v>96270.59</v>
      </c>
      <c r="E1296" s="749">
        <v>96270.59</v>
      </c>
      <c r="F1296" s="736">
        <v>96270.59</v>
      </c>
      <c r="G1296" s="736">
        <v>105154</v>
      </c>
      <c r="H1296" s="736"/>
      <c r="I1296" s="736"/>
      <c r="J1296" s="736">
        <f t="shared" si="474"/>
        <v>105154</v>
      </c>
      <c r="K1296" s="736"/>
      <c r="L1296" s="736">
        <v>1630.94</v>
      </c>
      <c r="M1296" s="736">
        <f t="shared" si="475"/>
        <v>103523.06</v>
      </c>
      <c r="N1296" s="736"/>
      <c r="O1296" s="736"/>
      <c r="P1296" s="736">
        <f t="shared" si="476"/>
        <v>103523.06</v>
      </c>
      <c r="Q1296" s="738">
        <v>115482.66</v>
      </c>
      <c r="R1296" s="738">
        <v>61112.47</v>
      </c>
      <c r="S1296" s="751">
        <v>119504.14</v>
      </c>
      <c r="T1296" s="739">
        <v>1500521</v>
      </c>
      <c r="U1296" s="779">
        <v>125257.72</v>
      </c>
      <c r="V1296" s="741">
        <v>1500522</v>
      </c>
    </row>
    <row r="1297" spans="1:22" ht="15" x14ac:dyDescent="0.25">
      <c r="A1297" s="734">
        <v>1323</v>
      </c>
      <c r="B1297" s="735" t="s">
        <v>11</v>
      </c>
      <c r="C1297" s="736">
        <v>396910.09</v>
      </c>
      <c r="D1297" s="736">
        <v>428205.35</v>
      </c>
      <c r="E1297" s="749">
        <v>513265.71</v>
      </c>
      <c r="F1297" s="736">
        <v>431616.63</v>
      </c>
      <c r="G1297" s="736">
        <v>447487.19999999995</v>
      </c>
      <c r="H1297" s="736"/>
      <c r="I1297" s="736"/>
      <c r="J1297" s="736">
        <f t="shared" si="474"/>
        <v>447487.19999999995</v>
      </c>
      <c r="K1297" s="736">
        <v>222.32</v>
      </c>
      <c r="L1297" s="736"/>
      <c r="M1297" s="736">
        <f t="shared" si="475"/>
        <v>447709.51999999996</v>
      </c>
      <c r="N1297" s="736"/>
      <c r="O1297" s="736"/>
      <c r="P1297" s="736">
        <f t="shared" si="476"/>
        <v>447709.51999999996</v>
      </c>
      <c r="Q1297" s="738">
        <v>447709.52</v>
      </c>
      <c r="R1297" s="738">
        <v>232462.4</v>
      </c>
      <c r="S1297" s="751">
        <v>513071.45</v>
      </c>
      <c r="T1297" s="739">
        <v>1500521</v>
      </c>
      <c r="U1297" s="779">
        <v>473673.54</v>
      </c>
      <c r="V1297" s="741">
        <v>1500522</v>
      </c>
    </row>
    <row r="1298" spans="1:22" ht="15" x14ac:dyDescent="0.25">
      <c r="A1298" s="734">
        <v>1413</v>
      </c>
      <c r="B1298" s="735" t="s">
        <v>13</v>
      </c>
      <c r="C1298" s="736">
        <v>756781.16</v>
      </c>
      <c r="D1298" s="736">
        <v>988003.7</v>
      </c>
      <c r="E1298" s="749">
        <v>982047.83</v>
      </c>
      <c r="F1298" s="736">
        <v>953422.54</v>
      </c>
      <c r="G1298" s="736">
        <v>1114632.2000000002</v>
      </c>
      <c r="H1298" s="736"/>
      <c r="I1298" s="736"/>
      <c r="J1298" s="736">
        <f t="shared" si="474"/>
        <v>1114632.2000000002</v>
      </c>
      <c r="K1298" s="736"/>
      <c r="L1298" s="736">
        <v>21324.47</v>
      </c>
      <c r="M1298" s="736">
        <f t="shared" si="475"/>
        <v>1093307.7300000002</v>
      </c>
      <c r="N1298" s="736"/>
      <c r="O1298" s="736"/>
      <c r="P1298" s="736">
        <f t="shared" si="476"/>
        <v>1093307.7300000002</v>
      </c>
      <c r="Q1298" s="738">
        <v>1093307.73</v>
      </c>
      <c r="R1298" s="738">
        <v>687587.04</v>
      </c>
      <c r="S1298" s="751">
        <v>1278613.92</v>
      </c>
      <c r="T1298" s="739">
        <v>1500521</v>
      </c>
      <c r="U1298" s="779">
        <v>1205670.83</v>
      </c>
      <c r="V1298" s="741">
        <v>1500522</v>
      </c>
    </row>
    <row r="1299" spans="1:22" ht="15" x14ac:dyDescent="0.25">
      <c r="A1299" s="734">
        <v>1421</v>
      </c>
      <c r="B1299" s="735" t="s">
        <v>15</v>
      </c>
      <c r="C1299" s="736">
        <v>252721.08</v>
      </c>
      <c r="D1299" s="736">
        <v>297317.84000000003</v>
      </c>
      <c r="E1299" s="749">
        <v>268882.67</v>
      </c>
      <c r="F1299" s="736">
        <v>286596.78000000003</v>
      </c>
      <c r="G1299" s="736">
        <v>316849.59999999998</v>
      </c>
      <c r="H1299" s="736"/>
      <c r="I1299" s="736"/>
      <c r="J1299" s="736">
        <f t="shared" si="474"/>
        <v>316849.59999999998</v>
      </c>
      <c r="K1299" s="736"/>
      <c r="L1299" s="736">
        <v>5998.52</v>
      </c>
      <c r="M1299" s="736">
        <f t="shared" si="475"/>
        <v>310851.07999999996</v>
      </c>
      <c r="N1299" s="736"/>
      <c r="O1299" s="736"/>
      <c r="P1299" s="736">
        <f t="shared" si="476"/>
        <v>310851.07999999996</v>
      </c>
      <c r="Q1299" s="738">
        <v>310851.08</v>
      </c>
      <c r="R1299" s="738">
        <v>183874.33</v>
      </c>
      <c r="S1299" s="751">
        <v>345638.64</v>
      </c>
      <c r="T1299" s="739">
        <v>1500521</v>
      </c>
      <c r="U1299" s="779">
        <v>336067.62</v>
      </c>
      <c r="V1299" s="741">
        <v>1500522</v>
      </c>
    </row>
    <row r="1300" spans="1:22" ht="15" x14ac:dyDescent="0.25">
      <c r="A1300" s="734">
        <v>1431</v>
      </c>
      <c r="B1300" s="735" t="s">
        <v>16</v>
      </c>
      <c r="C1300" s="736">
        <v>262803.15999999997</v>
      </c>
      <c r="D1300" s="736">
        <v>306238.09999999998</v>
      </c>
      <c r="E1300" s="749">
        <v>281841.03999999998</v>
      </c>
      <c r="F1300" s="736">
        <v>302773.25</v>
      </c>
      <c r="G1300" s="736">
        <v>326355.39999999997</v>
      </c>
      <c r="H1300" s="736"/>
      <c r="I1300" s="736"/>
      <c r="J1300" s="736">
        <f t="shared" si="474"/>
        <v>326355.39999999997</v>
      </c>
      <c r="K1300" s="736"/>
      <c r="L1300" s="736">
        <v>6242.2</v>
      </c>
      <c r="M1300" s="736">
        <f t="shared" si="475"/>
        <v>320113.19999999995</v>
      </c>
      <c r="N1300" s="736"/>
      <c r="O1300" s="736"/>
      <c r="P1300" s="736">
        <f t="shared" si="476"/>
        <v>320113.19999999995</v>
      </c>
      <c r="Q1300" s="738">
        <v>320113.2</v>
      </c>
      <c r="R1300" s="738">
        <v>185190.12</v>
      </c>
      <c r="S1300" s="751">
        <v>356007.36</v>
      </c>
      <c r="T1300" s="739">
        <v>1500521</v>
      </c>
      <c r="U1300" s="779">
        <v>332835.33</v>
      </c>
      <c r="V1300" s="741">
        <v>1500522</v>
      </c>
    </row>
    <row r="1301" spans="1:22" ht="15" x14ac:dyDescent="0.25">
      <c r="A1301" s="734">
        <v>1511</v>
      </c>
      <c r="B1301" s="735" t="s">
        <v>18</v>
      </c>
      <c r="C1301" s="736">
        <v>38792.519999999997</v>
      </c>
      <c r="D1301" s="736">
        <v>41648.879999999997</v>
      </c>
      <c r="E1301" s="749">
        <v>41648.879999999997</v>
      </c>
      <c r="F1301" s="736">
        <v>43069.43</v>
      </c>
      <c r="G1301" s="736">
        <v>43592.7</v>
      </c>
      <c r="H1301" s="736"/>
      <c r="I1301" s="736"/>
      <c r="J1301" s="736">
        <f t="shared" si="474"/>
        <v>43592.7</v>
      </c>
      <c r="K1301" s="736">
        <v>1076.9000000000001</v>
      </c>
      <c r="L1301" s="736"/>
      <c r="M1301" s="736">
        <f t="shared" si="475"/>
        <v>44669.599999999999</v>
      </c>
      <c r="N1301" s="736"/>
      <c r="O1301" s="736"/>
      <c r="P1301" s="736">
        <f t="shared" si="476"/>
        <v>44669.599999999999</v>
      </c>
      <c r="Q1301" s="738">
        <v>44669.599999999999</v>
      </c>
      <c r="R1301" s="738">
        <v>31519.040000000001</v>
      </c>
      <c r="S1301" s="751">
        <v>53340.56</v>
      </c>
      <c r="T1301" s="739">
        <v>1500521</v>
      </c>
      <c r="U1301" s="779">
        <v>45285.96</v>
      </c>
      <c r="V1301" s="741">
        <v>1500522</v>
      </c>
    </row>
    <row r="1302" spans="1:22" ht="15" x14ac:dyDescent="0.25">
      <c r="A1302" s="734">
        <v>1541</v>
      </c>
      <c r="B1302" s="735" t="s">
        <v>19</v>
      </c>
      <c r="C1302" s="736">
        <v>55846.1</v>
      </c>
      <c r="D1302" s="736">
        <v>67303.600000000006</v>
      </c>
      <c r="E1302" s="749">
        <v>65879.600000000006</v>
      </c>
      <c r="F1302" s="736">
        <v>67636.820000000007</v>
      </c>
      <c r="G1302" s="736">
        <v>87737.700000000012</v>
      </c>
      <c r="H1302" s="736"/>
      <c r="I1302" s="736"/>
      <c r="J1302" s="736">
        <f t="shared" si="474"/>
        <v>87737.700000000012</v>
      </c>
      <c r="K1302" s="736">
        <v>3339.72</v>
      </c>
      <c r="L1302" s="736"/>
      <c r="M1302" s="736">
        <f t="shared" si="475"/>
        <v>91077.420000000013</v>
      </c>
      <c r="N1302" s="736"/>
      <c r="O1302" s="736"/>
      <c r="P1302" s="736">
        <f t="shared" si="476"/>
        <v>91077.420000000013</v>
      </c>
      <c r="Q1302" s="738">
        <v>91077.42</v>
      </c>
      <c r="R1302" s="738">
        <v>54664.36</v>
      </c>
      <c r="S1302" s="751">
        <v>89133.72</v>
      </c>
      <c r="T1302" s="739">
        <v>1500521</v>
      </c>
      <c r="U1302" s="779">
        <v>89133.72</v>
      </c>
      <c r="V1302" s="741">
        <v>1500522</v>
      </c>
    </row>
    <row r="1303" spans="1:22" ht="15" x14ac:dyDescent="0.25">
      <c r="A1303" s="734">
        <v>1592</v>
      </c>
      <c r="B1303" s="735" t="s">
        <v>20</v>
      </c>
      <c r="C1303" s="736">
        <v>389891.64</v>
      </c>
      <c r="D1303" s="736">
        <v>425679.8</v>
      </c>
      <c r="E1303" s="749">
        <v>425679.8</v>
      </c>
      <c r="F1303" s="736">
        <v>440127.8</v>
      </c>
      <c r="G1303" s="736">
        <v>445929.19999999995</v>
      </c>
      <c r="H1303" s="736"/>
      <c r="I1303" s="736"/>
      <c r="J1303" s="736">
        <f t="shared" si="474"/>
        <v>445929.19999999995</v>
      </c>
      <c r="K1303" s="736">
        <v>1447.71</v>
      </c>
      <c r="L1303" s="736"/>
      <c r="M1303" s="736">
        <f t="shared" si="475"/>
        <v>447376.91</v>
      </c>
      <c r="N1303" s="736"/>
      <c r="O1303" s="736"/>
      <c r="P1303" s="736">
        <f t="shared" si="476"/>
        <v>447376.91</v>
      </c>
      <c r="Q1303" s="898">
        <v>479641.78</v>
      </c>
      <c r="R1303" s="738">
        <v>316298.05</v>
      </c>
      <c r="S1303" s="751">
        <v>542410.96</v>
      </c>
      <c r="T1303" s="739">
        <v>1500521</v>
      </c>
      <c r="U1303" s="779">
        <v>454419.87</v>
      </c>
      <c r="V1303" s="741">
        <v>1500522</v>
      </c>
    </row>
    <row r="1304" spans="1:22" ht="15" x14ac:dyDescent="0.2">
      <c r="A1304" s="734">
        <v>2111</v>
      </c>
      <c r="B1304" s="735" t="s">
        <v>22</v>
      </c>
      <c r="C1304" s="736">
        <v>30251</v>
      </c>
      <c r="D1304" s="736">
        <v>30000</v>
      </c>
      <c r="E1304" s="749">
        <v>21000</v>
      </c>
      <c r="F1304" s="736">
        <v>18399.669999999998</v>
      </c>
      <c r="G1304" s="752">
        <v>21000</v>
      </c>
      <c r="H1304" s="752"/>
      <c r="I1304" s="752"/>
      <c r="J1304" s="736">
        <f t="shared" si="474"/>
        <v>21000</v>
      </c>
      <c r="K1304" s="752"/>
      <c r="L1304" s="752"/>
      <c r="M1304" s="736">
        <f t="shared" si="475"/>
        <v>21000</v>
      </c>
      <c r="N1304" s="736"/>
      <c r="O1304" s="736"/>
      <c r="P1304" s="736">
        <f t="shared" si="476"/>
        <v>21000</v>
      </c>
      <c r="Q1304" s="753">
        <v>18043.88</v>
      </c>
      <c r="R1304" s="738">
        <v>15078.32</v>
      </c>
      <c r="S1304" s="753">
        <v>30000</v>
      </c>
      <c r="T1304" s="739">
        <v>1100121</v>
      </c>
      <c r="U1304" s="740">
        <v>25000</v>
      </c>
      <c r="V1304" s="741">
        <v>1100122</v>
      </c>
    </row>
    <row r="1305" spans="1:22" ht="15" x14ac:dyDescent="0.2">
      <c r="A1305" s="739">
        <v>2112</v>
      </c>
      <c r="B1305" s="743" t="s">
        <v>39</v>
      </c>
      <c r="C1305" s="736">
        <v>35020.01</v>
      </c>
      <c r="D1305" s="736"/>
      <c r="E1305" s="736"/>
      <c r="F1305" s="736"/>
      <c r="G1305" s="736"/>
      <c r="H1305" s="736"/>
      <c r="I1305" s="736"/>
      <c r="J1305" s="736">
        <f t="shared" si="474"/>
        <v>0</v>
      </c>
      <c r="K1305" s="736"/>
      <c r="L1305" s="736"/>
      <c r="M1305" s="736">
        <f t="shared" si="475"/>
        <v>0</v>
      </c>
      <c r="N1305" s="736"/>
      <c r="O1305" s="736"/>
      <c r="P1305" s="738">
        <f t="shared" si="476"/>
        <v>0</v>
      </c>
      <c r="Q1305" s="753"/>
      <c r="R1305" s="738"/>
      <c r="S1305" s="738">
        <v>5000</v>
      </c>
      <c r="T1305" s="739"/>
      <c r="U1305" s="744"/>
      <c r="V1305" s="739"/>
    </row>
    <row r="1306" spans="1:22" ht="15" x14ac:dyDescent="0.2">
      <c r="A1306" s="734">
        <v>2121</v>
      </c>
      <c r="B1306" s="735" t="s">
        <v>24</v>
      </c>
      <c r="C1306" s="736">
        <v>32740</v>
      </c>
      <c r="D1306" s="736">
        <v>35000</v>
      </c>
      <c r="E1306" s="749">
        <v>24500</v>
      </c>
      <c r="F1306" s="736">
        <v>19120</v>
      </c>
      <c r="G1306" s="752">
        <v>35000</v>
      </c>
      <c r="H1306" s="752"/>
      <c r="I1306" s="752"/>
      <c r="J1306" s="736">
        <f t="shared" si="474"/>
        <v>35000</v>
      </c>
      <c r="K1306" s="752"/>
      <c r="L1306" s="752"/>
      <c r="M1306" s="736">
        <f t="shared" si="475"/>
        <v>35000</v>
      </c>
      <c r="N1306" s="736"/>
      <c r="O1306" s="736"/>
      <c r="P1306" s="736">
        <f t="shared" si="476"/>
        <v>35000</v>
      </c>
      <c r="Q1306" s="753">
        <v>31299.68</v>
      </c>
      <c r="R1306" s="738">
        <v>29549.68</v>
      </c>
      <c r="S1306" s="753">
        <v>35000</v>
      </c>
      <c r="T1306" s="739">
        <v>1100121</v>
      </c>
      <c r="U1306" s="740">
        <v>35000</v>
      </c>
      <c r="V1306" s="741">
        <v>1100122</v>
      </c>
    </row>
    <row r="1307" spans="1:22" ht="15" x14ac:dyDescent="0.2">
      <c r="A1307" s="734">
        <v>2161</v>
      </c>
      <c r="B1307" s="735" t="s">
        <v>59</v>
      </c>
      <c r="C1307" s="736">
        <v>10833.23</v>
      </c>
      <c r="D1307" s="736">
        <v>13000</v>
      </c>
      <c r="E1307" s="749">
        <v>13000</v>
      </c>
      <c r="F1307" s="736">
        <v>12996.02</v>
      </c>
      <c r="G1307" s="752">
        <v>13000</v>
      </c>
      <c r="H1307" s="752"/>
      <c r="I1307" s="752"/>
      <c r="J1307" s="736">
        <f t="shared" si="474"/>
        <v>13000</v>
      </c>
      <c r="K1307" s="752"/>
      <c r="L1307" s="752"/>
      <c r="M1307" s="736">
        <f t="shared" si="475"/>
        <v>13000</v>
      </c>
      <c r="N1307" s="736"/>
      <c r="O1307" s="736"/>
      <c r="P1307" s="736">
        <f t="shared" si="476"/>
        <v>13000</v>
      </c>
      <c r="Q1307" s="753">
        <v>13000</v>
      </c>
      <c r="R1307" s="738">
        <v>8693.5300000000007</v>
      </c>
      <c r="S1307" s="753">
        <v>15000</v>
      </c>
      <c r="T1307" s="739">
        <v>1100121</v>
      </c>
      <c r="U1307" s="740">
        <v>15000</v>
      </c>
      <c r="V1307" s="741">
        <v>1100122</v>
      </c>
    </row>
    <row r="1308" spans="1:22" ht="15" x14ac:dyDescent="0.2">
      <c r="A1308" s="739">
        <v>2212</v>
      </c>
      <c r="B1308" s="743" t="s">
        <v>40</v>
      </c>
      <c r="C1308" s="736"/>
      <c r="D1308" s="736"/>
      <c r="E1308" s="749"/>
      <c r="F1308" s="736"/>
      <c r="G1308" s="752"/>
      <c r="H1308" s="752"/>
      <c r="I1308" s="752"/>
      <c r="J1308" s="736"/>
      <c r="K1308" s="752"/>
      <c r="L1308" s="752"/>
      <c r="M1308" s="736"/>
      <c r="N1308" s="736"/>
      <c r="O1308" s="736"/>
      <c r="P1308" s="736"/>
      <c r="Q1308" s="753"/>
      <c r="R1308" s="738"/>
      <c r="S1308" s="753">
        <v>3000</v>
      </c>
      <c r="T1308" s="739"/>
      <c r="U1308" s="745"/>
      <c r="V1308" s="739"/>
    </row>
    <row r="1309" spans="1:22" ht="15" x14ac:dyDescent="0.2">
      <c r="A1309" s="734">
        <v>2491</v>
      </c>
      <c r="B1309" s="735" t="s">
        <v>41</v>
      </c>
      <c r="C1309" s="736">
        <v>2625.65</v>
      </c>
      <c r="D1309" s="736">
        <v>10000</v>
      </c>
      <c r="E1309" s="749">
        <v>10000</v>
      </c>
      <c r="F1309" s="736">
        <v>1428.92</v>
      </c>
      <c r="G1309" s="752">
        <v>10000</v>
      </c>
      <c r="H1309" s="752"/>
      <c r="I1309" s="752"/>
      <c r="J1309" s="736">
        <f t="shared" ref="J1309:J1312" si="477">G1309+H1309-I1309</f>
        <v>10000</v>
      </c>
      <c r="K1309" s="752"/>
      <c r="L1309" s="752"/>
      <c r="M1309" s="736">
        <f t="shared" ref="M1309:M1321" si="478">J1309+K1309-L1309</f>
        <v>10000</v>
      </c>
      <c r="N1309" s="736"/>
      <c r="O1309" s="736"/>
      <c r="P1309" s="736">
        <f t="shared" ref="P1309:P1321" si="479">M1309+N1309-O1309</f>
        <v>10000</v>
      </c>
      <c r="Q1309" s="753">
        <v>10000</v>
      </c>
      <c r="R1309" s="738"/>
      <c r="S1309" s="753">
        <v>10000</v>
      </c>
      <c r="T1309" s="739">
        <v>1100121</v>
      </c>
      <c r="U1309" s="740">
        <v>10000</v>
      </c>
      <c r="V1309" s="741">
        <v>1100122</v>
      </c>
    </row>
    <row r="1310" spans="1:22" ht="15" x14ac:dyDescent="0.2">
      <c r="A1310" s="734">
        <v>2531</v>
      </c>
      <c r="B1310" s="735" t="s">
        <v>145</v>
      </c>
      <c r="C1310" s="736"/>
      <c r="D1310" s="736">
        <v>3000</v>
      </c>
      <c r="E1310" s="749">
        <v>3000</v>
      </c>
      <c r="F1310" s="736">
        <v>0</v>
      </c>
      <c r="G1310" s="752">
        <v>3000</v>
      </c>
      <c r="H1310" s="752"/>
      <c r="I1310" s="752"/>
      <c r="J1310" s="736">
        <f t="shared" si="477"/>
        <v>3000</v>
      </c>
      <c r="K1310" s="752"/>
      <c r="L1310" s="752"/>
      <c r="M1310" s="736">
        <f t="shared" si="478"/>
        <v>3000</v>
      </c>
      <c r="N1310" s="736"/>
      <c r="O1310" s="736"/>
      <c r="P1310" s="736">
        <f t="shared" si="479"/>
        <v>3000</v>
      </c>
      <c r="Q1310" s="753">
        <v>3000</v>
      </c>
      <c r="R1310" s="738"/>
      <c r="S1310" s="753">
        <v>3000</v>
      </c>
      <c r="T1310" s="739">
        <v>1100121</v>
      </c>
      <c r="U1310" s="740">
        <v>3000</v>
      </c>
      <c r="V1310" s="741">
        <v>1100122</v>
      </c>
    </row>
    <row r="1311" spans="1:22" ht="15" x14ac:dyDescent="0.2">
      <c r="A1311" s="734">
        <v>2541</v>
      </c>
      <c r="B1311" s="735" t="s">
        <v>148</v>
      </c>
      <c r="C1311" s="736">
        <v>38521.4</v>
      </c>
      <c r="D1311" s="736">
        <v>45000</v>
      </c>
      <c r="E1311" s="749">
        <v>45000</v>
      </c>
      <c r="F1311" s="736">
        <v>26160</v>
      </c>
      <c r="G1311" s="752">
        <v>45000</v>
      </c>
      <c r="H1311" s="752"/>
      <c r="I1311" s="752"/>
      <c r="J1311" s="736">
        <f t="shared" si="477"/>
        <v>45000</v>
      </c>
      <c r="K1311" s="752"/>
      <c r="L1311" s="752"/>
      <c r="M1311" s="736">
        <f t="shared" si="478"/>
        <v>45000</v>
      </c>
      <c r="N1311" s="736"/>
      <c r="O1311" s="736"/>
      <c r="P1311" s="736">
        <f t="shared" si="479"/>
        <v>45000</v>
      </c>
      <c r="Q1311" s="753">
        <v>45000</v>
      </c>
      <c r="R1311" s="738"/>
      <c r="S1311" s="753">
        <v>45000</v>
      </c>
      <c r="T1311" s="739">
        <v>1100121</v>
      </c>
      <c r="U1311" s="746">
        <v>45000</v>
      </c>
      <c r="V1311" s="741">
        <v>1100122</v>
      </c>
    </row>
    <row r="1312" spans="1:22" ht="30" x14ac:dyDescent="0.2">
      <c r="A1312" s="734">
        <v>2612</v>
      </c>
      <c r="B1312" s="735" t="s">
        <v>26</v>
      </c>
      <c r="C1312" s="736">
        <v>600475.55000000005</v>
      </c>
      <c r="D1312" s="736">
        <v>950000</v>
      </c>
      <c r="E1312" s="749">
        <v>590000</v>
      </c>
      <c r="F1312" s="736">
        <v>403457.12</v>
      </c>
      <c r="G1312" s="752">
        <v>850000</v>
      </c>
      <c r="H1312" s="752"/>
      <c r="I1312" s="752"/>
      <c r="J1312" s="736">
        <f t="shared" si="477"/>
        <v>850000</v>
      </c>
      <c r="K1312" s="752"/>
      <c r="L1312" s="752">
        <v>200000</v>
      </c>
      <c r="M1312" s="736">
        <f t="shared" si="478"/>
        <v>650000</v>
      </c>
      <c r="N1312" s="736"/>
      <c r="O1312" s="736">
        <v>200000</v>
      </c>
      <c r="P1312" s="736">
        <f t="shared" si="479"/>
        <v>450000</v>
      </c>
      <c r="Q1312" s="753">
        <v>450000</v>
      </c>
      <c r="R1312" s="738">
        <v>328040.67</v>
      </c>
      <c r="S1312" s="738">
        <f>Q1312</f>
        <v>450000</v>
      </c>
      <c r="T1312" s="739">
        <v>1100121</v>
      </c>
      <c r="U1312" s="746">
        <v>500000</v>
      </c>
      <c r="V1312" s="741">
        <v>1100122</v>
      </c>
    </row>
    <row r="1313" spans="1:22" ht="15" x14ac:dyDescent="0.2">
      <c r="A1313" s="734">
        <v>2614</v>
      </c>
      <c r="B1313" s="735" t="s">
        <v>1763</v>
      </c>
      <c r="C1313" s="736"/>
      <c r="D1313" s="736"/>
      <c r="E1313" s="749"/>
      <c r="F1313" s="736"/>
      <c r="G1313" s="752"/>
      <c r="H1313" s="752"/>
      <c r="I1313" s="752"/>
      <c r="J1313" s="736"/>
      <c r="K1313" s="752">
        <v>200000</v>
      </c>
      <c r="L1313" s="752"/>
      <c r="M1313" s="736">
        <f t="shared" si="478"/>
        <v>200000</v>
      </c>
      <c r="N1313" s="736"/>
      <c r="O1313" s="736">
        <v>50000</v>
      </c>
      <c r="P1313" s="736">
        <f t="shared" si="479"/>
        <v>150000</v>
      </c>
      <c r="Q1313" s="753">
        <v>50000</v>
      </c>
      <c r="R1313" s="738"/>
      <c r="S1313" s="738">
        <f>Q1313</f>
        <v>50000</v>
      </c>
      <c r="T1313" s="739">
        <v>1100121</v>
      </c>
      <c r="U1313" s="746">
        <v>200000</v>
      </c>
      <c r="V1313" s="741">
        <v>1100122</v>
      </c>
    </row>
    <row r="1314" spans="1:22" ht="15" x14ac:dyDescent="0.2">
      <c r="A1314" s="739">
        <v>2711</v>
      </c>
      <c r="B1314" s="743" t="s">
        <v>27</v>
      </c>
      <c r="C1314" s="736">
        <v>78500.72</v>
      </c>
      <c r="D1314" s="736"/>
      <c r="E1314" s="736"/>
      <c r="F1314" s="736"/>
      <c r="G1314" s="736"/>
      <c r="H1314" s="736"/>
      <c r="I1314" s="736"/>
      <c r="J1314" s="736">
        <f t="shared" ref="J1314:J1321" si="480">G1314+H1314-I1314</f>
        <v>0</v>
      </c>
      <c r="K1314" s="736"/>
      <c r="L1314" s="736"/>
      <c r="M1314" s="736">
        <f t="shared" si="478"/>
        <v>0</v>
      </c>
      <c r="N1314" s="736"/>
      <c r="O1314" s="736"/>
      <c r="P1314" s="738">
        <f t="shared" si="479"/>
        <v>0</v>
      </c>
      <c r="Q1314" s="738"/>
      <c r="R1314" s="738"/>
      <c r="S1314" s="738">
        <v>96000</v>
      </c>
      <c r="T1314" s="739"/>
      <c r="U1314" s="750">
        <v>0</v>
      </c>
      <c r="V1314" s="739"/>
    </row>
    <row r="1315" spans="1:22" ht="15" x14ac:dyDescent="0.2">
      <c r="A1315" s="734">
        <v>2911</v>
      </c>
      <c r="B1315" s="735" t="s">
        <v>60</v>
      </c>
      <c r="C1315" s="736">
        <v>4859</v>
      </c>
      <c r="D1315" s="736">
        <v>5000</v>
      </c>
      <c r="E1315" s="749">
        <v>5000</v>
      </c>
      <c r="F1315" s="736">
        <v>0</v>
      </c>
      <c r="G1315" s="752">
        <v>10000</v>
      </c>
      <c r="H1315" s="752"/>
      <c r="I1315" s="752"/>
      <c r="J1315" s="736">
        <f t="shared" si="480"/>
        <v>10000</v>
      </c>
      <c r="K1315" s="752"/>
      <c r="L1315" s="752"/>
      <c r="M1315" s="736">
        <f t="shared" si="478"/>
        <v>10000</v>
      </c>
      <c r="N1315" s="736"/>
      <c r="O1315" s="736"/>
      <c r="P1315" s="736">
        <f t="shared" si="479"/>
        <v>10000</v>
      </c>
      <c r="Q1315" s="753">
        <v>10000</v>
      </c>
      <c r="R1315" s="738"/>
      <c r="S1315" s="753">
        <v>10000</v>
      </c>
      <c r="T1315" s="739">
        <v>1100121</v>
      </c>
      <c r="U1315" s="740">
        <v>10000</v>
      </c>
      <c r="V1315" s="741">
        <v>1100122</v>
      </c>
    </row>
    <row r="1316" spans="1:22" ht="15" x14ac:dyDescent="0.2">
      <c r="A1316" s="739">
        <v>2961</v>
      </c>
      <c r="B1316" s="743" t="s">
        <v>1764</v>
      </c>
      <c r="C1316" s="736"/>
      <c r="D1316" s="736">
        <v>15000</v>
      </c>
      <c r="E1316" s="749">
        <v>15000</v>
      </c>
      <c r="F1316" s="736">
        <v>0</v>
      </c>
      <c r="G1316" s="752"/>
      <c r="H1316" s="752"/>
      <c r="I1316" s="752"/>
      <c r="J1316" s="736">
        <f t="shared" si="480"/>
        <v>0</v>
      </c>
      <c r="K1316" s="752"/>
      <c r="L1316" s="752"/>
      <c r="M1316" s="736">
        <f t="shared" si="478"/>
        <v>0</v>
      </c>
      <c r="N1316" s="736"/>
      <c r="O1316" s="736"/>
      <c r="P1316" s="738">
        <f t="shared" si="479"/>
        <v>0</v>
      </c>
      <c r="Q1316" s="753"/>
      <c r="R1316" s="738"/>
      <c r="S1316" s="753"/>
      <c r="T1316" s="739">
        <v>1100121</v>
      </c>
      <c r="U1316" s="745"/>
      <c r="V1316" s="739">
        <v>1100122</v>
      </c>
    </row>
    <row r="1317" spans="1:22" ht="15" x14ac:dyDescent="0.2">
      <c r="A1317" s="734">
        <v>3111</v>
      </c>
      <c r="B1317" s="735" t="s">
        <v>47</v>
      </c>
      <c r="C1317" s="736">
        <v>47515</v>
      </c>
      <c r="D1317" s="736">
        <v>65000</v>
      </c>
      <c r="E1317" s="749">
        <v>65000</v>
      </c>
      <c r="F1317" s="736">
        <v>41345</v>
      </c>
      <c r="G1317" s="752">
        <v>65000</v>
      </c>
      <c r="H1317" s="752"/>
      <c r="I1317" s="752"/>
      <c r="J1317" s="736">
        <f t="shared" si="480"/>
        <v>65000</v>
      </c>
      <c r="K1317" s="752"/>
      <c r="L1317" s="752"/>
      <c r="M1317" s="736">
        <f t="shared" si="478"/>
        <v>65000</v>
      </c>
      <c r="N1317" s="736"/>
      <c r="O1317" s="736"/>
      <c r="P1317" s="736">
        <f t="shared" si="479"/>
        <v>65000</v>
      </c>
      <c r="Q1317" s="753">
        <v>65000</v>
      </c>
      <c r="R1317" s="738">
        <v>25925</v>
      </c>
      <c r="S1317" s="753">
        <v>65000</v>
      </c>
      <c r="T1317" s="739">
        <v>1100121</v>
      </c>
      <c r="U1317" s="754">
        <v>50000</v>
      </c>
      <c r="V1317" s="741">
        <v>1100122</v>
      </c>
    </row>
    <row r="1318" spans="1:22" ht="15" x14ac:dyDescent="0.2">
      <c r="A1318" s="734">
        <v>3131</v>
      </c>
      <c r="B1318" s="735" t="s">
        <v>61</v>
      </c>
      <c r="C1318" s="736">
        <v>4723.74</v>
      </c>
      <c r="D1318" s="736">
        <v>8500</v>
      </c>
      <c r="E1318" s="749">
        <v>8500</v>
      </c>
      <c r="F1318" s="736">
        <v>6395.97</v>
      </c>
      <c r="G1318" s="752">
        <v>12000</v>
      </c>
      <c r="H1318" s="752"/>
      <c r="I1318" s="752"/>
      <c r="J1318" s="736">
        <f t="shared" si="480"/>
        <v>12000</v>
      </c>
      <c r="K1318" s="752"/>
      <c r="L1318" s="752"/>
      <c r="M1318" s="736">
        <f t="shared" si="478"/>
        <v>12000</v>
      </c>
      <c r="N1318" s="736"/>
      <c r="O1318" s="736"/>
      <c r="P1318" s="736">
        <f t="shared" si="479"/>
        <v>12000</v>
      </c>
      <c r="Q1318" s="753">
        <v>12000</v>
      </c>
      <c r="R1318" s="738">
        <v>2679.73</v>
      </c>
      <c r="S1318" s="753">
        <v>9000</v>
      </c>
      <c r="T1318" s="739">
        <v>1100121</v>
      </c>
      <c r="U1318" s="754">
        <v>5000</v>
      </c>
      <c r="V1318" s="741">
        <v>1100122</v>
      </c>
    </row>
    <row r="1319" spans="1:22" ht="15" x14ac:dyDescent="0.2">
      <c r="A1319" s="734">
        <v>3141</v>
      </c>
      <c r="B1319" s="735" t="s">
        <v>48</v>
      </c>
      <c r="C1319" s="736">
        <v>10280.209999999999</v>
      </c>
      <c r="D1319" s="736">
        <v>13000</v>
      </c>
      <c r="E1319" s="749">
        <v>13000</v>
      </c>
      <c r="F1319" s="736">
        <v>10506.29</v>
      </c>
      <c r="G1319" s="752">
        <v>14300</v>
      </c>
      <c r="H1319" s="752"/>
      <c r="I1319" s="752"/>
      <c r="J1319" s="736">
        <f t="shared" si="480"/>
        <v>14300</v>
      </c>
      <c r="K1319" s="752"/>
      <c r="L1319" s="752"/>
      <c r="M1319" s="736">
        <f t="shared" si="478"/>
        <v>14300</v>
      </c>
      <c r="N1319" s="736"/>
      <c r="O1319" s="736"/>
      <c r="P1319" s="736">
        <f t="shared" si="479"/>
        <v>14300</v>
      </c>
      <c r="Q1319" s="753">
        <v>14300</v>
      </c>
      <c r="R1319" s="738">
        <v>6998.9</v>
      </c>
      <c r="S1319" s="753">
        <v>13000</v>
      </c>
      <c r="T1319" s="739">
        <v>1100121</v>
      </c>
      <c r="U1319" s="754">
        <v>13000</v>
      </c>
      <c r="V1319" s="741">
        <v>1100122</v>
      </c>
    </row>
    <row r="1320" spans="1:22" ht="15" x14ac:dyDescent="0.2">
      <c r="A1320" s="734">
        <v>3151</v>
      </c>
      <c r="B1320" s="735" t="s">
        <v>28</v>
      </c>
      <c r="C1320" s="736">
        <v>7906.31</v>
      </c>
      <c r="D1320" s="736">
        <v>12000</v>
      </c>
      <c r="E1320" s="749">
        <v>12000</v>
      </c>
      <c r="F1320" s="736">
        <v>11331.31</v>
      </c>
      <c r="G1320" s="752">
        <v>13200</v>
      </c>
      <c r="H1320" s="752"/>
      <c r="I1320" s="752"/>
      <c r="J1320" s="736">
        <f t="shared" si="480"/>
        <v>13200</v>
      </c>
      <c r="K1320" s="752"/>
      <c r="L1320" s="752"/>
      <c r="M1320" s="736">
        <f t="shared" si="478"/>
        <v>13200</v>
      </c>
      <c r="N1320" s="736"/>
      <c r="O1320" s="736"/>
      <c r="P1320" s="736">
        <f t="shared" si="479"/>
        <v>13200</v>
      </c>
      <c r="Q1320" s="753">
        <v>13200</v>
      </c>
      <c r="R1320" s="738">
        <v>9251.67</v>
      </c>
      <c r="S1320" s="753">
        <v>12000</v>
      </c>
      <c r="T1320" s="739">
        <v>1100121</v>
      </c>
      <c r="U1320" s="754">
        <v>14000</v>
      </c>
      <c r="V1320" s="741">
        <v>1100122</v>
      </c>
    </row>
    <row r="1321" spans="1:22" ht="15" x14ac:dyDescent="0.2">
      <c r="A1321" s="734">
        <v>3221</v>
      </c>
      <c r="B1321" s="735" t="s">
        <v>99</v>
      </c>
      <c r="C1321" s="736">
        <v>440285.88</v>
      </c>
      <c r="D1321" s="736">
        <v>457897.42</v>
      </c>
      <c r="E1321" s="749">
        <v>452797.42</v>
      </c>
      <c r="F1321" s="736">
        <v>452745.96</v>
      </c>
      <c r="G1321" s="752">
        <v>468700</v>
      </c>
      <c r="H1321" s="752"/>
      <c r="I1321" s="752"/>
      <c r="J1321" s="736">
        <f t="shared" si="480"/>
        <v>468700</v>
      </c>
      <c r="K1321" s="752"/>
      <c r="L1321" s="752"/>
      <c r="M1321" s="736">
        <f t="shared" si="478"/>
        <v>468700</v>
      </c>
      <c r="N1321" s="736"/>
      <c r="O1321" s="736"/>
      <c r="P1321" s="736">
        <f t="shared" si="479"/>
        <v>468700</v>
      </c>
      <c r="Q1321" s="753">
        <v>468700</v>
      </c>
      <c r="R1321" s="738">
        <v>392556.96</v>
      </c>
      <c r="S1321" s="753">
        <v>500000</v>
      </c>
      <c r="T1321" s="739">
        <v>1100121</v>
      </c>
      <c r="U1321" s="754">
        <v>549580</v>
      </c>
      <c r="V1321" s="741">
        <v>1100122</v>
      </c>
    </row>
    <row r="1322" spans="1:22" ht="15" x14ac:dyDescent="0.2">
      <c r="A1322" s="739">
        <v>3331</v>
      </c>
      <c r="B1322" s="743" t="s">
        <v>171</v>
      </c>
      <c r="C1322" s="736"/>
      <c r="D1322" s="736"/>
      <c r="E1322" s="749"/>
      <c r="F1322" s="736"/>
      <c r="G1322" s="752"/>
      <c r="H1322" s="752"/>
      <c r="I1322" s="752"/>
      <c r="J1322" s="736"/>
      <c r="K1322" s="752"/>
      <c r="L1322" s="752"/>
      <c r="M1322" s="736"/>
      <c r="N1322" s="736"/>
      <c r="O1322" s="736"/>
      <c r="P1322" s="736"/>
      <c r="Q1322" s="753"/>
      <c r="R1322" s="738"/>
      <c r="S1322" s="846">
        <v>6000000</v>
      </c>
      <c r="T1322" s="739"/>
      <c r="U1322" s="750">
        <v>0</v>
      </c>
      <c r="V1322" s="739"/>
    </row>
    <row r="1323" spans="1:22" ht="30" x14ac:dyDescent="0.2">
      <c r="A1323" s="734">
        <v>3361</v>
      </c>
      <c r="B1323" s="735" t="s">
        <v>29</v>
      </c>
      <c r="C1323" s="736">
        <v>34525.24</v>
      </c>
      <c r="D1323" s="736">
        <v>50000</v>
      </c>
      <c r="E1323" s="749">
        <v>50000</v>
      </c>
      <c r="F1323" s="736">
        <v>10126.799999999999</v>
      </c>
      <c r="G1323" s="752">
        <v>50000</v>
      </c>
      <c r="H1323" s="752"/>
      <c r="I1323" s="752"/>
      <c r="J1323" s="736">
        <f t="shared" ref="J1323:J1325" si="481">G1323+H1323-I1323</f>
        <v>50000</v>
      </c>
      <c r="K1323" s="752"/>
      <c r="L1323" s="752"/>
      <c r="M1323" s="736">
        <f t="shared" ref="M1323:M1325" si="482">J1323+K1323-L1323</f>
        <v>50000</v>
      </c>
      <c r="N1323" s="736"/>
      <c r="O1323" s="736"/>
      <c r="P1323" s="736">
        <f t="shared" ref="P1323:P1333" si="483">M1323+N1323-O1323</f>
        <v>50000</v>
      </c>
      <c r="Q1323" s="753">
        <v>50000</v>
      </c>
      <c r="R1323" s="738">
        <v>32100.799999999999</v>
      </c>
      <c r="S1323" s="753">
        <v>50000</v>
      </c>
      <c r="T1323" s="739">
        <v>1100121</v>
      </c>
      <c r="U1323" s="754">
        <v>50000</v>
      </c>
      <c r="V1323" s="741">
        <v>1100122</v>
      </c>
    </row>
    <row r="1324" spans="1:22" ht="15" x14ac:dyDescent="0.2">
      <c r="A1324" s="734">
        <v>3511</v>
      </c>
      <c r="B1324" s="735" t="s">
        <v>49</v>
      </c>
      <c r="C1324" s="736">
        <v>52200</v>
      </c>
      <c r="D1324" s="736">
        <v>25000</v>
      </c>
      <c r="E1324" s="749">
        <v>25000</v>
      </c>
      <c r="F1324" s="736">
        <v>17505.79</v>
      </c>
      <c r="G1324" s="752">
        <v>18000</v>
      </c>
      <c r="H1324" s="752"/>
      <c r="I1324" s="752"/>
      <c r="J1324" s="736">
        <f t="shared" si="481"/>
        <v>18000</v>
      </c>
      <c r="K1324" s="752"/>
      <c r="L1324" s="752"/>
      <c r="M1324" s="736">
        <f t="shared" si="482"/>
        <v>18000</v>
      </c>
      <c r="N1324" s="736"/>
      <c r="O1324" s="736"/>
      <c r="P1324" s="736">
        <f t="shared" si="483"/>
        <v>18000</v>
      </c>
      <c r="Q1324" s="753">
        <v>18000</v>
      </c>
      <c r="R1324" s="738">
        <v>2484.4899999999998</v>
      </c>
      <c r="S1324" s="753">
        <v>25000</v>
      </c>
      <c r="T1324" s="739">
        <v>1100121</v>
      </c>
      <c r="U1324" s="740">
        <v>15000</v>
      </c>
      <c r="V1324" s="741">
        <v>1100122</v>
      </c>
    </row>
    <row r="1325" spans="1:22" ht="15" x14ac:dyDescent="0.2">
      <c r="A1325" s="739">
        <v>3551</v>
      </c>
      <c r="B1325" s="743" t="s">
        <v>30</v>
      </c>
      <c r="C1325" s="736"/>
      <c r="D1325" s="736"/>
      <c r="E1325" s="749"/>
      <c r="F1325" s="736"/>
      <c r="G1325" s="752"/>
      <c r="H1325" s="752">
        <v>129000</v>
      </c>
      <c r="I1325" s="752"/>
      <c r="J1325" s="736">
        <f t="shared" si="481"/>
        <v>129000</v>
      </c>
      <c r="K1325" s="752"/>
      <c r="L1325" s="752"/>
      <c r="M1325" s="736">
        <f t="shared" si="482"/>
        <v>129000</v>
      </c>
      <c r="N1325" s="736"/>
      <c r="O1325" s="736">
        <v>129000</v>
      </c>
      <c r="P1325" s="738">
        <f t="shared" si="483"/>
        <v>0</v>
      </c>
      <c r="Q1325" s="753"/>
      <c r="R1325" s="738"/>
      <c r="S1325" s="738">
        <f>Q1325</f>
        <v>0</v>
      </c>
      <c r="T1325" s="739">
        <v>1100120</v>
      </c>
      <c r="U1325" s="745"/>
      <c r="V1325" s="739">
        <v>1100120</v>
      </c>
    </row>
    <row r="1326" spans="1:22" ht="15" x14ac:dyDescent="0.2">
      <c r="A1326" s="734">
        <v>5691</v>
      </c>
      <c r="B1326" s="735" t="s">
        <v>1713</v>
      </c>
      <c r="C1326" s="736"/>
      <c r="D1326" s="736"/>
      <c r="E1326" s="749"/>
      <c r="F1326" s="736"/>
      <c r="G1326" s="752"/>
      <c r="H1326" s="752"/>
      <c r="I1326" s="752"/>
      <c r="J1326" s="736"/>
      <c r="K1326" s="752"/>
      <c r="L1326" s="752"/>
      <c r="M1326" s="736"/>
      <c r="N1326" s="736">
        <v>129000</v>
      </c>
      <c r="O1326" s="736"/>
      <c r="P1326" s="736">
        <f t="shared" si="483"/>
        <v>129000</v>
      </c>
      <c r="Q1326" s="753">
        <v>129000</v>
      </c>
      <c r="R1326" s="738"/>
      <c r="S1326" s="753"/>
      <c r="T1326" s="739">
        <v>1100120</v>
      </c>
      <c r="U1326" s="740">
        <v>144000</v>
      </c>
      <c r="V1326" s="741">
        <v>1100121</v>
      </c>
    </row>
    <row r="1327" spans="1:22" ht="15" x14ac:dyDescent="0.2">
      <c r="A1327" s="734">
        <v>3551</v>
      </c>
      <c r="B1327" s="735" t="s">
        <v>30</v>
      </c>
      <c r="C1327" s="736">
        <v>277642.8</v>
      </c>
      <c r="D1327" s="736">
        <v>463600</v>
      </c>
      <c r="E1327" s="749">
        <v>400000</v>
      </c>
      <c r="F1327" s="736">
        <v>153168.09</v>
      </c>
      <c r="G1327" s="752">
        <v>350000</v>
      </c>
      <c r="H1327" s="752"/>
      <c r="I1327" s="752"/>
      <c r="J1327" s="736">
        <f t="shared" ref="J1327:J1333" si="484">G1327+H1327-I1327</f>
        <v>350000</v>
      </c>
      <c r="K1327" s="752"/>
      <c r="L1327" s="752"/>
      <c r="M1327" s="736">
        <f t="shared" ref="M1327:M1333" si="485">J1327+K1327-L1327</f>
        <v>350000</v>
      </c>
      <c r="N1327" s="736"/>
      <c r="O1327" s="736">
        <v>150000</v>
      </c>
      <c r="P1327" s="736">
        <f t="shared" si="483"/>
        <v>200000</v>
      </c>
      <c r="Q1327" s="753">
        <v>130000</v>
      </c>
      <c r="R1327" s="738">
        <v>98475.12</v>
      </c>
      <c r="S1327" s="738">
        <f>Q1327</f>
        <v>130000</v>
      </c>
      <c r="T1327" s="739">
        <v>1100121</v>
      </c>
      <c r="U1327" s="746">
        <v>150000</v>
      </c>
      <c r="V1327" s="741">
        <v>1100122</v>
      </c>
    </row>
    <row r="1328" spans="1:22" ht="15" x14ac:dyDescent="0.2">
      <c r="A1328" s="734">
        <v>3571</v>
      </c>
      <c r="B1328" s="735" t="s">
        <v>65</v>
      </c>
      <c r="C1328" s="736">
        <v>1160</v>
      </c>
      <c r="D1328" s="736">
        <v>12000</v>
      </c>
      <c r="E1328" s="749">
        <v>12000</v>
      </c>
      <c r="F1328" s="736">
        <v>1856</v>
      </c>
      <c r="G1328" s="752">
        <v>10000</v>
      </c>
      <c r="H1328" s="752"/>
      <c r="I1328" s="752"/>
      <c r="J1328" s="736">
        <f t="shared" si="484"/>
        <v>10000</v>
      </c>
      <c r="K1328" s="752"/>
      <c r="L1328" s="752"/>
      <c r="M1328" s="736">
        <f t="shared" si="485"/>
        <v>10000</v>
      </c>
      <c r="N1328" s="736"/>
      <c r="O1328" s="736"/>
      <c r="P1328" s="736">
        <f t="shared" si="483"/>
        <v>10000</v>
      </c>
      <c r="Q1328" s="753">
        <v>10000</v>
      </c>
      <c r="R1328" s="738"/>
      <c r="S1328" s="753">
        <v>10000</v>
      </c>
      <c r="T1328" s="739">
        <v>1100121</v>
      </c>
      <c r="U1328" s="740">
        <v>10000</v>
      </c>
      <c r="V1328" s="741">
        <v>1100122</v>
      </c>
    </row>
    <row r="1329" spans="1:22" ht="15" x14ac:dyDescent="0.2">
      <c r="A1329" s="734">
        <v>3612</v>
      </c>
      <c r="B1329" s="735" t="s">
        <v>188</v>
      </c>
      <c r="C1329" s="736"/>
      <c r="D1329" s="736">
        <v>100000</v>
      </c>
      <c r="E1329" s="749">
        <v>50000</v>
      </c>
      <c r="F1329" s="736">
        <v>50000</v>
      </c>
      <c r="G1329" s="752">
        <v>60000</v>
      </c>
      <c r="H1329" s="752"/>
      <c r="I1329" s="752"/>
      <c r="J1329" s="736">
        <f t="shared" si="484"/>
        <v>60000</v>
      </c>
      <c r="K1329" s="752"/>
      <c r="L1329" s="752"/>
      <c r="M1329" s="736">
        <f t="shared" si="485"/>
        <v>60000</v>
      </c>
      <c r="N1329" s="736"/>
      <c r="O1329" s="736"/>
      <c r="P1329" s="736">
        <f t="shared" si="483"/>
        <v>60000</v>
      </c>
      <c r="Q1329" s="753">
        <v>60000</v>
      </c>
      <c r="R1329" s="738">
        <v>9918</v>
      </c>
      <c r="S1329" s="753">
        <v>60000</v>
      </c>
      <c r="T1329" s="739">
        <v>1100121</v>
      </c>
      <c r="U1329" s="740">
        <v>60000</v>
      </c>
      <c r="V1329" s="741">
        <v>1100122</v>
      </c>
    </row>
    <row r="1330" spans="1:22" ht="15" x14ac:dyDescent="0.2">
      <c r="A1330" s="739">
        <v>3721</v>
      </c>
      <c r="B1330" s="743" t="s">
        <v>50</v>
      </c>
      <c r="C1330" s="736"/>
      <c r="D1330" s="736">
        <v>5000</v>
      </c>
      <c r="E1330" s="749">
        <v>5000</v>
      </c>
      <c r="F1330" s="736">
        <v>0</v>
      </c>
      <c r="G1330" s="752">
        <v>5000</v>
      </c>
      <c r="H1330" s="752"/>
      <c r="I1330" s="752"/>
      <c r="J1330" s="736">
        <f t="shared" si="484"/>
        <v>5000</v>
      </c>
      <c r="K1330" s="752"/>
      <c r="L1330" s="752"/>
      <c r="M1330" s="736">
        <f t="shared" si="485"/>
        <v>5000</v>
      </c>
      <c r="N1330" s="736"/>
      <c r="O1330" s="736"/>
      <c r="P1330" s="736">
        <f t="shared" si="483"/>
        <v>5000</v>
      </c>
      <c r="Q1330" s="753">
        <v>5000</v>
      </c>
      <c r="R1330" s="738"/>
      <c r="S1330" s="753">
        <v>5000</v>
      </c>
      <c r="T1330" s="739">
        <v>1100121</v>
      </c>
      <c r="U1330" s="745"/>
      <c r="V1330" s="739">
        <v>1100122</v>
      </c>
    </row>
    <row r="1331" spans="1:22" ht="15" x14ac:dyDescent="0.2">
      <c r="A1331" s="734">
        <v>3751</v>
      </c>
      <c r="B1331" s="735" t="s">
        <v>44</v>
      </c>
      <c r="C1331" s="736"/>
      <c r="D1331" s="736">
        <v>5000</v>
      </c>
      <c r="E1331" s="749">
        <v>5000</v>
      </c>
      <c r="F1331" s="736">
        <v>0</v>
      </c>
      <c r="G1331" s="752">
        <v>5000</v>
      </c>
      <c r="H1331" s="752"/>
      <c r="I1331" s="752"/>
      <c r="J1331" s="736">
        <f t="shared" si="484"/>
        <v>5000</v>
      </c>
      <c r="K1331" s="752"/>
      <c r="L1331" s="752"/>
      <c r="M1331" s="736">
        <f t="shared" si="485"/>
        <v>5000</v>
      </c>
      <c r="N1331" s="736"/>
      <c r="O1331" s="736"/>
      <c r="P1331" s="736">
        <f t="shared" si="483"/>
        <v>5000</v>
      </c>
      <c r="Q1331" s="753">
        <v>5000</v>
      </c>
      <c r="R1331" s="738"/>
      <c r="S1331" s="753">
        <v>5000</v>
      </c>
      <c r="T1331" s="739">
        <v>1100121</v>
      </c>
      <c r="U1331" s="740">
        <v>5000</v>
      </c>
      <c r="V1331" s="741">
        <v>1100122</v>
      </c>
    </row>
    <row r="1332" spans="1:22" ht="15" x14ac:dyDescent="0.2">
      <c r="A1332" s="734">
        <v>3852</v>
      </c>
      <c r="B1332" s="735" t="s">
        <v>32</v>
      </c>
      <c r="C1332" s="736">
        <v>19314.490000000002</v>
      </c>
      <c r="D1332" s="736">
        <v>30000</v>
      </c>
      <c r="E1332" s="749">
        <v>30000</v>
      </c>
      <c r="F1332" s="736">
        <v>18678.07</v>
      </c>
      <c r="G1332" s="752">
        <v>30000</v>
      </c>
      <c r="H1332" s="752"/>
      <c r="I1332" s="752"/>
      <c r="J1332" s="736">
        <f t="shared" si="484"/>
        <v>30000</v>
      </c>
      <c r="K1332" s="752"/>
      <c r="L1332" s="752"/>
      <c r="M1332" s="736">
        <f t="shared" si="485"/>
        <v>30000</v>
      </c>
      <c r="N1332" s="736"/>
      <c r="O1332" s="736"/>
      <c r="P1332" s="736">
        <f t="shared" si="483"/>
        <v>30000</v>
      </c>
      <c r="Q1332" s="753">
        <v>30000</v>
      </c>
      <c r="R1332" s="738">
        <v>15925.33</v>
      </c>
      <c r="S1332" s="753">
        <v>30000</v>
      </c>
      <c r="T1332" s="739">
        <v>1100121</v>
      </c>
      <c r="U1332" s="740">
        <v>30000</v>
      </c>
      <c r="V1332" s="741">
        <v>1100122</v>
      </c>
    </row>
    <row r="1333" spans="1:22" ht="15" x14ac:dyDescent="0.2">
      <c r="A1333" s="734">
        <v>3921</v>
      </c>
      <c r="B1333" s="735" t="s">
        <v>33</v>
      </c>
      <c r="C1333" s="736">
        <v>5170.08</v>
      </c>
      <c r="D1333" s="736">
        <v>9360</v>
      </c>
      <c r="E1333" s="749">
        <v>9360</v>
      </c>
      <c r="F1333" s="736">
        <v>3563.3</v>
      </c>
      <c r="G1333" s="752">
        <v>9500</v>
      </c>
      <c r="H1333" s="752"/>
      <c r="I1333" s="752"/>
      <c r="J1333" s="736">
        <f t="shared" si="484"/>
        <v>9500</v>
      </c>
      <c r="K1333" s="752"/>
      <c r="L1333" s="752"/>
      <c r="M1333" s="736">
        <f t="shared" si="485"/>
        <v>9500</v>
      </c>
      <c r="N1333" s="736"/>
      <c r="O1333" s="736"/>
      <c r="P1333" s="736">
        <f t="shared" si="483"/>
        <v>9500</v>
      </c>
      <c r="Q1333" s="753">
        <v>9500</v>
      </c>
      <c r="R1333" s="738">
        <v>7548.52</v>
      </c>
      <c r="S1333" s="753">
        <v>10000</v>
      </c>
      <c r="T1333" s="739">
        <v>1100121</v>
      </c>
      <c r="U1333" s="740">
        <v>11738</v>
      </c>
      <c r="V1333" s="741">
        <v>1100122</v>
      </c>
    </row>
    <row r="1334" spans="1:22" ht="15" x14ac:dyDescent="0.2">
      <c r="A1334" s="739">
        <v>3921</v>
      </c>
      <c r="B1334" s="743" t="s">
        <v>33</v>
      </c>
      <c r="C1334" s="736"/>
      <c r="D1334" s="736"/>
      <c r="E1334" s="749"/>
      <c r="F1334" s="736"/>
      <c r="G1334" s="752"/>
      <c r="H1334" s="752"/>
      <c r="I1334" s="752"/>
      <c r="J1334" s="736"/>
      <c r="K1334" s="752"/>
      <c r="L1334" s="752"/>
      <c r="M1334" s="736"/>
      <c r="N1334" s="736"/>
      <c r="O1334" s="736"/>
      <c r="P1334" s="736"/>
      <c r="Q1334" s="753"/>
      <c r="R1334" s="738"/>
      <c r="S1334" s="753">
        <v>8755.24</v>
      </c>
      <c r="T1334" s="739"/>
      <c r="U1334" s="745"/>
      <c r="V1334" s="739"/>
    </row>
    <row r="1335" spans="1:22" ht="15" x14ac:dyDescent="0.2">
      <c r="A1335" s="739">
        <v>4341</v>
      </c>
      <c r="B1335" s="743" t="s">
        <v>212</v>
      </c>
      <c r="C1335" s="736">
        <v>2083333</v>
      </c>
      <c r="D1335" s="736"/>
      <c r="E1335" s="749"/>
      <c r="F1335" s="736"/>
      <c r="G1335" s="752"/>
      <c r="H1335" s="752"/>
      <c r="I1335" s="752"/>
      <c r="J1335" s="736">
        <f>G1335+H1335-I1335</f>
        <v>0</v>
      </c>
      <c r="K1335" s="752"/>
      <c r="L1335" s="752"/>
      <c r="M1335" s="736">
        <f>J1335+K1335-L1335</f>
        <v>0</v>
      </c>
      <c r="N1335" s="736"/>
      <c r="O1335" s="736"/>
      <c r="P1335" s="738">
        <f>M1335+N1335-O1335</f>
        <v>0</v>
      </c>
      <c r="Q1335" s="753"/>
      <c r="R1335" s="738"/>
      <c r="S1335" s="753"/>
      <c r="T1335" s="739"/>
      <c r="U1335" s="745"/>
      <c r="V1335" s="739"/>
    </row>
    <row r="1336" spans="1:22" ht="15" x14ac:dyDescent="0.2">
      <c r="A1336" s="734">
        <v>5111</v>
      </c>
      <c r="B1336" s="735" t="s">
        <v>35</v>
      </c>
      <c r="C1336" s="736"/>
      <c r="D1336" s="736"/>
      <c r="E1336" s="749"/>
      <c r="F1336" s="736"/>
      <c r="G1336" s="752"/>
      <c r="H1336" s="752"/>
      <c r="I1336" s="752"/>
      <c r="J1336" s="736"/>
      <c r="K1336" s="752"/>
      <c r="L1336" s="752"/>
      <c r="M1336" s="736"/>
      <c r="N1336" s="736"/>
      <c r="O1336" s="736"/>
      <c r="P1336" s="738"/>
      <c r="Q1336" s="753"/>
      <c r="R1336" s="738"/>
      <c r="S1336" s="753">
        <v>15000</v>
      </c>
      <c r="T1336" s="739">
        <v>1100121</v>
      </c>
      <c r="U1336" s="746">
        <v>15000</v>
      </c>
      <c r="V1336" s="741">
        <v>1100122</v>
      </c>
    </row>
    <row r="1337" spans="1:22" ht="15" x14ac:dyDescent="0.2">
      <c r="A1337" s="739">
        <v>5151</v>
      </c>
      <c r="B1337" s="743" t="s">
        <v>36</v>
      </c>
      <c r="C1337" s="736"/>
      <c r="D1337" s="736"/>
      <c r="E1337" s="749"/>
      <c r="F1337" s="736"/>
      <c r="G1337" s="752"/>
      <c r="H1337" s="752"/>
      <c r="I1337" s="752"/>
      <c r="J1337" s="736"/>
      <c r="K1337" s="752"/>
      <c r="L1337" s="752"/>
      <c r="M1337" s="736"/>
      <c r="N1337" s="736"/>
      <c r="O1337" s="736"/>
      <c r="P1337" s="738"/>
      <c r="Q1337" s="753"/>
      <c r="R1337" s="738"/>
      <c r="S1337" s="753">
        <v>100000</v>
      </c>
      <c r="T1337" s="739">
        <v>1100121</v>
      </c>
      <c r="U1337" s="744">
        <v>0</v>
      </c>
      <c r="V1337" s="739">
        <v>1100122</v>
      </c>
    </row>
    <row r="1338" spans="1:22" ht="15" x14ac:dyDescent="0.2">
      <c r="A1338" s="739">
        <v>5152</v>
      </c>
      <c r="B1338" s="743" t="s">
        <v>1765</v>
      </c>
      <c r="C1338" s="736"/>
      <c r="D1338" s="736"/>
      <c r="E1338" s="749"/>
      <c r="F1338" s="736"/>
      <c r="G1338" s="752"/>
      <c r="H1338" s="752"/>
      <c r="I1338" s="752"/>
      <c r="J1338" s="736"/>
      <c r="K1338" s="752"/>
      <c r="L1338" s="752"/>
      <c r="M1338" s="736"/>
      <c r="N1338" s="736"/>
      <c r="O1338" s="736"/>
      <c r="P1338" s="738"/>
      <c r="Q1338" s="753"/>
      <c r="R1338" s="738"/>
      <c r="S1338" s="753">
        <v>30000</v>
      </c>
      <c r="T1338" s="739"/>
      <c r="U1338" s="746"/>
      <c r="V1338" s="739"/>
    </row>
    <row r="1339" spans="1:22" ht="15" x14ac:dyDescent="0.2">
      <c r="A1339" s="734">
        <v>5211</v>
      </c>
      <c r="B1339" s="735" t="s">
        <v>71</v>
      </c>
      <c r="C1339" s="736">
        <v>12945.6</v>
      </c>
      <c r="D1339" s="736"/>
      <c r="E1339" s="736"/>
      <c r="F1339" s="736"/>
      <c r="G1339" s="736"/>
      <c r="H1339" s="736"/>
      <c r="I1339" s="736"/>
      <c r="J1339" s="736">
        <f t="shared" ref="J1339:J1340" si="486">G1339+H1339-I1339</f>
        <v>0</v>
      </c>
      <c r="K1339" s="736"/>
      <c r="L1339" s="736"/>
      <c r="M1339" s="736">
        <f t="shared" ref="M1339:M1340" si="487">J1339+K1339-L1339</f>
        <v>0</v>
      </c>
      <c r="N1339" s="736"/>
      <c r="O1339" s="736"/>
      <c r="P1339" s="738">
        <f t="shared" ref="P1339:P1340" si="488">M1339+N1339-O1339</f>
        <v>0</v>
      </c>
      <c r="Q1339" s="738"/>
      <c r="R1339" s="738"/>
      <c r="S1339" s="738"/>
      <c r="T1339" s="739">
        <v>1100121</v>
      </c>
      <c r="U1339" s="746">
        <v>12000</v>
      </c>
      <c r="V1339" s="741">
        <v>1100122</v>
      </c>
    </row>
    <row r="1340" spans="1:22" ht="15" x14ac:dyDescent="0.2">
      <c r="A1340" s="739">
        <v>5411</v>
      </c>
      <c r="B1340" s="743" t="s">
        <v>123</v>
      </c>
      <c r="C1340" s="736">
        <v>713017.44</v>
      </c>
      <c r="D1340" s="736"/>
      <c r="E1340" s="736"/>
      <c r="F1340" s="736"/>
      <c r="G1340" s="736"/>
      <c r="H1340" s="736"/>
      <c r="I1340" s="736"/>
      <c r="J1340" s="736">
        <f t="shared" si="486"/>
        <v>0</v>
      </c>
      <c r="K1340" s="736"/>
      <c r="L1340" s="736"/>
      <c r="M1340" s="736">
        <f t="shared" si="487"/>
        <v>0</v>
      </c>
      <c r="N1340" s="736"/>
      <c r="O1340" s="736"/>
      <c r="P1340" s="738">
        <f t="shared" si="488"/>
        <v>0</v>
      </c>
      <c r="Q1340" s="738"/>
      <c r="R1340" s="738"/>
      <c r="S1340" s="807">
        <v>800000</v>
      </c>
      <c r="T1340" s="739">
        <v>1100121</v>
      </c>
      <c r="U1340" s="750">
        <v>0</v>
      </c>
      <c r="V1340" s="739">
        <v>1100122</v>
      </c>
    </row>
    <row r="1341" spans="1:22" ht="15" x14ac:dyDescent="0.2">
      <c r="A1341" s="739">
        <v>5811</v>
      </c>
      <c r="B1341" s="743" t="s">
        <v>199</v>
      </c>
      <c r="C1341" s="736"/>
      <c r="D1341" s="736"/>
      <c r="E1341" s="749"/>
      <c r="F1341" s="736"/>
      <c r="G1341" s="736"/>
      <c r="H1341" s="736"/>
      <c r="I1341" s="736"/>
      <c r="J1341" s="736"/>
      <c r="K1341" s="736"/>
      <c r="L1341" s="736"/>
      <c r="M1341" s="736"/>
      <c r="N1341" s="736"/>
      <c r="O1341" s="736"/>
      <c r="P1341" s="738"/>
      <c r="Q1341" s="738"/>
      <c r="R1341" s="738"/>
      <c r="S1341" s="807">
        <v>35000000</v>
      </c>
      <c r="T1341" s="739">
        <v>1100121</v>
      </c>
      <c r="U1341" s="902">
        <v>0</v>
      </c>
      <c r="V1341" s="739">
        <v>1100122</v>
      </c>
    </row>
    <row r="1342" spans="1:22" ht="15" x14ac:dyDescent="0.2">
      <c r="A1342" s="739">
        <v>5651</v>
      </c>
      <c r="B1342" s="743" t="s">
        <v>105</v>
      </c>
      <c r="C1342" s="736"/>
      <c r="D1342" s="736">
        <v>60000</v>
      </c>
      <c r="E1342" s="749">
        <v>36000</v>
      </c>
      <c r="F1342" s="736">
        <v>30409.4</v>
      </c>
      <c r="G1342" s="736"/>
      <c r="H1342" s="736"/>
      <c r="I1342" s="736"/>
      <c r="J1342" s="736">
        <f>G1342+H1342-I1342</f>
        <v>0</v>
      </c>
      <c r="K1342" s="736"/>
      <c r="L1342" s="736"/>
      <c r="M1342" s="736">
        <f>J1342+K1342-L1342</f>
        <v>0</v>
      </c>
      <c r="N1342" s="736"/>
      <c r="O1342" s="736"/>
      <c r="P1342" s="738">
        <f>M1342+N1342-O1342</f>
        <v>0</v>
      </c>
      <c r="Q1342" s="738"/>
      <c r="R1342" s="738"/>
      <c r="S1342" s="738"/>
      <c r="T1342" s="739">
        <v>1100121</v>
      </c>
      <c r="U1342" s="745"/>
      <c r="V1342" s="739">
        <v>1100122</v>
      </c>
    </row>
    <row r="1343" spans="1:22" ht="15" x14ac:dyDescent="0.2">
      <c r="A1343" s="724" t="s">
        <v>213</v>
      </c>
      <c r="B1343" s="725" t="s">
        <v>1109</v>
      </c>
      <c r="C1343" s="721">
        <f>SUM(C1344+C1404+C1459)</f>
        <v>48260003.480000004</v>
      </c>
      <c r="D1343" s="721">
        <f>SUM(D1344+D1404+D1459)</f>
        <v>59878663.139999993</v>
      </c>
      <c r="E1343" s="721">
        <f>SUM(E1344+E1404+E1459)</f>
        <v>61971482.050000004</v>
      </c>
      <c r="F1343" s="721">
        <f>SUM(F1344+F1404+F1459)</f>
        <v>56668167.480000019</v>
      </c>
      <c r="G1343" s="721">
        <f t="shared" ref="G1343:S1343" si="489">SUM(G1344+G1404+G1415+G1459)</f>
        <v>66704520.560000002</v>
      </c>
      <c r="H1343" s="721">
        <f t="shared" si="489"/>
        <v>44279.08</v>
      </c>
      <c r="I1343" s="721">
        <f t="shared" si="489"/>
        <v>0</v>
      </c>
      <c r="J1343" s="721">
        <f t="shared" si="489"/>
        <v>66748799.640000001</v>
      </c>
      <c r="K1343" s="721">
        <f t="shared" si="489"/>
        <v>3763129.6099999994</v>
      </c>
      <c r="L1343" s="721">
        <f t="shared" si="489"/>
        <v>9007682.2599999998</v>
      </c>
      <c r="M1343" s="721">
        <f t="shared" si="489"/>
        <v>61504246.989999995</v>
      </c>
      <c r="N1343" s="721">
        <f t="shared" si="489"/>
        <v>3195535</v>
      </c>
      <c r="O1343" s="721">
        <f t="shared" si="489"/>
        <v>1865980</v>
      </c>
      <c r="P1343" s="721">
        <f t="shared" si="489"/>
        <v>62833801.989999995</v>
      </c>
      <c r="Q1343" s="756">
        <f t="shared" si="489"/>
        <v>62598483.949999988</v>
      </c>
      <c r="R1343" s="756">
        <f t="shared" si="489"/>
        <v>41892710.849999994</v>
      </c>
      <c r="S1343" s="756">
        <f t="shared" si="489"/>
        <v>81641694.150000006</v>
      </c>
      <c r="T1343" s="724"/>
      <c r="U1343" s="726">
        <f>SUM(U1344+U1404+U1415+U1459)</f>
        <v>92716589.300000012</v>
      </c>
      <c r="V1343" s="727"/>
    </row>
    <row r="1344" spans="1:22" ht="15" x14ac:dyDescent="0.2">
      <c r="A1344" s="728" t="s">
        <v>214</v>
      </c>
      <c r="B1344" s="729" t="s">
        <v>1621</v>
      </c>
      <c r="C1344" s="730">
        <f t="shared" ref="C1344:P1344" si="490">SUM(C1345:C1402)</f>
        <v>35785354.800000004</v>
      </c>
      <c r="D1344" s="730">
        <f t="shared" si="490"/>
        <v>45680502.519999996</v>
      </c>
      <c r="E1344" s="730">
        <f t="shared" si="490"/>
        <v>48731249.900000006</v>
      </c>
      <c r="F1344" s="730">
        <f t="shared" si="490"/>
        <v>43504837.560000017</v>
      </c>
      <c r="G1344" s="730">
        <f t="shared" si="490"/>
        <v>49015513.899999999</v>
      </c>
      <c r="H1344" s="730">
        <f t="shared" si="490"/>
        <v>44279.08</v>
      </c>
      <c r="I1344" s="730">
        <f t="shared" si="490"/>
        <v>0</v>
      </c>
      <c r="J1344" s="730">
        <f t="shared" si="490"/>
        <v>49059792.979999997</v>
      </c>
      <c r="K1344" s="730">
        <f t="shared" si="490"/>
        <v>3278998.9099999997</v>
      </c>
      <c r="L1344" s="730">
        <f t="shared" si="490"/>
        <v>8445027.2400000002</v>
      </c>
      <c r="M1344" s="730">
        <f t="shared" si="490"/>
        <v>43893764.649999991</v>
      </c>
      <c r="N1344" s="730">
        <f t="shared" si="490"/>
        <v>1940386</v>
      </c>
      <c r="O1344" s="730">
        <f t="shared" si="490"/>
        <v>1678380</v>
      </c>
      <c r="P1344" s="730">
        <f t="shared" si="490"/>
        <v>44155770.649999991</v>
      </c>
      <c r="Q1344" s="748">
        <f>SUM(Q1345:Q1403)</f>
        <v>44113000.519999996</v>
      </c>
      <c r="R1344" s="748">
        <f t="shared" ref="R1344:S1344" si="491">SUM(R1345:R1403)</f>
        <v>30888420.859999996</v>
      </c>
      <c r="S1344" s="748">
        <f t="shared" si="491"/>
        <v>64899340.339999996</v>
      </c>
      <c r="T1344" s="731"/>
      <c r="U1344" s="732">
        <f>SUM(U1345:U1403)</f>
        <v>74594663.909999996</v>
      </c>
      <c r="V1344" s="733"/>
    </row>
    <row r="1345" spans="1:22" ht="15" x14ac:dyDescent="0.25">
      <c r="A1345" s="734">
        <v>1131</v>
      </c>
      <c r="B1345" s="735" t="s">
        <v>6</v>
      </c>
      <c r="C1345" s="736">
        <v>1775338.69</v>
      </c>
      <c r="D1345" s="736">
        <v>2134324.92</v>
      </c>
      <c r="E1345" s="749">
        <v>1855618.63</v>
      </c>
      <c r="F1345" s="736">
        <v>2056799.2</v>
      </c>
      <c r="G1345" s="736">
        <v>2143226.8000000003</v>
      </c>
      <c r="H1345" s="736"/>
      <c r="I1345" s="736"/>
      <c r="J1345" s="736">
        <f t="shared" ref="J1345:J1394" si="492">G1345+H1345-I1345</f>
        <v>2143226.8000000003</v>
      </c>
      <c r="K1345" s="736"/>
      <c r="L1345" s="736">
        <v>36528.120000000003</v>
      </c>
      <c r="M1345" s="736">
        <f t="shared" ref="M1345:M1394" si="493">J1345+K1345-L1345</f>
        <v>2106698.6800000002</v>
      </c>
      <c r="N1345" s="736"/>
      <c r="O1345" s="736"/>
      <c r="P1345" s="736">
        <f t="shared" ref="P1345:P1394" si="494">M1345+N1345-O1345</f>
        <v>2106698.6800000002</v>
      </c>
      <c r="Q1345" s="903">
        <v>2676845.04</v>
      </c>
      <c r="R1345" s="738">
        <v>1699663.7</v>
      </c>
      <c r="S1345" s="751">
        <v>3878576.52</v>
      </c>
      <c r="T1345" s="739">
        <v>1500521</v>
      </c>
      <c r="U1345" s="779">
        <v>3608563.31</v>
      </c>
      <c r="V1345" s="741">
        <v>1500522</v>
      </c>
    </row>
    <row r="1346" spans="1:22" ht="15" x14ac:dyDescent="0.25">
      <c r="A1346" s="734">
        <v>1132</v>
      </c>
      <c r="B1346" s="735" t="s">
        <v>8</v>
      </c>
      <c r="C1346" s="736">
        <v>928000.95</v>
      </c>
      <c r="D1346" s="736">
        <v>1314593.28</v>
      </c>
      <c r="E1346" s="749">
        <v>1488045.28</v>
      </c>
      <c r="F1346" s="736">
        <v>1667911.39</v>
      </c>
      <c r="G1346" s="736">
        <v>2954144.4</v>
      </c>
      <c r="H1346" s="736"/>
      <c r="I1346" s="736"/>
      <c r="J1346" s="736">
        <f t="shared" si="492"/>
        <v>2954144.4</v>
      </c>
      <c r="K1346" s="736"/>
      <c r="L1346" s="736">
        <v>386376.51</v>
      </c>
      <c r="M1346" s="736">
        <f t="shared" si="493"/>
        <v>2567767.8899999997</v>
      </c>
      <c r="N1346" s="736"/>
      <c r="O1346" s="736"/>
      <c r="P1346" s="736">
        <f t="shared" si="494"/>
        <v>2567767.8899999997</v>
      </c>
      <c r="Q1346" s="903">
        <v>2060204.33</v>
      </c>
      <c r="R1346" s="738">
        <v>1530098.38</v>
      </c>
      <c r="S1346" s="751">
        <v>3125791.76</v>
      </c>
      <c r="T1346" s="739">
        <v>1500521</v>
      </c>
      <c r="U1346" s="779">
        <v>3094843.33</v>
      </c>
      <c r="V1346" s="741">
        <v>1500522</v>
      </c>
    </row>
    <row r="1347" spans="1:22" ht="15" x14ac:dyDescent="0.25">
      <c r="A1347" s="734">
        <v>1212</v>
      </c>
      <c r="B1347" s="735" t="s">
        <v>53</v>
      </c>
      <c r="C1347" s="736">
        <v>6419996.4199999999</v>
      </c>
      <c r="D1347" s="736">
        <v>4289481.5999999996</v>
      </c>
      <c r="E1347" s="749">
        <v>4649849.1399999997</v>
      </c>
      <c r="F1347" s="736">
        <v>4476119.21</v>
      </c>
      <c r="G1347" s="736">
        <v>3682958.4</v>
      </c>
      <c r="H1347" s="736"/>
      <c r="I1347" s="736"/>
      <c r="J1347" s="736">
        <f t="shared" si="492"/>
        <v>3682958.4</v>
      </c>
      <c r="K1347" s="736">
        <v>375705.81</v>
      </c>
      <c r="L1347" s="736"/>
      <c r="M1347" s="736">
        <f t="shared" si="493"/>
        <v>4058664.21</v>
      </c>
      <c r="N1347" s="736"/>
      <c r="O1347" s="736"/>
      <c r="P1347" s="736">
        <f t="shared" si="494"/>
        <v>4058664.21</v>
      </c>
      <c r="Q1347" s="903">
        <v>3958664.21</v>
      </c>
      <c r="R1347" s="738">
        <v>3450400.44</v>
      </c>
      <c r="S1347" s="751">
        <v>5564955.5999999996</v>
      </c>
      <c r="T1347" s="739">
        <v>1500521</v>
      </c>
      <c r="U1347" s="779">
        <v>5299957.7</v>
      </c>
      <c r="V1347" s="741">
        <v>1500522</v>
      </c>
    </row>
    <row r="1348" spans="1:22" ht="15" x14ac:dyDescent="0.25">
      <c r="A1348" s="734">
        <v>1321</v>
      </c>
      <c r="B1348" s="735" t="s">
        <v>9</v>
      </c>
      <c r="C1348" s="736">
        <v>200191.58</v>
      </c>
      <c r="D1348" s="736">
        <v>226995.83</v>
      </c>
      <c r="E1348" s="749">
        <v>242804.83</v>
      </c>
      <c r="F1348" s="736">
        <v>241766.42</v>
      </c>
      <c r="G1348" s="736">
        <v>274985.40000000002</v>
      </c>
      <c r="H1348" s="736"/>
      <c r="I1348" s="736"/>
      <c r="J1348" s="736">
        <f t="shared" si="492"/>
        <v>274985.40000000002</v>
      </c>
      <c r="K1348" s="736">
        <v>18678.04</v>
      </c>
      <c r="L1348" s="736"/>
      <c r="M1348" s="736">
        <f t="shared" si="493"/>
        <v>293663.44</v>
      </c>
      <c r="N1348" s="736"/>
      <c r="O1348" s="736"/>
      <c r="P1348" s="736">
        <f t="shared" si="494"/>
        <v>293663.44</v>
      </c>
      <c r="Q1348" s="738">
        <v>293663.44</v>
      </c>
      <c r="R1348" s="738">
        <v>138664.44</v>
      </c>
      <c r="S1348" s="751">
        <v>434802.51</v>
      </c>
      <c r="T1348" s="739">
        <v>1500521</v>
      </c>
      <c r="U1348" s="779">
        <v>331928.09999999998</v>
      </c>
      <c r="V1348" s="741">
        <v>1500522</v>
      </c>
    </row>
    <row r="1349" spans="1:22" ht="15" x14ac:dyDescent="0.25">
      <c r="A1349" s="734">
        <v>1322</v>
      </c>
      <c r="B1349" s="735" t="s">
        <v>182</v>
      </c>
      <c r="C1349" s="736">
        <v>20083.82</v>
      </c>
      <c r="D1349" s="736">
        <v>25000</v>
      </c>
      <c r="E1349" s="749">
        <v>23129.040000000001</v>
      </c>
      <c r="F1349" s="736">
        <v>19547.84</v>
      </c>
      <c r="G1349" s="736">
        <v>23129.1</v>
      </c>
      <c r="H1349" s="736"/>
      <c r="I1349" s="736"/>
      <c r="J1349" s="736">
        <f t="shared" si="492"/>
        <v>23129.1</v>
      </c>
      <c r="K1349" s="736"/>
      <c r="L1349" s="736">
        <v>0.06</v>
      </c>
      <c r="M1349" s="736">
        <f t="shared" si="493"/>
        <v>23129.039999999997</v>
      </c>
      <c r="N1349" s="736"/>
      <c r="O1349" s="736"/>
      <c r="P1349" s="736">
        <f t="shared" si="494"/>
        <v>23129.039999999997</v>
      </c>
      <c r="Q1349" s="738">
        <v>23129.040000000001</v>
      </c>
      <c r="R1349" s="738">
        <v>16424.78</v>
      </c>
      <c r="S1349" s="751">
        <v>23129.040000000001</v>
      </c>
      <c r="T1349" s="739">
        <v>1500521</v>
      </c>
      <c r="U1349" s="779">
        <v>23129.040000000001</v>
      </c>
      <c r="V1349" s="741">
        <v>1500522</v>
      </c>
    </row>
    <row r="1350" spans="1:22" ht="15" x14ac:dyDescent="0.25">
      <c r="A1350" s="734">
        <v>1323</v>
      </c>
      <c r="B1350" s="735" t="s">
        <v>11</v>
      </c>
      <c r="C1350" s="736">
        <v>712743.87</v>
      </c>
      <c r="D1350" s="736">
        <v>701967.9</v>
      </c>
      <c r="E1350" s="749">
        <v>932698.64</v>
      </c>
      <c r="F1350" s="736">
        <v>788473.77</v>
      </c>
      <c r="G1350" s="736">
        <v>933995.1</v>
      </c>
      <c r="H1350" s="736"/>
      <c r="I1350" s="736"/>
      <c r="J1350" s="736">
        <f t="shared" si="492"/>
        <v>933995.1</v>
      </c>
      <c r="K1350" s="736">
        <v>37225.96</v>
      </c>
      <c r="L1350" s="736"/>
      <c r="M1350" s="736">
        <f t="shared" si="493"/>
        <v>971221.05999999994</v>
      </c>
      <c r="N1350" s="736"/>
      <c r="O1350" s="736"/>
      <c r="P1350" s="736">
        <f t="shared" si="494"/>
        <v>971221.05999999994</v>
      </c>
      <c r="Q1350" s="738">
        <v>971221.06</v>
      </c>
      <c r="R1350" s="738">
        <v>643061.4</v>
      </c>
      <c r="S1350" s="751">
        <v>1438949.65</v>
      </c>
      <c r="T1350" s="739">
        <v>1500521</v>
      </c>
      <c r="U1350" s="779">
        <v>1136515.07</v>
      </c>
      <c r="V1350" s="741">
        <v>1500522</v>
      </c>
    </row>
    <row r="1351" spans="1:22" ht="15" x14ac:dyDescent="0.25">
      <c r="A1351" s="734">
        <v>1331</v>
      </c>
      <c r="B1351" s="735" t="s">
        <v>183</v>
      </c>
      <c r="C1351" s="736">
        <v>260281.67</v>
      </c>
      <c r="D1351" s="736">
        <v>283500</v>
      </c>
      <c r="E1351" s="749">
        <v>249386.04</v>
      </c>
      <c r="F1351" s="736">
        <v>190404.82</v>
      </c>
      <c r="G1351" s="736">
        <v>249386.1</v>
      </c>
      <c r="H1351" s="736"/>
      <c r="I1351" s="736"/>
      <c r="J1351" s="736">
        <f t="shared" si="492"/>
        <v>249386.1</v>
      </c>
      <c r="K1351" s="736"/>
      <c r="L1351" s="736">
        <v>0.06</v>
      </c>
      <c r="M1351" s="736">
        <f t="shared" si="493"/>
        <v>249386.04</v>
      </c>
      <c r="N1351" s="736"/>
      <c r="O1351" s="736"/>
      <c r="P1351" s="736">
        <f t="shared" si="494"/>
        <v>249386.04</v>
      </c>
      <c r="Q1351" s="738">
        <v>249386.04</v>
      </c>
      <c r="R1351" s="738">
        <v>148386.67000000001</v>
      </c>
      <c r="S1351" s="751">
        <v>249386.04</v>
      </c>
      <c r="T1351" s="739">
        <v>1500521</v>
      </c>
      <c r="U1351" s="779">
        <v>249386.04</v>
      </c>
      <c r="V1351" s="741">
        <v>1500522</v>
      </c>
    </row>
    <row r="1352" spans="1:22" ht="15" x14ac:dyDescent="0.25">
      <c r="A1352" s="734">
        <v>1342</v>
      </c>
      <c r="B1352" s="735" t="s">
        <v>215</v>
      </c>
      <c r="C1352" s="736"/>
      <c r="D1352" s="736">
        <v>209890.5</v>
      </c>
      <c r="E1352" s="749">
        <v>125933.5</v>
      </c>
      <c r="F1352" s="736">
        <v>0</v>
      </c>
      <c r="G1352" s="736">
        <v>125933.5</v>
      </c>
      <c r="H1352" s="736"/>
      <c r="I1352" s="736"/>
      <c r="J1352" s="736">
        <f t="shared" si="492"/>
        <v>125933.5</v>
      </c>
      <c r="K1352" s="736"/>
      <c r="L1352" s="736"/>
      <c r="M1352" s="736">
        <f t="shared" si="493"/>
        <v>125933.5</v>
      </c>
      <c r="N1352" s="736"/>
      <c r="O1352" s="736"/>
      <c r="P1352" s="736">
        <f t="shared" si="494"/>
        <v>125933.5</v>
      </c>
      <c r="Q1352" s="738">
        <v>125933.5</v>
      </c>
      <c r="R1352" s="738"/>
      <c r="S1352" s="751">
        <v>125933.5</v>
      </c>
      <c r="T1352" s="739">
        <v>1500521</v>
      </c>
      <c r="U1352" s="779">
        <v>125933.5</v>
      </c>
      <c r="V1352" s="741">
        <v>1500522</v>
      </c>
    </row>
    <row r="1353" spans="1:22" ht="15" x14ac:dyDescent="0.25">
      <c r="A1353" s="734">
        <v>1413</v>
      </c>
      <c r="B1353" s="735" t="s">
        <v>13</v>
      </c>
      <c r="C1353" s="736">
        <v>1825047.88</v>
      </c>
      <c r="D1353" s="736">
        <v>1256617</v>
      </c>
      <c r="E1353" s="749">
        <v>2076902.12</v>
      </c>
      <c r="F1353" s="736">
        <v>2244907.91</v>
      </c>
      <c r="G1353" s="736">
        <v>1805919</v>
      </c>
      <c r="H1353" s="736"/>
      <c r="I1353" s="736"/>
      <c r="J1353" s="736">
        <f t="shared" si="492"/>
        <v>1805919</v>
      </c>
      <c r="K1353" s="736">
        <v>93003.32</v>
      </c>
      <c r="L1353" s="736"/>
      <c r="M1353" s="736">
        <f t="shared" si="493"/>
        <v>1898922.32</v>
      </c>
      <c r="N1353" s="736"/>
      <c r="O1353" s="736"/>
      <c r="P1353" s="736">
        <f t="shared" si="494"/>
        <v>1898922.32</v>
      </c>
      <c r="Q1353" s="898">
        <v>1898922.32</v>
      </c>
      <c r="R1353" s="738">
        <v>1800172.58</v>
      </c>
      <c r="S1353" s="751">
        <v>2938577.64</v>
      </c>
      <c r="T1353" s="739">
        <v>1500521</v>
      </c>
      <c r="U1353" s="779">
        <v>2330143.59</v>
      </c>
      <c r="V1353" s="741">
        <v>1500522</v>
      </c>
    </row>
    <row r="1354" spans="1:22" ht="15" x14ac:dyDescent="0.25">
      <c r="A1354" s="734">
        <v>1421</v>
      </c>
      <c r="B1354" s="735" t="s">
        <v>15</v>
      </c>
      <c r="C1354" s="736">
        <v>509287.08</v>
      </c>
      <c r="D1354" s="736">
        <v>383237.34</v>
      </c>
      <c r="E1354" s="749">
        <v>538947.38</v>
      </c>
      <c r="F1354" s="736">
        <v>651770.17000000004</v>
      </c>
      <c r="G1354" s="736">
        <v>536123.6</v>
      </c>
      <c r="H1354" s="736"/>
      <c r="I1354" s="736"/>
      <c r="J1354" s="736">
        <f t="shared" si="492"/>
        <v>536123.6</v>
      </c>
      <c r="K1354" s="736">
        <v>22894.27</v>
      </c>
      <c r="L1354" s="736"/>
      <c r="M1354" s="736">
        <f t="shared" si="493"/>
        <v>559017.87</v>
      </c>
      <c r="N1354" s="736"/>
      <c r="O1354" s="736"/>
      <c r="P1354" s="736">
        <f t="shared" si="494"/>
        <v>559017.87</v>
      </c>
      <c r="Q1354" s="898">
        <v>559017.87</v>
      </c>
      <c r="R1354" s="738">
        <v>448550.6</v>
      </c>
      <c r="S1354" s="751">
        <v>826758.6</v>
      </c>
      <c r="T1354" s="739">
        <v>1500521</v>
      </c>
      <c r="U1354" s="779">
        <v>833495.64</v>
      </c>
      <c r="V1354" s="741">
        <v>1500522</v>
      </c>
    </row>
    <row r="1355" spans="1:22" ht="15" x14ac:dyDescent="0.25">
      <c r="A1355" s="734">
        <v>1431</v>
      </c>
      <c r="B1355" s="735" t="s">
        <v>16</v>
      </c>
      <c r="C1355" s="736">
        <v>546712.68000000005</v>
      </c>
      <c r="D1355" s="736">
        <v>394734.36</v>
      </c>
      <c r="E1355" s="749">
        <v>562729.14</v>
      </c>
      <c r="F1355" s="736">
        <v>677121.02</v>
      </c>
      <c r="G1355" s="736">
        <v>552208.4</v>
      </c>
      <c r="H1355" s="736"/>
      <c r="I1355" s="736"/>
      <c r="J1355" s="736">
        <f t="shared" si="492"/>
        <v>552208.4</v>
      </c>
      <c r="K1355" s="736">
        <v>23466.11</v>
      </c>
      <c r="L1355" s="736"/>
      <c r="M1355" s="736">
        <f t="shared" si="493"/>
        <v>575674.51</v>
      </c>
      <c r="N1355" s="736"/>
      <c r="O1355" s="736"/>
      <c r="P1355" s="736">
        <f t="shared" si="494"/>
        <v>575674.51</v>
      </c>
      <c r="Q1355" s="898">
        <v>575674.51</v>
      </c>
      <c r="R1355" s="738">
        <v>461695.83</v>
      </c>
      <c r="S1355" s="751">
        <v>851561.4</v>
      </c>
      <c r="T1355" s="739">
        <v>1500521</v>
      </c>
      <c r="U1355" s="779">
        <v>850156.12</v>
      </c>
      <c r="V1355" s="741">
        <v>1500522</v>
      </c>
    </row>
    <row r="1356" spans="1:22" ht="15" x14ac:dyDescent="0.25">
      <c r="A1356" s="734">
        <v>1441</v>
      </c>
      <c r="B1356" s="735" t="s">
        <v>216</v>
      </c>
      <c r="C1356" s="736">
        <v>5086564.6100000003</v>
      </c>
      <c r="D1356" s="736">
        <v>6500000</v>
      </c>
      <c r="E1356" s="749">
        <v>4873000</v>
      </c>
      <c r="F1356" s="736">
        <v>4857142.8600000003</v>
      </c>
      <c r="G1356" s="736">
        <v>5000000</v>
      </c>
      <c r="H1356" s="736"/>
      <c r="I1356" s="789"/>
      <c r="J1356" s="736">
        <f t="shared" si="492"/>
        <v>5000000</v>
      </c>
      <c r="K1356" s="736">
        <v>1682564</v>
      </c>
      <c r="L1356" s="789">
        <v>1250000</v>
      </c>
      <c r="M1356" s="736">
        <f t="shared" si="493"/>
        <v>5432564</v>
      </c>
      <c r="N1356" s="736">
        <v>1940386</v>
      </c>
      <c r="O1356" s="736"/>
      <c r="P1356" s="736">
        <f t="shared" si="494"/>
        <v>7372950</v>
      </c>
      <c r="Q1356" s="898">
        <v>7372950</v>
      </c>
      <c r="R1356" s="738">
        <v>6583008</v>
      </c>
      <c r="S1356" s="751">
        <v>8110245</v>
      </c>
      <c r="T1356" s="739">
        <v>1500521</v>
      </c>
      <c r="U1356" s="779">
        <v>8110245</v>
      </c>
      <c r="V1356" s="741">
        <v>2510222</v>
      </c>
    </row>
    <row r="1357" spans="1:22" ht="15" x14ac:dyDescent="0.25">
      <c r="A1357" s="734">
        <v>1511</v>
      </c>
      <c r="B1357" s="735" t="s">
        <v>18</v>
      </c>
      <c r="C1357" s="736">
        <v>62045.34</v>
      </c>
      <c r="D1357" s="736">
        <v>85281.56</v>
      </c>
      <c r="E1357" s="749">
        <v>81567.59</v>
      </c>
      <c r="F1357" s="736">
        <v>88474.35</v>
      </c>
      <c r="G1357" s="736">
        <v>113651.8</v>
      </c>
      <c r="H1357" s="736"/>
      <c r="I1357" s="736"/>
      <c r="J1357" s="736">
        <f t="shared" si="492"/>
        <v>113651.8</v>
      </c>
      <c r="K1357" s="736">
        <v>3048.19</v>
      </c>
      <c r="L1357" s="736"/>
      <c r="M1357" s="736">
        <f t="shared" si="493"/>
        <v>116699.99</v>
      </c>
      <c r="N1357" s="736"/>
      <c r="O1357" s="736"/>
      <c r="P1357" s="736">
        <f t="shared" si="494"/>
        <v>116699.99</v>
      </c>
      <c r="Q1357" s="738">
        <v>116699.99</v>
      </c>
      <c r="R1357" s="738">
        <v>78924.73</v>
      </c>
      <c r="S1357" s="751">
        <v>175742.84</v>
      </c>
      <c r="T1357" s="739">
        <v>1500521</v>
      </c>
      <c r="U1357" s="779">
        <v>124210.9</v>
      </c>
      <c r="V1357" s="741">
        <v>1500522</v>
      </c>
    </row>
    <row r="1358" spans="1:22" ht="15" x14ac:dyDescent="0.25">
      <c r="A1358" s="734">
        <v>1541</v>
      </c>
      <c r="B1358" s="735" t="s">
        <v>19</v>
      </c>
      <c r="C1358" s="736">
        <v>2632675.64</v>
      </c>
      <c r="D1358" s="736">
        <v>4003397.84</v>
      </c>
      <c r="E1358" s="749">
        <v>4364653.95</v>
      </c>
      <c r="F1358" s="736">
        <v>3206707.16</v>
      </c>
      <c r="G1358" s="736">
        <v>3364730.3000000003</v>
      </c>
      <c r="H1358" s="736"/>
      <c r="I1358" s="736"/>
      <c r="J1358" s="736">
        <f t="shared" si="492"/>
        <v>3364730.3000000003</v>
      </c>
      <c r="K1358" s="736"/>
      <c r="L1358" s="736">
        <v>19122.439999999999</v>
      </c>
      <c r="M1358" s="736">
        <f t="shared" si="493"/>
        <v>3345607.8600000003</v>
      </c>
      <c r="N1358" s="736"/>
      <c r="O1358" s="736"/>
      <c r="P1358" s="736">
        <f t="shared" si="494"/>
        <v>3345607.8600000003</v>
      </c>
      <c r="Q1358" s="738">
        <v>3345607.86</v>
      </c>
      <c r="R1358" s="738">
        <v>500780.49</v>
      </c>
      <c r="S1358" s="751">
        <v>3720632.56</v>
      </c>
      <c r="T1358" s="739">
        <v>1500521</v>
      </c>
      <c r="U1358" s="779">
        <v>4030796.73</v>
      </c>
      <c r="V1358" s="741">
        <v>1500522</v>
      </c>
    </row>
    <row r="1359" spans="1:22" ht="15" x14ac:dyDescent="0.25">
      <c r="A1359" s="734">
        <v>1592</v>
      </c>
      <c r="B1359" s="735" t="s">
        <v>20</v>
      </c>
      <c r="C1359" s="736">
        <v>585331.72</v>
      </c>
      <c r="D1359" s="736">
        <v>0</v>
      </c>
      <c r="E1359" s="749">
        <v>529943.36</v>
      </c>
      <c r="F1359" s="736">
        <v>597334.51</v>
      </c>
      <c r="G1359" s="736">
        <v>1058825.1000000001</v>
      </c>
      <c r="H1359" s="736"/>
      <c r="I1359" s="736"/>
      <c r="J1359" s="736">
        <f t="shared" si="492"/>
        <v>1058825.1000000001</v>
      </c>
      <c r="K1359" s="736">
        <v>22413.21</v>
      </c>
      <c r="L1359" s="736"/>
      <c r="M1359" s="736">
        <f t="shared" si="493"/>
        <v>1081238.31</v>
      </c>
      <c r="N1359" s="736"/>
      <c r="O1359" s="736"/>
      <c r="P1359" s="736">
        <f t="shared" si="494"/>
        <v>1081238.31</v>
      </c>
      <c r="Q1359" s="738">
        <v>1081238.31</v>
      </c>
      <c r="R1359" s="738">
        <v>741945.95</v>
      </c>
      <c r="S1359" s="751">
        <v>1783148.64</v>
      </c>
      <c r="T1359" s="739">
        <v>1500521</v>
      </c>
      <c r="U1359" s="779">
        <v>1160254.4099999999</v>
      </c>
      <c r="V1359" s="741">
        <v>1500522</v>
      </c>
    </row>
    <row r="1360" spans="1:22" ht="15" x14ac:dyDescent="0.25">
      <c r="A1360" s="734">
        <v>1611</v>
      </c>
      <c r="B1360" s="735" t="s">
        <v>217</v>
      </c>
      <c r="C1360" s="736"/>
      <c r="D1360" s="736"/>
      <c r="E1360" s="749"/>
      <c r="F1360" s="736"/>
      <c r="G1360" s="736"/>
      <c r="H1360" s="736"/>
      <c r="I1360" s="736"/>
      <c r="J1360" s="736"/>
      <c r="K1360" s="736"/>
      <c r="L1360" s="736"/>
      <c r="M1360" s="736"/>
      <c r="N1360" s="736"/>
      <c r="O1360" s="736"/>
      <c r="P1360" s="736"/>
      <c r="Q1360" s="738"/>
      <c r="R1360" s="738"/>
      <c r="S1360" s="751"/>
      <c r="T1360" s="739"/>
      <c r="U1360" s="779">
        <f>18983832+3937800</f>
        <v>22921632</v>
      </c>
      <c r="V1360" s="741">
        <v>1100122</v>
      </c>
    </row>
    <row r="1361" spans="1:22" ht="15" x14ac:dyDescent="0.25">
      <c r="A1361" s="734">
        <v>1611</v>
      </c>
      <c r="B1361" s="735" t="s">
        <v>217</v>
      </c>
      <c r="C1361" s="736"/>
      <c r="D1361" s="736">
        <v>1793920.39</v>
      </c>
      <c r="E1361" s="749">
        <v>1076352.24</v>
      </c>
      <c r="F1361" s="736">
        <v>0</v>
      </c>
      <c r="G1361" s="736">
        <v>1130169.9000000001</v>
      </c>
      <c r="H1361" s="736"/>
      <c r="I1361" s="736"/>
      <c r="J1361" s="736">
        <f t="shared" si="492"/>
        <v>1130169.9000000001</v>
      </c>
      <c r="K1361" s="736"/>
      <c r="L1361" s="736">
        <v>0.05</v>
      </c>
      <c r="M1361" s="736">
        <f t="shared" si="493"/>
        <v>1130169.8500000001</v>
      </c>
      <c r="N1361" s="736"/>
      <c r="O1361" s="736"/>
      <c r="P1361" s="736">
        <f t="shared" si="494"/>
        <v>1130169.8500000001</v>
      </c>
      <c r="Q1361" s="738">
        <v>1130169.8500000001</v>
      </c>
      <c r="R1361" s="738"/>
      <c r="S1361" s="751">
        <v>3271388.6</v>
      </c>
      <c r="T1361" s="739">
        <v>1500521</v>
      </c>
      <c r="U1361" s="779">
        <f>19131011.43-18983832</f>
        <v>147179.4299999997</v>
      </c>
      <c r="V1361" s="741">
        <v>1500522</v>
      </c>
    </row>
    <row r="1362" spans="1:22" ht="15" x14ac:dyDescent="0.25">
      <c r="A1362" s="734">
        <v>1711</v>
      </c>
      <c r="B1362" s="735" t="s">
        <v>218</v>
      </c>
      <c r="C1362" s="736"/>
      <c r="D1362" s="736">
        <v>55440</v>
      </c>
      <c r="E1362" s="749">
        <v>55440</v>
      </c>
      <c r="F1362" s="736">
        <v>0</v>
      </c>
      <c r="G1362" s="736">
        <v>55440</v>
      </c>
      <c r="H1362" s="736"/>
      <c r="I1362" s="736"/>
      <c r="J1362" s="736">
        <f t="shared" si="492"/>
        <v>55440</v>
      </c>
      <c r="K1362" s="736"/>
      <c r="L1362" s="736"/>
      <c r="M1362" s="736">
        <f t="shared" si="493"/>
        <v>55440</v>
      </c>
      <c r="N1362" s="736"/>
      <c r="O1362" s="736"/>
      <c r="P1362" s="736">
        <f t="shared" si="494"/>
        <v>55440</v>
      </c>
      <c r="Q1362" s="738">
        <v>55440</v>
      </c>
      <c r="R1362" s="738"/>
      <c r="S1362" s="751">
        <v>55440</v>
      </c>
      <c r="T1362" s="739">
        <v>1500521</v>
      </c>
      <c r="U1362" s="779">
        <v>55440</v>
      </c>
      <c r="V1362" s="741">
        <v>1500522</v>
      </c>
    </row>
    <row r="1363" spans="1:22" ht="15" x14ac:dyDescent="0.25">
      <c r="A1363" s="734">
        <v>2111</v>
      </c>
      <c r="B1363" s="735" t="s">
        <v>22</v>
      </c>
      <c r="C1363" s="736">
        <v>15139</v>
      </c>
      <c r="D1363" s="736">
        <v>70440</v>
      </c>
      <c r="E1363" s="749">
        <v>49308</v>
      </c>
      <c r="F1363" s="736">
        <v>41258.730000000003</v>
      </c>
      <c r="G1363" s="752">
        <v>25000</v>
      </c>
      <c r="H1363" s="752"/>
      <c r="I1363" s="752"/>
      <c r="J1363" s="736">
        <f t="shared" si="492"/>
        <v>25000</v>
      </c>
      <c r="K1363" s="752"/>
      <c r="L1363" s="752"/>
      <c r="M1363" s="736">
        <f t="shared" si="493"/>
        <v>25000</v>
      </c>
      <c r="N1363" s="736"/>
      <c r="O1363" s="736"/>
      <c r="P1363" s="736">
        <f t="shared" si="494"/>
        <v>25000</v>
      </c>
      <c r="Q1363" s="898">
        <v>18647.07</v>
      </c>
      <c r="R1363" s="738">
        <v>14009.24</v>
      </c>
      <c r="S1363" s="753">
        <v>28000</v>
      </c>
      <c r="T1363" s="739">
        <v>1100121</v>
      </c>
      <c r="U1363" s="740">
        <v>28000</v>
      </c>
      <c r="V1363" s="741">
        <v>1100122</v>
      </c>
    </row>
    <row r="1364" spans="1:22" ht="15" x14ac:dyDescent="0.2">
      <c r="A1364" s="739">
        <v>2112</v>
      </c>
      <c r="B1364" s="743" t="s">
        <v>39</v>
      </c>
      <c r="C1364" s="736"/>
      <c r="D1364" s="736">
        <v>121220</v>
      </c>
      <c r="E1364" s="749">
        <v>149981.79999999999</v>
      </c>
      <c r="F1364" s="736">
        <v>147115.62</v>
      </c>
      <c r="G1364" s="752">
        <v>20000</v>
      </c>
      <c r="H1364" s="752"/>
      <c r="I1364" s="752"/>
      <c r="J1364" s="736">
        <f t="shared" si="492"/>
        <v>20000</v>
      </c>
      <c r="K1364" s="752"/>
      <c r="L1364" s="752"/>
      <c r="M1364" s="736">
        <f t="shared" si="493"/>
        <v>20000</v>
      </c>
      <c r="N1364" s="736"/>
      <c r="O1364" s="736"/>
      <c r="P1364" s="736">
        <f t="shared" si="494"/>
        <v>20000</v>
      </c>
      <c r="Q1364" s="753">
        <v>20000</v>
      </c>
      <c r="R1364" s="738">
        <v>10822.41</v>
      </c>
      <c r="S1364" s="753">
        <v>10000</v>
      </c>
      <c r="T1364" s="739">
        <v>1100121</v>
      </c>
      <c r="U1364" s="744">
        <v>0</v>
      </c>
      <c r="V1364" s="739">
        <v>1100122</v>
      </c>
    </row>
    <row r="1365" spans="1:22" ht="15" x14ac:dyDescent="0.2">
      <c r="A1365" s="739">
        <v>2112</v>
      </c>
      <c r="B1365" s="743" t="s">
        <v>39</v>
      </c>
      <c r="C1365" s="736"/>
      <c r="D1365" s="736">
        <v>10000</v>
      </c>
      <c r="E1365" s="749">
        <v>10000</v>
      </c>
      <c r="F1365" s="736">
        <v>9371.6</v>
      </c>
      <c r="G1365" s="736"/>
      <c r="H1365" s="736"/>
      <c r="I1365" s="736"/>
      <c r="J1365" s="736">
        <f t="shared" si="492"/>
        <v>0</v>
      </c>
      <c r="K1365" s="736"/>
      <c r="L1365" s="736"/>
      <c r="M1365" s="736">
        <f t="shared" si="493"/>
        <v>0</v>
      </c>
      <c r="N1365" s="736"/>
      <c r="O1365" s="736"/>
      <c r="P1365" s="738">
        <f t="shared" si="494"/>
        <v>0</v>
      </c>
      <c r="Q1365" s="738"/>
      <c r="R1365" s="738"/>
      <c r="S1365" s="738"/>
      <c r="T1365" s="739">
        <v>1100121</v>
      </c>
      <c r="U1365" s="745"/>
      <c r="V1365" s="739">
        <v>1100122</v>
      </c>
    </row>
    <row r="1366" spans="1:22" ht="15" x14ac:dyDescent="0.2">
      <c r="A1366" s="739">
        <v>2112</v>
      </c>
      <c r="B1366" s="743" t="s">
        <v>39</v>
      </c>
      <c r="C1366" s="736">
        <v>4989.99</v>
      </c>
      <c r="D1366" s="736">
        <v>121220</v>
      </c>
      <c r="E1366" s="749">
        <v>121220</v>
      </c>
      <c r="F1366" s="736">
        <v>121125</v>
      </c>
      <c r="G1366" s="736"/>
      <c r="H1366" s="736"/>
      <c r="I1366" s="736"/>
      <c r="J1366" s="736">
        <f t="shared" si="492"/>
        <v>0</v>
      </c>
      <c r="K1366" s="736"/>
      <c r="L1366" s="736"/>
      <c r="M1366" s="736">
        <f t="shared" si="493"/>
        <v>0</v>
      </c>
      <c r="N1366" s="736"/>
      <c r="O1366" s="736"/>
      <c r="P1366" s="738">
        <f t="shared" si="494"/>
        <v>0</v>
      </c>
      <c r="Q1366" s="738"/>
      <c r="R1366" s="738"/>
      <c r="S1366" s="738"/>
      <c r="T1366" s="739">
        <v>2520319</v>
      </c>
      <c r="U1366" s="745"/>
      <c r="V1366" s="739">
        <v>2520319</v>
      </c>
    </row>
    <row r="1367" spans="1:22" ht="15" x14ac:dyDescent="0.2">
      <c r="A1367" s="734">
        <v>2151</v>
      </c>
      <c r="B1367" s="735" t="s">
        <v>25</v>
      </c>
      <c r="C1367" s="736">
        <v>1495</v>
      </c>
      <c r="D1367" s="736">
        <v>2000</v>
      </c>
      <c r="E1367" s="749">
        <v>2000</v>
      </c>
      <c r="F1367" s="736">
        <v>1495</v>
      </c>
      <c r="G1367" s="752">
        <v>2000</v>
      </c>
      <c r="H1367" s="752"/>
      <c r="I1367" s="752"/>
      <c r="J1367" s="736">
        <f t="shared" si="492"/>
        <v>2000</v>
      </c>
      <c r="K1367" s="752"/>
      <c r="L1367" s="752"/>
      <c r="M1367" s="736">
        <f t="shared" si="493"/>
        <v>2000</v>
      </c>
      <c r="N1367" s="736"/>
      <c r="O1367" s="736"/>
      <c r="P1367" s="736">
        <f t="shared" si="494"/>
        <v>2000</v>
      </c>
      <c r="Q1367" s="753">
        <v>2000</v>
      </c>
      <c r="R1367" s="738">
        <v>1495</v>
      </c>
      <c r="S1367" s="753">
        <v>2000</v>
      </c>
      <c r="T1367" s="739">
        <v>1100121</v>
      </c>
      <c r="U1367" s="754">
        <v>2000</v>
      </c>
      <c r="V1367" s="741">
        <v>1100122</v>
      </c>
    </row>
    <row r="1368" spans="1:22" ht="15" x14ac:dyDescent="0.2">
      <c r="A1368" s="734">
        <v>2212</v>
      </c>
      <c r="B1368" s="735" t="s">
        <v>40</v>
      </c>
      <c r="C1368" s="736">
        <v>3960.65</v>
      </c>
      <c r="D1368" s="736">
        <v>10000</v>
      </c>
      <c r="E1368" s="749">
        <v>10000</v>
      </c>
      <c r="F1368" s="736">
        <v>1728</v>
      </c>
      <c r="G1368" s="752">
        <v>10000</v>
      </c>
      <c r="H1368" s="752"/>
      <c r="I1368" s="752"/>
      <c r="J1368" s="736">
        <f t="shared" si="492"/>
        <v>10000</v>
      </c>
      <c r="K1368" s="752"/>
      <c r="L1368" s="752"/>
      <c r="M1368" s="736">
        <f t="shared" si="493"/>
        <v>10000</v>
      </c>
      <c r="N1368" s="736"/>
      <c r="O1368" s="736"/>
      <c r="P1368" s="736">
        <f t="shared" si="494"/>
        <v>10000</v>
      </c>
      <c r="Q1368" s="753">
        <v>10000</v>
      </c>
      <c r="R1368" s="738">
        <v>1724.99</v>
      </c>
      <c r="S1368" s="753">
        <v>10000</v>
      </c>
      <c r="T1368" s="739">
        <v>1100121</v>
      </c>
      <c r="U1368" s="754">
        <v>10000</v>
      </c>
      <c r="V1368" s="741">
        <v>1100122</v>
      </c>
    </row>
    <row r="1369" spans="1:22" ht="15" x14ac:dyDescent="0.2">
      <c r="A1369" s="739">
        <v>2231</v>
      </c>
      <c r="B1369" s="743" t="s">
        <v>114</v>
      </c>
      <c r="C1369" s="736">
        <v>6630</v>
      </c>
      <c r="D1369" s="736"/>
      <c r="E1369" s="736"/>
      <c r="F1369" s="736"/>
      <c r="G1369" s="752"/>
      <c r="H1369" s="752"/>
      <c r="I1369" s="752"/>
      <c r="J1369" s="736">
        <f t="shared" si="492"/>
        <v>0</v>
      </c>
      <c r="K1369" s="752"/>
      <c r="L1369" s="752"/>
      <c r="M1369" s="736">
        <f t="shared" si="493"/>
        <v>0</v>
      </c>
      <c r="N1369" s="736"/>
      <c r="O1369" s="736"/>
      <c r="P1369" s="738">
        <f t="shared" si="494"/>
        <v>0</v>
      </c>
      <c r="Q1369" s="753"/>
      <c r="R1369" s="738"/>
      <c r="S1369" s="753"/>
      <c r="T1369" s="739"/>
      <c r="U1369" s="745"/>
      <c r="V1369" s="739"/>
    </row>
    <row r="1370" spans="1:22" ht="15" x14ac:dyDescent="0.2">
      <c r="A1370" s="734">
        <v>2491</v>
      </c>
      <c r="B1370" s="735" t="s">
        <v>41</v>
      </c>
      <c r="C1370" s="736">
        <v>5892.4</v>
      </c>
      <c r="D1370" s="736">
        <v>0</v>
      </c>
      <c r="E1370" s="749">
        <v>27000</v>
      </c>
      <c r="F1370" s="736">
        <v>0</v>
      </c>
      <c r="G1370" s="752">
        <v>5000</v>
      </c>
      <c r="H1370" s="752"/>
      <c r="I1370" s="752"/>
      <c r="J1370" s="736">
        <f t="shared" si="492"/>
        <v>5000</v>
      </c>
      <c r="K1370" s="752"/>
      <c r="L1370" s="752"/>
      <c r="M1370" s="736">
        <f t="shared" si="493"/>
        <v>5000</v>
      </c>
      <c r="N1370" s="736"/>
      <c r="O1370" s="736"/>
      <c r="P1370" s="736">
        <f t="shared" si="494"/>
        <v>5000</v>
      </c>
      <c r="Q1370" s="753">
        <v>5000</v>
      </c>
      <c r="R1370" s="738">
        <v>4997.7</v>
      </c>
      <c r="S1370" s="753">
        <v>5000</v>
      </c>
      <c r="T1370" s="739">
        <v>1100121</v>
      </c>
      <c r="U1370" s="754">
        <v>5000</v>
      </c>
      <c r="V1370" s="741">
        <v>1100122</v>
      </c>
    </row>
    <row r="1371" spans="1:22" ht="15" x14ac:dyDescent="0.2">
      <c r="A1371" s="739">
        <v>2491</v>
      </c>
      <c r="B1371" s="743" t="s">
        <v>41</v>
      </c>
      <c r="C1371" s="736"/>
      <c r="D1371" s="736">
        <v>5000</v>
      </c>
      <c r="E1371" s="749">
        <v>5000</v>
      </c>
      <c r="F1371" s="736">
        <v>37420.15</v>
      </c>
      <c r="G1371" s="736"/>
      <c r="H1371" s="736"/>
      <c r="I1371" s="736"/>
      <c r="J1371" s="736">
        <f t="shared" si="492"/>
        <v>0</v>
      </c>
      <c r="K1371" s="736"/>
      <c r="L1371" s="736"/>
      <c r="M1371" s="736">
        <f t="shared" si="493"/>
        <v>0</v>
      </c>
      <c r="N1371" s="736"/>
      <c r="O1371" s="736"/>
      <c r="P1371" s="738">
        <f t="shared" si="494"/>
        <v>0</v>
      </c>
      <c r="Q1371" s="738"/>
      <c r="R1371" s="738"/>
      <c r="S1371" s="738"/>
      <c r="T1371" s="739">
        <v>1100121</v>
      </c>
      <c r="U1371" s="745"/>
      <c r="V1371" s="739">
        <v>1100122</v>
      </c>
    </row>
    <row r="1372" spans="1:22" ht="30" x14ac:dyDescent="0.25">
      <c r="A1372" s="734">
        <v>2612</v>
      </c>
      <c r="B1372" s="735" t="s">
        <v>26</v>
      </c>
      <c r="C1372" s="736">
        <v>198679.44</v>
      </c>
      <c r="D1372" s="736">
        <v>197000</v>
      </c>
      <c r="E1372" s="749">
        <v>170000</v>
      </c>
      <c r="F1372" s="736">
        <v>150485.74</v>
      </c>
      <c r="G1372" s="752">
        <v>175000</v>
      </c>
      <c r="H1372" s="752"/>
      <c r="I1372" s="752"/>
      <c r="J1372" s="736">
        <f t="shared" si="492"/>
        <v>175000</v>
      </c>
      <c r="K1372" s="752"/>
      <c r="L1372" s="752"/>
      <c r="M1372" s="736">
        <f t="shared" si="493"/>
        <v>175000</v>
      </c>
      <c r="N1372" s="736"/>
      <c r="O1372" s="736">
        <v>15000</v>
      </c>
      <c r="P1372" s="736">
        <f t="shared" si="494"/>
        <v>160000</v>
      </c>
      <c r="Q1372" s="898">
        <v>171000</v>
      </c>
      <c r="R1372" s="738">
        <v>124186.23</v>
      </c>
      <c r="S1372" s="738">
        <f>Q1372</f>
        <v>171000</v>
      </c>
      <c r="T1372" s="739">
        <v>1100121</v>
      </c>
      <c r="U1372" s="746">
        <v>175000</v>
      </c>
      <c r="V1372" s="741">
        <v>1100122</v>
      </c>
    </row>
    <row r="1373" spans="1:22" ht="15" x14ac:dyDescent="0.2">
      <c r="A1373" s="734">
        <v>2711</v>
      </c>
      <c r="B1373" s="735" t="s">
        <v>27</v>
      </c>
      <c r="C1373" s="736">
        <v>30572</v>
      </c>
      <c r="D1373" s="736"/>
      <c r="E1373" s="749"/>
      <c r="F1373" s="736"/>
      <c r="G1373" s="752"/>
      <c r="H1373" s="752">
        <v>44279.08</v>
      </c>
      <c r="I1373" s="752"/>
      <c r="J1373" s="736">
        <f t="shared" si="492"/>
        <v>44279.08</v>
      </c>
      <c r="K1373" s="752"/>
      <c r="L1373" s="752"/>
      <c r="M1373" s="736">
        <f t="shared" si="493"/>
        <v>44279.08</v>
      </c>
      <c r="N1373" s="736"/>
      <c r="O1373" s="736"/>
      <c r="P1373" s="736">
        <f t="shared" si="494"/>
        <v>44279.08</v>
      </c>
      <c r="Q1373" s="753">
        <v>44279.08</v>
      </c>
      <c r="R1373" s="738">
        <v>44279.08</v>
      </c>
      <c r="S1373" s="753">
        <v>3100000</v>
      </c>
      <c r="T1373" s="739">
        <v>1100120</v>
      </c>
      <c r="U1373" s="754">
        <v>3423000</v>
      </c>
      <c r="V1373" s="741">
        <v>1100122</v>
      </c>
    </row>
    <row r="1374" spans="1:22" ht="15" x14ac:dyDescent="0.2">
      <c r="A1374" s="739">
        <v>2711</v>
      </c>
      <c r="B1374" s="743" t="s">
        <v>27</v>
      </c>
      <c r="C1374" s="736">
        <v>1384494.88</v>
      </c>
      <c r="D1374" s="736">
        <v>3000000</v>
      </c>
      <c r="E1374" s="749">
        <v>1300000</v>
      </c>
      <c r="F1374" s="736">
        <v>708871.32</v>
      </c>
      <c r="G1374" s="752">
        <v>1704000</v>
      </c>
      <c r="H1374" s="752"/>
      <c r="I1374" s="752"/>
      <c r="J1374" s="736">
        <f t="shared" si="492"/>
        <v>1704000</v>
      </c>
      <c r="K1374" s="752"/>
      <c r="L1374" s="752"/>
      <c r="M1374" s="736">
        <f t="shared" si="493"/>
        <v>1704000</v>
      </c>
      <c r="N1374" s="736"/>
      <c r="O1374" s="736">
        <v>1623380</v>
      </c>
      <c r="P1374" s="736">
        <f t="shared" si="494"/>
        <v>80620</v>
      </c>
      <c r="Q1374" s="753">
        <v>80620</v>
      </c>
      <c r="R1374" s="738">
        <v>80236.800000000003</v>
      </c>
      <c r="S1374" s="753"/>
      <c r="T1374" s="739">
        <v>1100121</v>
      </c>
      <c r="U1374" s="744"/>
      <c r="V1374" s="739">
        <v>1100122</v>
      </c>
    </row>
    <row r="1375" spans="1:22" ht="15" x14ac:dyDescent="0.2">
      <c r="A1375" s="734">
        <v>3111</v>
      </c>
      <c r="B1375" s="735" t="s">
        <v>47</v>
      </c>
      <c r="C1375" s="736">
        <v>2829808</v>
      </c>
      <c r="D1375" s="736">
        <v>3590000</v>
      </c>
      <c r="E1375" s="749">
        <v>3715961.1</v>
      </c>
      <c r="F1375" s="736">
        <v>2634431</v>
      </c>
      <c r="G1375" s="752">
        <v>3840000</v>
      </c>
      <c r="H1375" s="752"/>
      <c r="I1375" s="752"/>
      <c r="J1375" s="736">
        <f t="shared" si="492"/>
        <v>3840000</v>
      </c>
      <c r="K1375" s="752"/>
      <c r="L1375" s="752">
        <v>40000</v>
      </c>
      <c r="M1375" s="736">
        <f t="shared" si="493"/>
        <v>3800000</v>
      </c>
      <c r="N1375" s="736"/>
      <c r="O1375" s="736"/>
      <c r="P1375" s="736">
        <f t="shared" si="494"/>
        <v>3800000</v>
      </c>
      <c r="Q1375" s="753">
        <v>3800000</v>
      </c>
      <c r="R1375" s="738">
        <v>1755433</v>
      </c>
      <c r="S1375" s="894">
        <v>3800000</v>
      </c>
      <c r="T1375" s="739">
        <v>1100121</v>
      </c>
      <c r="U1375" s="746">
        <v>2800000</v>
      </c>
      <c r="V1375" s="741">
        <v>1100122</v>
      </c>
    </row>
    <row r="1376" spans="1:22" ht="15" x14ac:dyDescent="0.2">
      <c r="A1376" s="734">
        <v>3131</v>
      </c>
      <c r="B1376" s="735" t="s">
        <v>61</v>
      </c>
      <c r="C1376" s="736">
        <v>48510.41</v>
      </c>
      <c r="D1376" s="736">
        <v>89000</v>
      </c>
      <c r="E1376" s="749">
        <v>149000</v>
      </c>
      <c r="F1376" s="736">
        <v>112149.66</v>
      </c>
      <c r="G1376" s="752">
        <v>300000</v>
      </c>
      <c r="H1376" s="752"/>
      <c r="I1376" s="752"/>
      <c r="J1376" s="736">
        <f t="shared" si="492"/>
        <v>300000</v>
      </c>
      <c r="K1376" s="752"/>
      <c r="L1376" s="752"/>
      <c r="M1376" s="736">
        <f t="shared" si="493"/>
        <v>300000</v>
      </c>
      <c r="N1376" s="736"/>
      <c r="O1376" s="736"/>
      <c r="P1376" s="736">
        <f t="shared" si="494"/>
        <v>300000</v>
      </c>
      <c r="Q1376" s="753">
        <v>300000</v>
      </c>
      <c r="R1376" s="738">
        <v>124528.8</v>
      </c>
      <c r="S1376" s="753"/>
      <c r="T1376" s="739">
        <v>1100121</v>
      </c>
      <c r="U1376" s="746">
        <v>200000</v>
      </c>
      <c r="V1376" s="741">
        <v>1100122</v>
      </c>
    </row>
    <row r="1377" spans="1:22" ht="15" x14ac:dyDescent="0.25">
      <c r="A1377" s="734">
        <v>3141</v>
      </c>
      <c r="B1377" s="735" t="s">
        <v>48</v>
      </c>
      <c r="C1377" s="736">
        <v>14562.11</v>
      </c>
      <c r="D1377" s="736">
        <v>801000</v>
      </c>
      <c r="E1377" s="749">
        <v>801000</v>
      </c>
      <c r="F1377" s="736">
        <v>673789.38</v>
      </c>
      <c r="G1377" s="752">
        <v>880000</v>
      </c>
      <c r="H1377" s="752"/>
      <c r="I1377" s="752"/>
      <c r="J1377" s="736">
        <f t="shared" si="492"/>
        <v>880000</v>
      </c>
      <c r="K1377" s="752"/>
      <c r="L1377" s="752">
        <v>85000</v>
      </c>
      <c r="M1377" s="736">
        <f t="shared" si="493"/>
        <v>795000</v>
      </c>
      <c r="N1377" s="736"/>
      <c r="O1377" s="736"/>
      <c r="P1377" s="736">
        <f t="shared" si="494"/>
        <v>795000</v>
      </c>
      <c r="Q1377" s="898">
        <v>775000</v>
      </c>
      <c r="R1377" s="738">
        <v>475073.12</v>
      </c>
      <c r="S1377" s="753"/>
      <c r="T1377" s="739">
        <v>1100121</v>
      </c>
      <c r="U1377" s="746">
        <v>750000</v>
      </c>
      <c r="V1377" s="741">
        <v>1100122</v>
      </c>
    </row>
    <row r="1378" spans="1:22" ht="15" x14ac:dyDescent="0.2">
      <c r="A1378" s="734">
        <v>3151</v>
      </c>
      <c r="B1378" s="735" t="s">
        <v>28</v>
      </c>
      <c r="C1378" s="736">
        <v>33270.050000000003</v>
      </c>
      <c r="D1378" s="736">
        <v>39000</v>
      </c>
      <c r="E1378" s="749">
        <v>39000</v>
      </c>
      <c r="F1378" s="736">
        <v>38927.89</v>
      </c>
      <c r="G1378" s="752">
        <v>45000</v>
      </c>
      <c r="H1378" s="752"/>
      <c r="I1378" s="752"/>
      <c r="J1378" s="736">
        <f t="shared" si="492"/>
        <v>45000</v>
      </c>
      <c r="K1378" s="752"/>
      <c r="L1378" s="752"/>
      <c r="M1378" s="736">
        <f t="shared" si="493"/>
        <v>45000</v>
      </c>
      <c r="N1378" s="736"/>
      <c r="O1378" s="736"/>
      <c r="P1378" s="736">
        <f t="shared" si="494"/>
        <v>45000</v>
      </c>
      <c r="Q1378" s="753">
        <v>45000</v>
      </c>
      <c r="R1378" s="738">
        <v>35035.440000000002</v>
      </c>
      <c r="S1378" s="753"/>
      <c r="T1378" s="739">
        <v>1100121</v>
      </c>
      <c r="U1378" s="746">
        <v>60000</v>
      </c>
      <c r="V1378" s="741">
        <v>1100122</v>
      </c>
    </row>
    <row r="1379" spans="1:22" ht="15" x14ac:dyDescent="0.2">
      <c r="A1379" s="734">
        <v>3231</v>
      </c>
      <c r="B1379" s="735" t="s">
        <v>204</v>
      </c>
      <c r="C1379" s="736">
        <v>1192331.5900000001</v>
      </c>
      <c r="D1379" s="736">
        <v>1500000</v>
      </c>
      <c r="E1379" s="749">
        <v>1500000</v>
      </c>
      <c r="F1379" s="736">
        <v>1204923.74</v>
      </c>
      <c r="G1379" s="752">
        <v>1500000</v>
      </c>
      <c r="H1379" s="752"/>
      <c r="I1379" s="752"/>
      <c r="J1379" s="736">
        <f t="shared" si="492"/>
        <v>1500000</v>
      </c>
      <c r="K1379" s="752"/>
      <c r="L1379" s="752"/>
      <c r="M1379" s="736">
        <f t="shared" si="493"/>
        <v>1500000</v>
      </c>
      <c r="N1379" s="736"/>
      <c r="O1379" s="736"/>
      <c r="P1379" s="736">
        <f t="shared" si="494"/>
        <v>1500000</v>
      </c>
      <c r="Q1379" s="753">
        <v>1500000</v>
      </c>
      <c r="R1379" s="738">
        <v>902793.2</v>
      </c>
      <c r="S1379" s="753">
        <v>1600000</v>
      </c>
      <c r="T1379" s="739">
        <v>1100121</v>
      </c>
      <c r="U1379" s="754">
        <v>1600000</v>
      </c>
      <c r="V1379" s="741">
        <v>1100122</v>
      </c>
    </row>
    <row r="1380" spans="1:22" ht="15" x14ac:dyDescent="0.2">
      <c r="A1380" s="739">
        <v>3341</v>
      </c>
      <c r="B1380" s="743" t="s">
        <v>219</v>
      </c>
      <c r="C1380" s="736">
        <v>263320</v>
      </c>
      <c r="D1380" s="736"/>
      <c r="E1380" s="749"/>
      <c r="F1380" s="736"/>
      <c r="G1380" s="752"/>
      <c r="H1380" s="752"/>
      <c r="I1380" s="752"/>
      <c r="J1380" s="736">
        <f t="shared" si="492"/>
        <v>0</v>
      </c>
      <c r="K1380" s="752"/>
      <c r="L1380" s="752"/>
      <c r="M1380" s="736">
        <f t="shared" si="493"/>
        <v>0</v>
      </c>
      <c r="N1380" s="736"/>
      <c r="O1380" s="736"/>
      <c r="P1380" s="738">
        <f t="shared" si="494"/>
        <v>0</v>
      </c>
      <c r="Q1380" s="753"/>
      <c r="R1380" s="738"/>
      <c r="S1380" s="753"/>
      <c r="T1380" s="739"/>
      <c r="U1380" s="745"/>
      <c r="V1380" s="739"/>
    </row>
    <row r="1381" spans="1:22" ht="30" x14ac:dyDescent="0.2">
      <c r="A1381" s="739">
        <v>3361</v>
      </c>
      <c r="B1381" s="743" t="s">
        <v>29</v>
      </c>
      <c r="C1381" s="736">
        <v>94656</v>
      </c>
      <c r="D1381" s="736">
        <v>0</v>
      </c>
      <c r="E1381" s="749">
        <v>271440</v>
      </c>
      <c r="F1381" s="736">
        <v>271440</v>
      </c>
      <c r="G1381" s="752"/>
      <c r="H1381" s="752"/>
      <c r="I1381" s="752"/>
      <c r="J1381" s="736">
        <f t="shared" si="492"/>
        <v>0</v>
      </c>
      <c r="K1381" s="752"/>
      <c r="L1381" s="752"/>
      <c r="M1381" s="736">
        <f t="shared" si="493"/>
        <v>0</v>
      </c>
      <c r="N1381" s="736"/>
      <c r="O1381" s="736"/>
      <c r="P1381" s="738">
        <f t="shared" si="494"/>
        <v>0</v>
      </c>
      <c r="Q1381" s="753"/>
      <c r="R1381" s="738"/>
      <c r="S1381" s="753"/>
      <c r="T1381" s="739">
        <v>1100119</v>
      </c>
      <c r="U1381" s="745"/>
      <c r="V1381" s="739">
        <v>1100119</v>
      </c>
    </row>
    <row r="1382" spans="1:22" ht="30" x14ac:dyDescent="0.2">
      <c r="A1382" s="734">
        <v>3361</v>
      </c>
      <c r="B1382" s="735" t="s">
        <v>29</v>
      </c>
      <c r="C1382" s="736"/>
      <c r="D1382" s="736">
        <v>5000</v>
      </c>
      <c r="E1382" s="749">
        <v>5000</v>
      </c>
      <c r="F1382" s="736">
        <v>0</v>
      </c>
      <c r="G1382" s="752">
        <v>10000</v>
      </c>
      <c r="H1382" s="752"/>
      <c r="I1382" s="752"/>
      <c r="J1382" s="736">
        <f t="shared" si="492"/>
        <v>10000</v>
      </c>
      <c r="K1382" s="752"/>
      <c r="L1382" s="752"/>
      <c r="M1382" s="736">
        <f t="shared" si="493"/>
        <v>10000</v>
      </c>
      <c r="N1382" s="736"/>
      <c r="O1382" s="736"/>
      <c r="P1382" s="736">
        <f t="shared" si="494"/>
        <v>10000</v>
      </c>
      <c r="Q1382" s="753">
        <v>10000</v>
      </c>
      <c r="R1382" s="738"/>
      <c r="S1382" s="753">
        <v>6000</v>
      </c>
      <c r="T1382" s="739">
        <v>1100121</v>
      </c>
      <c r="U1382" s="754">
        <v>6000</v>
      </c>
      <c r="V1382" s="741">
        <v>1100122</v>
      </c>
    </row>
    <row r="1383" spans="1:22" ht="15" x14ac:dyDescent="0.2">
      <c r="A1383" s="739">
        <v>3381</v>
      </c>
      <c r="B1383" s="743" t="s">
        <v>64</v>
      </c>
      <c r="C1383" s="736"/>
      <c r="D1383" s="736">
        <v>270000</v>
      </c>
      <c r="E1383" s="736"/>
      <c r="F1383" s="736">
        <v>0</v>
      </c>
      <c r="G1383" s="752"/>
      <c r="H1383" s="752"/>
      <c r="I1383" s="752"/>
      <c r="J1383" s="736">
        <f t="shared" si="492"/>
        <v>0</v>
      </c>
      <c r="K1383" s="752"/>
      <c r="L1383" s="752"/>
      <c r="M1383" s="736">
        <f t="shared" si="493"/>
        <v>0</v>
      </c>
      <c r="N1383" s="736"/>
      <c r="O1383" s="736"/>
      <c r="P1383" s="738">
        <f t="shared" si="494"/>
        <v>0</v>
      </c>
      <c r="Q1383" s="753"/>
      <c r="R1383" s="738"/>
      <c r="S1383" s="753"/>
      <c r="T1383" s="739">
        <v>1100121</v>
      </c>
      <c r="U1383" s="745"/>
      <c r="V1383" s="739">
        <v>1100122</v>
      </c>
    </row>
    <row r="1384" spans="1:22" ht="15" x14ac:dyDescent="0.25">
      <c r="A1384" s="734">
        <v>3441</v>
      </c>
      <c r="B1384" s="735" t="s">
        <v>220</v>
      </c>
      <c r="C1384" s="736">
        <v>659464.68999999994</v>
      </c>
      <c r="D1384" s="736">
        <v>850000</v>
      </c>
      <c r="E1384" s="749">
        <v>1350000</v>
      </c>
      <c r="F1384" s="736">
        <v>1070056.22</v>
      </c>
      <c r="G1384" s="752">
        <v>1458000</v>
      </c>
      <c r="H1384" s="752"/>
      <c r="I1384" s="752"/>
      <c r="J1384" s="736">
        <f t="shared" si="492"/>
        <v>1458000</v>
      </c>
      <c r="K1384" s="752"/>
      <c r="L1384" s="752"/>
      <c r="M1384" s="736">
        <f t="shared" si="493"/>
        <v>1458000</v>
      </c>
      <c r="N1384" s="736"/>
      <c r="O1384" s="736"/>
      <c r="P1384" s="736">
        <f t="shared" si="494"/>
        <v>1458000</v>
      </c>
      <c r="Q1384" s="898">
        <v>1158000</v>
      </c>
      <c r="R1384" s="904">
        <v>961753</v>
      </c>
      <c r="S1384" s="753">
        <v>1603800</v>
      </c>
      <c r="T1384" s="739">
        <v>1100121</v>
      </c>
      <c r="U1384" s="754">
        <v>1603800</v>
      </c>
      <c r="V1384" s="741">
        <v>1100122</v>
      </c>
    </row>
    <row r="1385" spans="1:22" ht="15" x14ac:dyDescent="0.2">
      <c r="A1385" s="739">
        <v>3451</v>
      </c>
      <c r="B1385" s="743" t="s">
        <v>221</v>
      </c>
      <c r="C1385" s="736">
        <v>5906310.54</v>
      </c>
      <c r="D1385" s="736">
        <v>0</v>
      </c>
      <c r="E1385" s="749">
        <v>260905.92</v>
      </c>
      <c r="F1385" s="736">
        <v>129217.22</v>
      </c>
      <c r="G1385" s="752"/>
      <c r="H1385" s="752"/>
      <c r="I1385" s="752"/>
      <c r="J1385" s="736">
        <f t="shared" si="492"/>
        <v>0</v>
      </c>
      <c r="K1385" s="752"/>
      <c r="L1385" s="752"/>
      <c r="M1385" s="736">
        <f t="shared" si="493"/>
        <v>0</v>
      </c>
      <c r="N1385" s="736"/>
      <c r="O1385" s="736"/>
      <c r="P1385" s="738">
        <f t="shared" si="494"/>
        <v>0</v>
      </c>
      <c r="Q1385" s="753"/>
      <c r="R1385" s="738"/>
      <c r="S1385" s="753"/>
      <c r="T1385" s="739">
        <v>1100119</v>
      </c>
      <c r="U1385" s="745"/>
      <c r="V1385" s="739">
        <v>1100119</v>
      </c>
    </row>
    <row r="1386" spans="1:22" ht="15" x14ac:dyDescent="0.2">
      <c r="A1386" s="739">
        <v>3451</v>
      </c>
      <c r="B1386" s="743" t="s">
        <v>221</v>
      </c>
      <c r="C1386" s="736"/>
      <c r="D1386" s="736">
        <v>0</v>
      </c>
      <c r="E1386" s="749">
        <v>1700000</v>
      </c>
      <c r="F1386" s="736">
        <v>1036567.65</v>
      </c>
      <c r="G1386" s="736"/>
      <c r="H1386" s="736"/>
      <c r="I1386" s="736"/>
      <c r="J1386" s="736">
        <f t="shared" si="492"/>
        <v>0</v>
      </c>
      <c r="K1386" s="736"/>
      <c r="L1386" s="736"/>
      <c r="M1386" s="736">
        <f t="shared" si="493"/>
        <v>0</v>
      </c>
      <c r="N1386" s="736"/>
      <c r="O1386" s="736"/>
      <c r="P1386" s="738">
        <f t="shared" si="494"/>
        <v>0</v>
      </c>
      <c r="Q1386" s="738"/>
      <c r="R1386" s="738">
        <v>0</v>
      </c>
      <c r="S1386" s="738"/>
      <c r="T1386" s="739">
        <v>1100121</v>
      </c>
      <c r="U1386" s="745"/>
      <c r="V1386" s="739">
        <v>1100122</v>
      </c>
    </row>
    <row r="1387" spans="1:22" ht="15" x14ac:dyDescent="0.2">
      <c r="A1387" s="734">
        <v>3451</v>
      </c>
      <c r="B1387" s="735" t="s">
        <v>221</v>
      </c>
      <c r="C1387" s="736"/>
      <c r="D1387" s="736">
        <v>6500000</v>
      </c>
      <c r="E1387" s="749">
        <v>9239000</v>
      </c>
      <c r="F1387" s="736">
        <v>10023162.199999999</v>
      </c>
      <c r="G1387" s="905">
        <v>11399887</v>
      </c>
      <c r="H1387" s="752"/>
      <c r="I1387" s="896"/>
      <c r="J1387" s="736">
        <f t="shared" si="492"/>
        <v>11399887</v>
      </c>
      <c r="K1387" s="752"/>
      <c r="L1387" s="896">
        <v>6580000</v>
      </c>
      <c r="M1387" s="736">
        <f t="shared" si="493"/>
        <v>4819887</v>
      </c>
      <c r="N1387" s="736"/>
      <c r="O1387" s="736"/>
      <c r="P1387" s="736">
        <f t="shared" si="494"/>
        <v>4819887</v>
      </c>
      <c r="Q1387" s="753">
        <v>4819887</v>
      </c>
      <c r="R1387" s="904">
        <v>3598858</v>
      </c>
      <c r="S1387" s="753">
        <v>12539000</v>
      </c>
      <c r="T1387" s="739">
        <v>1100121</v>
      </c>
      <c r="U1387" s="754">
        <v>4351033</v>
      </c>
      <c r="V1387" s="741">
        <v>1100122</v>
      </c>
    </row>
    <row r="1388" spans="1:22" ht="15" x14ac:dyDescent="0.2">
      <c r="A1388" s="734">
        <v>3551</v>
      </c>
      <c r="B1388" s="735" t="s">
        <v>30</v>
      </c>
      <c r="C1388" s="736">
        <v>19832.11</v>
      </c>
      <c r="D1388" s="736">
        <v>30000</v>
      </c>
      <c r="E1388" s="749">
        <v>70000</v>
      </c>
      <c r="F1388" s="736">
        <v>47684.77</v>
      </c>
      <c r="G1388" s="752">
        <v>70000</v>
      </c>
      <c r="H1388" s="752"/>
      <c r="I1388" s="752"/>
      <c r="J1388" s="736">
        <f t="shared" si="492"/>
        <v>70000</v>
      </c>
      <c r="K1388" s="752"/>
      <c r="L1388" s="752"/>
      <c r="M1388" s="736">
        <f t="shared" si="493"/>
        <v>70000</v>
      </c>
      <c r="N1388" s="736"/>
      <c r="O1388" s="736">
        <v>40000</v>
      </c>
      <c r="P1388" s="736">
        <f t="shared" si="494"/>
        <v>30000</v>
      </c>
      <c r="Q1388" s="753">
        <v>39000</v>
      </c>
      <c r="R1388" s="738">
        <v>22912.93</v>
      </c>
      <c r="S1388" s="738">
        <f>Q1388</f>
        <v>39000</v>
      </c>
      <c r="T1388" s="739">
        <v>1100121</v>
      </c>
      <c r="U1388" s="742">
        <v>40000</v>
      </c>
      <c r="V1388" s="741">
        <v>1100122</v>
      </c>
    </row>
    <row r="1389" spans="1:22" ht="15" x14ac:dyDescent="0.2">
      <c r="A1389" s="734">
        <v>3751</v>
      </c>
      <c r="B1389" s="735" t="s">
        <v>44</v>
      </c>
      <c r="C1389" s="736">
        <v>2966</v>
      </c>
      <c r="D1389" s="736">
        <v>7000</v>
      </c>
      <c r="E1389" s="749">
        <v>7000</v>
      </c>
      <c r="F1389" s="736">
        <v>1989</v>
      </c>
      <c r="G1389" s="752">
        <v>7000</v>
      </c>
      <c r="H1389" s="752"/>
      <c r="I1389" s="752"/>
      <c r="J1389" s="736">
        <f t="shared" si="492"/>
        <v>7000</v>
      </c>
      <c r="K1389" s="752"/>
      <c r="L1389" s="752"/>
      <c r="M1389" s="736">
        <f t="shared" si="493"/>
        <v>7000</v>
      </c>
      <c r="N1389" s="736"/>
      <c r="O1389" s="736"/>
      <c r="P1389" s="736">
        <f t="shared" si="494"/>
        <v>7000</v>
      </c>
      <c r="Q1389" s="753">
        <v>7000</v>
      </c>
      <c r="R1389" s="738"/>
      <c r="S1389" s="753">
        <v>5000</v>
      </c>
      <c r="T1389" s="739">
        <v>1100121</v>
      </c>
      <c r="U1389" s="754">
        <v>5000</v>
      </c>
      <c r="V1389" s="741">
        <v>1100122</v>
      </c>
    </row>
    <row r="1390" spans="1:22" ht="15" x14ac:dyDescent="0.2">
      <c r="A1390" s="734">
        <v>3791</v>
      </c>
      <c r="B1390" s="735" t="s">
        <v>45</v>
      </c>
      <c r="C1390" s="736">
        <v>6121</v>
      </c>
      <c r="D1390" s="736">
        <v>7000</v>
      </c>
      <c r="E1390" s="749">
        <v>7000</v>
      </c>
      <c r="F1390" s="736">
        <v>5357</v>
      </c>
      <c r="G1390" s="752">
        <v>8000</v>
      </c>
      <c r="H1390" s="752"/>
      <c r="I1390" s="752"/>
      <c r="J1390" s="736">
        <f t="shared" si="492"/>
        <v>8000</v>
      </c>
      <c r="K1390" s="752"/>
      <c r="L1390" s="752"/>
      <c r="M1390" s="736">
        <f t="shared" si="493"/>
        <v>8000</v>
      </c>
      <c r="N1390" s="736"/>
      <c r="O1390" s="736"/>
      <c r="P1390" s="736">
        <f t="shared" si="494"/>
        <v>8000</v>
      </c>
      <c r="Q1390" s="753">
        <v>8000</v>
      </c>
      <c r="R1390" s="738">
        <v>274</v>
      </c>
      <c r="S1390" s="753">
        <v>5000</v>
      </c>
      <c r="T1390" s="739">
        <v>1100121</v>
      </c>
      <c r="U1390" s="754">
        <v>5000</v>
      </c>
      <c r="V1390" s="741">
        <v>1100122</v>
      </c>
    </row>
    <row r="1391" spans="1:22" ht="15" x14ac:dyDescent="0.2">
      <c r="A1391" s="734">
        <v>3821</v>
      </c>
      <c r="B1391" s="735" t="s">
        <v>31</v>
      </c>
      <c r="C1391" s="736">
        <v>396347.63</v>
      </c>
      <c r="D1391" s="736">
        <v>2950000</v>
      </c>
      <c r="E1391" s="749">
        <v>700000</v>
      </c>
      <c r="F1391" s="736">
        <v>110281.95</v>
      </c>
      <c r="G1391" s="752">
        <v>500000</v>
      </c>
      <c r="H1391" s="752"/>
      <c r="I1391" s="752"/>
      <c r="J1391" s="736">
        <f t="shared" si="492"/>
        <v>500000</v>
      </c>
      <c r="K1391" s="752"/>
      <c r="L1391" s="752">
        <f>48000</f>
        <v>48000</v>
      </c>
      <c r="M1391" s="736">
        <f t="shared" si="493"/>
        <v>452000</v>
      </c>
      <c r="N1391" s="736"/>
      <c r="O1391" s="736"/>
      <c r="P1391" s="736">
        <f t="shared" si="494"/>
        <v>452000</v>
      </c>
      <c r="Q1391" s="753">
        <v>452000</v>
      </c>
      <c r="R1391" s="738">
        <v>170477.66</v>
      </c>
      <c r="S1391" s="753">
        <v>500000</v>
      </c>
      <c r="T1391" s="739">
        <v>1100121</v>
      </c>
      <c r="U1391" s="754">
        <v>500000</v>
      </c>
      <c r="V1391" s="741">
        <v>1100122</v>
      </c>
    </row>
    <row r="1392" spans="1:22" ht="15" x14ac:dyDescent="0.2">
      <c r="A1392" s="739">
        <v>3821</v>
      </c>
      <c r="B1392" s="743" t="s">
        <v>31</v>
      </c>
      <c r="C1392" s="736"/>
      <c r="D1392" s="736">
        <v>174000</v>
      </c>
      <c r="E1392" s="749">
        <v>174000</v>
      </c>
      <c r="F1392" s="736">
        <v>174000</v>
      </c>
      <c r="G1392" s="752"/>
      <c r="H1392" s="752"/>
      <c r="I1392" s="752"/>
      <c r="J1392" s="736">
        <f t="shared" si="492"/>
        <v>0</v>
      </c>
      <c r="K1392" s="752"/>
      <c r="L1392" s="752"/>
      <c r="M1392" s="736">
        <f t="shared" si="493"/>
        <v>0</v>
      </c>
      <c r="N1392" s="736"/>
      <c r="O1392" s="736"/>
      <c r="P1392" s="738">
        <f t="shared" si="494"/>
        <v>0</v>
      </c>
      <c r="Q1392" s="753"/>
      <c r="R1392" s="738"/>
      <c r="S1392" s="753"/>
      <c r="T1392" s="739">
        <v>2520319</v>
      </c>
      <c r="U1392" s="745"/>
      <c r="V1392" s="739">
        <v>2520319</v>
      </c>
    </row>
    <row r="1393" spans="1:22" ht="15" x14ac:dyDescent="0.2">
      <c r="A1393" s="734">
        <v>3852</v>
      </c>
      <c r="B1393" s="735" t="s">
        <v>32</v>
      </c>
      <c r="C1393" s="736">
        <v>40342.839999999997</v>
      </c>
      <c r="D1393" s="736">
        <v>50000</v>
      </c>
      <c r="E1393" s="749">
        <v>50000</v>
      </c>
      <c r="F1393" s="736">
        <v>45656.740000000005</v>
      </c>
      <c r="G1393" s="752">
        <v>50000</v>
      </c>
      <c r="H1393" s="752"/>
      <c r="I1393" s="752"/>
      <c r="J1393" s="736">
        <f t="shared" si="492"/>
        <v>50000</v>
      </c>
      <c r="K1393" s="752"/>
      <c r="L1393" s="752"/>
      <c r="M1393" s="736">
        <f t="shared" si="493"/>
        <v>50000</v>
      </c>
      <c r="N1393" s="736"/>
      <c r="O1393" s="736"/>
      <c r="P1393" s="736">
        <f t="shared" si="494"/>
        <v>50000</v>
      </c>
      <c r="Q1393" s="753">
        <v>50000</v>
      </c>
      <c r="R1393" s="738">
        <v>31648.3</v>
      </c>
      <c r="S1393" s="753">
        <v>55000</v>
      </c>
      <c r="T1393" s="739">
        <v>1100121</v>
      </c>
      <c r="U1393" s="754">
        <v>55000</v>
      </c>
      <c r="V1393" s="741">
        <v>1100122</v>
      </c>
    </row>
    <row r="1394" spans="1:22" ht="15" x14ac:dyDescent="0.2">
      <c r="A1394" s="734">
        <v>3921</v>
      </c>
      <c r="B1394" s="735" t="s">
        <v>33</v>
      </c>
      <c r="C1394" s="736">
        <v>940.02</v>
      </c>
      <c r="D1394" s="736">
        <v>2080</v>
      </c>
      <c r="E1394" s="749">
        <v>2080</v>
      </c>
      <c r="F1394" s="736">
        <v>1051.99</v>
      </c>
      <c r="G1394" s="752">
        <v>1800</v>
      </c>
      <c r="H1394" s="752"/>
      <c r="I1394" s="752"/>
      <c r="J1394" s="736">
        <f t="shared" si="492"/>
        <v>1800</v>
      </c>
      <c r="K1394" s="752"/>
      <c r="L1394" s="752"/>
      <c r="M1394" s="736">
        <f t="shared" si="493"/>
        <v>1800</v>
      </c>
      <c r="N1394" s="736"/>
      <c r="O1394" s="736"/>
      <c r="P1394" s="736">
        <f t="shared" si="494"/>
        <v>1800</v>
      </c>
      <c r="Q1394" s="753">
        <v>2800</v>
      </c>
      <c r="R1394" s="738">
        <v>2103.9699999999998</v>
      </c>
      <c r="S1394" s="753">
        <v>3500</v>
      </c>
      <c r="T1394" s="739">
        <v>1100121</v>
      </c>
      <c r="U1394" s="746">
        <v>2021</v>
      </c>
      <c r="V1394" s="741">
        <v>1100122</v>
      </c>
    </row>
    <row r="1395" spans="1:22" ht="15" x14ac:dyDescent="0.2">
      <c r="A1395" s="739">
        <v>3921</v>
      </c>
      <c r="B1395" s="743" t="s">
        <v>33</v>
      </c>
      <c r="C1395" s="736"/>
      <c r="D1395" s="736"/>
      <c r="E1395" s="749"/>
      <c r="F1395" s="736"/>
      <c r="G1395" s="752"/>
      <c r="H1395" s="752"/>
      <c r="I1395" s="752"/>
      <c r="J1395" s="736"/>
      <c r="K1395" s="752"/>
      <c r="L1395" s="752"/>
      <c r="M1395" s="736"/>
      <c r="N1395" s="736"/>
      <c r="O1395" s="736"/>
      <c r="P1395" s="736"/>
      <c r="Q1395" s="753"/>
      <c r="R1395" s="738"/>
      <c r="S1395" s="753">
        <v>2020.44</v>
      </c>
      <c r="T1395" s="739"/>
      <c r="U1395" s="744"/>
      <c r="V1395" s="739"/>
    </row>
    <row r="1396" spans="1:22" ht="15" x14ac:dyDescent="0.2">
      <c r="A1396" s="734">
        <v>3961</v>
      </c>
      <c r="B1396" s="735" t="s">
        <v>122</v>
      </c>
      <c r="C1396" s="736">
        <v>984984.8</v>
      </c>
      <c r="D1396" s="736">
        <v>900000</v>
      </c>
      <c r="E1396" s="749">
        <v>1945766.59</v>
      </c>
      <c r="F1396" s="736">
        <v>2198611.89</v>
      </c>
      <c r="G1396" s="752">
        <v>3000000</v>
      </c>
      <c r="H1396" s="752"/>
      <c r="I1396" s="752"/>
      <c r="J1396" s="736">
        <f t="shared" ref="J1396:J1402" si="495">G1396+H1396-I1396</f>
        <v>3000000</v>
      </c>
      <c r="K1396" s="752">
        <v>1000000</v>
      </c>
      <c r="L1396" s="752"/>
      <c r="M1396" s="736">
        <f t="shared" ref="M1396:M1402" si="496">J1396+K1396-L1396</f>
        <v>4000000</v>
      </c>
      <c r="N1396" s="736"/>
      <c r="O1396" s="736"/>
      <c r="P1396" s="736">
        <f t="shared" ref="P1396:P1402" si="497">M1396+N1396-O1396</f>
        <v>4000000</v>
      </c>
      <c r="Q1396" s="753">
        <v>4300000</v>
      </c>
      <c r="R1396" s="904">
        <v>4284000</v>
      </c>
      <c r="S1396" s="753">
        <v>4500000</v>
      </c>
      <c r="T1396" s="739">
        <v>1100121</v>
      </c>
      <c r="U1396" s="754">
        <v>4500000</v>
      </c>
      <c r="V1396" s="741">
        <v>1100122</v>
      </c>
    </row>
    <row r="1397" spans="1:22" ht="15" x14ac:dyDescent="0.2">
      <c r="A1397" s="739">
        <v>3961</v>
      </c>
      <c r="B1397" s="743" t="s">
        <v>122</v>
      </c>
      <c r="C1397" s="736">
        <v>75431.7</v>
      </c>
      <c r="D1397" s="736">
        <v>0</v>
      </c>
      <c r="E1397" s="749">
        <v>754233.41</v>
      </c>
      <c r="F1397" s="736">
        <v>501384.27</v>
      </c>
      <c r="G1397" s="736"/>
      <c r="H1397" s="736"/>
      <c r="I1397" s="736"/>
      <c r="J1397" s="736">
        <f t="shared" si="495"/>
        <v>0</v>
      </c>
      <c r="K1397" s="736"/>
      <c r="L1397" s="736"/>
      <c r="M1397" s="736">
        <f t="shared" si="496"/>
        <v>0</v>
      </c>
      <c r="N1397" s="736"/>
      <c r="O1397" s="736"/>
      <c r="P1397" s="738">
        <f t="shared" si="497"/>
        <v>0</v>
      </c>
      <c r="Q1397" s="738"/>
      <c r="R1397" s="738"/>
      <c r="S1397" s="738"/>
      <c r="T1397" s="739">
        <v>1500521</v>
      </c>
      <c r="U1397" s="745"/>
      <c r="V1397" s="739">
        <v>1500522</v>
      </c>
    </row>
    <row r="1398" spans="1:22" ht="15" x14ac:dyDescent="0.2">
      <c r="A1398" s="734">
        <v>5111</v>
      </c>
      <c r="B1398" s="735" t="s">
        <v>35</v>
      </c>
      <c r="C1398" s="736"/>
      <c r="D1398" s="736">
        <v>0</v>
      </c>
      <c r="E1398" s="749">
        <v>61500</v>
      </c>
      <c r="F1398" s="736">
        <v>0</v>
      </c>
      <c r="G1398" s="736"/>
      <c r="H1398" s="736"/>
      <c r="I1398" s="736"/>
      <c r="J1398" s="736">
        <f t="shared" si="495"/>
        <v>0</v>
      </c>
      <c r="K1398" s="736"/>
      <c r="L1398" s="736"/>
      <c r="M1398" s="736">
        <f t="shared" si="496"/>
        <v>0</v>
      </c>
      <c r="N1398" s="736"/>
      <c r="O1398" s="736"/>
      <c r="P1398" s="738">
        <f t="shared" si="497"/>
        <v>0</v>
      </c>
      <c r="Q1398" s="738"/>
      <c r="R1398" s="738"/>
      <c r="S1398" s="738"/>
      <c r="T1398" s="739">
        <v>1100119</v>
      </c>
      <c r="U1398" s="740">
        <v>40000</v>
      </c>
      <c r="V1398" s="741">
        <v>1100122</v>
      </c>
    </row>
    <row r="1399" spans="1:22" ht="15" x14ac:dyDescent="0.2">
      <c r="A1399" s="739">
        <v>5151</v>
      </c>
      <c r="B1399" s="743" t="s">
        <v>36</v>
      </c>
      <c r="C1399" s="736"/>
      <c r="D1399" s="736">
        <v>0</v>
      </c>
      <c r="E1399" s="749">
        <v>70143.199999999997</v>
      </c>
      <c r="F1399" s="736">
        <v>7643.2</v>
      </c>
      <c r="G1399" s="736"/>
      <c r="H1399" s="736"/>
      <c r="I1399" s="736"/>
      <c r="J1399" s="736">
        <f t="shared" si="495"/>
        <v>0</v>
      </c>
      <c r="K1399" s="736"/>
      <c r="L1399" s="736"/>
      <c r="M1399" s="736">
        <f t="shared" si="496"/>
        <v>0</v>
      </c>
      <c r="N1399" s="736"/>
      <c r="O1399" s="736"/>
      <c r="P1399" s="738">
        <f t="shared" si="497"/>
        <v>0</v>
      </c>
      <c r="Q1399" s="738"/>
      <c r="R1399" s="738"/>
      <c r="S1399" s="738">
        <v>40000</v>
      </c>
      <c r="T1399" s="739">
        <v>1100119</v>
      </c>
      <c r="U1399" s="744">
        <v>0</v>
      </c>
      <c r="V1399" s="739">
        <v>1100119</v>
      </c>
    </row>
    <row r="1400" spans="1:22" ht="15" x14ac:dyDescent="0.2">
      <c r="A1400" s="739">
        <v>5191</v>
      </c>
      <c r="B1400" s="743" t="s">
        <v>69</v>
      </c>
      <c r="C1400" s="736"/>
      <c r="D1400" s="736">
        <v>233160</v>
      </c>
      <c r="E1400" s="749">
        <v>278709</v>
      </c>
      <c r="F1400" s="736">
        <v>233160</v>
      </c>
      <c r="G1400" s="736"/>
      <c r="H1400" s="736"/>
      <c r="I1400" s="736"/>
      <c r="J1400" s="736">
        <f t="shared" si="495"/>
        <v>0</v>
      </c>
      <c r="K1400" s="736"/>
      <c r="L1400" s="736"/>
      <c r="M1400" s="736">
        <f t="shared" si="496"/>
        <v>0</v>
      </c>
      <c r="N1400" s="736"/>
      <c r="O1400" s="736"/>
      <c r="P1400" s="738">
        <f t="shared" si="497"/>
        <v>0</v>
      </c>
      <c r="Q1400" s="738"/>
      <c r="R1400" s="738"/>
      <c r="S1400" s="738"/>
      <c r="T1400" s="739">
        <v>1100119</v>
      </c>
      <c r="U1400" s="745"/>
      <c r="V1400" s="739">
        <v>1100119</v>
      </c>
    </row>
    <row r="1401" spans="1:22" ht="15" x14ac:dyDescent="0.2">
      <c r="A1401" s="739">
        <v>5211</v>
      </c>
      <c r="B1401" s="743" t="s">
        <v>71</v>
      </c>
      <c r="C1401" s="736"/>
      <c r="D1401" s="736">
        <v>8000</v>
      </c>
      <c r="E1401" s="749">
        <v>8000</v>
      </c>
      <c r="F1401" s="736">
        <v>0</v>
      </c>
      <c r="G1401" s="736"/>
      <c r="H1401" s="736"/>
      <c r="I1401" s="736"/>
      <c r="J1401" s="736">
        <f t="shared" si="495"/>
        <v>0</v>
      </c>
      <c r="K1401" s="736"/>
      <c r="L1401" s="736"/>
      <c r="M1401" s="736">
        <f t="shared" si="496"/>
        <v>0</v>
      </c>
      <c r="N1401" s="736"/>
      <c r="O1401" s="736"/>
      <c r="P1401" s="738">
        <f t="shared" si="497"/>
        <v>0</v>
      </c>
      <c r="Q1401" s="738"/>
      <c r="R1401" s="738"/>
      <c r="S1401" s="738"/>
      <c r="T1401" s="739">
        <v>1100121</v>
      </c>
      <c r="U1401" s="745"/>
      <c r="V1401" s="739">
        <v>1100122</v>
      </c>
    </row>
    <row r="1402" spans="1:22" ht="15" x14ac:dyDescent="0.2">
      <c r="A1402" s="739">
        <v>5691</v>
      </c>
      <c r="B1402" s="743" t="s">
        <v>112</v>
      </c>
      <c r="C1402" s="736"/>
      <c r="D1402" s="736">
        <v>480000</v>
      </c>
      <c r="E1402" s="749">
        <v>0</v>
      </c>
      <c r="F1402" s="736">
        <v>0</v>
      </c>
      <c r="G1402" s="736"/>
      <c r="H1402" s="736"/>
      <c r="I1402" s="736"/>
      <c r="J1402" s="736">
        <f t="shared" si="495"/>
        <v>0</v>
      </c>
      <c r="K1402" s="736"/>
      <c r="L1402" s="736"/>
      <c r="M1402" s="736">
        <f t="shared" si="496"/>
        <v>0</v>
      </c>
      <c r="N1402" s="736"/>
      <c r="O1402" s="736"/>
      <c r="P1402" s="738">
        <f t="shared" si="497"/>
        <v>0</v>
      </c>
      <c r="Q1402" s="738"/>
      <c r="R1402" s="738"/>
      <c r="S1402" s="738"/>
      <c r="T1402" s="739">
        <v>1100121</v>
      </c>
      <c r="U1402" s="745"/>
      <c r="V1402" s="739">
        <v>1100122</v>
      </c>
    </row>
    <row r="1403" spans="1:22" ht="15" x14ac:dyDescent="0.2">
      <c r="A1403" s="739">
        <v>5411</v>
      </c>
      <c r="B1403" s="743" t="s">
        <v>1762</v>
      </c>
      <c r="C1403" s="736"/>
      <c r="D1403" s="736"/>
      <c r="E1403" s="749"/>
      <c r="F1403" s="736"/>
      <c r="G1403" s="736"/>
      <c r="H1403" s="736"/>
      <c r="I1403" s="736"/>
      <c r="J1403" s="736"/>
      <c r="K1403" s="736"/>
      <c r="L1403" s="736"/>
      <c r="M1403" s="736"/>
      <c r="N1403" s="736"/>
      <c r="O1403" s="736"/>
      <c r="P1403" s="738"/>
      <c r="Q1403" s="738"/>
      <c r="R1403" s="738"/>
      <c r="S1403" s="815">
        <v>300000</v>
      </c>
      <c r="T1403" s="739"/>
      <c r="U1403" s="744">
        <v>0</v>
      </c>
      <c r="V1403" s="739"/>
    </row>
    <row r="1404" spans="1:22" ht="15" x14ac:dyDescent="0.2">
      <c r="A1404" s="728" t="s">
        <v>222</v>
      </c>
      <c r="B1404" s="729" t="s">
        <v>1766</v>
      </c>
      <c r="C1404" s="730">
        <f t="shared" ref="C1404:S1404" si="498">SUM(C1405:C1414)</f>
        <v>3730424.84</v>
      </c>
      <c r="D1404" s="730">
        <f t="shared" si="498"/>
        <v>4050936.62</v>
      </c>
      <c r="E1404" s="730">
        <f t="shared" si="498"/>
        <v>3903877.19</v>
      </c>
      <c r="F1404" s="730">
        <f t="shared" si="498"/>
        <v>4035631.1899999995</v>
      </c>
      <c r="G1404" s="730">
        <f t="shared" si="498"/>
        <v>3931579.2</v>
      </c>
      <c r="H1404" s="730">
        <f t="shared" si="498"/>
        <v>0</v>
      </c>
      <c r="I1404" s="730">
        <f t="shared" si="498"/>
        <v>0</v>
      </c>
      <c r="J1404" s="730">
        <f t="shared" si="498"/>
        <v>3931579.2</v>
      </c>
      <c r="K1404" s="730">
        <f t="shared" si="498"/>
        <v>484130.69999999995</v>
      </c>
      <c r="L1404" s="730">
        <f t="shared" si="498"/>
        <v>0</v>
      </c>
      <c r="M1404" s="730">
        <f t="shared" si="498"/>
        <v>4415709.9000000004</v>
      </c>
      <c r="N1404" s="730">
        <f t="shared" si="498"/>
        <v>0</v>
      </c>
      <c r="O1404" s="730">
        <f t="shared" si="498"/>
        <v>0</v>
      </c>
      <c r="P1404" s="730">
        <f t="shared" si="498"/>
        <v>4415709.9000000004</v>
      </c>
      <c r="Q1404" s="748">
        <f t="shared" si="498"/>
        <v>4409200.5799999991</v>
      </c>
      <c r="R1404" s="748">
        <f>SUM(R1405:R1414)</f>
        <v>2675881.46</v>
      </c>
      <c r="S1404" s="748">
        <f t="shared" si="498"/>
        <v>3591770.5</v>
      </c>
      <c r="T1404" s="731"/>
      <c r="U1404" s="732">
        <f t="shared" ref="U1404" si="499">SUM(U1405:U1414)</f>
        <v>3814917.6500000008</v>
      </c>
      <c r="V1404" s="733"/>
    </row>
    <row r="1405" spans="1:22" ht="15" x14ac:dyDescent="0.25">
      <c r="A1405" s="734">
        <v>1131</v>
      </c>
      <c r="B1405" s="735" t="s">
        <v>6</v>
      </c>
      <c r="C1405" s="736">
        <v>1460239.84</v>
      </c>
      <c r="D1405" s="736">
        <v>1525760.6</v>
      </c>
      <c r="E1405" s="749">
        <v>1471303.6</v>
      </c>
      <c r="F1405" s="736">
        <v>1597813.43</v>
      </c>
      <c r="G1405" s="736">
        <v>1411981.3</v>
      </c>
      <c r="H1405" s="736"/>
      <c r="I1405" s="736"/>
      <c r="J1405" s="736">
        <f t="shared" ref="J1405:J1414" si="500">G1405+H1405-I1405</f>
        <v>1411981.3</v>
      </c>
      <c r="K1405" s="736">
        <v>128038.28</v>
      </c>
      <c r="L1405" s="736"/>
      <c r="M1405" s="736">
        <f t="shared" ref="M1405:M1414" si="501">J1405+K1405-L1405</f>
        <v>1540019.58</v>
      </c>
      <c r="N1405" s="736"/>
      <c r="O1405" s="736"/>
      <c r="P1405" s="736">
        <f t="shared" ref="P1405:P1414" si="502">M1405+N1405-O1405</f>
        <v>1540019.58</v>
      </c>
      <c r="Q1405" s="898">
        <v>1475530.7</v>
      </c>
      <c r="R1405" s="738">
        <v>973076.28</v>
      </c>
      <c r="S1405" s="751">
        <v>1229792.2</v>
      </c>
      <c r="T1405" s="739">
        <v>1500521</v>
      </c>
      <c r="U1405" s="779">
        <v>1351888.23</v>
      </c>
      <c r="V1405" s="741">
        <v>1500522</v>
      </c>
    </row>
    <row r="1406" spans="1:22" ht="15" x14ac:dyDescent="0.25">
      <c r="A1406" s="734">
        <v>1132</v>
      </c>
      <c r="B1406" s="735" t="s">
        <v>8</v>
      </c>
      <c r="C1406" s="736">
        <v>46412.94</v>
      </c>
      <c r="D1406" s="736">
        <v>49289.24</v>
      </c>
      <c r="E1406" s="749">
        <v>49289.24</v>
      </c>
      <c r="F1406" s="736">
        <v>51269.53</v>
      </c>
      <c r="G1406" s="736">
        <v>51779</v>
      </c>
      <c r="H1406" s="736"/>
      <c r="I1406" s="736"/>
      <c r="J1406" s="736">
        <f t="shared" si="500"/>
        <v>51779</v>
      </c>
      <c r="K1406" s="736">
        <v>1828.98</v>
      </c>
      <c r="L1406" s="736"/>
      <c r="M1406" s="736">
        <f t="shared" si="501"/>
        <v>53607.98</v>
      </c>
      <c r="N1406" s="736"/>
      <c r="O1406" s="736"/>
      <c r="P1406" s="736">
        <f t="shared" si="502"/>
        <v>53607.98</v>
      </c>
      <c r="Q1406" s="898">
        <v>79726.78</v>
      </c>
      <c r="R1406" s="738">
        <v>64103.38</v>
      </c>
      <c r="S1406" s="751">
        <v>55710.2</v>
      </c>
      <c r="T1406" s="739">
        <v>1500521</v>
      </c>
      <c r="U1406" s="779">
        <v>86912.86</v>
      </c>
      <c r="V1406" s="741">
        <v>1500522</v>
      </c>
    </row>
    <row r="1407" spans="1:22" ht="15" x14ac:dyDescent="0.25">
      <c r="A1407" s="734">
        <v>1321</v>
      </c>
      <c r="B1407" s="735" t="s">
        <v>9</v>
      </c>
      <c r="C1407" s="736">
        <v>96565.66</v>
      </c>
      <c r="D1407" s="736">
        <v>104608</v>
      </c>
      <c r="E1407" s="749">
        <v>95424</v>
      </c>
      <c r="F1407" s="736">
        <v>95424</v>
      </c>
      <c r="G1407" s="736">
        <v>96272</v>
      </c>
      <c r="H1407" s="736"/>
      <c r="I1407" s="736"/>
      <c r="J1407" s="736">
        <f t="shared" si="500"/>
        <v>96272</v>
      </c>
      <c r="K1407" s="736">
        <v>6372.23</v>
      </c>
      <c r="L1407" s="736"/>
      <c r="M1407" s="736">
        <f t="shared" si="501"/>
        <v>102644.23</v>
      </c>
      <c r="N1407" s="736"/>
      <c r="O1407" s="736"/>
      <c r="P1407" s="736">
        <f t="shared" si="502"/>
        <v>102644.23</v>
      </c>
      <c r="Q1407" s="898">
        <v>102644.23</v>
      </c>
      <c r="R1407" s="738">
        <v>47972.08</v>
      </c>
      <c r="S1407" s="751">
        <v>92498.58</v>
      </c>
      <c r="T1407" s="739">
        <v>1500521</v>
      </c>
      <c r="U1407" s="779">
        <v>90803.34</v>
      </c>
      <c r="V1407" s="741">
        <v>1500522</v>
      </c>
    </row>
    <row r="1408" spans="1:22" ht="15" x14ac:dyDescent="0.25">
      <c r="A1408" s="734">
        <v>1323</v>
      </c>
      <c r="B1408" s="735" t="s">
        <v>11</v>
      </c>
      <c r="C1408" s="736">
        <v>294368</v>
      </c>
      <c r="D1408" s="736">
        <v>310276</v>
      </c>
      <c r="E1408" s="749">
        <v>310276</v>
      </c>
      <c r="F1408" s="736">
        <v>300624.40000000002</v>
      </c>
      <c r="G1408" s="736">
        <v>282542</v>
      </c>
      <c r="H1408" s="736"/>
      <c r="I1408" s="736"/>
      <c r="J1408" s="736">
        <f t="shared" si="500"/>
        <v>282542</v>
      </c>
      <c r="K1408" s="736">
        <v>40930.6</v>
      </c>
      <c r="L1408" s="736"/>
      <c r="M1408" s="736">
        <f t="shared" si="501"/>
        <v>323472.59999999998</v>
      </c>
      <c r="N1408" s="736"/>
      <c r="O1408" s="736"/>
      <c r="P1408" s="736">
        <f t="shared" si="502"/>
        <v>323472.59999999998</v>
      </c>
      <c r="Q1408" s="898">
        <v>305180.61</v>
      </c>
      <c r="R1408" s="738">
        <v>210669.09</v>
      </c>
      <c r="S1408" s="751">
        <v>260797</v>
      </c>
      <c r="T1408" s="739">
        <v>1500521</v>
      </c>
      <c r="U1408" s="779">
        <v>276855.37</v>
      </c>
      <c r="V1408" s="741">
        <v>1500522</v>
      </c>
    </row>
    <row r="1409" spans="1:22" ht="15" x14ac:dyDescent="0.25">
      <c r="A1409" s="734">
        <v>1413</v>
      </c>
      <c r="B1409" s="735" t="s">
        <v>13</v>
      </c>
      <c r="C1409" s="736">
        <v>421772.21</v>
      </c>
      <c r="D1409" s="736">
        <v>468259.4</v>
      </c>
      <c r="E1409" s="749">
        <v>446528.4</v>
      </c>
      <c r="F1409" s="736">
        <v>437505.79</v>
      </c>
      <c r="G1409" s="736">
        <v>456728.89999999997</v>
      </c>
      <c r="H1409" s="736"/>
      <c r="I1409" s="736"/>
      <c r="J1409" s="736">
        <f t="shared" si="500"/>
        <v>456728.89999999997</v>
      </c>
      <c r="K1409" s="736">
        <v>167228.06</v>
      </c>
      <c r="L1409" s="736"/>
      <c r="M1409" s="736">
        <f t="shared" si="501"/>
        <v>623956.96</v>
      </c>
      <c r="N1409" s="736"/>
      <c r="O1409" s="736"/>
      <c r="P1409" s="736">
        <f t="shared" si="502"/>
        <v>623956.96</v>
      </c>
      <c r="Q1409" s="898">
        <v>623956.96</v>
      </c>
      <c r="R1409" s="738">
        <v>314034.71000000002</v>
      </c>
      <c r="S1409" s="751">
        <v>444873.12</v>
      </c>
      <c r="T1409" s="739">
        <v>1500521</v>
      </c>
      <c r="U1409" s="779">
        <v>422047.68</v>
      </c>
      <c r="V1409" s="741">
        <v>1500522</v>
      </c>
    </row>
    <row r="1410" spans="1:22" ht="15" x14ac:dyDescent="0.25">
      <c r="A1410" s="734">
        <v>1421</v>
      </c>
      <c r="B1410" s="735" t="s">
        <v>15</v>
      </c>
      <c r="C1410" s="736">
        <v>126134.81</v>
      </c>
      <c r="D1410" s="736">
        <v>135682.42000000001</v>
      </c>
      <c r="E1410" s="749">
        <v>120657.42</v>
      </c>
      <c r="F1410" s="736">
        <v>124622.78</v>
      </c>
      <c r="G1410" s="736">
        <v>124230.6</v>
      </c>
      <c r="H1410" s="736"/>
      <c r="I1410" s="736"/>
      <c r="J1410" s="736">
        <f t="shared" si="500"/>
        <v>124230.6</v>
      </c>
      <c r="K1410" s="736">
        <v>44500.43</v>
      </c>
      <c r="L1410" s="736"/>
      <c r="M1410" s="736">
        <f t="shared" si="501"/>
        <v>168731.03</v>
      </c>
      <c r="N1410" s="736"/>
      <c r="O1410" s="736"/>
      <c r="P1410" s="736">
        <f t="shared" si="502"/>
        <v>168731.03</v>
      </c>
      <c r="Q1410" s="898">
        <v>168731.03</v>
      </c>
      <c r="R1410" s="738">
        <v>79565.72</v>
      </c>
      <c r="S1410" s="751">
        <v>114898.44</v>
      </c>
      <c r="T1410" s="739">
        <v>1500521</v>
      </c>
      <c r="U1410" s="779">
        <v>142649.18</v>
      </c>
      <c r="V1410" s="741">
        <v>1500522</v>
      </c>
    </row>
    <row r="1411" spans="1:22" ht="15" x14ac:dyDescent="0.25">
      <c r="A1411" s="734">
        <v>1431</v>
      </c>
      <c r="B1411" s="735" t="s">
        <v>16</v>
      </c>
      <c r="C1411" s="736">
        <v>134309.76000000001</v>
      </c>
      <c r="D1411" s="736">
        <v>139753.01999999999</v>
      </c>
      <c r="E1411" s="749">
        <v>125571.02</v>
      </c>
      <c r="F1411" s="736">
        <v>130717.81</v>
      </c>
      <c r="G1411" s="736">
        <v>127957.5</v>
      </c>
      <c r="H1411" s="736"/>
      <c r="I1411" s="736"/>
      <c r="J1411" s="736">
        <f t="shared" si="500"/>
        <v>127957.5</v>
      </c>
      <c r="K1411" s="736">
        <v>45800.25</v>
      </c>
      <c r="L1411" s="736"/>
      <c r="M1411" s="736">
        <f t="shared" si="501"/>
        <v>173757.75</v>
      </c>
      <c r="N1411" s="736"/>
      <c r="O1411" s="736"/>
      <c r="P1411" s="736">
        <f t="shared" si="502"/>
        <v>173757.75</v>
      </c>
      <c r="Q1411" s="898">
        <v>173757.75</v>
      </c>
      <c r="R1411" s="738">
        <v>80504.13</v>
      </c>
      <c r="S1411" s="751">
        <v>118345.56</v>
      </c>
      <c r="T1411" s="739">
        <v>1500521</v>
      </c>
      <c r="U1411" s="779">
        <v>141843.91</v>
      </c>
      <c r="V1411" s="741">
        <v>1500522</v>
      </c>
    </row>
    <row r="1412" spans="1:22" ht="15" x14ac:dyDescent="0.25">
      <c r="A1412" s="734">
        <v>1511</v>
      </c>
      <c r="B1412" s="735" t="s">
        <v>18</v>
      </c>
      <c r="C1412" s="736">
        <v>41548.699999999997</v>
      </c>
      <c r="D1412" s="736">
        <v>45186.96</v>
      </c>
      <c r="E1412" s="749">
        <v>43369.96</v>
      </c>
      <c r="F1412" s="736">
        <v>44895.77</v>
      </c>
      <c r="G1412" s="736">
        <v>41132</v>
      </c>
      <c r="H1412" s="736"/>
      <c r="I1412" s="736"/>
      <c r="J1412" s="736">
        <f t="shared" si="500"/>
        <v>41132</v>
      </c>
      <c r="K1412" s="736">
        <v>1378.23</v>
      </c>
      <c r="L1412" s="736"/>
      <c r="M1412" s="736">
        <f t="shared" si="501"/>
        <v>42510.23</v>
      </c>
      <c r="N1412" s="736"/>
      <c r="O1412" s="736"/>
      <c r="P1412" s="736">
        <f t="shared" si="502"/>
        <v>42510.23</v>
      </c>
      <c r="Q1412" s="898">
        <v>42510.23</v>
      </c>
      <c r="R1412" s="738">
        <v>29550.35</v>
      </c>
      <c r="S1412" s="751">
        <v>37957.919999999998</v>
      </c>
      <c r="T1412" s="739">
        <v>1500521</v>
      </c>
      <c r="U1412" s="779">
        <v>41129.68</v>
      </c>
      <c r="V1412" s="741">
        <v>1500522</v>
      </c>
    </row>
    <row r="1413" spans="1:22" ht="15" x14ac:dyDescent="0.25">
      <c r="A1413" s="734">
        <v>1541</v>
      </c>
      <c r="B1413" s="735" t="s">
        <v>19</v>
      </c>
      <c r="C1413" s="736">
        <v>487397.56</v>
      </c>
      <c r="D1413" s="736">
        <v>588361.54</v>
      </c>
      <c r="E1413" s="749">
        <v>580691.11</v>
      </c>
      <c r="F1413" s="736">
        <v>569072.06999999995</v>
      </c>
      <c r="G1413" s="736">
        <v>697140.1</v>
      </c>
      <c r="H1413" s="736"/>
      <c r="I1413" s="736"/>
      <c r="J1413" s="736">
        <f t="shared" si="500"/>
        <v>697140.1</v>
      </c>
      <c r="K1413" s="736">
        <v>26536.79</v>
      </c>
      <c r="L1413" s="736"/>
      <c r="M1413" s="736">
        <f t="shared" si="501"/>
        <v>723676.89</v>
      </c>
      <c r="N1413" s="736"/>
      <c r="O1413" s="736"/>
      <c r="P1413" s="736">
        <f t="shared" si="502"/>
        <v>723676.89</v>
      </c>
      <c r="Q1413" s="901">
        <v>683570.71</v>
      </c>
      <c r="R1413" s="738">
        <v>416750.96</v>
      </c>
      <c r="S1413" s="751">
        <v>623797.72</v>
      </c>
      <c r="T1413" s="739">
        <v>1500521</v>
      </c>
      <c r="U1413" s="779">
        <v>619119.80000000005</v>
      </c>
      <c r="V1413" s="741">
        <v>1500522</v>
      </c>
    </row>
    <row r="1414" spans="1:22" ht="15" x14ac:dyDescent="0.25">
      <c r="A1414" s="734">
        <v>1592</v>
      </c>
      <c r="B1414" s="735" t="s">
        <v>20</v>
      </c>
      <c r="C1414" s="736">
        <v>621675.36</v>
      </c>
      <c r="D1414" s="736">
        <v>683759.44</v>
      </c>
      <c r="E1414" s="749">
        <v>660766.43999999994</v>
      </c>
      <c r="F1414" s="736">
        <v>683685.61</v>
      </c>
      <c r="G1414" s="736">
        <v>641815.79999999993</v>
      </c>
      <c r="H1414" s="736"/>
      <c r="I1414" s="736"/>
      <c r="J1414" s="736">
        <f t="shared" si="500"/>
        <v>641815.79999999993</v>
      </c>
      <c r="K1414" s="736">
        <v>21516.85</v>
      </c>
      <c r="L1414" s="736"/>
      <c r="M1414" s="736">
        <f t="shared" si="501"/>
        <v>663332.64999999991</v>
      </c>
      <c r="N1414" s="736"/>
      <c r="O1414" s="736"/>
      <c r="P1414" s="736">
        <f t="shared" si="502"/>
        <v>663332.64999999991</v>
      </c>
      <c r="Q1414" s="898">
        <v>753591.58</v>
      </c>
      <c r="R1414" s="738">
        <v>459654.76</v>
      </c>
      <c r="S1414" s="751">
        <v>613099.76</v>
      </c>
      <c r="T1414" s="739">
        <v>1500521</v>
      </c>
      <c r="U1414" s="779">
        <v>641667.6</v>
      </c>
      <c r="V1414" s="741">
        <v>1500522</v>
      </c>
    </row>
    <row r="1415" spans="1:22" ht="15" x14ac:dyDescent="0.2">
      <c r="A1415" s="728" t="s">
        <v>223</v>
      </c>
      <c r="B1415" s="906" t="s">
        <v>1560</v>
      </c>
      <c r="C1415" s="730"/>
      <c r="D1415" s="730"/>
      <c r="E1415" s="730"/>
      <c r="F1415" s="730"/>
      <c r="G1415" s="730">
        <f t="shared" ref="G1415:S1415" si="503">SUM(G1416:G1458)</f>
        <v>4374632.62</v>
      </c>
      <c r="H1415" s="730">
        <f t="shared" si="503"/>
        <v>0</v>
      </c>
      <c r="I1415" s="730">
        <f t="shared" si="503"/>
        <v>0</v>
      </c>
      <c r="J1415" s="730">
        <f t="shared" si="503"/>
        <v>4374632.62</v>
      </c>
      <c r="K1415" s="730">
        <f t="shared" si="503"/>
        <v>0</v>
      </c>
      <c r="L1415" s="730">
        <f t="shared" si="503"/>
        <v>562655.02</v>
      </c>
      <c r="M1415" s="730">
        <f t="shared" si="503"/>
        <v>3811977.5999999996</v>
      </c>
      <c r="N1415" s="730">
        <f t="shared" si="503"/>
        <v>1255149</v>
      </c>
      <c r="O1415" s="730">
        <f t="shared" si="503"/>
        <v>187600</v>
      </c>
      <c r="P1415" s="730">
        <f t="shared" si="503"/>
        <v>4879526.5999999996</v>
      </c>
      <c r="Q1415" s="748">
        <f t="shared" si="503"/>
        <v>4693488.01</v>
      </c>
      <c r="R1415" s="748">
        <f>SUM(R1416:R1458)</f>
        <v>1978488.6099999999</v>
      </c>
      <c r="S1415" s="748">
        <f t="shared" si="503"/>
        <v>3767788.47</v>
      </c>
      <c r="T1415" s="731"/>
      <c r="U1415" s="732">
        <f>SUM(U1416:U1458)</f>
        <v>4924212.9000000004</v>
      </c>
      <c r="V1415" s="733"/>
    </row>
    <row r="1416" spans="1:22" ht="15" x14ac:dyDescent="0.25">
      <c r="A1416" s="739">
        <v>1131</v>
      </c>
      <c r="B1416" s="743" t="s">
        <v>6</v>
      </c>
      <c r="C1416" s="736"/>
      <c r="D1416" s="736"/>
      <c r="E1416" s="749"/>
      <c r="F1416" s="736"/>
      <c r="G1416" s="736">
        <v>98114.200000000012</v>
      </c>
      <c r="H1416" s="736"/>
      <c r="I1416" s="736"/>
      <c r="J1416" s="736">
        <f t="shared" ref="J1416:J1428" si="504">G1416+H1416-I1416</f>
        <v>98114.200000000012</v>
      </c>
      <c r="K1416" s="736"/>
      <c r="L1416" s="736"/>
      <c r="M1416" s="736">
        <f t="shared" ref="M1416:M1428" si="505">J1416+K1416-L1416</f>
        <v>98114.200000000012</v>
      </c>
      <c r="N1416" s="736"/>
      <c r="O1416" s="736"/>
      <c r="P1416" s="736">
        <f t="shared" ref="P1416:P1454" si="506">M1416+N1416-O1416</f>
        <v>98114.200000000012</v>
      </c>
      <c r="Q1416" s="898">
        <v>49057.1</v>
      </c>
      <c r="R1416" s="738"/>
      <c r="S1416" s="751"/>
      <c r="T1416" s="739">
        <v>1500521</v>
      </c>
      <c r="U1416" s="750"/>
      <c r="V1416" s="739">
        <v>1500522</v>
      </c>
    </row>
    <row r="1417" spans="1:22" ht="15" x14ac:dyDescent="0.2">
      <c r="A1417" s="739">
        <v>1132</v>
      </c>
      <c r="B1417" s="743" t="s">
        <v>8</v>
      </c>
      <c r="C1417" s="736"/>
      <c r="D1417" s="736"/>
      <c r="E1417" s="749"/>
      <c r="F1417" s="736"/>
      <c r="G1417" s="736"/>
      <c r="H1417" s="736"/>
      <c r="I1417" s="736"/>
      <c r="J1417" s="736">
        <f t="shared" si="504"/>
        <v>0</v>
      </c>
      <c r="K1417" s="736"/>
      <c r="L1417" s="736"/>
      <c r="M1417" s="736">
        <f t="shared" si="505"/>
        <v>0</v>
      </c>
      <c r="N1417" s="736"/>
      <c r="O1417" s="736"/>
      <c r="P1417" s="738">
        <f t="shared" si="506"/>
        <v>0</v>
      </c>
      <c r="Q1417" s="738"/>
      <c r="R1417" s="738"/>
      <c r="S1417" s="751"/>
      <c r="T1417" s="739">
        <v>1500521</v>
      </c>
      <c r="U1417" s="750"/>
      <c r="V1417" s="739">
        <v>1500522</v>
      </c>
    </row>
    <row r="1418" spans="1:22" ht="15" x14ac:dyDescent="0.25">
      <c r="A1418" s="734">
        <v>1212</v>
      </c>
      <c r="B1418" s="735" t="s">
        <v>53</v>
      </c>
      <c r="C1418" s="736"/>
      <c r="D1418" s="736"/>
      <c r="E1418" s="749"/>
      <c r="F1418" s="736"/>
      <c r="G1418" s="736">
        <v>1147525.2</v>
      </c>
      <c r="H1418" s="736"/>
      <c r="I1418" s="736"/>
      <c r="J1418" s="736">
        <f t="shared" si="504"/>
        <v>1147525.2</v>
      </c>
      <c r="K1418" s="736"/>
      <c r="L1418" s="736">
        <v>398621.25</v>
      </c>
      <c r="M1418" s="736">
        <f t="shared" si="505"/>
        <v>748903.95</v>
      </c>
      <c r="N1418" s="736"/>
      <c r="O1418" s="736"/>
      <c r="P1418" s="736">
        <f t="shared" si="506"/>
        <v>748903.95</v>
      </c>
      <c r="Q1418" s="898">
        <v>624014.99</v>
      </c>
      <c r="R1418" s="738">
        <v>478535.43</v>
      </c>
      <c r="S1418" s="751">
        <v>564559.19999999995</v>
      </c>
      <c r="T1418" s="739">
        <v>1500521</v>
      </c>
      <c r="U1418" s="779">
        <v>936473.31</v>
      </c>
      <c r="V1418" s="741">
        <v>1500522</v>
      </c>
    </row>
    <row r="1419" spans="1:22" ht="15" x14ac:dyDescent="0.25">
      <c r="A1419" s="734">
        <v>1321</v>
      </c>
      <c r="B1419" s="735" t="s">
        <v>9</v>
      </c>
      <c r="C1419" s="736"/>
      <c r="D1419" s="736"/>
      <c r="E1419" s="749"/>
      <c r="F1419" s="736"/>
      <c r="G1419" s="736">
        <v>4781.4000000000005</v>
      </c>
      <c r="H1419" s="736"/>
      <c r="I1419" s="736"/>
      <c r="J1419" s="736">
        <f t="shared" si="504"/>
        <v>4781.4000000000005</v>
      </c>
      <c r="K1419" s="736"/>
      <c r="L1419" s="736">
        <v>1741.79</v>
      </c>
      <c r="M1419" s="736">
        <f t="shared" si="505"/>
        <v>3039.6100000000006</v>
      </c>
      <c r="N1419" s="736"/>
      <c r="O1419" s="736"/>
      <c r="P1419" s="736">
        <f t="shared" si="506"/>
        <v>3039.6100000000006</v>
      </c>
      <c r="Q1419" s="898">
        <v>3039.61</v>
      </c>
      <c r="R1419" s="738">
        <v>2018.27</v>
      </c>
      <c r="S1419" s="751">
        <v>2352.33</v>
      </c>
      <c r="T1419" s="739">
        <v>1500521</v>
      </c>
      <c r="U1419" s="779">
        <v>11613.99</v>
      </c>
      <c r="V1419" s="741">
        <v>1500522</v>
      </c>
    </row>
    <row r="1420" spans="1:22" ht="15" x14ac:dyDescent="0.25">
      <c r="A1420" s="734">
        <v>1323</v>
      </c>
      <c r="B1420" s="735" t="s">
        <v>11</v>
      </c>
      <c r="C1420" s="736"/>
      <c r="D1420" s="736"/>
      <c r="E1420" s="749"/>
      <c r="F1420" s="736"/>
      <c r="G1420" s="736">
        <v>47813.599999999999</v>
      </c>
      <c r="H1420" s="736"/>
      <c r="I1420" s="736"/>
      <c r="J1420" s="736">
        <f t="shared" si="504"/>
        <v>47813.599999999999</v>
      </c>
      <c r="K1420" s="736"/>
      <c r="L1420" s="736">
        <v>17417.55</v>
      </c>
      <c r="M1420" s="736">
        <f t="shared" si="505"/>
        <v>30396.05</v>
      </c>
      <c r="N1420" s="736"/>
      <c r="O1420" s="736"/>
      <c r="P1420" s="736">
        <f t="shared" si="506"/>
        <v>30396.05</v>
      </c>
      <c r="Q1420" s="898">
        <v>21277.23</v>
      </c>
      <c r="R1420" s="738">
        <v>4089.99</v>
      </c>
      <c r="S1420" s="751">
        <v>23523.3</v>
      </c>
      <c r="T1420" s="739">
        <v>1500521</v>
      </c>
      <c r="U1420" s="779">
        <v>53131.85</v>
      </c>
      <c r="V1420" s="741">
        <v>1500522</v>
      </c>
    </row>
    <row r="1421" spans="1:22" ht="15" x14ac:dyDescent="0.25">
      <c r="A1421" s="734">
        <v>1413</v>
      </c>
      <c r="B1421" s="735" t="s">
        <v>13</v>
      </c>
      <c r="C1421" s="736"/>
      <c r="D1421" s="736"/>
      <c r="E1421" s="749"/>
      <c r="F1421" s="736"/>
      <c r="G1421" s="736">
        <v>242189.1</v>
      </c>
      <c r="H1421" s="736"/>
      <c r="I1421" s="736"/>
      <c r="J1421" s="736">
        <f t="shared" si="504"/>
        <v>242189.1</v>
      </c>
      <c r="K1421" s="736"/>
      <c r="L1421" s="736">
        <v>98952.52</v>
      </c>
      <c r="M1421" s="736">
        <f t="shared" si="505"/>
        <v>143236.58000000002</v>
      </c>
      <c r="N1421" s="736"/>
      <c r="O1421" s="736"/>
      <c r="P1421" s="736">
        <f t="shared" si="506"/>
        <v>143236.58000000002</v>
      </c>
      <c r="Q1421" s="898">
        <v>143236.57999999999</v>
      </c>
      <c r="R1421" s="738"/>
      <c r="S1421" s="751">
        <v>123577.68</v>
      </c>
      <c r="T1421" s="739">
        <v>1500521</v>
      </c>
      <c r="U1421" s="779">
        <v>174835.89</v>
      </c>
      <c r="V1421" s="741">
        <v>1500522</v>
      </c>
    </row>
    <row r="1422" spans="1:22" ht="15" x14ac:dyDescent="0.25">
      <c r="A1422" s="734">
        <v>1421</v>
      </c>
      <c r="B1422" s="735" t="s">
        <v>15</v>
      </c>
      <c r="C1422" s="736"/>
      <c r="D1422" s="736"/>
      <c r="E1422" s="749"/>
      <c r="F1422" s="736"/>
      <c r="G1422" s="736">
        <v>62088.5</v>
      </c>
      <c r="H1422" s="736"/>
      <c r="I1422" s="736"/>
      <c r="J1422" s="736">
        <f t="shared" si="504"/>
        <v>62088.5</v>
      </c>
      <c r="K1422" s="736"/>
      <c r="L1422" s="736">
        <v>22621.48</v>
      </c>
      <c r="M1422" s="736">
        <f t="shared" si="505"/>
        <v>39467.020000000004</v>
      </c>
      <c r="N1422" s="736"/>
      <c r="O1422" s="736"/>
      <c r="P1422" s="736">
        <f t="shared" si="506"/>
        <v>39467.020000000004</v>
      </c>
      <c r="Q1422" s="898">
        <v>39467.019999999997</v>
      </c>
      <c r="R1422" s="738"/>
      <c r="S1422" s="751">
        <v>30517.68</v>
      </c>
      <c r="T1422" s="739">
        <v>1500521</v>
      </c>
      <c r="U1422" s="779">
        <v>71612.31</v>
      </c>
      <c r="V1422" s="741">
        <v>1500522</v>
      </c>
    </row>
    <row r="1423" spans="1:22" ht="15" x14ac:dyDescent="0.25">
      <c r="A1423" s="734">
        <v>1431</v>
      </c>
      <c r="B1423" s="735" t="s">
        <v>16</v>
      </c>
      <c r="C1423" s="736"/>
      <c r="D1423" s="736"/>
      <c r="E1423" s="749"/>
      <c r="F1423" s="736"/>
      <c r="G1423" s="736">
        <v>63951.299999999996</v>
      </c>
      <c r="H1423" s="736"/>
      <c r="I1423" s="736"/>
      <c r="J1423" s="736">
        <f t="shared" si="504"/>
        <v>63951.299999999996</v>
      </c>
      <c r="K1423" s="736"/>
      <c r="L1423" s="736">
        <v>23300.43</v>
      </c>
      <c r="M1423" s="736">
        <f t="shared" si="505"/>
        <v>40650.869999999995</v>
      </c>
      <c r="N1423" s="736"/>
      <c r="O1423" s="736"/>
      <c r="P1423" s="736">
        <f t="shared" si="506"/>
        <v>40650.869999999995</v>
      </c>
      <c r="Q1423" s="898">
        <v>40650.870000000003</v>
      </c>
      <c r="R1423" s="738"/>
      <c r="S1423" s="751">
        <v>31433.279999999999</v>
      </c>
      <c r="T1423" s="739">
        <v>1500521</v>
      </c>
      <c r="U1423" s="779">
        <v>73475.11</v>
      </c>
      <c r="V1423" s="741">
        <v>1500522</v>
      </c>
    </row>
    <row r="1424" spans="1:22" ht="15" x14ac:dyDescent="0.2">
      <c r="A1424" s="739">
        <v>1511</v>
      </c>
      <c r="B1424" s="743" t="s">
        <v>18</v>
      </c>
      <c r="C1424" s="736"/>
      <c r="D1424" s="736"/>
      <c r="E1424" s="749"/>
      <c r="F1424" s="736"/>
      <c r="G1424" s="736"/>
      <c r="H1424" s="736"/>
      <c r="I1424" s="736"/>
      <c r="J1424" s="736">
        <f t="shared" si="504"/>
        <v>0</v>
      </c>
      <c r="K1424" s="736"/>
      <c r="L1424" s="736"/>
      <c r="M1424" s="736">
        <f t="shared" si="505"/>
        <v>0</v>
      </c>
      <c r="N1424" s="736"/>
      <c r="O1424" s="736"/>
      <c r="P1424" s="738">
        <f t="shared" si="506"/>
        <v>0</v>
      </c>
      <c r="Q1424" s="738"/>
      <c r="R1424" s="738"/>
      <c r="S1424" s="751"/>
      <c r="T1424" s="739">
        <v>1500521</v>
      </c>
      <c r="U1424" s="750"/>
      <c r="V1424" s="739">
        <v>1500522</v>
      </c>
    </row>
    <row r="1425" spans="1:22" ht="15" x14ac:dyDescent="0.2">
      <c r="A1425" s="739">
        <v>1541</v>
      </c>
      <c r="B1425" s="743" t="s">
        <v>19</v>
      </c>
      <c r="C1425" s="736"/>
      <c r="D1425" s="736"/>
      <c r="E1425" s="749"/>
      <c r="F1425" s="736"/>
      <c r="G1425" s="736">
        <v>77110.399999999994</v>
      </c>
      <c r="H1425" s="736"/>
      <c r="I1425" s="736"/>
      <c r="J1425" s="736">
        <f t="shared" si="504"/>
        <v>77110.399999999994</v>
      </c>
      <c r="K1425" s="736"/>
      <c r="L1425" s="736"/>
      <c r="M1425" s="736">
        <f t="shared" si="505"/>
        <v>77110.399999999994</v>
      </c>
      <c r="N1425" s="736"/>
      <c r="O1425" s="736"/>
      <c r="P1425" s="736">
        <f t="shared" si="506"/>
        <v>77110.399999999994</v>
      </c>
      <c r="Q1425" s="738">
        <v>77110.399999999994</v>
      </c>
      <c r="R1425" s="738"/>
      <c r="S1425" s="751"/>
      <c r="T1425" s="739">
        <v>1500521</v>
      </c>
      <c r="U1425" s="750"/>
      <c r="V1425" s="739">
        <v>1500522</v>
      </c>
    </row>
    <row r="1426" spans="1:22" ht="15" x14ac:dyDescent="0.2">
      <c r="A1426" s="739">
        <v>1592</v>
      </c>
      <c r="B1426" s="743" t="s">
        <v>20</v>
      </c>
      <c r="C1426" s="736"/>
      <c r="D1426" s="736"/>
      <c r="E1426" s="749"/>
      <c r="F1426" s="736"/>
      <c r="G1426" s="736"/>
      <c r="H1426" s="736"/>
      <c r="I1426" s="736"/>
      <c r="J1426" s="736">
        <f t="shared" si="504"/>
        <v>0</v>
      </c>
      <c r="K1426" s="736"/>
      <c r="L1426" s="736"/>
      <c r="M1426" s="736">
        <f t="shared" si="505"/>
        <v>0</v>
      </c>
      <c r="N1426" s="736"/>
      <c r="O1426" s="736"/>
      <c r="P1426" s="738">
        <f t="shared" si="506"/>
        <v>0</v>
      </c>
      <c r="Q1426" s="738"/>
      <c r="R1426" s="738"/>
      <c r="S1426" s="751"/>
      <c r="T1426" s="739">
        <v>1500521</v>
      </c>
      <c r="U1426" s="750"/>
      <c r="V1426" s="739">
        <v>1500522</v>
      </c>
    </row>
    <row r="1427" spans="1:22" ht="15" x14ac:dyDescent="0.25">
      <c r="A1427" s="739">
        <v>2111</v>
      </c>
      <c r="B1427" s="743" t="s">
        <v>22</v>
      </c>
      <c r="C1427" s="736"/>
      <c r="D1427" s="736"/>
      <c r="E1427" s="749"/>
      <c r="F1427" s="736"/>
      <c r="G1427" s="752">
        <v>15000</v>
      </c>
      <c r="H1427" s="752"/>
      <c r="I1427" s="752"/>
      <c r="J1427" s="736">
        <f t="shared" si="504"/>
        <v>15000</v>
      </c>
      <c r="K1427" s="752"/>
      <c r="L1427" s="752"/>
      <c r="M1427" s="736">
        <f t="shared" si="505"/>
        <v>15000</v>
      </c>
      <c r="N1427" s="736"/>
      <c r="O1427" s="736"/>
      <c r="P1427" s="736">
        <f t="shared" si="506"/>
        <v>15000</v>
      </c>
      <c r="Q1427" s="898">
        <v>12026.29</v>
      </c>
      <c r="R1427" s="738">
        <v>9718.1299999999992</v>
      </c>
      <c r="S1427" s="753">
        <v>20000</v>
      </c>
      <c r="T1427" s="739">
        <v>1100121</v>
      </c>
      <c r="U1427" s="745"/>
      <c r="V1427" s="739">
        <v>1100122</v>
      </c>
    </row>
    <row r="1428" spans="1:22" ht="15" x14ac:dyDescent="0.25">
      <c r="A1428" s="734">
        <v>2112</v>
      </c>
      <c r="B1428" s="735" t="s">
        <v>39</v>
      </c>
      <c r="C1428" s="736"/>
      <c r="D1428" s="736"/>
      <c r="E1428" s="749"/>
      <c r="F1428" s="736"/>
      <c r="G1428" s="752">
        <v>211910</v>
      </c>
      <c r="H1428" s="752"/>
      <c r="I1428" s="752"/>
      <c r="J1428" s="736">
        <f t="shared" si="504"/>
        <v>211910</v>
      </c>
      <c r="K1428" s="752"/>
      <c r="L1428" s="752"/>
      <c r="M1428" s="736">
        <f t="shared" si="505"/>
        <v>211910</v>
      </c>
      <c r="N1428" s="736">
        <v>5800</v>
      </c>
      <c r="O1428" s="736"/>
      <c r="P1428" s="736">
        <f t="shared" si="506"/>
        <v>217710</v>
      </c>
      <c r="Q1428" s="898">
        <v>217710</v>
      </c>
      <c r="R1428" s="738">
        <v>45352.68</v>
      </c>
      <c r="S1428" s="753">
        <v>250000</v>
      </c>
      <c r="T1428" s="739">
        <v>1100121</v>
      </c>
      <c r="U1428" s="746">
        <v>100000</v>
      </c>
      <c r="V1428" s="741">
        <v>1100122</v>
      </c>
    </row>
    <row r="1429" spans="1:22" ht="15" x14ac:dyDescent="0.25">
      <c r="A1429" s="734">
        <v>2112</v>
      </c>
      <c r="B1429" s="735" t="s">
        <v>39</v>
      </c>
      <c r="C1429" s="736"/>
      <c r="D1429" s="736"/>
      <c r="E1429" s="749"/>
      <c r="F1429" s="736"/>
      <c r="G1429" s="752"/>
      <c r="H1429" s="752"/>
      <c r="I1429" s="752"/>
      <c r="J1429" s="736"/>
      <c r="K1429" s="752"/>
      <c r="L1429" s="752"/>
      <c r="M1429" s="736"/>
      <c r="N1429" s="736"/>
      <c r="O1429" s="736"/>
      <c r="P1429" s="736"/>
      <c r="Q1429" s="898"/>
      <c r="R1429" s="738"/>
      <c r="S1429" s="753"/>
      <c r="T1429" s="739" t="s">
        <v>695</v>
      </c>
      <c r="U1429" s="746">
        <v>5336</v>
      </c>
      <c r="V1429" s="741">
        <v>1100121</v>
      </c>
    </row>
    <row r="1430" spans="1:22" ht="15" x14ac:dyDescent="0.25">
      <c r="A1430" s="739">
        <v>2142</v>
      </c>
      <c r="B1430" s="743" t="s">
        <v>170</v>
      </c>
      <c r="C1430" s="736"/>
      <c r="D1430" s="736"/>
      <c r="E1430" s="749"/>
      <c r="F1430" s="736"/>
      <c r="G1430" s="752"/>
      <c r="H1430" s="752"/>
      <c r="I1430" s="752"/>
      <c r="J1430" s="736"/>
      <c r="K1430" s="752"/>
      <c r="L1430" s="752"/>
      <c r="M1430" s="736"/>
      <c r="N1430" s="736">
        <v>14000</v>
      </c>
      <c r="O1430" s="736"/>
      <c r="P1430" s="736">
        <f t="shared" si="506"/>
        <v>14000</v>
      </c>
      <c r="Q1430" s="898">
        <v>14000</v>
      </c>
      <c r="R1430" s="738">
        <v>12330.8</v>
      </c>
      <c r="S1430" s="753"/>
      <c r="T1430" s="739">
        <v>1100121</v>
      </c>
      <c r="U1430" s="745"/>
      <c r="V1430" s="739">
        <v>1100122</v>
      </c>
    </row>
    <row r="1431" spans="1:22" ht="15" x14ac:dyDescent="0.25">
      <c r="A1431" s="734">
        <v>2142</v>
      </c>
      <c r="B1431" s="735" t="s">
        <v>170</v>
      </c>
      <c r="C1431" s="736"/>
      <c r="D1431" s="736"/>
      <c r="E1431" s="749"/>
      <c r="F1431" s="736"/>
      <c r="G1431" s="752"/>
      <c r="H1431" s="752"/>
      <c r="I1431" s="752"/>
      <c r="J1431" s="736"/>
      <c r="K1431" s="752"/>
      <c r="L1431" s="752"/>
      <c r="M1431" s="736"/>
      <c r="N1431" s="736"/>
      <c r="O1431" s="736"/>
      <c r="P1431" s="736"/>
      <c r="Q1431" s="898"/>
      <c r="R1431" s="738"/>
      <c r="S1431" s="753"/>
      <c r="T1431" s="739"/>
      <c r="U1431" s="740">
        <f>8891.4+3439.4</f>
        <v>12330.8</v>
      </c>
      <c r="V1431" s="741">
        <v>1100121</v>
      </c>
    </row>
    <row r="1432" spans="1:22" ht="15" x14ac:dyDescent="0.25">
      <c r="A1432" s="734">
        <v>2161</v>
      </c>
      <c r="B1432" s="735" t="s">
        <v>59</v>
      </c>
      <c r="C1432" s="736"/>
      <c r="D1432" s="736"/>
      <c r="E1432" s="749"/>
      <c r="F1432" s="736"/>
      <c r="G1432" s="752">
        <v>60000</v>
      </c>
      <c r="H1432" s="752"/>
      <c r="I1432" s="752"/>
      <c r="J1432" s="736">
        <f t="shared" ref="J1432:J1444" si="507">G1432+H1432-I1432</f>
        <v>60000</v>
      </c>
      <c r="K1432" s="752"/>
      <c r="L1432" s="752"/>
      <c r="M1432" s="736">
        <f t="shared" ref="M1432:M1444" si="508">J1432+K1432-L1432</f>
        <v>60000</v>
      </c>
      <c r="N1432" s="736"/>
      <c r="O1432" s="736"/>
      <c r="P1432" s="736">
        <f t="shared" si="506"/>
        <v>60000</v>
      </c>
      <c r="Q1432" s="898">
        <v>60000</v>
      </c>
      <c r="R1432" s="738">
        <v>46080.88</v>
      </c>
      <c r="S1432" s="753">
        <v>80000</v>
      </c>
      <c r="T1432" s="739">
        <v>1100121</v>
      </c>
      <c r="U1432" s="740">
        <v>50000</v>
      </c>
      <c r="V1432" s="741">
        <v>1100122</v>
      </c>
    </row>
    <row r="1433" spans="1:22" ht="15" x14ac:dyDescent="0.25">
      <c r="A1433" s="739">
        <v>2212</v>
      </c>
      <c r="B1433" s="743" t="s">
        <v>40</v>
      </c>
      <c r="C1433" s="736"/>
      <c r="D1433" s="736"/>
      <c r="E1433" s="749"/>
      <c r="F1433" s="736"/>
      <c r="G1433" s="752">
        <v>10000</v>
      </c>
      <c r="H1433" s="752"/>
      <c r="I1433" s="752"/>
      <c r="J1433" s="736">
        <f t="shared" si="507"/>
        <v>10000</v>
      </c>
      <c r="K1433" s="752"/>
      <c r="L1433" s="752"/>
      <c r="M1433" s="736">
        <f t="shared" si="508"/>
        <v>10000</v>
      </c>
      <c r="N1433" s="736"/>
      <c r="O1433" s="736"/>
      <c r="P1433" s="736">
        <f t="shared" si="506"/>
        <v>10000</v>
      </c>
      <c r="Q1433" s="898">
        <v>10000</v>
      </c>
      <c r="R1433" s="738"/>
      <c r="S1433" s="753">
        <v>10000</v>
      </c>
      <c r="T1433" s="739">
        <v>1100121</v>
      </c>
      <c r="U1433" s="745"/>
      <c r="V1433" s="739">
        <v>1100122</v>
      </c>
    </row>
    <row r="1434" spans="1:22" ht="15" x14ac:dyDescent="0.25">
      <c r="A1434" s="734">
        <v>2491</v>
      </c>
      <c r="B1434" s="735" t="s">
        <v>41</v>
      </c>
      <c r="C1434" s="736"/>
      <c r="D1434" s="736"/>
      <c r="E1434" s="749"/>
      <c r="F1434" s="736"/>
      <c r="G1434" s="752">
        <v>110309</v>
      </c>
      <c r="H1434" s="752"/>
      <c r="I1434" s="752"/>
      <c r="J1434" s="736">
        <f t="shared" si="507"/>
        <v>110309</v>
      </c>
      <c r="K1434" s="752"/>
      <c r="L1434" s="752"/>
      <c r="M1434" s="736">
        <f t="shared" si="508"/>
        <v>110309</v>
      </c>
      <c r="N1434" s="736">
        <v>8520</v>
      </c>
      <c r="O1434" s="736"/>
      <c r="P1434" s="736">
        <f t="shared" si="506"/>
        <v>118829</v>
      </c>
      <c r="Q1434" s="898">
        <v>118829</v>
      </c>
      <c r="R1434" s="738">
        <v>52068.6</v>
      </c>
      <c r="S1434" s="753">
        <v>120000</v>
      </c>
      <c r="T1434" s="739">
        <v>1100121</v>
      </c>
      <c r="U1434" s="746">
        <v>50000</v>
      </c>
      <c r="V1434" s="741">
        <v>1100122</v>
      </c>
    </row>
    <row r="1435" spans="1:22" ht="15" x14ac:dyDescent="0.25">
      <c r="A1435" s="734">
        <v>2491</v>
      </c>
      <c r="B1435" s="735" t="s">
        <v>41</v>
      </c>
      <c r="C1435" s="736"/>
      <c r="D1435" s="736"/>
      <c r="E1435" s="749"/>
      <c r="F1435" s="736"/>
      <c r="G1435" s="752"/>
      <c r="H1435" s="752"/>
      <c r="I1435" s="752"/>
      <c r="J1435" s="736"/>
      <c r="K1435" s="752"/>
      <c r="L1435" s="752"/>
      <c r="M1435" s="736"/>
      <c r="N1435" s="736"/>
      <c r="O1435" s="736"/>
      <c r="P1435" s="736"/>
      <c r="Q1435" s="898"/>
      <c r="R1435" s="738"/>
      <c r="S1435" s="753"/>
      <c r="T1435" s="739" t="s">
        <v>695</v>
      </c>
      <c r="U1435" s="746">
        <f>1461.6+4176+1044+998</f>
        <v>7679.6</v>
      </c>
      <c r="V1435" s="741">
        <v>1100121</v>
      </c>
    </row>
    <row r="1436" spans="1:22" ht="15" x14ac:dyDescent="0.25">
      <c r="A1436" s="734">
        <v>2911</v>
      </c>
      <c r="B1436" s="735" t="s">
        <v>60</v>
      </c>
      <c r="C1436" s="736"/>
      <c r="D1436" s="736"/>
      <c r="E1436" s="749"/>
      <c r="F1436" s="736"/>
      <c r="G1436" s="752">
        <v>45000</v>
      </c>
      <c r="H1436" s="752"/>
      <c r="I1436" s="752"/>
      <c r="J1436" s="736">
        <f t="shared" si="507"/>
        <v>45000</v>
      </c>
      <c r="K1436" s="752"/>
      <c r="L1436" s="752"/>
      <c r="M1436" s="736">
        <f t="shared" si="508"/>
        <v>45000</v>
      </c>
      <c r="N1436" s="736"/>
      <c r="O1436" s="736"/>
      <c r="P1436" s="736">
        <f t="shared" si="506"/>
        <v>45000</v>
      </c>
      <c r="Q1436" s="898">
        <v>45000</v>
      </c>
      <c r="R1436" s="738">
        <v>16657.490000000002</v>
      </c>
      <c r="S1436" s="753">
        <v>60000</v>
      </c>
      <c r="T1436" s="739">
        <v>1100121</v>
      </c>
      <c r="U1436" s="746">
        <v>20000</v>
      </c>
      <c r="V1436" s="741">
        <v>1100122</v>
      </c>
    </row>
    <row r="1437" spans="1:22" ht="15" x14ac:dyDescent="0.2">
      <c r="A1437" s="734">
        <v>3111</v>
      </c>
      <c r="B1437" s="735" t="s">
        <v>47</v>
      </c>
      <c r="C1437" s="736"/>
      <c r="D1437" s="736"/>
      <c r="E1437" s="749"/>
      <c r="F1437" s="736"/>
      <c r="G1437" s="752">
        <v>960000</v>
      </c>
      <c r="H1437" s="752"/>
      <c r="I1437" s="752"/>
      <c r="J1437" s="736">
        <f t="shared" si="507"/>
        <v>960000</v>
      </c>
      <c r="K1437" s="752"/>
      <c r="L1437" s="752"/>
      <c r="M1437" s="736">
        <f t="shared" si="508"/>
        <v>960000</v>
      </c>
      <c r="N1437" s="736"/>
      <c r="O1437" s="736"/>
      <c r="P1437" s="736">
        <f t="shared" si="506"/>
        <v>960000</v>
      </c>
      <c r="Q1437" s="753">
        <v>960000</v>
      </c>
      <c r="R1437" s="738">
        <v>67949</v>
      </c>
      <c r="S1437" s="753"/>
      <c r="T1437" s="739">
        <v>1100121</v>
      </c>
      <c r="U1437" s="740">
        <v>960000</v>
      </c>
      <c r="V1437" s="741">
        <v>1100122</v>
      </c>
    </row>
    <row r="1438" spans="1:22" ht="15" x14ac:dyDescent="0.2">
      <c r="A1438" s="734">
        <v>3131</v>
      </c>
      <c r="B1438" s="735" t="s">
        <v>61</v>
      </c>
      <c r="C1438" s="736"/>
      <c r="D1438" s="736"/>
      <c r="E1438" s="749"/>
      <c r="F1438" s="736"/>
      <c r="G1438" s="752">
        <v>200000</v>
      </c>
      <c r="H1438" s="752"/>
      <c r="I1438" s="752"/>
      <c r="J1438" s="736">
        <f t="shared" si="507"/>
        <v>200000</v>
      </c>
      <c r="K1438" s="752"/>
      <c r="L1438" s="752"/>
      <c r="M1438" s="736">
        <f t="shared" si="508"/>
        <v>200000</v>
      </c>
      <c r="N1438" s="736"/>
      <c r="O1438" s="736"/>
      <c r="P1438" s="736">
        <f t="shared" si="506"/>
        <v>200000</v>
      </c>
      <c r="Q1438" s="753">
        <v>200000</v>
      </c>
      <c r="R1438" s="738">
        <v>7139.5</v>
      </c>
      <c r="S1438" s="753"/>
      <c r="T1438" s="739">
        <v>1100121</v>
      </c>
      <c r="U1438" s="740">
        <v>600000</v>
      </c>
      <c r="V1438" s="741">
        <v>1100122</v>
      </c>
    </row>
    <row r="1439" spans="1:22" ht="15" x14ac:dyDescent="0.2">
      <c r="A1439" s="734">
        <v>3141</v>
      </c>
      <c r="B1439" s="735" t="s">
        <v>48</v>
      </c>
      <c r="C1439" s="736"/>
      <c r="D1439" s="736"/>
      <c r="E1439" s="749"/>
      <c r="F1439" s="736"/>
      <c r="G1439" s="752">
        <v>12000</v>
      </c>
      <c r="H1439" s="752"/>
      <c r="I1439" s="752"/>
      <c r="J1439" s="736">
        <f t="shared" si="507"/>
        <v>12000</v>
      </c>
      <c r="K1439" s="752"/>
      <c r="L1439" s="752"/>
      <c r="M1439" s="736">
        <f t="shared" si="508"/>
        <v>12000</v>
      </c>
      <c r="N1439" s="736"/>
      <c r="O1439" s="736"/>
      <c r="P1439" s="736">
        <f t="shared" si="506"/>
        <v>12000</v>
      </c>
      <c r="Q1439" s="753">
        <v>12000</v>
      </c>
      <c r="R1439" s="738">
        <v>5281.12</v>
      </c>
      <c r="S1439" s="753"/>
      <c r="T1439" s="739">
        <v>1100121</v>
      </c>
      <c r="U1439" s="740">
        <v>25000</v>
      </c>
      <c r="V1439" s="741">
        <v>1100122</v>
      </c>
    </row>
    <row r="1440" spans="1:22" ht="15" x14ac:dyDescent="0.2">
      <c r="A1440" s="734">
        <v>3151</v>
      </c>
      <c r="B1440" s="735" t="s">
        <v>28</v>
      </c>
      <c r="C1440" s="736"/>
      <c r="D1440" s="736"/>
      <c r="E1440" s="749"/>
      <c r="F1440" s="736"/>
      <c r="G1440" s="752">
        <v>13000</v>
      </c>
      <c r="H1440" s="752"/>
      <c r="I1440" s="752"/>
      <c r="J1440" s="736">
        <f t="shared" si="507"/>
        <v>13000</v>
      </c>
      <c r="K1440" s="752"/>
      <c r="L1440" s="752"/>
      <c r="M1440" s="736">
        <f t="shared" si="508"/>
        <v>13000</v>
      </c>
      <c r="N1440" s="736"/>
      <c r="O1440" s="736"/>
      <c r="P1440" s="736">
        <f t="shared" si="506"/>
        <v>13000</v>
      </c>
      <c r="Q1440" s="753">
        <v>13000</v>
      </c>
      <c r="R1440" s="738">
        <v>2573.9699999999998</v>
      </c>
      <c r="S1440" s="753"/>
      <c r="T1440" s="739">
        <v>1100121</v>
      </c>
      <c r="U1440" s="740">
        <v>10000</v>
      </c>
      <c r="V1440" s="741">
        <v>1100122</v>
      </c>
    </row>
    <row r="1441" spans="1:22" ht="30" x14ac:dyDescent="0.2">
      <c r="A1441" s="739">
        <v>3361</v>
      </c>
      <c r="B1441" s="743" t="s">
        <v>29</v>
      </c>
      <c r="C1441" s="736"/>
      <c r="D1441" s="736"/>
      <c r="E1441" s="749"/>
      <c r="F1441" s="736"/>
      <c r="G1441" s="752">
        <v>7000</v>
      </c>
      <c r="H1441" s="752"/>
      <c r="I1441" s="752"/>
      <c r="J1441" s="736">
        <f t="shared" si="507"/>
        <v>7000</v>
      </c>
      <c r="K1441" s="752"/>
      <c r="L1441" s="752"/>
      <c r="M1441" s="736">
        <f t="shared" si="508"/>
        <v>7000</v>
      </c>
      <c r="N1441" s="736"/>
      <c r="O1441" s="736"/>
      <c r="P1441" s="736">
        <f t="shared" si="506"/>
        <v>7000</v>
      </c>
      <c r="Q1441" s="753">
        <v>7000</v>
      </c>
      <c r="R1441" s="738"/>
      <c r="S1441" s="753">
        <v>7000</v>
      </c>
      <c r="T1441" s="739">
        <v>1100121</v>
      </c>
      <c r="U1441" s="745"/>
      <c r="V1441" s="739">
        <v>1100122</v>
      </c>
    </row>
    <row r="1442" spans="1:22" ht="15" x14ac:dyDescent="0.2">
      <c r="A1442" s="739">
        <v>3381</v>
      </c>
      <c r="B1442" s="743" t="s">
        <v>64</v>
      </c>
      <c r="C1442" s="736"/>
      <c r="D1442" s="736"/>
      <c r="E1442" s="749"/>
      <c r="F1442" s="736"/>
      <c r="G1442" s="752"/>
      <c r="H1442" s="752"/>
      <c r="I1442" s="752"/>
      <c r="J1442" s="736">
        <f t="shared" si="507"/>
        <v>0</v>
      </c>
      <c r="K1442" s="752"/>
      <c r="L1442" s="752"/>
      <c r="M1442" s="736">
        <f t="shared" si="508"/>
        <v>0</v>
      </c>
      <c r="N1442" s="736"/>
      <c r="O1442" s="736"/>
      <c r="P1442" s="738">
        <f t="shared" si="506"/>
        <v>0</v>
      </c>
      <c r="Q1442" s="753"/>
      <c r="R1442" s="738"/>
      <c r="S1442" s="753"/>
      <c r="T1442" s="739">
        <v>1100121</v>
      </c>
      <c r="U1442" s="745"/>
      <c r="V1442" s="739">
        <v>1100122</v>
      </c>
    </row>
    <row r="1443" spans="1:22" ht="15" x14ac:dyDescent="0.25">
      <c r="A1443" s="739">
        <v>3471</v>
      </c>
      <c r="B1443" s="907" t="s">
        <v>100</v>
      </c>
      <c r="C1443" s="736"/>
      <c r="D1443" s="736"/>
      <c r="E1443" s="749"/>
      <c r="F1443" s="736"/>
      <c r="G1443" s="752"/>
      <c r="H1443" s="752"/>
      <c r="I1443" s="752"/>
      <c r="J1443" s="736"/>
      <c r="K1443" s="752"/>
      <c r="L1443" s="752"/>
      <c r="M1443" s="736"/>
      <c r="N1443" s="736"/>
      <c r="O1443" s="736"/>
      <c r="P1443" s="738"/>
      <c r="Q1443" s="898">
        <v>30000</v>
      </c>
      <c r="R1443" s="738"/>
      <c r="S1443" s="753"/>
      <c r="T1443" s="739">
        <v>2610121</v>
      </c>
      <c r="U1443" s="745"/>
      <c r="V1443" s="739">
        <v>2610122</v>
      </c>
    </row>
    <row r="1444" spans="1:22" ht="15" x14ac:dyDescent="0.2">
      <c r="A1444" s="734">
        <v>3511</v>
      </c>
      <c r="B1444" s="735" t="s">
        <v>49</v>
      </c>
      <c r="C1444" s="736"/>
      <c r="D1444" s="736"/>
      <c r="E1444" s="749"/>
      <c r="F1444" s="736"/>
      <c r="G1444" s="752">
        <v>926839.92</v>
      </c>
      <c r="H1444" s="752"/>
      <c r="I1444" s="752"/>
      <c r="J1444" s="736">
        <f t="shared" si="507"/>
        <v>926839.92</v>
      </c>
      <c r="K1444" s="752"/>
      <c r="L1444" s="752"/>
      <c r="M1444" s="736">
        <f t="shared" si="508"/>
        <v>926839.92</v>
      </c>
      <c r="N1444" s="736"/>
      <c r="O1444" s="736">
        <v>117600</v>
      </c>
      <c r="P1444" s="736">
        <f t="shared" si="506"/>
        <v>809239.92</v>
      </c>
      <c r="Q1444" s="753">
        <v>809239.92</v>
      </c>
      <c r="R1444" s="738">
        <v>91512.15</v>
      </c>
      <c r="S1444" s="753">
        <v>1860146</v>
      </c>
      <c r="T1444" s="739">
        <v>1100121</v>
      </c>
      <c r="U1444" s="746">
        <v>600000</v>
      </c>
      <c r="V1444" s="741">
        <v>1100122</v>
      </c>
    </row>
    <row r="1445" spans="1:22" ht="15" x14ac:dyDescent="0.2">
      <c r="A1445" s="734">
        <v>3511</v>
      </c>
      <c r="B1445" s="735" t="s">
        <v>49</v>
      </c>
      <c r="C1445" s="736"/>
      <c r="D1445" s="736"/>
      <c r="E1445" s="749"/>
      <c r="F1445" s="736"/>
      <c r="G1445" s="752"/>
      <c r="H1445" s="752"/>
      <c r="I1445" s="752"/>
      <c r="J1445" s="736"/>
      <c r="K1445" s="752"/>
      <c r="L1445" s="752"/>
      <c r="M1445" s="736"/>
      <c r="N1445" s="736"/>
      <c r="O1445" s="736"/>
      <c r="P1445" s="736"/>
      <c r="Q1445" s="753"/>
      <c r="R1445" s="738"/>
      <c r="S1445" s="753"/>
      <c r="T1445" s="739"/>
      <c r="U1445" s="746">
        <f>276000-0.36</f>
        <v>275999.64</v>
      </c>
      <c r="V1445" s="741">
        <v>1100121</v>
      </c>
    </row>
    <row r="1446" spans="1:22" ht="15" x14ac:dyDescent="0.2">
      <c r="A1446" s="739">
        <v>3571</v>
      </c>
      <c r="B1446" s="743" t="s">
        <v>65</v>
      </c>
      <c r="C1446" s="736"/>
      <c r="D1446" s="736"/>
      <c r="E1446" s="749"/>
      <c r="F1446" s="736"/>
      <c r="G1446" s="752"/>
      <c r="H1446" s="752"/>
      <c r="I1446" s="752"/>
      <c r="J1446" s="736"/>
      <c r="K1446" s="752"/>
      <c r="L1446" s="752"/>
      <c r="M1446" s="736"/>
      <c r="N1446" s="736">
        <v>9280</v>
      </c>
      <c r="O1446" s="736"/>
      <c r="P1446" s="736">
        <f t="shared" si="506"/>
        <v>9280</v>
      </c>
      <c r="Q1446" s="753">
        <v>9280</v>
      </c>
      <c r="R1446" s="738">
        <v>9280</v>
      </c>
      <c r="S1446" s="753">
        <v>10000</v>
      </c>
      <c r="T1446" s="739">
        <v>1100121</v>
      </c>
      <c r="U1446" s="745"/>
      <c r="V1446" s="739">
        <v>1100122</v>
      </c>
    </row>
    <row r="1447" spans="1:22" ht="15" x14ac:dyDescent="0.2">
      <c r="A1447" s="734">
        <v>3571</v>
      </c>
      <c r="B1447" s="735" t="s">
        <v>65</v>
      </c>
      <c r="C1447" s="736"/>
      <c r="D1447" s="736"/>
      <c r="E1447" s="749"/>
      <c r="F1447" s="736"/>
      <c r="G1447" s="752"/>
      <c r="H1447" s="752"/>
      <c r="I1447" s="752"/>
      <c r="J1447" s="736"/>
      <c r="K1447" s="752"/>
      <c r="L1447" s="752"/>
      <c r="M1447" s="736"/>
      <c r="N1447" s="736"/>
      <c r="O1447" s="736"/>
      <c r="P1447" s="736"/>
      <c r="Q1447" s="753"/>
      <c r="R1447" s="738" t="s">
        <v>695</v>
      </c>
      <c r="S1447" s="753"/>
      <c r="T1447" s="739"/>
      <c r="U1447" s="740">
        <v>9280</v>
      </c>
      <c r="V1447" s="741">
        <v>1100121</v>
      </c>
    </row>
    <row r="1448" spans="1:22" ht="15" x14ac:dyDescent="0.2">
      <c r="A1448" s="739">
        <v>3751</v>
      </c>
      <c r="B1448" s="743" t="s">
        <v>44</v>
      </c>
      <c r="C1448" s="736"/>
      <c r="D1448" s="736"/>
      <c r="E1448" s="749"/>
      <c r="F1448" s="736"/>
      <c r="G1448" s="752">
        <v>10000</v>
      </c>
      <c r="H1448" s="752"/>
      <c r="I1448" s="752"/>
      <c r="J1448" s="736">
        <f t="shared" ref="J1448:J1451" si="509">G1448+H1448-I1448</f>
        <v>10000</v>
      </c>
      <c r="K1448" s="752"/>
      <c r="L1448" s="752"/>
      <c r="M1448" s="736">
        <f t="shared" ref="M1448:M1451" si="510">J1448+K1448-L1448</f>
        <v>10000</v>
      </c>
      <c r="N1448" s="736"/>
      <c r="O1448" s="736"/>
      <c r="P1448" s="736">
        <f t="shared" si="506"/>
        <v>10000</v>
      </c>
      <c r="Q1448" s="753">
        <v>10000</v>
      </c>
      <c r="R1448" s="738"/>
      <c r="S1448" s="753"/>
      <c r="T1448" s="739">
        <v>1100121</v>
      </c>
      <c r="U1448" s="745"/>
      <c r="V1448" s="739">
        <v>1100122</v>
      </c>
    </row>
    <row r="1449" spans="1:22" ht="15" x14ac:dyDescent="0.2">
      <c r="A1449" s="739">
        <v>3791</v>
      </c>
      <c r="B1449" s="743" t="s">
        <v>45</v>
      </c>
      <c r="C1449" s="736"/>
      <c r="D1449" s="736"/>
      <c r="E1449" s="749"/>
      <c r="F1449" s="736"/>
      <c r="G1449" s="752">
        <v>10000</v>
      </c>
      <c r="H1449" s="752"/>
      <c r="I1449" s="752"/>
      <c r="J1449" s="736">
        <f t="shared" si="509"/>
        <v>10000</v>
      </c>
      <c r="K1449" s="752"/>
      <c r="L1449" s="752"/>
      <c r="M1449" s="736">
        <f t="shared" si="510"/>
        <v>10000</v>
      </c>
      <c r="N1449" s="736"/>
      <c r="O1449" s="736"/>
      <c r="P1449" s="736">
        <f t="shared" si="506"/>
        <v>10000</v>
      </c>
      <c r="Q1449" s="753">
        <v>10000</v>
      </c>
      <c r="R1449" s="738"/>
      <c r="S1449" s="753">
        <v>10000</v>
      </c>
      <c r="T1449" s="739">
        <v>1100121</v>
      </c>
      <c r="U1449" s="745"/>
      <c r="V1449" s="739">
        <v>1100122</v>
      </c>
    </row>
    <row r="1450" spans="1:22" ht="15" x14ac:dyDescent="0.2">
      <c r="A1450" s="734">
        <v>5111</v>
      </c>
      <c r="B1450" s="735" t="s">
        <v>35</v>
      </c>
      <c r="C1450" s="736"/>
      <c r="D1450" s="736"/>
      <c r="E1450" s="749"/>
      <c r="F1450" s="736"/>
      <c r="G1450" s="752">
        <v>0</v>
      </c>
      <c r="H1450" s="752"/>
      <c r="I1450" s="752"/>
      <c r="J1450" s="736">
        <f t="shared" si="509"/>
        <v>0</v>
      </c>
      <c r="K1450" s="752"/>
      <c r="L1450" s="752"/>
      <c r="M1450" s="736">
        <f t="shared" si="510"/>
        <v>0</v>
      </c>
      <c r="N1450" s="736"/>
      <c r="O1450" s="736"/>
      <c r="P1450" s="738">
        <f t="shared" si="506"/>
        <v>0</v>
      </c>
      <c r="Q1450" s="753">
        <v>0</v>
      </c>
      <c r="R1450" s="738"/>
      <c r="S1450" s="753">
        <v>150000</v>
      </c>
      <c r="T1450" s="739">
        <v>1100121</v>
      </c>
      <c r="U1450" s="746">
        <v>500000</v>
      </c>
      <c r="V1450" s="741">
        <v>1100122</v>
      </c>
    </row>
    <row r="1451" spans="1:22" ht="15" x14ac:dyDescent="0.2">
      <c r="A1451" s="739">
        <v>5151</v>
      </c>
      <c r="B1451" s="743" t="s">
        <v>36</v>
      </c>
      <c r="C1451" s="736"/>
      <c r="D1451" s="736"/>
      <c r="E1451" s="749"/>
      <c r="F1451" s="736"/>
      <c r="G1451" s="752">
        <v>40000</v>
      </c>
      <c r="H1451" s="752"/>
      <c r="I1451" s="752"/>
      <c r="J1451" s="736">
        <f t="shared" si="509"/>
        <v>40000</v>
      </c>
      <c r="K1451" s="752"/>
      <c r="L1451" s="752"/>
      <c r="M1451" s="736">
        <f t="shared" si="510"/>
        <v>40000</v>
      </c>
      <c r="N1451" s="736"/>
      <c r="O1451" s="736">
        <v>40000</v>
      </c>
      <c r="P1451" s="738">
        <f t="shared" si="506"/>
        <v>0</v>
      </c>
      <c r="Q1451" s="753"/>
      <c r="R1451" s="738"/>
      <c r="S1451" s="753">
        <v>80000</v>
      </c>
      <c r="T1451" s="739">
        <v>1500521</v>
      </c>
      <c r="U1451" s="745"/>
      <c r="V1451" s="739">
        <v>1500522</v>
      </c>
    </row>
    <row r="1452" spans="1:22" ht="15" x14ac:dyDescent="0.2">
      <c r="A1452" s="739">
        <v>5231</v>
      </c>
      <c r="B1452" s="806" t="s">
        <v>81</v>
      </c>
      <c r="C1452" s="736"/>
      <c r="D1452" s="736"/>
      <c r="E1452" s="749"/>
      <c r="F1452" s="736"/>
      <c r="G1452" s="752"/>
      <c r="H1452" s="752"/>
      <c r="I1452" s="752"/>
      <c r="J1452" s="736"/>
      <c r="K1452" s="752"/>
      <c r="L1452" s="752"/>
      <c r="M1452" s="736"/>
      <c r="N1452" s="736">
        <v>67000</v>
      </c>
      <c r="O1452" s="736"/>
      <c r="P1452" s="736">
        <f t="shared" si="506"/>
        <v>67000</v>
      </c>
      <c r="Q1452" s="753">
        <v>67000</v>
      </c>
      <c r="R1452" s="738">
        <v>65354.400000000001</v>
      </c>
      <c r="S1452" s="753"/>
      <c r="T1452" s="739">
        <v>1500521</v>
      </c>
      <c r="U1452" s="745"/>
      <c r="V1452" s="739">
        <v>1500522</v>
      </c>
    </row>
    <row r="1453" spans="1:22" ht="15" x14ac:dyDescent="0.2">
      <c r="A1453" s="734">
        <v>5231</v>
      </c>
      <c r="B1453" s="762" t="s">
        <v>81</v>
      </c>
      <c r="C1453" s="736"/>
      <c r="D1453" s="736"/>
      <c r="E1453" s="749"/>
      <c r="F1453" s="736"/>
      <c r="G1453" s="752"/>
      <c r="H1453" s="752"/>
      <c r="I1453" s="752"/>
      <c r="J1453" s="736"/>
      <c r="K1453" s="752"/>
      <c r="L1453" s="752"/>
      <c r="M1453" s="736"/>
      <c r="N1453" s="736"/>
      <c r="O1453" s="736"/>
      <c r="P1453" s="736"/>
      <c r="Q1453" s="753"/>
      <c r="R1453" s="738"/>
      <c r="S1453" s="753"/>
      <c r="T1453" s="739"/>
      <c r="U1453" s="740">
        <f>36540+28814.4</f>
        <v>65354.400000000001</v>
      </c>
      <c r="V1453" s="741">
        <v>1100121</v>
      </c>
    </row>
    <row r="1454" spans="1:22" ht="15" x14ac:dyDescent="0.2">
      <c r="A1454" s="739">
        <v>5651</v>
      </c>
      <c r="B1454" s="806" t="s">
        <v>105</v>
      </c>
      <c r="C1454" s="736"/>
      <c r="D1454" s="736"/>
      <c r="E1454" s="749"/>
      <c r="F1454" s="736"/>
      <c r="G1454" s="752"/>
      <c r="H1454" s="752"/>
      <c r="I1454" s="752"/>
      <c r="J1454" s="736"/>
      <c r="K1454" s="752"/>
      <c r="L1454" s="752"/>
      <c r="M1454" s="736"/>
      <c r="N1454" s="736">
        <v>13000</v>
      </c>
      <c r="O1454" s="736"/>
      <c r="P1454" s="736">
        <f t="shared" si="506"/>
        <v>13000</v>
      </c>
      <c r="Q1454" s="753">
        <v>13000</v>
      </c>
      <c r="R1454" s="738">
        <v>12087.2</v>
      </c>
      <c r="S1454" s="753"/>
      <c r="T1454" s="739">
        <v>1500521</v>
      </c>
      <c r="U1454" s="745"/>
      <c r="V1454" s="739">
        <v>1500522</v>
      </c>
    </row>
    <row r="1455" spans="1:22" ht="15" x14ac:dyDescent="0.2">
      <c r="A1455" s="734">
        <v>5651</v>
      </c>
      <c r="B1455" s="762" t="s">
        <v>105</v>
      </c>
      <c r="C1455" s="736"/>
      <c r="D1455" s="736"/>
      <c r="E1455" s="749"/>
      <c r="F1455" s="736"/>
      <c r="G1455" s="752"/>
      <c r="H1455" s="752"/>
      <c r="I1455" s="752"/>
      <c r="J1455" s="736"/>
      <c r="K1455" s="752"/>
      <c r="L1455" s="752"/>
      <c r="M1455" s="736"/>
      <c r="N1455" s="736"/>
      <c r="O1455" s="736"/>
      <c r="P1455" s="736"/>
      <c r="Q1455" s="753"/>
      <c r="R1455" s="738"/>
      <c r="S1455" s="753"/>
      <c r="T1455" s="739" t="s">
        <v>695</v>
      </c>
      <c r="U1455" s="740">
        <v>12090</v>
      </c>
      <c r="V1455" s="741">
        <v>1100121</v>
      </c>
    </row>
    <row r="1456" spans="1:22" ht="15" x14ac:dyDescent="0.2">
      <c r="A1456" s="734">
        <v>5691</v>
      </c>
      <c r="B1456" s="762" t="s">
        <v>1713</v>
      </c>
      <c r="C1456" s="736"/>
      <c r="D1456" s="736"/>
      <c r="E1456" s="749"/>
      <c r="F1456" s="736"/>
      <c r="G1456" s="752"/>
      <c r="H1456" s="752"/>
      <c r="I1456" s="752"/>
      <c r="J1456" s="736"/>
      <c r="K1456" s="752"/>
      <c r="L1456" s="752"/>
      <c r="M1456" s="736"/>
      <c r="N1456" s="736"/>
      <c r="O1456" s="736"/>
      <c r="P1456" s="736"/>
      <c r="Q1456" s="753"/>
      <c r="R1456" s="738"/>
      <c r="S1456" s="753">
        <v>334679</v>
      </c>
      <c r="T1456" s="739"/>
      <c r="U1456" s="746">
        <v>300000</v>
      </c>
      <c r="V1456" s="741">
        <v>1100122</v>
      </c>
    </row>
    <row r="1457" spans="1:22" ht="15" x14ac:dyDescent="0.2">
      <c r="A1457" s="739">
        <v>3471</v>
      </c>
      <c r="B1457" s="743" t="s">
        <v>100</v>
      </c>
      <c r="C1457" s="736"/>
      <c r="D1457" s="736"/>
      <c r="E1457" s="749"/>
      <c r="F1457" s="736"/>
      <c r="G1457" s="752">
        <v>0</v>
      </c>
      <c r="H1457" s="752"/>
      <c r="I1457" s="752"/>
      <c r="J1457" s="736">
        <f t="shared" ref="J1457:J1458" si="511">G1457+H1457-I1457</f>
        <v>0</v>
      </c>
      <c r="K1457" s="752"/>
      <c r="L1457" s="752"/>
      <c r="M1457" s="736">
        <f t="shared" ref="M1457:M1458" si="512">J1457+K1457-L1457</f>
        <v>0</v>
      </c>
      <c r="N1457" s="738">
        <v>30000</v>
      </c>
      <c r="O1457" s="738"/>
      <c r="P1457" s="736">
        <f t="shared" ref="P1457:P1458" si="513">M1457+N1457-O1457</f>
        <v>30000</v>
      </c>
      <c r="Q1457" s="753">
        <v>0</v>
      </c>
      <c r="R1457" s="738"/>
      <c r="S1457" s="753"/>
      <c r="T1457" s="739">
        <v>2610121</v>
      </c>
      <c r="U1457" s="745"/>
      <c r="V1457" s="739">
        <v>2610122</v>
      </c>
    </row>
    <row r="1458" spans="1:22" ht="15" x14ac:dyDescent="0.2">
      <c r="A1458" s="739">
        <v>5291</v>
      </c>
      <c r="B1458" s="743" t="s">
        <v>1767</v>
      </c>
      <c r="C1458" s="736"/>
      <c r="D1458" s="736"/>
      <c r="E1458" s="749"/>
      <c r="F1458" s="736"/>
      <c r="G1458" s="752">
        <v>0</v>
      </c>
      <c r="H1458" s="752"/>
      <c r="I1458" s="752"/>
      <c r="J1458" s="736">
        <f t="shared" si="511"/>
        <v>0</v>
      </c>
      <c r="K1458" s="752"/>
      <c r="L1458" s="752"/>
      <c r="M1458" s="736">
        <f t="shared" si="512"/>
        <v>0</v>
      </c>
      <c r="N1458" s="738">
        <v>1107549</v>
      </c>
      <c r="O1458" s="738">
        <v>30000</v>
      </c>
      <c r="P1458" s="736">
        <f t="shared" si="513"/>
        <v>1077549</v>
      </c>
      <c r="Q1458" s="753">
        <v>1077549</v>
      </c>
      <c r="R1458" s="738">
        <v>1050459</v>
      </c>
      <c r="S1458" s="753"/>
      <c r="T1458" s="739">
        <v>2610121</v>
      </c>
      <c r="U1458" s="745"/>
      <c r="V1458" s="739">
        <v>2610122</v>
      </c>
    </row>
    <row r="1459" spans="1:22" ht="15" x14ac:dyDescent="0.2">
      <c r="A1459" s="728" t="s">
        <v>224</v>
      </c>
      <c r="B1459" s="729" t="s">
        <v>1544</v>
      </c>
      <c r="C1459" s="730">
        <f t="shared" ref="C1459:S1459" si="514">SUM(C1460:C1463)</f>
        <v>8744223.8399999999</v>
      </c>
      <c r="D1459" s="730">
        <f t="shared" si="514"/>
        <v>10147224</v>
      </c>
      <c r="E1459" s="730">
        <f t="shared" si="514"/>
        <v>9336354.9600000009</v>
      </c>
      <c r="F1459" s="730">
        <f t="shared" si="514"/>
        <v>9127698.7300000004</v>
      </c>
      <c r="G1459" s="730">
        <f t="shared" si="514"/>
        <v>9382794.8399999999</v>
      </c>
      <c r="H1459" s="730">
        <f t="shared" si="514"/>
        <v>0</v>
      </c>
      <c r="I1459" s="730">
        <f t="shared" si="514"/>
        <v>0</v>
      </c>
      <c r="J1459" s="730">
        <f t="shared" si="514"/>
        <v>9382794.8399999999</v>
      </c>
      <c r="K1459" s="730">
        <f t="shared" si="514"/>
        <v>0</v>
      </c>
      <c r="L1459" s="730">
        <f t="shared" si="514"/>
        <v>0</v>
      </c>
      <c r="M1459" s="730">
        <f t="shared" si="514"/>
        <v>9382794.8399999999</v>
      </c>
      <c r="N1459" s="730">
        <f t="shared" si="514"/>
        <v>0</v>
      </c>
      <c r="O1459" s="730">
        <f t="shared" si="514"/>
        <v>0</v>
      </c>
      <c r="P1459" s="730">
        <f t="shared" si="514"/>
        <v>9382794.8399999999</v>
      </c>
      <c r="Q1459" s="748">
        <f t="shared" si="514"/>
        <v>9382794.8399999999</v>
      </c>
      <c r="R1459" s="748">
        <f>SUM(R1460:R1463)</f>
        <v>6349919.9199999999</v>
      </c>
      <c r="S1459" s="748">
        <f t="shared" si="514"/>
        <v>9382794.8399999999</v>
      </c>
      <c r="T1459" s="731"/>
      <c r="U1459" s="732">
        <f>SUM(U1460:U1463)</f>
        <v>9382794.8399999999</v>
      </c>
      <c r="V1459" s="733"/>
    </row>
    <row r="1460" spans="1:22" ht="15" x14ac:dyDescent="0.2">
      <c r="A1460" s="734">
        <v>4341</v>
      </c>
      <c r="B1460" s="735" t="s">
        <v>212</v>
      </c>
      <c r="C1460" s="736">
        <v>924000</v>
      </c>
      <c r="D1460" s="736">
        <v>924000</v>
      </c>
      <c r="E1460" s="749">
        <v>1240824</v>
      </c>
      <c r="F1460" s="736">
        <v>1091063.8799999999</v>
      </c>
      <c r="G1460" s="752">
        <v>1268796.48</v>
      </c>
      <c r="H1460" s="752"/>
      <c r="I1460" s="752"/>
      <c r="J1460" s="736">
        <f t="shared" ref="J1460:J1463" si="515">G1460+H1460-I1460</f>
        <v>1268796.48</v>
      </c>
      <c r="K1460" s="752"/>
      <c r="L1460" s="752"/>
      <c r="M1460" s="736">
        <f t="shared" ref="M1460:M1463" si="516">J1460+K1460-L1460</f>
        <v>1268796.48</v>
      </c>
      <c r="N1460" s="736"/>
      <c r="O1460" s="736"/>
      <c r="P1460" s="736">
        <f t="shared" ref="P1460:P1463" si="517">M1460+N1460-O1460</f>
        <v>1268796.48</v>
      </c>
      <c r="Q1460" s="753">
        <v>1268796.48</v>
      </c>
      <c r="R1460" s="738">
        <v>900920</v>
      </c>
      <c r="S1460" s="753">
        <v>1268796.48</v>
      </c>
      <c r="T1460" s="739">
        <v>1100121</v>
      </c>
      <c r="U1460" s="754">
        <v>1268796.48</v>
      </c>
      <c r="V1460" s="741">
        <v>1100122</v>
      </c>
    </row>
    <row r="1461" spans="1:22" ht="15" x14ac:dyDescent="0.2">
      <c r="A1461" s="739">
        <v>4411</v>
      </c>
      <c r="B1461" s="743" t="s">
        <v>34</v>
      </c>
      <c r="C1461" s="736"/>
      <c r="D1461" s="736">
        <v>1135000</v>
      </c>
      <c r="E1461" s="749">
        <v>0</v>
      </c>
      <c r="F1461" s="736">
        <v>0</v>
      </c>
      <c r="G1461" s="752"/>
      <c r="H1461" s="752"/>
      <c r="I1461" s="752"/>
      <c r="J1461" s="736">
        <f t="shared" si="515"/>
        <v>0</v>
      </c>
      <c r="K1461" s="752"/>
      <c r="L1461" s="752"/>
      <c r="M1461" s="736">
        <f t="shared" si="516"/>
        <v>0</v>
      </c>
      <c r="N1461" s="736"/>
      <c r="O1461" s="736"/>
      <c r="P1461" s="738">
        <f t="shared" si="517"/>
        <v>0</v>
      </c>
      <c r="Q1461" s="753"/>
      <c r="R1461" s="738"/>
      <c r="S1461" s="753"/>
      <c r="T1461" s="739">
        <v>1100121</v>
      </c>
      <c r="U1461" s="841"/>
      <c r="V1461" s="739">
        <v>1100122</v>
      </c>
    </row>
    <row r="1462" spans="1:22" ht="15" x14ac:dyDescent="0.2">
      <c r="A1462" s="734">
        <v>4421</v>
      </c>
      <c r="B1462" s="735" t="s">
        <v>136</v>
      </c>
      <c r="C1462" s="736">
        <v>999999.96</v>
      </c>
      <c r="D1462" s="736">
        <v>1000000</v>
      </c>
      <c r="E1462" s="749">
        <v>1000000</v>
      </c>
      <c r="F1462" s="736">
        <v>1000000</v>
      </c>
      <c r="G1462" s="752">
        <v>1000000</v>
      </c>
      <c r="H1462" s="752"/>
      <c r="I1462" s="752"/>
      <c r="J1462" s="736">
        <f t="shared" si="515"/>
        <v>1000000</v>
      </c>
      <c r="K1462" s="752"/>
      <c r="L1462" s="752"/>
      <c r="M1462" s="736">
        <f t="shared" si="516"/>
        <v>1000000</v>
      </c>
      <c r="N1462" s="736"/>
      <c r="O1462" s="736"/>
      <c r="P1462" s="736">
        <f t="shared" si="517"/>
        <v>1000000</v>
      </c>
      <c r="Q1462" s="753">
        <v>1000000</v>
      </c>
      <c r="R1462" s="738">
        <v>643800</v>
      </c>
      <c r="S1462" s="753">
        <v>1000000</v>
      </c>
      <c r="T1462" s="739">
        <v>1100121</v>
      </c>
      <c r="U1462" s="754">
        <v>1000000</v>
      </c>
      <c r="V1462" s="741">
        <v>1100122</v>
      </c>
    </row>
    <row r="1463" spans="1:22" ht="15" x14ac:dyDescent="0.2">
      <c r="A1463" s="734">
        <v>4451</v>
      </c>
      <c r="B1463" s="735" t="s">
        <v>225</v>
      </c>
      <c r="C1463" s="736">
        <v>6820223.8799999999</v>
      </c>
      <c r="D1463" s="736">
        <v>7088224</v>
      </c>
      <c r="E1463" s="749">
        <v>7095530.96</v>
      </c>
      <c r="F1463" s="736">
        <v>7036634.8499999996</v>
      </c>
      <c r="G1463" s="752">
        <v>7113998.3600000003</v>
      </c>
      <c r="H1463" s="752"/>
      <c r="I1463" s="752"/>
      <c r="J1463" s="736">
        <f t="shared" si="515"/>
        <v>7113998.3600000003</v>
      </c>
      <c r="K1463" s="752"/>
      <c r="L1463" s="752"/>
      <c r="M1463" s="736">
        <f t="shared" si="516"/>
        <v>7113998.3600000003</v>
      </c>
      <c r="N1463" s="736"/>
      <c r="O1463" s="736"/>
      <c r="P1463" s="736">
        <f t="shared" si="517"/>
        <v>7113998.3600000003</v>
      </c>
      <c r="Q1463" s="753">
        <v>7113998.3600000003</v>
      </c>
      <c r="R1463" s="738">
        <v>4805199.92</v>
      </c>
      <c r="S1463" s="753">
        <v>7113998.3600000003</v>
      </c>
      <c r="T1463" s="739">
        <v>1100121</v>
      </c>
      <c r="U1463" s="754">
        <v>7113998.3600000003</v>
      </c>
      <c r="V1463" s="741">
        <v>1100122</v>
      </c>
    </row>
    <row r="1464" spans="1:22" ht="15" x14ac:dyDescent="0.2">
      <c r="A1464" s="724" t="s">
        <v>226</v>
      </c>
      <c r="B1464" s="725" t="s">
        <v>227</v>
      </c>
      <c r="C1464" s="721">
        <f t="shared" ref="C1464:S1464" si="518">SUM(C1465)</f>
        <v>6742413.2000000002</v>
      </c>
      <c r="D1464" s="721">
        <f t="shared" si="518"/>
        <v>6519506.75</v>
      </c>
      <c r="E1464" s="721">
        <f t="shared" si="518"/>
        <v>6617001.7100000009</v>
      </c>
      <c r="F1464" s="721">
        <f t="shared" si="518"/>
        <v>6882696.6399999997</v>
      </c>
      <c r="G1464" s="721">
        <f t="shared" si="518"/>
        <v>7547018.2000000011</v>
      </c>
      <c r="H1464" s="721">
        <f t="shared" si="518"/>
        <v>161232.04999999999</v>
      </c>
      <c r="I1464" s="721">
        <f t="shared" si="518"/>
        <v>0</v>
      </c>
      <c r="J1464" s="721">
        <f t="shared" si="518"/>
        <v>7708250.2500000009</v>
      </c>
      <c r="K1464" s="721">
        <f t="shared" si="518"/>
        <v>467193.75</v>
      </c>
      <c r="L1464" s="721">
        <f t="shared" si="518"/>
        <v>314297.7</v>
      </c>
      <c r="M1464" s="721">
        <f t="shared" si="518"/>
        <v>7861146.2999999998</v>
      </c>
      <c r="N1464" s="721">
        <f t="shared" si="518"/>
        <v>64000</v>
      </c>
      <c r="O1464" s="721">
        <f t="shared" si="518"/>
        <v>0</v>
      </c>
      <c r="P1464" s="721">
        <f t="shared" si="518"/>
        <v>7925146.2999999998</v>
      </c>
      <c r="Q1464" s="756">
        <f t="shared" si="518"/>
        <v>8031551.6699999999</v>
      </c>
      <c r="R1464" s="756">
        <f>SUM(R1465)</f>
        <v>5092648.7299999995</v>
      </c>
      <c r="S1464" s="756">
        <f t="shared" si="518"/>
        <v>8954228.5500000007</v>
      </c>
      <c r="T1464" s="724"/>
      <c r="U1464" s="726">
        <f t="shared" ref="U1464" si="519">SUM(U1465)</f>
        <v>7807590.8900000006</v>
      </c>
      <c r="V1464" s="727"/>
    </row>
    <row r="1465" spans="1:22" ht="15" x14ac:dyDescent="0.2">
      <c r="A1465" s="728" t="s">
        <v>228</v>
      </c>
      <c r="B1465" s="729" t="s">
        <v>1622</v>
      </c>
      <c r="C1465" s="730">
        <f t="shared" ref="C1465:S1465" si="520">SUM(C1466:C1496)</f>
        <v>6742413.2000000002</v>
      </c>
      <c r="D1465" s="730">
        <f t="shared" si="520"/>
        <v>6519506.75</v>
      </c>
      <c r="E1465" s="730">
        <f t="shared" si="520"/>
        <v>6617001.7100000009</v>
      </c>
      <c r="F1465" s="730">
        <f t="shared" si="520"/>
        <v>6882696.6399999997</v>
      </c>
      <c r="G1465" s="730">
        <f t="shared" si="520"/>
        <v>7547018.2000000011</v>
      </c>
      <c r="H1465" s="730">
        <f t="shared" si="520"/>
        <v>161232.04999999999</v>
      </c>
      <c r="I1465" s="730">
        <f t="shared" si="520"/>
        <v>0</v>
      </c>
      <c r="J1465" s="730">
        <f t="shared" si="520"/>
        <v>7708250.2500000009</v>
      </c>
      <c r="K1465" s="730">
        <f t="shared" si="520"/>
        <v>467193.75</v>
      </c>
      <c r="L1465" s="730">
        <f t="shared" si="520"/>
        <v>314297.7</v>
      </c>
      <c r="M1465" s="730">
        <f t="shared" si="520"/>
        <v>7861146.2999999998</v>
      </c>
      <c r="N1465" s="730">
        <f t="shared" si="520"/>
        <v>64000</v>
      </c>
      <c r="O1465" s="730">
        <f t="shared" si="520"/>
        <v>0</v>
      </c>
      <c r="P1465" s="730">
        <f t="shared" si="520"/>
        <v>7925146.2999999998</v>
      </c>
      <c r="Q1465" s="748">
        <f t="shared" si="520"/>
        <v>8031551.6699999999</v>
      </c>
      <c r="R1465" s="748">
        <f>SUM(R1466:R1496)</f>
        <v>5092648.7299999995</v>
      </c>
      <c r="S1465" s="748">
        <f t="shared" si="520"/>
        <v>8954228.5500000007</v>
      </c>
      <c r="T1465" s="731"/>
      <c r="U1465" s="732">
        <f>SUM(U1466:U1496)</f>
        <v>7807590.8900000006</v>
      </c>
      <c r="V1465" s="733"/>
    </row>
    <row r="1466" spans="1:22" ht="15" x14ac:dyDescent="0.25">
      <c r="A1466" s="734">
        <v>1131</v>
      </c>
      <c r="B1466" s="735" t="s">
        <v>6</v>
      </c>
      <c r="C1466" s="736">
        <v>1441847.5</v>
      </c>
      <c r="D1466" s="736">
        <v>1466064.6</v>
      </c>
      <c r="E1466" s="749">
        <v>1466064.6</v>
      </c>
      <c r="F1466" s="736">
        <v>1587643.04</v>
      </c>
      <c r="G1466" s="736">
        <v>1414194.3</v>
      </c>
      <c r="H1466" s="736"/>
      <c r="I1466" s="736"/>
      <c r="J1466" s="736">
        <f t="shared" ref="J1466:J1491" si="521">G1466+H1466-I1466</f>
        <v>1414194.3</v>
      </c>
      <c r="K1466" s="736">
        <v>238096.4</v>
      </c>
      <c r="L1466" s="736"/>
      <c r="M1466" s="736">
        <f t="shared" ref="M1466:M1491" si="522">J1466+K1466-L1466</f>
        <v>1652290.7</v>
      </c>
      <c r="N1466" s="736"/>
      <c r="O1466" s="736"/>
      <c r="P1466" s="736">
        <f t="shared" ref="P1466:P1491" si="523">M1466+N1466-O1466</f>
        <v>1652290.7</v>
      </c>
      <c r="Q1466" s="738">
        <v>1652290.7</v>
      </c>
      <c r="R1466" s="738">
        <v>1167613.95</v>
      </c>
      <c r="S1466" s="751">
        <v>1779330.28</v>
      </c>
      <c r="T1466" s="739">
        <v>1500521</v>
      </c>
      <c r="U1466" s="779">
        <v>1768338.3</v>
      </c>
      <c r="V1466" s="741">
        <v>1500522</v>
      </c>
    </row>
    <row r="1467" spans="1:22" ht="15" x14ac:dyDescent="0.25">
      <c r="A1467" s="734">
        <v>1132</v>
      </c>
      <c r="B1467" s="735" t="s">
        <v>8</v>
      </c>
      <c r="C1467" s="736">
        <v>214913.76</v>
      </c>
      <c r="D1467" s="736">
        <v>229130.72</v>
      </c>
      <c r="E1467" s="749">
        <v>279441.71999999997</v>
      </c>
      <c r="F1467" s="736">
        <v>278907.77</v>
      </c>
      <c r="G1467" s="736">
        <v>563488.5</v>
      </c>
      <c r="H1467" s="736"/>
      <c r="I1467" s="736"/>
      <c r="J1467" s="736">
        <f t="shared" si="521"/>
        <v>563488.5</v>
      </c>
      <c r="K1467" s="736"/>
      <c r="L1467" s="736">
        <v>314297.7</v>
      </c>
      <c r="M1467" s="736">
        <f t="shared" si="522"/>
        <v>249190.8</v>
      </c>
      <c r="N1467" s="736"/>
      <c r="O1467" s="736"/>
      <c r="P1467" s="736">
        <f t="shared" si="523"/>
        <v>249190.8</v>
      </c>
      <c r="Q1467" s="738">
        <v>353099.94</v>
      </c>
      <c r="R1467" s="738">
        <v>246401.49</v>
      </c>
      <c r="S1467" s="751">
        <v>446897.36</v>
      </c>
      <c r="T1467" s="739">
        <v>1500521</v>
      </c>
      <c r="U1467" s="779">
        <v>387585.65</v>
      </c>
      <c r="V1467" s="741">
        <v>1500522</v>
      </c>
    </row>
    <row r="1468" spans="1:22" ht="15" x14ac:dyDescent="0.25">
      <c r="A1468" s="734">
        <v>1212</v>
      </c>
      <c r="B1468" s="735" t="s">
        <v>53</v>
      </c>
      <c r="C1468" s="736">
        <v>216713.97</v>
      </c>
      <c r="D1468" s="736">
        <v>228484.8</v>
      </c>
      <c r="E1468" s="749">
        <v>290785</v>
      </c>
      <c r="F1468" s="736">
        <v>285950.40000000002</v>
      </c>
      <c r="G1468" s="736">
        <v>307857.59999999998</v>
      </c>
      <c r="H1468" s="736"/>
      <c r="I1468" s="736"/>
      <c r="J1468" s="736">
        <f t="shared" si="521"/>
        <v>307857.59999999998</v>
      </c>
      <c r="K1468" s="736">
        <v>4655.88</v>
      </c>
      <c r="L1468" s="736"/>
      <c r="M1468" s="736">
        <f t="shared" si="522"/>
        <v>312513.48</v>
      </c>
      <c r="N1468" s="736"/>
      <c r="O1468" s="736"/>
      <c r="P1468" s="736">
        <f t="shared" si="523"/>
        <v>312513.48</v>
      </c>
      <c r="Q1468" s="738">
        <v>312513.48</v>
      </c>
      <c r="R1468" s="738">
        <v>226504.54</v>
      </c>
      <c r="S1468" s="751">
        <v>328017.59999999998</v>
      </c>
      <c r="T1468" s="739">
        <v>1500521</v>
      </c>
      <c r="U1468" s="779">
        <v>320370.71000000002</v>
      </c>
      <c r="V1468" s="741">
        <v>1500522</v>
      </c>
    </row>
    <row r="1469" spans="1:22" ht="15" x14ac:dyDescent="0.25">
      <c r="A1469" s="734">
        <v>1321</v>
      </c>
      <c r="B1469" s="735" t="s">
        <v>9</v>
      </c>
      <c r="C1469" s="736">
        <v>121575.39</v>
      </c>
      <c r="D1469" s="736">
        <v>133448.01</v>
      </c>
      <c r="E1469" s="749">
        <v>143904.01</v>
      </c>
      <c r="F1469" s="736">
        <v>136960.64000000001</v>
      </c>
      <c r="G1469" s="736">
        <v>147667.80000000002</v>
      </c>
      <c r="H1469" s="736"/>
      <c r="I1469" s="736"/>
      <c r="J1469" s="736">
        <f t="shared" si="521"/>
        <v>147667.80000000002</v>
      </c>
      <c r="K1469" s="736">
        <v>4264.0200000000004</v>
      </c>
      <c r="L1469" s="736"/>
      <c r="M1469" s="736">
        <f t="shared" si="522"/>
        <v>151931.82</v>
      </c>
      <c r="N1469" s="736"/>
      <c r="O1469" s="736"/>
      <c r="P1469" s="736">
        <f t="shared" si="523"/>
        <v>151931.82</v>
      </c>
      <c r="Q1469" s="738">
        <v>151931.82</v>
      </c>
      <c r="R1469" s="738">
        <v>74192.83</v>
      </c>
      <c r="S1469" s="751">
        <v>172977.79</v>
      </c>
      <c r="T1469" s="739">
        <v>1500521</v>
      </c>
      <c r="U1469" s="779">
        <v>171265.12</v>
      </c>
      <c r="V1469" s="741">
        <v>1500522</v>
      </c>
    </row>
    <row r="1470" spans="1:22" ht="15" x14ac:dyDescent="0.25">
      <c r="A1470" s="734">
        <v>1323</v>
      </c>
      <c r="B1470" s="735" t="s">
        <v>11</v>
      </c>
      <c r="C1470" s="736">
        <v>336954</v>
      </c>
      <c r="D1470" s="736">
        <v>348675.7</v>
      </c>
      <c r="E1470" s="749">
        <v>348675.7</v>
      </c>
      <c r="F1470" s="736">
        <v>364425.6</v>
      </c>
      <c r="G1470" s="736">
        <v>377123.1</v>
      </c>
      <c r="H1470" s="736"/>
      <c r="I1470" s="736"/>
      <c r="J1470" s="736">
        <f t="shared" si="521"/>
        <v>377123.1</v>
      </c>
      <c r="K1470" s="736">
        <v>12500.44</v>
      </c>
      <c r="L1470" s="736"/>
      <c r="M1470" s="736">
        <f t="shared" si="522"/>
        <v>389623.54</v>
      </c>
      <c r="N1470" s="736"/>
      <c r="O1470" s="736"/>
      <c r="P1470" s="736">
        <f t="shared" si="523"/>
        <v>389623.54</v>
      </c>
      <c r="Q1470" s="738">
        <v>409099.63</v>
      </c>
      <c r="R1470" s="738">
        <v>293606.15999999997</v>
      </c>
      <c r="S1470" s="751">
        <v>447606.4</v>
      </c>
      <c r="T1470" s="739">
        <v>1500521</v>
      </c>
      <c r="U1470" s="779">
        <v>427347.5</v>
      </c>
      <c r="V1470" s="741">
        <v>1500522</v>
      </c>
    </row>
    <row r="1471" spans="1:22" ht="15" x14ac:dyDescent="0.25">
      <c r="A1471" s="734">
        <v>1413</v>
      </c>
      <c r="B1471" s="735" t="s">
        <v>13</v>
      </c>
      <c r="C1471" s="736">
        <v>510702.99</v>
      </c>
      <c r="D1471" s="736">
        <v>570994</v>
      </c>
      <c r="E1471" s="749">
        <v>589430</v>
      </c>
      <c r="F1471" s="736">
        <v>597130.77</v>
      </c>
      <c r="G1471" s="736">
        <v>656641.69999999995</v>
      </c>
      <c r="H1471" s="736"/>
      <c r="I1471" s="736"/>
      <c r="J1471" s="736">
        <f t="shared" si="521"/>
        <v>656641.69999999995</v>
      </c>
      <c r="K1471" s="736">
        <v>20306.66</v>
      </c>
      <c r="L1471" s="736"/>
      <c r="M1471" s="736">
        <f t="shared" si="522"/>
        <v>676948.36</v>
      </c>
      <c r="N1471" s="736"/>
      <c r="O1471" s="736"/>
      <c r="P1471" s="736">
        <f t="shared" si="523"/>
        <v>676948.36</v>
      </c>
      <c r="Q1471" s="738">
        <v>676948.36</v>
      </c>
      <c r="R1471" s="738">
        <v>485713.42</v>
      </c>
      <c r="S1471" s="751">
        <v>799414.8</v>
      </c>
      <c r="T1471" s="739">
        <v>1500521</v>
      </c>
      <c r="U1471" s="779">
        <v>657637.19999999995</v>
      </c>
      <c r="V1471" s="741">
        <v>1500522</v>
      </c>
    </row>
    <row r="1472" spans="1:22" ht="15" x14ac:dyDescent="0.25">
      <c r="A1472" s="734">
        <v>1421</v>
      </c>
      <c r="B1472" s="735" t="s">
        <v>15</v>
      </c>
      <c r="C1472" s="736">
        <v>156207.87</v>
      </c>
      <c r="D1472" s="736">
        <v>161360.56</v>
      </c>
      <c r="E1472" s="749">
        <v>154952.56</v>
      </c>
      <c r="F1472" s="736">
        <v>163195.31</v>
      </c>
      <c r="G1472" s="736">
        <v>178117.2</v>
      </c>
      <c r="H1472" s="736"/>
      <c r="I1472" s="736"/>
      <c r="J1472" s="736">
        <f t="shared" si="521"/>
        <v>178117.2</v>
      </c>
      <c r="K1472" s="736">
        <v>5224.28</v>
      </c>
      <c r="L1472" s="736"/>
      <c r="M1472" s="736">
        <f t="shared" si="522"/>
        <v>183341.48</v>
      </c>
      <c r="N1472" s="736"/>
      <c r="O1472" s="736"/>
      <c r="P1472" s="736">
        <f t="shared" si="523"/>
        <v>183341.48</v>
      </c>
      <c r="Q1472" s="738">
        <v>183341.48</v>
      </c>
      <c r="R1472" s="738">
        <v>119892.13</v>
      </c>
      <c r="S1472" s="751">
        <v>209663.28</v>
      </c>
      <c r="T1472" s="739">
        <v>1500521</v>
      </c>
      <c r="U1472" s="779">
        <v>222086</v>
      </c>
      <c r="V1472" s="741">
        <v>1500522</v>
      </c>
    </row>
    <row r="1473" spans="1:22" ht="15" x14ac:dyDescent="0.25">
      <c r="A1473" s="734">
        <v>1431</v>
      </c>
      <c r="B1473" s="735" t="s">
        <v>16</v>
      </c>
      <c r="C1473" s="736">
        <v>176644.41</v>
      </c>
      <c r="D1473" s="736">
        <v>166200.98000000001</v>
      </c>
      <c r="E1473" s="749">
        <v>161798.98000000001</v>
      </c>
      <c r="F1473" s="736">
        <v>171692.72</v>
      </c>
      <c r="G1473" s="736">
        <v>183460.7</v>
      </c>
      <c r="H1473" s="736"/>
      <c r="I1473" s="736"/>
      <c r="J1473" s="736">
        <f t="shared" si="521"/>
        <v>183460.7</v>
      </c>
      <c r="K1473" s="736">
        <v>5343.76</v>
      </c>
      <c r="L1473" s="736"/>
      <c r="M1473" s="736">
        <f t="shared" si="522"/>
        <v>188804.46000000002</v>
      </c>
      <c r="N1473" s="736"/>
      <c r="O1473" s="736"/>
      <c r="P1473" s="736">
        <f t="shared" si="523"/>
        <v>188804.46000000002</v>
      </c>
      <c r="Q1473" s="738">
        <v>188804.46</v>
      </c>
      <c r="R1473" s="738">
        <v>123414.5</v>
      </c>
      <c r="S1473" s="751">
        <v>215953.44</v>
      </c>
      <c r="T1473" s="739">
        <v>1500521</v>
      </c>
      <c r="U1473" s="779">
        <v>224907.08</v>
      </c>
      <c r="V1473" s="741">
        <v>1500522</v>
      </c>
    </row>
    <row r="1474" spans="1:22" ht="15" x14ac:dyDescent="0.25">
      <c r="A1474" s="734">
        <v>1511</v>
      </c>
      <c r="B1474" s="735" t="s">
        <v>18</v>
      </c>
      <c r="C1474" s="736">
        <v>45664.01</v>
      </c>
      <c r="D1474" s="736">
        <v>49394.8</v>
      </c>
      <c r="E1474" s="749">
        <v>50577.54</v>
      </c>
      <c r="F1474" s="736">
        <v>51327.96</v>
      </c>
      <c r="G1474" s="736">
        <v>53042.1</v>
      </c>
      <c r="H1474" s="736"/>
      <c r="I1474" s="736"/>
      <c r="J1474" s="736">
        <f t="shared" si="521"/>
        <v>53042.1</v>
      </c>
      <c r="K1474" s="736">
        <v>1777.29</v>
      </c>
      <c r="L1474" s="736"/>
      <c r="M1474" s="736">
        <f t="shared" si="522"/>
        <v>54819.39</v>
      </c>
      <c r="N1474" s="736"/>
      <c r="O1474" s="736"/>
      <c r="P1474" s="736">
        <f t="shared" si="523"/>
        <v>54819.39</v>
      </c>
      <c r="Q1474" s="738">
        <v>54819.39</v>
      </c>
      <c r="R1474" s="738">
        <v>39756.269999999997</v>
      </c>
      <c r="S1474" s="751">
        <v>63183.12</v>
      </c>
      <c r="T1474" s="739">
        <v>1500521</v>
      </c>
      <c r="U1474" s="779">
        <v>57681.5</v>
      </c>
      <c r="V1474" s="741">
        <v>1500522</v>
      </c>
    </row>
    <row r="1475" spans="1:22" ht="15" x14ac:dyDescent="0.25">
      <c r="A1475" s="734">
        <v>1541</v>
      </c>
      <c r="B1475" s="735" t="s">
        <v>19</v>
      </c>
      <c r="C1475" s="736">
        <v>660846.65</v>
      </c>
      <c r="D1475" s="736">
        <v>776375.86</v>
      </c>
      <c r="E1475" s="749">
        <v>772182.74</v>
      </c>
      <c r="F1475" s="736">
        <v>777493.32</v>
      </c>
      <c r="G1475" s="736">
        <v>922455.29999999993</v>
      </c>
      <c r="H1475" s="736"/>
      <c r="I1475" s="736"/>
      <c r="J1475" s="736">
        <f t="shared" si="521"/>
        <v>922455.29999999993</v>
      </c>
      <c r="K1475" s="736">
        <v>47431.58</v>
      </c>
      <c r="L1475" s="736"/>
      <c r="M1475" s="736">
        <f t="shared" si="522"/>
        <v>969886.87999999989</v>
      </c>
      <c r="N1475" s="736"/>
      <c r="O1475" s="736"/>
      <c r="P1475" s="736">
        <f t="shared" si="523"/>
        <v>969886.87999999989</v>
      </c>
      <c r="Q1475" s="738">
        <v>918136.57</v>
      </c>
      <c r="R1475" s="738">
        <v>613591.80000000005</v>
      </c>
      <c r="S1475" s="751">
        <v>1032686.2</v>
      </c>
      <c r="T1475" s="739">
        <v>1500521</v>
      </c>
      <c r="U1475" s="779">
        <v>1032686.2</v>
      </c>
      <c r="V1475" s="741">
        <v>1500522</v>
      </c>
    </row>
    <row r="1476" spans="1:22" ht="15" x14ac:dyDescent="0.25">
      <c r="A1476" s="734">
        <v>1592</v>
      </c>
      <c r="B1476" s="735" t="s">
        <v>20</v>
      </c>
      <c r="C1476" s="736">
        <v>715291.1</v>
      </c>
      <c r="D1476" s="736">
        <v>773856.72</v>
      </c>
      <c r="E1476" s="749">
        <v>784728.72</v>
      </c>
      <c r="F1476" s="736">
        <v>802647.34</v>
      </c>
      <c r="G1476" s="736">
        <v>823389.9</v>
      </c>
      <c r="H1476" s="736"/>
      <c r="I1476" s="736"/>
      <c r="J1476" s="736">
        <f t="shared" si="521"/>
        <v>823389.9</v>
      </c>
      <c r="K1476" s="736">
        <v>27593.439999999999</v>
      </c>
      <c r="L1476" s="736"/>
      <c r="M1476" s="736">
        <f t="shared" si="522"/>
        <v>850983.34</v>
      </c>
      <c r="N1476" s="736"/>
      <c r="O1476" s="736"/>
      <c r="P1476" s="736">
        <f t="shared" si="523"/>
        <v>850983.34</v>
      </c>
      <c r="Q1476" s="738">
        <v>925963.1</v>
      </c>
      <c r="R1476" s="738">
        <v>605845.18000000005</v>
      </c>
      <c r="S1476" s="751">
        <v>932848.28</v>
      </c>
      <c r="T1476" s="739">
        <v>1500521</v>
      </c>
      <c r="U1476" s="779">
        <v>875012.13</v>
      </c>
      <c r="V1476" s="741">
        <v>1500522</v>
      </c>
    </row>
    <row r="1477" spans="1:22" ht="15" x14ac:dyDescent="0.2">
      <c r="A1477" s="739">
        <v>2111</v>
      </c>
      <c r="B1477" s="743" t="s">
        <v>22</v>
      </c>
      <c r="C1477" s="736"/>
      <c r="D1477" s="736"/>
      <c r="E1477" s="749"/>
      <c r="F1477" s="736"/>
      <c r="G1477" s="736"/>
      <c r="H1477" s="736">
        <v>10200.049999999999</v>
      </c>
      <c r="I1477" s="736"/>
      <c r="J1477" s="736">
        <f t="shared" si="521"/>
        <v>10200.049999999999</v>
      </c>
      <c r="K1477" s="736"/>
      <c r="L1477" s="736"/>
      <c r="M1477" s="736">
        <f t="shared" si="522"/>
        <v>10200.049999999999</v>
      </c>
      <c r="N1477" s="736"/>
      <c r="O1477" s="736"/>
      <c r="P1477" s="736">
        <f t="shared" si="523"/>
        <v>10200.049999999999</v>
      </c>
      <c r="Q1477" s="738">
        <v>10200.049999999999</v>
      </c>
      <c r="R1477" s="738"/>
      <c r="S1477" s="751"/>
      <c r="T1477" s="739">
        <v>1100120</v>
      </c>
      <c r="U1477" s="745"/>
      <c r="V1477" s="739">
        <v>1100120</v>
      </c>
    </row>
    <row r="1478" spans="1:22" ht="15" x14ac:dyDescent="0.2">
      <c r="A1478" s="734">
        <v>2111</v>
      </c>
      <c r="B1478" s="735" t="s">
        <v>22</v>
      </c>
      <c r="C1478" s="736">
        <v>60232.51</v>
      </c>
      <c r="D1478" s="736">
        <v>80000</v>
      </c>
      <c r="E1478" s="749">
        <v>56000</v>
      </c>
      <c r="F1478" s="736">
        <v>41344.47</v>
      </c>
      <c r="G1478" s="752">
        <v>80000</v>
      </c>
      <c r="H1478" s="752"/>
      <c r="I1478" s="752"/>
      <c r="J1478" s="736">
        <f t="shared" si="521"/>
        <v>80000</v>
      </c>
      <c r="K1478" s="752"/>
      <c r="L1478" s="752"/>
      <c r="M1478" s="736">
        <f t="shared" si="522"/>
        <v>80000</v>
      </c>
      <c r="N1478" s="736"/>
      <c r="O1478" s="736"/>
      <c r="P1478" s="736">
        <f t="shared" si="523"/>
        <v>80000</v>
      </c>
      <c r="Q1478" s="753">
        <v>72502.69</v>
      </c>
      <c r="R1478" s="738">
        <v>68281.02</v>
      </c>
      <c r="S1478" s="753">
        <v>90000</v>
      </c>
      <c r="T1478" s="739">
        <v>1100121</v>
      </c>
      <c r="U1478" s="754">
        <v>80000</v>
      </c>
      <c r="V1478" s="741">
        <v>1100122</v>
      </c>
    </row>
    <row r="1479" spans="1:22" ht="15" x14ac:dyDescent="0.2">
      <c r="A1479" s="734">
        <v>2161</v>
      </c>
      <c r="B1479" s="735" t="s">
        <v>59</v>
      </c>
      <c r="C1479" s="736">
        <v>157062.04</v>
      </c>
      <c r="D1479" s="736">
        <v>162000</v>
      </c>
      <c r="E1479" s="749">
        <v>322000</v>
      </c>
      <c r="F1479" s="736">
        <v>297074.5</v>
      </c>
      <c r="G1479" s="752">
        <v>337000</v>
      </c>
      <c r="H1479" s="752"/>
      <c r="I1479" s="752"/>
      <c r="J1479" s="736">
        <f t="shared" si="521"/>
        <v>337000</v>
      </c>
      <c r="K1479" s="752"/>
      <c r="L1479" s="752"/>
      <c r="M1479" s="736">
        <f t="shared" si="522"/>
        <v>337000</v>
      </c>
      <c r="N1479" s="736"/>
      <c r="O1479" s="736"/>
      <c r="P1479" s="736">
        <f t="shared" si="523"/>
        <v>337000</v>
      </c>
      <c r="Q1479" s="753">
        <v>337000</v>
      </c>
      <c r="R1479" s="738">
        <v>148706.63</v>
      </c>
      <c r="S1479" s="753">
        <v>350000</v>
      </c>
      <c r="T1479" s="739">
        <v>1100121</v>
      </c>
      <c r="U1479" s="754">
        <v>337000</v>
      </c>
      <c r="V1479" s="741">
        <v>1100122</v>
      </c>
    </row>
    <row r="1480" spans="1:22" ht="15" x14ac:dyDescent="0.2">
      <c r="A1480" s="739">
        <v>2421</v>
      </c>
      <c r="B1480" s="743" t="s">
        <v>111</v>
      </c>
      <c r="C1480" s="736"/>
      <c r="D1480" s="736">
        <v>0</v>
      </c>
      <c r="E1480" s="749"/>
      <c r="F1480" s="736">
        <v>21002.91</v>
      </c>
      <c r="G1480" s="736"/>
      <c r="H1480" s="736"/>
      <c r="I1480" s="736"/>
      <c r="J1480" s="736">
        <f t="shared" si="521"/>
        <v>0</v>
      </c>
      <c r="K1480" s="736"/>
      <c r="L1480" s="736"/>
      <c r="M1480" s="736">
        <f t="shared" si="522"/>
        <v>0</v>
      </c>
      <c r="N1480" s="736"/>
      <c r="O1480" s="736"/>
      <c r="P1480" s="738">
        <f t="shared" si="523"/>
        <v>0</v>
      </c>
      <c r="Q1480" s="738"/>
      <c r="R1480" s="738"/>
      <c r="S1480" s="738"/>
      <c r="T1480" s="739">
        <v>1100121</v>
      </c>
      <c r="U1480" s="745"/>
      <c r="V1480" s="739">
        <v>1100122</v>
      </c>
    </row>
    <row r="1481" spans="1:22" ht="15" x14ac:dyDescent="0.2">
      <c r="A1481" s="734">
        <v>2461</v>
      </c>
      <c r="B1481" s="735" t="s">
        <v>115</v>
      </c>
      <c r="C1481" s="736">
        <v>190103.78</v>
      </c>
      <c r="D1481" s="736">
        <v>250000</v>
      </c>
      <c r="E1481" s="749">
        <v>221734.78</v>
      </c>
      <c r="F1481" s="736">
        <v>183826.02</v>
      </c>
      <c r="G1481" s="752">
        <v>221000</v>
      </c>
      <c r="H1481" s="752"/>
      <c r="I1481" s="752"/>
      <c r="J1481" s="736">
        <f t="shared" si="521"/>
        <v>221000</v>
      </c>
      <c r="K1481" s="752"/>
      <c r="L1481" s="752"/>
      <c r="M1481" s="736">
        <f t="shared" si="522"/>
        <v>221000</v>
      </c>
      <c r="N1481" s="736"/>
      <c r="O1481" s="736"/>
      <c r="P1481" s="736">
        <f t="shared" si="523"/>
        <v>221000</v>
      </c>
      <c r="Q1481" s="753">
        <v>221000</v>
      </c>
      <c r="R1481" s="738">
        <v>43198.15</v>
      </c>
      <c r="S1481" s="753">
        <v>350000</v>
      </c>
      <c r="T1481" s="739">
        <v>1100121</v>
      </c>
      <c r="U1481" s="754">
        <v>300000</v>
      </c>
      <c r="V1481" s="741">
        <v>1100122</v>
      </c>
    </row>
    <row r="1482" spans="1:22" ht="15" x14ac:dyDescent="0.2">
      <c r="A1482" s="739">
        <v>2491</v>
      </c>
      <c r="B1482" s="743" t="s">
        <v>41</v>
      </c>
      <c r="C1482" s="736">
        <v>304669.46999999997</v>
      </c>
      <c r="D1482" s="736">
        <v>0</v>
      </c>
      <c r="E1482" s="749">
        <v>1574.92</v>
      </c>
      <c r="F1482" s="736">
        <v>0</v>
      </c>
      <c r="G1482" s="752"/>
      <c r="H1482" s="752"/>
      <c r="I1482" s="752"/>
      <c r="J1482" s="736">
        <f t="shared" si="521"/>
        <v>0</v>
      </c>
      <c r="K1482" s="752"/>
      <c r="L1482" s="752"/>
      <c r="M1482" s="736">
        <f t="shared" si="522"/>
        <v>0</v>
      </c>
      <c r="N1482" s="736"/>
      <c r="O1482" s="736"/>
      <c r="P1482" s="738">
        <f t="shared" si="523"/>
        <v>0</v>
      </c>
      <c r="Q1482" s="753"/>
      <c r="R1482" s="738"/>
      <c r="S1482" s="753"/>
      <c r="T1482" s="739">
        <v>1100119</v>
      </c>
      <c r="U1482" s="745"/>
      <c r="V1482" s="739">
        <v>1100119</v>
      </c>
    </row>
    <row r="1483" spans="1:22" ht="15" x14ac:dyDescent="0.2">
      <c r="A1483" s="734">
        <v>2491</v>
      </c>
      <c r="B1483" s="735" t="s">
        <v>41</v>
      </c>
      <c r="C1483" s="736"/>
      <c r="D1483" s="736">
        <v>220000</v>
      </c>
      <c r="E1483" s="749">
        <v>263486.28999999998</v>
      </c>
      <c r="F1483" s="736">
        <v>489328.25</v>
      </c>
      <c r="G1483" s="752">
        <v>220000</v>
      </c>
      <c r="H1483" s="752"/>
      <c r="I1483" s="752"/>
      <c r="J1483" s="736">
        <f t="shared" si="521"/>
        <v>220000</v>
      </c>
      <c r="K1483" s="752"/>
      <c r="L1483" s="752"/>
      <c r="M1483" s="736">
        <f t="shared" si="522"/>
        <v>220000</v>
      </c>
      <c r="N1483" s="736"/>
      <c r="O1483" s="736"/>
      <c r="P1483" s="736">
        <f t="shared" si="523"/>
        <v>220000</v>
      </c>
      <c r="Q1483" s="753">
        <v>420000</v>
      </c>
      <c r="R1483" s="738">
        <v>221491.78</v>
      </c>
      <c r="S1483" s="753">
        <v>760000</v>
      </c>
      <c r="T1483" s="739">
        <v>1100121</v>
      </c>
      <c r="U1483" s="754">
        <v>300000</v>
      </c>
      <c r="V1483" s="741">
        <v>1100122</v>
      </c>
    </row>
    <row r="1484" spans="1:22" ht="30" x14ac:dyDescent="0.2">
      <c r="A1484" s="734">
        <v>2612</v>
      </c>
      <c r="B1484" s="735" t="s">
        <v>26</v>
      </c>
      <c r="C1484" s="736">
        <v>24557.45</v>
      </c>
      <c r="D1484" s="736">
        <v>25000</v>
      </c>
      <c r="E1484" s="749">
        <v>25000</v>
      </c>
      <c r="F1484" s="736">
        <v>20421.86</v>
      </c>
      <c r="G1484" s="752">
        <v>25000</v>
      </c>
      <c r="H1484" s="752"/>
      <c r="I1484" s="752"/>
      <c r="J1484" s="736">
        <f t="shared" si="521"/>
        <v>25000</v>
      </c>
      <c r="K1484" s="752"/>
      <c r="L1484" s="752"/>
      <c r="M1484" s="736">
        <f t="shared" si="522"/>
        <v>25000</v>
      </c>
      <c r="N1484" s="736"/>
      <c r="O1484" s="736"/>
      <c r="P1484" s="736">
        <f t="shared" si="523"/>
        <v>25000</v>
      </c>
      <c r="Q1484" s="753">
        <v>25000</v>
      </c>
      <c r="R1484" s="738">
        <v>17110.810000000001</v>
      </c>
      <c r="S1484" s="738">
        <f>Q1484</f>
        <v>25000</v>
      </c>
      <c r="T1484" s="739">
        <v>1100121</v>
      </c>
      <c r="U1484" s="746">
        <v>25000</v>
      </c>
      <c r="V1484" s="741">
        <v>1100122</v>
      </c>
    </row>
    <row r="1485" spans="1:22" ht="15" x14ac:dyDescent="0.2">
      <c r="A1485" s="734">
        <v>2911</v>
      </c>
      <c r="B1485" s="735" t="s">
        <v>60</v>
      </c>
      <c r="C1485" s="736">
        <v>7980.52</v>
      </c>
      <c r="D1485" s="736">
        <v>8000</v>
      </c>
      <c r="E1485" s="749">
        <v>20500</v>
      </c>
      <c r="F1485" s="736">
        <v>19121.88</v>
      </c>
      <c r="G1485" s="752">
        <v>10000</v>
      </c>
      <c r="H1485" s="752"/>
      <c r="I1485" s="752"/>
      <c r="J1485" s="736">
        <f t="shared" si="521"/>
        <v>10000</v>
      </c>
      <c r="K1485" s="752"/>
      <c r="L1485" s="752"/>
      <c r="M1485" s="736">
        <f t="shared" si="522"/>
        <v>10000</v>
      </c>
      <c r="N1485" s="736"/>
      <c r="O1485" s="736"/>
      <c r="P1485" s="736">
        <f t="shared" si="523"/>
        <v>10000</v>
      </c>
      <c r="Q1485" s="753">
        <v>10000</v>
      </c>
      <c r="R1485" s="738">
        <v>5934.8</v>
      </c>
      <c r="S1485" s="753">
        <v>30000</v>
      </c>
      <c r="T1485" s="739">
        <v>1100121</v>
      </c>
      <c r="U1485" s="754">
        <v>30000</v>
      </c>
      <c r="V1485" s="741">
        <v>1100122</v>
      </c>
    </row>
    <row r="1486" spans="1:22" ht="15" x14ac:dyDescent="0.2">
      <c r="A1486" s="739">
        <v>3141</v>
      </c>
      <c r="B1486" s="743" t="s">
        <v>1768</v>
      </c>
      <c r="C1486" s="736">
        <v>655130.31999999995</v>
      </c>
      <c r="D1486" s="736"/>
      <c r="E1486" s="749"/>
      <c r="F1486" s="736"/>
      <c r="G1486" s="752"/>
      <c r="H1486" s="752"/>
      <c r="I1486" s="752"/>
      <c r="J1486" s="736">
        <f t="shared" si="521"/>
        <v>0</v>
      </c>
      <c r="K1486" s="752"/>
      <c r="L1486" s="752"/>
      <c r="M1486" s="736">
        <f t="shared" si="522"/>
        <v>0</v>
      </c>
      <c r="N1486" s="736"/>
      <c r="O1486" s="736"/>
      <c r="P1486" s="738">
        <f t="shared" si="523"/>
        <v>0</v>
      </c>
      <c r="Q1486" s="753"/>
      <c r="R1486" s="738"/>
      <c r="S1486" s="753"/>
      <c r="T1486" s="739"/>
      <c r="U1486" s="745"/>
      <c r="V1486" s="739"/>
    </row>
    <row r="1487" spans="1:22" ht="15" x14ac:dyDescent="0.2">
      <c r="A1487" s="739">
        <v>3511</v>
      </c>
      <c r="B1487" s="743" t="s">
        <v>49</v>
      </c>
      <c r="C1487" s="736"/>
      <c r="D1487" s="736"/>
      <c r="E1487" s="749"/>
      <c r="F1487" s="736"/>
      <c r="G1487" s="752"/>
      <c r="H1487" s="752">
        <v>24592</v>
      </c>
      <c r="I1487" s="752"/>
      <c r="J1487" s="736">
        <f t="shared" si="521"/>
        <v>24592</v>
      </c>
      <c r="K1487" s="752"/>
      <c r="L1487" s="752"/>
      <c r="M1487" s="736">
        <f t="shared" si="522"/>
        <v>24592</v>
      </c>
      <c r="N1487" s="736"/>
      <c r="O1487" s="736"/>
      <c r="P1487" s="736">
        <f t="shared" si="523"/>
        <v>24592</v>
      </c>
      <c r="Q1487" s="753">
        <v>0</v>
      </c>
      <c r="R1487" s="738"/>
      <c r="S1487" s="753"/>
      <c r="T1487" s="739">
        <v>1100120</v>
      </c>
      <c r="U1487" s="745"/>
      <c r="V1487" s="739">
        <v>1100120</v>
      </c>
    </row>
    <row r="1488" spans="1:22" ht="15" x14ac:dyDescent="0.2">
      <c r="A1488" s="734">
        <v>3511</v>
      </c>
      <c r="B1488" s="735" t="s">
        <v>49</v>
      </c>
      <c r="C1488" s="736">
        <v>321811.5</v>
      </c>
      <c r="D1488" s="736">
        <v>600000</v>
      </c>
      <c r="E1488" s="749">
        <v>481144.15</v>
      </c>
      <c r="F1488" s="736">
        <v>484607.38</v>
      </c>
      <c r="G1488" s="752">
        <v>826000</v>
      </c>
      <c r="H1488" s="896"/>
      <c r="I1488" s="752"/>
      <c r="J1488" s="736">
        <f t="shared" si="521"/>
        <v>826000</v>
      </c>
      <c r="K1488" s="896">
        <v>100000</v>
      </c>
      <c r="L1488" s="752"/>
      <c r="M1488" s="736">
        <f t="shared" si="522"/>
        <v>926000</v>
      </c>
      <c r="N1488" s="736">
        <v>19000</v>
      </c>
      <c r="O1488" s="736"/>
      <c r="P1488" s="736">
        <f t="shared" si="523"/>
        <v>945000</v>
      </c>
      <c r="Q1488" s="753">
        <v>745000</v>
      </c>
      <c r="R1488" s="738">
        <v>327895.84999999998</v>
      </c>
      <c r="S1488" s="753">
        <v>670000</v>
      </c>
      <c r="T1488" s="739">
        <v>1100121</v>
      </c>
      <c r="U1488" s="754">
        <v>500000</v>
      </c>
      <c r="V1488" s="741">
        <v>1100122</v>
      </c>
    </row>
    <row r="1489" spans="1:22" ht="15" x14ac:dyDescent="0.2">
      <c r="A1489" s="739">
        <v>3571</v>
      </c>
      <c r="B1489" s="743" t="s">
        <v>65</v>
      </c>
      <c r="C1489" s="736"/>
      <c r="D1489" s="736"/>
      <c r="E1489" s="749"/>
      <c r="F1489" s="736"/>
      <c r="G1489" s="752"/>
      <c r="H1489" s="752">
        <f>118320+8120</f>
        <v>126440</v>
      </c>
      <c r="I1489" s="752"/>
      <c r="J1489" s="736">
        <f t="shared" si="521"/>
        <v>126440</v>
      </c>
      <c r="K1489" s="752"/>
      <c r="L1489" s="752"/>
      <c r="M1489" s="736">
        <f t="shared" si="522"/>
        <v>126440</v>
      </c>
      <c r="N1489" s="736"/>
      <c r="O1489" s="736"/>
      <c r="P1489" s="736">
        <f t="shared" si="523"/>
        <v>126440</v>
      </c>
      <c r="Q1489" s="753">
        <v>118320</v>
      </c>
      <c r="R1489" s="738">
        <v>118320</v>
      </c>
      <c r="S1489" s="753"/>
      <c r="T1489" s="739">
        <v>1100120</v>
      </c>
      <c r="U1489" s="745"/>
      <c r="V1489" s="739">
        <v>1100120</v>
      </c>
    </row>
    <row r="1490" spans="1:22" ht="15" x14ac:dyDescent="0.2">
      <c r="A1490" s="734">
        <v>3571</v>
      </c>
      <c r="B1490" s="735" t="s">
        <v>65</v>
      </c>
      <c r="C1490" s="736">
        <v>53904.3</v>
      </c>
      <c r="D1490" s="736">
        <v>100000</v>
      </c>
      <c r="E1490" s="749">
        <v>100000</v>
      </c>
      <c r="F1490" s="736">
        <v>43343.42</v>
      </c>
      <c r="G1490" s="752">
        <v>100000</v>
      </c>
      <c r="H1490" s="752"/>
      <c r="I1490" s="752"/>
      <c r="J1490" s="736">
        <f t="shared" si="521"/>
        <v>100000</v>
      </c>
      <c r="K1490" s="752"/>
      <c r="L1490" s="752"/>
      <c r="M1490" s="736">
        <f t="shared" si="522"/>
        <v>100000</v>
      </c>
      <c r="N1490" s="736"/>
      <c r="O1490" s="736"/>
      <c r="P1490" s="736">
        <f t="shared" si="523"/>
        <v>100000</v>
      </c>
      <c r="Q1490" s="753">
        <v>100000</v>
      </c>
      <c r="R1490" s="738">
        <v>20558.22</v>
      </c>
      <c r="S1490" s="753">
        <v>150000</v>
      </c>
      <c r="T1490" s="739">
        <v>1100121</v>
      </c>
      <c r="U1490" s="754">
        <v>50000</v>
      </c>
      <c r="V1490" s="741">
        <v>1100122</v>
      </c>
    </row>
    <row r="1491" spans="1:22" ht="15" x14ac:dyDescent="0.2">
      <c r="A1491" s="734">
        <v>3921</v>
      </c>
      <c r="B1491" s="735" t="s">
        <v>33</v>
      </c>
      <c r="C1491" s="736"/>
      <c r="D1491" s="736">
        <v>520</v>
      </c>
      <c r="E1491" s="749">
        <v>520</v>
      </c>
      <c r="F1491" s="736">
        <v>0</v>
      </c>
      <c r="G1491" s="752">
        <v>580</v>
      </c>
      <c r="H1491" s="752"/>
      <c r="I1491" s="752"/>
      <c r="J1491" s="736">
        <f t="shared" si="521"/>
        <v>580</v>
      </c>
      <c r="K1491" s="752"/>
      <c r="L1491" s="752"/>
      <c r="M1491" s="736">
        <f t="shared" si="522"/>
        <v>580</v>
      </c>
      <c r="N1491" s="736"/>
      <c r="O1491" s="736"/>
      <c r="P1491" s="736">
        <f t="shared" si="523"/>
        <v>580</v>
      </c>
      <c r="Q1491" s="753">
        <v>580</v>
      </c>
      <c r="R1491" s="738">
        <v>525.99</v>
      </c>
      <c r="S1491" s="753">
        <v>650</v>
      </c>
      <c r="T1491" s="739">
        <v>1100121</v>
      </c>
      <c r="U1491" s="746">
        <v>673.5</v>
      </c>
      <c r="V1491" s="741">
        <v>1100122</v>
      </c>
    </row>
    <row r="1492" spans="1:22" ht="15" x14ac:dyDescent="0.2">
      <c r="A1492" s="739">
        <v>3921</v>
      </c>
      <c r="B1492" s="743" t="s">
        <v>33</v>
      </c>
      <c r="C1492" s="736"/>
      <c r="D1492" s="736"/>
      <c r="E1492" s="749"/>
      <c r="F1492" s="736"/>
      <c r="G1492" s="752"/>
      <c r="H1492" s="752"/>
      <c r="I1492" s="752"/>
      <c r="J1492" s="736"/>
      <c r="K1492" s="752"/>
      <c r="L1492" s="752"/>
      <c r="M1492" s="736"/>
      <c r="N1492" s="736"/>
      <c r="O1492" s="736"/>
      <c r="P1492" s="736"/>
      <c r="Q1492" s="753"/>
      <c r="R1492" s="738"/>
      <c r="S1492" s="753"/>
      <c r="T1492" s="739"/>
      <c r="U1492" s="744"/>
      <c r="V1492" s="739"/>
    </row>
    <row r="1493" spans="1:22" ht="15" x14ac:dyDescent="0.2">
      <c r="A1493" s="739">
        <v>5191</v>
      </c>
      <c r="B1493" s="743" t="s">
        <v>69</v>
      </c>
      <c r="C1493" s="736">
        <v>369599.66</v>
      </c>
      <c r="D1493" s="736"/>
      <c r="E1493" s="749"/>
      <c r="F1493" s="736"/>
      <c r="G1493" s="736"/>
      <c r="H1493" s="736"/>
      <c r="I1493" s="736"/>
      <c r="J1493" s="736">
        <f>G1493+H1493-I1493</f>
        <v>0</v>
      </c>
      <c r="K1493" s="736"/>
      <c r="L1493" s="736"/>
      <c r="M1493" s="736">
        <f t="shared" ref="M1493:M1496" si="524">J1493+K1493-L1493</f>
        <v>0</v>
      </c>
      <c r="N1493" s="736"/>
      <c r="O1493" s="736"/>
      <c r="P1493" s="738">
        <f t="shared" ref="P1493:P1496" si="525">M1493+N1493-O1493</f>
        <v>0</v>
      </c>
      <c r="Q1493" s="738"/>
      <c r="R1493" s="738"/>
      <c r="S1493" s="738"/>
      <c r="T1493" s="739"/>
      <c r="U1493" s="745"/>
      <c r="V1493" s="739"/>
    </row>
    <row r="1494" spans="1:22" ht="15" x14ac:dyDescent="0.2">
      <c r="A1494" s="739">
        <v>5491</v>
      </c>
      <c r="B1494" s="743" t="s">
        <v>1769</v>
      </c>
      <c r="C1494" s="736"/>
      <c r="D1494" s="736"/>
      <c r="E1494" s="749"/>
      <c r="F1494" s="736"/>
      <c r="G1494" s="736"/>
      <c r="H1494" s="736"/>
      <c r="I1494" s="736"/>
      <c r="J1494" s="736"/>
      <c r="K1494" s="736"/>
      <c r="L1494" s="736"/>
      <c r="M1494" s="736">
        <f t="shared" si="524"/>
        <v>0</v>
      </c>
      <c r="N1494" s="736">
        <v>45000</v>
      </c>
      <c r="O1494" s="736"/>
      <c r="P1494" s="736">
        <f t="shared" si="525"/>
        <v>45000</v>
      </c>
      <c r="Q1494" s="738">
        <v>45000</v>
      </c>
      <c r="R1494" s="738">
        <v>34990</v>
      </c>
      <c r="S1494" s="738"/>
      <c r="T1494" s="739">
        <v>1100121</v>
      </c>
      <c r="U1494" s="744"/>
      <c r="V1494" s="739">
        <v>1100122</v>
      </c>
    </row>
    <row r="1495" spans="1:22" ht="15" x14ac:dyDescent="0.2">
      <c r="A1495" s="739">
        <v>5641</v>
      </c>
      <c r="B1495" s="743" t="s">
        <v>124</v>
      </c>
      <c r="C1495" s="736"/>
      <c r="D1495" s="736">
        <v>150000</v>
      </c>
      <c r="E1495" s="749">
        <v>75000</v>
      </c>
      <c r="F1495" s="736">
        <v>58421.08</v>
      </c>
      <c r="G1495" s="752">
        <v>80000</v>
      </c>
      <c r="H1495" s="896"/>
      <c r="I1495" s="752"/>
      <c r="J1495" s="736">
        <f t="shared" ref="J1495:J1496" si="526">G1495+H1495-I1495</f>
        <v>80000</v>
      </c>
      <c r="K1495" s="896"/>
      <c r="L1495" s="752"/>
      <c r="M1495" s="736">
        <f t="shared" si="524"/>
        <v>80000</v>
      </c>
      <c r="N1495" s="736"/>
      <c r="O1495" s="736"/>
      <c r="P1495" s="736">
        <f t="shared" si="525"/>
        <v>80000</v>
      </c>
      <c r="Q1495" s="753">
        <v>80000</v>
      </c>
      <c r="R1495" s="738">
        <v>78403.210000000006</v>
      </c>
      <c r="S1495" s="753">
        <v>60000</v>
      </c>
      <c r="T1495" s="739">
        <v>1500521</v>
      </c>
      <c r="U1495" s="841">
        <v>0</v>
      </c>
      <c r="V1495" s="739">
        <v>1500522</v>
      </c>
    </row>
    <row r="1496" spans="1:22" ht="15" x14ac:dyDescent="0.2">
      <c r="A1496" s="734">
        <v>5691</v>
      </c>
      <c r="B1496" s="735" t="s">
        <v>112</v>
      </c>
      <c r="C1496" s="736"/>
      <c r="D1496" s="736">
        <v>20000</v>
      </c>
      <c r="E1496" s="749">
        <v>7500</v>
      </c>
      <c r="F1496" s="736">
        <v>6830</v>
      </c>
      <c r="G1496" s="752">
        <v>20000</v>
      </c>
      <c r="H1496" s="896"/>
      <c r="I1496" s="752"/>
      <c r="J1496" s="736">
        <f t="shared" si="526"/>
        <v>20000</v>
      </c>
      <c r="K1496" s="896"/>
      <c r="L1496" s="752"/>
      <c r="M1496" s="736">
        <f t="shared" si="524"/>
        <v>20000</v>
      </c>
      <c r="N1496" s="736"/>
      <c r="O1496" s="736"/>
      <c r="P1496" s="736">
        <f t="shared" si="525"/>
        <v>20000</v>
      </c>
      <c r="Q1496" s="753">
        <v>20000</v>
      </c>
      <c r="R1496" s="738">
        <v>10700</v>
      </c>
      <c r="S1496" s="846">
        <v>40000</v>
      </c>
      <c r="T1496" s="739">
        <v>1500521</v>
      </c>
      <c r="U1496" s="754">
        <v>40000</v>
      </c>
      <c r="V1496" s="741">
        <v>1100122</v>
      </c>
    </row>
    <row r="1497" spans="1:22" ht="15" x14ac:dyDescent="0.2">
      <c r="A1497" s="724" t="s">
        <v>229</v>
      </c>
      <c r="B1497" s="725" t="s">
        <v>230</v>
      </c>
      <c r="C1497" s="721">
        <f t="shared" ref="C1497:S1497" si="527">SUM(C1498)</f>
        <v>37716976.740000002</v>
      </c>
      <c r="D1497" s="721">
        <f t="shared" si="527"/>
        <v>40454235.829999998</v>
      </c>
      <c r="E1497" s="721">
        <f t="shared" si="527"/>
        <v>39011468.460000001</v>
      </c>
      <c r="F1497" s="721">
        <f t="shared" si="527"/>
        <v>37925437.199999996</v>
      </c>
      <c r="G1497" s="721">
        <f t="shared" si="527"/>
        <v>47088912.369999997</v>
      </c>
      <c r="H1497" s="721">
        <f t="shared" si="527"/>
        <v>12909</v>
      </c>
      <c r="I1497" s="721">
        <f t="shared" si="527"/>
        <v>0</v>
      </c>
      <c r="J1497" s="721">
        <f t="shared" si="527"/>
        <v>47101821.369999997</v>
      </c>
      <c r="K1497" s="721">
        <f t="shared" si="527"/>
        <v>12303653.860000001</v>
      </c>
      <c r="L1497" s="721">
        <f t="shared" si="527"/>
        <v>17435578.789999999</v>
      </c>
      <c r="M1497" s="721">
        <f t="shared" si="527"/>
        <v>41969896.440000005</v>
      </c>
      <c r="N1497" s="721">
        <f t="shared" si="527"/>
        <v>154525</v>
      </c>
      <c r="O1497" s="721">
        <f t="shared" si="527"/>
        <v>299788.95</v>
      </c>
      <c r="P1497" s="721">
        <f t="shared" si="527"/>
        <v>41824632.490000002</v>
      </c>
      <c r="Q1497" s="756">
        <f t="shared" si="527"/>
        <v>41946003.439999998</v>
      </c>
      <c r="R1497" s="756">
        <f>SUM(R1498)</f>
        <v>27489547.650000002</v>
      </c>
      <c r="S1497" s="756">
        <f t="shared" si="527"/>
        <v>51429387.829999998</v>
      </c>
      <c r="T1497" s="724"/>
      <c r="U1497" s="726">
        <f t="shared" ref="U1497" si="528">SUM(U1498)</f>
        <v>45683223.780000001</v>
      </c>
      <c r="V1497" s="727"/>
    </row>
    <row r="1498" spans="1:22" ht="15" x14ac:dyDescent="0.2">
      <c r="A1498" s="728" t="s">
        <v>231</v>
      </c>
      <c r="B1498" s="729" t="s">
        <v>1623</v>
      </c>
      <c r="C1498" s="730">
        <f t="shared" ref="C1498:S1498" si="529">SUM(C1499:C1534)</f>
        <v>37716976.740000002</v>
      </c>
      <c r="D1498" s="730">
        <f t="shared" si="529"/>
        <v>40454235.829999998</v>
      </c>
      <c r="E1498" s="730">
        <f t="shared" si="529"/>
        <v>39011468.460000001</v>
      </c>
      <c r="F1498" s="730">
        <f t="shared" si="529"/>
        <v>37925437.199999996</v>
      </c>
      <c r="G1498" s="730">
        <f t="shared" si="529"/>
        <v>47088912.369999997</v>
      </c>
      <c r="H1498" s="730">
        <f t="shared" si="529"/>
        <v>12909</v>
      </c>
      <c r="I1498" s="730">
        <f t="shared" si="529"/>
        <v>0</v>
      </c>
      <c r="J1498" s="730">
        <f t="shared" si="529"/>
        <v>47101821.369999997</v>
      </c>
      <c r="K1498" s="730">
        <f t="shared" si="529"/>
        <v>12303653.860000001</v>
      </c>
      <c r="L1498" s="730">
        <f t="shared" si="529"/>
        <v>17435578.789999999</v>
      </c>
      <c r="M1498" s="730">
        <f t="shared" si="529"/>
        <v>41969896.440000005</v>
      </c>
      <c r="N1498" s="730">
        <f t="shared" si="529"/>
        <v>154525</v>
      </c>
      <c r="O1498" s="730">
        <f t="shared" si="529"/>
        <v>299788.95</v>
      </c>
      <c r="P1498" s="730">
        <f t="shared" si="529"/>
        <v>41824632.490000002</v>
      </c>
      <c r="Q1498" s="748">
        <f t="shared" si="529"/>
        <v>41946003.439999998</v>
      </c>
      <c r="R1498" s="748">
        <f>SUM(R1499:R1534)</f>
        <v>27489547.650000002</v>
      </c>
      <c r="S1498" s="748">
        <f t="shared" si="529"/>
        <v>51429387.829999998</v>
      </c>
      <c r="T1498" s="731"/>
      <c r="U1498" s="732">
        <f>SUM(U1499:U1534)</f>
        <v>45683223.780000001</v>
      </c>
      <c r="V1498" s="733"/>
    </row>
    <row r="1499" spans="1:22" ht="15" x14ac:dyDescent="0.25">
      <c r="A1499" s="734">
        <v>1131</v>
      </c>
      <c r="B1499" s="735" t="s">
        <v>6</v>
      </c>
      <c r="C1499" s="736">
        <v>709064.55</v>
      </c>
      <c r="D1499" s="736">
        <v>900783.52</v>
      </c>
      <c r="E1499" s="749">
        <v>659806.43000000005</v>
      </c>
      <c r="F1499" s="736">
        <v>707935.66</v>
      </c>
      <c r="G1499" s="757">
        <v>568696.69999999995</v>
      </c>
      <c r="H1499" s="736"/>
      <c r="I1499" s="736"/>
      <c r="J1499" s="736">
        <f t="shared" ref="J1499:J1530" si="530">G1499+H1499-I1499</f>
        <v>568696.69999999995</v>
      </c>
      <c r="K1499" s="736">
        <v>205294.57</v>
      </c>
      <c r="L1499" s="736"/>
      <c r="M1499" s="736">
        <f t="shared" ref="M1499:M1534" si="531">J1499+K1499-L1499</f>
        <v>773991.27</v>
      </c>
      <c r="N1499" s="736"/>
      <c r="O1499" s="736"/>
      <c r="P1499" s="736">
        <f t="shared" ref="P1499:P1534" si="532">M1499+N1499-O1499</f>
        <v>773991.27</v>
      </c>
      <c r="Q1499" s="758">
        <v>1030044.13</v>
      </c>
      <c r="R1499" s="738">
        <v>625401.38</v>
      </c>
      <c r="S1499" s="758">
        <v>1695512</v>
      </c>
      <c r="T1499" s="739">
        <v>1500521</v>
      </c>
      <c r="U1499" s="779">
        <v>1391957.62</v>
      </c>
      <c r="V1499" s="741">
        <v>1500522</v>
      </c>
    </row>
    <row r="1500" spans="1:22" ht="15" x14ac:dyDescent="0.25">
      <c r="A1500" s="734">
        <v>1132</v>
      </c>
      <c r="B1500" s="735" t="s">
        <v>8</v>
      </c>
      <c r="C1500" s="736">
        <v>1831970.65</v>
      </c>
      <c r="D1500" s="736">
        <v>1698085.48</v>
      </c>
      <c r="E1500" s="749">
        <v>1767465.27</v>
      </c>
      <c r="F1500" s="736">
        <v>2002803.17</v>
      </c>
      <c r="G1500" s="757">
        <v>2541638.6</v>
      </c>
      <c r="H1500" s="736"/>
      <c r="I1500" s="736"/>
      <c r="J1500" s="736">
        <f t="shared" si="530"/>
        <v>2541638.6</v>
      </c>
      <c r="K1500" s="736"/>
      <c r="L1500" s="736">
        <v>450934.99</v>
      </c>
      <c r="M1500" s="736">
        <f t="shared" si="531"/>
        <v>2090703.61</v>
      </c>
      <c r="N1500" s="736"/>
      <c r="O1500" s="736"/>
      <c r="P1500" s="736">
        <f t="shared" si="532"/>
        <v>2090703.61</v>
      </c>
      <c r="Q1500" s="758">
        <v>2014401.88</v>
      </c>
      <c r="R1500" s="738">
        <v>1443588.16</v>
      </c>
      <c r="S1500" s="758">
        <v>2714191.48</v>
      </c>
      <c r="T1500" s="739">
        <v>1500521</v>
      </c>
      <c r="U1500" s="779">
        <v>2952544.76</v>
      </c>
      <c r="V1500" s="741">
        <v>1500522</v>
      </c>
    </row>
    <row r="1501" spans="1:22" ht="15" x14ac:dyDescent="0.25">
      <c r="A1501" s="734">
        <v>1212</v>
      </c>
      <c r="B1501" s="735" t="s">
        <v>53</v>
      </c>
      <c r="C1501" s="736">
        <v>98803.25</v>
      </c>
      <c r="D1501" s="736">
        <v>142779.6</v>
      </c>
      <c r="E1501" s="749">
        <v>202952</v>
      </c>
      <c r="F1501" s="736">
        <v>212492.49</v>
      </c>
      <c r="G1501" s="757">
        <v>474087.6</v>
      </c>
      <c r="H1501" s="736"/>
      <c r="I1501" s="736"/>
      <c r="J1501" s="736">
        <f t="shared" si="530"/>
        <v>474087.6</v>
      </c>
      <c r="K1501" s="736">
        <v>7162.2</v>
      </c>
      <c r="L1501" s="736"/>
      <c r="M1501" s="736">
        <f t="shared" si="531"/>
        <v>481249.8</v>
      </c>
      <c r="N1501" s="736"/>
      <c r="O1501" s="736"/>
      <c r="P1501" s="736">
        <f t="shared" si="532"/>
        <v>481249.8</v>
      </c>
      <c r="Q1501" s="758">
        <v>376042.56</v>
      </c>
      <c r="R1501" s="738">
        <v>189177.43</v>
      </c>
      <c r="S1501" s="758">
        <v>427651.2</v>
      </c>
      <c r="T1501" s="739">
        <v>1500521</v>
      </c>
      <c r="U1501" s="779">
        <v>248137.88</v>
      </c>
      <c r="V1501" s="741">
        <v>1500522</v>
      </c>
    </row>
    <row r="1502" spans="1:22" ht="15" x14ac:dyDescent="0.25">
      <c r="A1502" s="734">
        <v>1221</v>
      </c>
      <c r="B1502" s="735" t="s">
        <v>232</v>
      </c>
      <c r="C1502" s="736">
        <v>49431.66</v>
      </c>
      <c r="D1502" s="736">
        <v>375000</v>
      </c>
      <c r="E1502" s="749">
        <v>252355</v>
      </c>
      <c r="F1502" s="736">
        <v>103615.66</v>
      </c>
      <c r="G1502" s="757">
        <v>252355</v>
      </c>
      <c r="H1502" s="736"/>
      <c r="I1502" s="736"/>
      <c r="J1502" s="736">
        <f t="shared" si="530"/>
        <v>252355</v>
      </c>
      <c r="K1502" s="736"/>
      <c r="L1502" s="736"/>
      <c r="M1502" s="736">
        <f t="shared" si="531"/>
        <v>252355</v>
      </c>
      <c r="N1502" s="736"/>
      <c r="O1502" s="736"/>
      <c r="P1502" s="736">
        <f t="shared" si="532"/>
        <v>252355</v>
      </c>
      <c r="Q1502" s="758">
        <v>252355</v>
      </c>
      <c r="R1502" s="738">
        <v>83316.23</v>
      </c>
      <c r="S1502" s="758">
        <v>252355</v>
      </c>
      <c r="T1502" s="739">
        <v>1500521</v>
      </c>
      <c r="U1502" s="779">
        <v>252355</v>
      </c>
      <c r="V1502" s="741">
        <v>1500522</v>
      </c>
    </row>
    <row r="1503" spans="1:22" ht="15" x14ac:dyDescent="0.25">
      <c r="A1503" s="734">
        <v>1321</v>
      </c>
      <c r="B1503" s="735" t="s">
        <v>9</v>
      </c>
      <c r="C1503" s="736">
        <v>119656.33</v>
      </c>
      <c r="D1503" s="736">
        <v>135846.44</v>
      </c>
      <c r="E1503" s="749">
        <v>111511.44</v>
      </c>
      <c r="F1503" s="736">
        <v>111511.44</v>
      </c>
      <c r="G1503" s="757">
        <v>137543.79999999999</v>
      </c>
      <c r="H1503" s="736"/>
      <c r="I1503" s="736"/>
      <c r="J1503" s="736">
        <f t="shared" si="530"/>
        <v>137543.79999999999</v>
      </c>
      <c r="K1503" s="736">
        <v>6189.65</v>
      </c>
      <c r="L1503" s="736"/>
      <c r="M1503" s="736">
        <f t="shared" si="531"/>
        <v>143733.44999999998</v>
      </c>
      <c r="N1503" s="736"/>
      <c r="O1503" s="736"/>
      <c r="P1503" s="736">
        <f t="shared" si="532"/>
        <v>143733.44999999998</v>
      </c>
      <c r="Q1503" s="758">
        <v>143733.45000000001</v>
      </c>
      <c r="R1503" s="738">
        <v>69514.42</v>
      </c>
      <c r="S1503" s="758">
        <v>216467.94</v>
      </c>
      <c r="T1503" s="739">
        <v>1500521</v>
      </c>
      <c r="U1503" s="779">
        <v>154292.03</v>
      </c>
      <c r="V1503" s="741">
        <v>1500522</v>
      </c>
    </row>
    <row r="1504" spans="1:22" ht="15" x14ac:dyDescent="0.25">
      <c r="A1504" s="734">
        <v>1323</v>
      </c>
      <c r="B1504" s="735" t="s">
        <v>11</v>
      </c>
      <c r="C1504" s="736">
        <v>475863.61</v>
      </c>
      <c r="D1504" s="736">
        <v>452086.15</v>
      </c>
      <c r="E1504" s="749">
        <v>452086.15</v>
      </c>
      <c r="F1504" s="736">
        <v>470416.26</v>
      </c>
      <c r="G1504" s="757">
        <v>490647.2</v>
      </c>
      <c r="H1504" s="736"/>
      <c r="I1504" s="736"/>
      <c r="J1504" s="736">
        <f t="shared" si="530"/>
        <v>490647.2</v>
      </c>
      <c r="K1504" s="736">
        <v>14041.38</v>
      </c>
      <c r="L1504" s="736"/>
      <c r="M1504" s="736">
        <f t="shared" si="531"/>
        <v>504688.58</v>
      </c>
      <c r="N1504" s="736"/>
      <c r="O1504" s="736"/>
      <c r="P1504" s="736">
        <f t="shared" si="532"/>
        <v>504688.58</v>
      </c>
      <c r="Q1504" s="758">
        <v>504688.58</v>
      </c>
      <c r="R1504" s="738">
        <v>374253.23</v>
      </c>
      <c r="S1504" s="758">
        <v>768595.8</v>
      </c>
      <c r="T1504" s="739">
        <v>1500521</v>
      </c>
      <c r="U1504" s="779">
        <v>518714.66</v>
      </c>
      <c r="V1504" s="741">
        <v>1500522</v>
      </c>
    </row>
    <row r="1505" spans="1:22" ht="15" x14ac:dyDescent="0.25">
      <c r="A1505" s="734">
        <v>1413</v>
      </c>
      <c r="B1505" s="735" t="s">
        <v>13</v>
      </c>
      <c r="C1505" s="736">
        <v>638045.6</v>
      </c>
      <c r="D1505" s="736">
        <v>605723.48</v>
      </c>
      <c r="E1505" s="749">
        <v>677180.92</v>
      </c>
      <c r="F1505" s="736">
        <v>749714.41</v>
      </c>
      <c r="G1505" s="757">
        <v>759380.8</v>
      </c>
      <c r="H1505" s="736"/>
      <c r="I1505" s="736"/>
      <c r="J1505" s="736">
        <f t="shared" si="530"/>
        <v>759380.8</v>
      </c>
      <c r="K1505" s="736">
        <v>25804.45</v>
      </c>
      <c r="L1505" s="736"/>
      <c r="M1505" s="736">
        <f t="shared" si="531"/>
        <v>785185.25</v>
      </c>
      <c r="N1505" s="736"/>
      <c r="O1505" s="736"/>
      <c r="P1505" s="736">
        <f t="shared" si="532"/>
        <v>785185.25</v>
      </c>
      <c r="Q1505" s="758">
        <v>785185.25</v>
      </c>
      <c r="R1505" s="738">
        <v>650478.15</v>
      </c>
      <c r="S1505" s="758">
        <v>1217748.3600000001</v>
      </c>
      <c r="T1505" s="739">
        <v>1500521</v>
      </c>
      <c r="U1505" s="779">
        <v>880122.56</v>
      </c>
      <c r="V1505" s="741">
        <v>1500522</v>
      </c>
    </row>
    <row r="1506" spans="1:22" ht="15" x14ac:dyDescent="0.25">
      <c r="A1506" s="734">
        <v>1421</v>
      </c>
      <c r="B1506" s="735" t="s">
        <v>15</v>
      </c>
      <c r="C1506" s="736">
        <v>218736.8</v>
      </c>
      <c r="D1506" s="736">
        <v>196744.88</v>
      </c>
      <c r="E1506" s="749">
        <v>193871.94</v>
      </c>
      <c r="F1506" s="736">
        <v>234891.26</v>
      </c>
      <c r="G1506" s="757">
        <v>230179</v>
      </c>
      <c r="H1506" s="736"/>
      <c r="I1506" s="736"/>
      <c r="J1506" s="736">
        <f t="shared" si="530"/>
        <v>230179</v>
      </c>
      <c r="K1506" s="736">
        <v>7765.33</v>
      </c>
      <c r="L1506" s="736"/>
      <c r="M1506" s="736">
        <f t="shared" si="531"/>
        <v>237944.33</v>
      </c>
      <c r="N1506" s="736"/>
      <c r="O1506" s="736"/>
      <c r="P1506" s="736">
        <f t="shared" si="532"/>
        <v>237944.33</v>
      </c>
      <c r="Q1506" s="758">
        <v>237944.33</v>
      </c>
      <c r="R1506" s="738">
        <v>176552.95</v>
      </c>
      <c r="S1506" s="758">
        <v>350738.16</v>
      </c>
      <c r="T1506" s="739">
        <v>1500521</v>
      </c>
      <c r="U1506" s="779">
        <v>322448.84999999998</v>
      </c>
      <c r="V1506" s="741">
        <v>1500522</v>
      </c>
    </row>
    <row r="1507" spans="1:22" ht="15" x14ac:dyDescent="0.25">
      <c r="A1507" s="734">
        <v>1431</v>
      </c>
      <c r="B1507" s="735" t="s">
        <v>16</v>
      </c>
      <c r="C1507" s="736">
        <v>239238.76</v>
      </c>
      <c r="D1507" s="736">
        <v>202647.36</v>
      </c>
      <c r="E1507" s="749">
        <v>203952.08</v>
      </c>
      <c r="F1507" s="736">
        <v>250503.9</v>
      </c>
      <c r="G1507" s="757">
        <v>237084.4</v>
      </c>
      <c r="H1507" s="736"/>
      <c r="I1507" s="736"/>
      <c r="J1507" s="736">
        <f t="shared" si="530"/>
        <v>237084.4</v>
      </c>
      <c r="K1507" s="736">
        <v>7949.89</v>
      </c>
      <c r="L1507" s="736"/>
      <c r="M1507" s="736">
        <f t="shared" si="531"/>
        <v>245034.29</v>
      </c>
      <c r="N1507" s="736"/>
      <c r="O1507" s="736"/>
      <c r="P1507" s="736">
        <f t="shared" si="532"/>
        <v>245034.29</v>
      </c>
      <c r="Q1507" s="758">
        <v>245034.29</v>
      </c>
      <c r="R1507" s="738">
        <v>182231.36</v>
      </c>
      <c r="S1507" s="758">
        <v>361260.24</v>
      </c>
      <c r="T1507" s="739">
        <v>1500521</v>
      </c>
      <c r="U1507" s="779">
        <v>342114.85</v>
      </c>
      <c r="V1507" s="741">
        <v>1500522</v>
      </c>
    </row>
    <row r="1508" spans="1:22" ht="15" x14ac:dyDescent="0.25">
      <c r="A1508" s="734">
        <v>1511</v>
      </c>
      <c r="B1508" s="735" t="s">
        <v>18</v>
      </c>
      <c r="C1508" s="736">
        <v>65560.3</v>
      </c>
      <c r="D1508" s="736">
        <v>64952.160000000003</v>
      </c>
      <c r="E1508" s="749">
        <v>60546.28</v>
      </c>
      <c r="F1508" s="736">
        <v>66952.67</v>
      </c>
      <c r="G1508" s="757">
        <v>68566.7</v>
      </c>
      <c r="H1508" s="736"/>
      <c r="I1508" s="736"/>
      <c r="J1508" s="736">
        <f t="shared" si="530"/>
        <v>68566.7</v>
      </c>
      <c r="K1508" s="736">
        <v>1977.71</v>
      </c>
      <c r="L1508" s="736"/>
      <c r="M1508" s="736">
        <f t="shared" si="531"/>
        <v>70544.41</v>
      </c>
      <c r="N1508" s="736"/>
      <c r="O1508" s="736"/>
      <c r="P1508" s="736">
        <f t="shared" si="532"/>
        <v>70544.41</v>
      </c>
      <c r="Q1508" s="758">
        <v>57396.19</v>
      </c>
      <c r="R1508" s="738">
        <v>50677.17</v>
      </c>
      <c r="S1508" s="758">
        <v>109309.2</v>
      </c>
      <c r="T1508" s="739">
        <v>1500521</v>
      </c>
      <c r="U1508" s="779">
        <v>69939.14</v>
      </c>
      <c r="V1508" s="741">
        <v>1500522</v>
      </c>
    </row>
    <row r="1509" spans="1:22" ht="15" x14ac:dyDescent="0.25">
      <c r="A1509" s="734">
        <v>1522</v>
      </c>
      <c r="B1509" s="735" t="s">
        <v>233</v>
      </c>
      <c r="C1509" s="736">
        <v>13683857.390000001</v>
      </c>
      <c r="D1509" s="736">
        <v>10000000</v>
      </c>
      <c r="E1509" s="749">
        <v>10750000</v>
      </c>
      <c r="F1509" s="736">
        <v>10334443.289999999</v>
      </c>
      <c r="G1509" s="757">
        <v>15000000</v>
      </c>
      <c r="H1509" s="736"/>
      <c r="I1509" s="736"/>
      <c r="J1509" s="736">
        <f t="shared" si="530"/>
        <v>15000000</v>
      </c>
      <c r="K1509" s="736"/>
      <c r="L1509" s="736"/>
      <c r="M1509" s="736">
        <f t="shared" si="531"/>
        <v>15000000</v>
      </c>
      <c r="N1509" s="736"/>
      <c r="O1509" s="736"/>
      <c r="P1509" s="736">
        <f t="shared" si="532"/>
        <v>15000000</v>
      </c>
      <c r="Q1509" s="758">
        <v>15000000</v>
      </c>
      <c r="R1509" s="738">
        <v>7074091.7000000002</v>
      </c>
      <c r="S1509" s="758">
        <v>15000000</v>
      </c>
      <c r="T1509" s="739">
        <v>1500521</v>
      </c>
      <c r="U1509" s="779">
        <v>13800000</v>
      </c>
      <c r="V1509" s="741">
        <v>1500522</v>
      </c>
    </row>
    <row r="1510" spans="1:22" ht="15" x14ac:dyDescent="0.25">
      <c r="A1510" s="734">
        <v>1541</v>
      </c>
      <c r="B1510" s="735" t="s">
        <v>19</v>
      </c>
      <c r="C1510" s="736">
        <v>205895.32</v>
      </c>
      <c r="D1510" s="736">
        <v>293849.40000000002</v>
      </c>
      <c r="E1510" s="749">
        <v>228723.16</v>
      </c>
      <c r="F1510" s="736">
        <v>238355.03</v>
      </c>
      <c r="G1510" s="757">
        <v>236526.7</v>
      </c>
      <c r="H1510" s="736"/>
      <c r="I1510" s="736"/>
      <c r="J1510" s="736">
        <f t="shared" si="530"/>
        <v>236526.7</v>
      </c>
      <c r="K1510" s="736">
        <v>21321.69</v>
      </c>
      <c r="L1510" s="736"/>
      <c r="M1510" s="736">
        <f t="shared" si="531"/>
        <v>257848.39</v>
      </c>
      <c r="N1510" s="736"/>
      <c r="O1510" s="736"/>
      <c r="P1510" s="736">
        <f t="shared" si="532"/>
        <v>257848.39</v>
      </c>
      <c r="Q1510" s="758">
        <v>218012.34</v>
      </c>
      <c r="R1510" s="738">
        <v>167180.10999999999</v>
      </c>
      <c r="S1510" s="758">
        <v>325177.32</v>
      </c>
      <c r="T1510" s="739">
        <v>1500521</v>
      </c>
      <c r="U1510" s="779">
        <v>313400.88</v>
      </c>
      <c r="V1510" s="741">
        <v>1500522</v>
      </c>
    </row>
    <row r="1511" spans="1:22" ht="15" x14ac:dyDescent="0.25">
      <c r="A1511" s="734">
        <v>1592</v>
      </c>
      <c r="B1511" s="735" t="s">
        <v>20</v>
      </c>
      <c r="C1511" s="736">
        <v>587279.77</v>
      </c>
      <c r="D1511" s="736">
        <v>649008.36</v>
      </c>
      <c r="E1511" s="749">
        <v>607739.36</v>
      </c>
      <c r="F1511" s="736">
        <v>675032.28</v>
      </c>
      <c r="G1511" s="757">
        <v>667372.19999999995</v>
      </c>
      <c r="H1511" s="736"/>
      <c r="I1511" s="736"/>
      <c r="J1511" s="736">
        <f t="shared" si="530"/>
        <v>667372.19999999995</v>
      </c>
      <c r="K1511" s="736">
        <v>3503.19</v>
      </c>
      <c r="L1511" s="736"/>
      <c r="M1511" s="736">
        <f t="shared" si="531"/>
        <v>670875.3899999999</v>
      </c>
      <c r="N1511" s="736"/>
      <c r="O1511" s="736"/>
      <c r="P1511" s="736">
        <f t="shared" si="532"/>
        <v>670875.3899999999</v>
      </c>
      <c r="Q1511" s="758">
        <v>773972.27</v>
      </c>
      <c r="R1511" s="738">
        <v>486415.71</v>
      </c>
      <c r="S1511" s="758">
        <v>1055953.08</v>
      </c>
      <c r="T1511" s="739">
        <v>1500521</v>
      </c>
      <c r="U1511" s="779">
        <v>815285.55</v>
      </c>
      <c r="V1511" s="741">
        <v>1500522</v>
      </c>
    </row>
    <row r="1512" spans="1:22" ht="15" x14ac:dyDescent="0.25">
      <c r="A1512" s="734">
        <v>2111</v>
      </c>
      <c r="B1512" s="735" t="s">
        <v>22</v>
      </c>
      <c r="C1512" s="736">
        <v>30354.66</v>
      </c>
      <c r="D1512" s="736">
        <v>27000</v>
      </c>
      <c r="E1512" s="749">
        <v>18900</v>
      </c>
      <c r="F1512" s="736">
        <v>17333.68</v>
      </c>
      <c r="G1512" s="759">
        <v>15000</v>
      </c>
      <c r="H1512" s="752"/>
      <c r="I1512" s="752"/>
      <c r="J1512" s="736">
        <f t="shared" si="530"/>
        <v>15000</v>
      </c>
      <c r="K1512" s="752"/>
      <c r="L1512" s="752"/>
      <c r="M1512" s="736">
        <f t="shared" si="531"/>
        <v>15000</v>
      </c>
      <c r="N1512" s="736"/>
      <c r="O1512" s="736"/>
      <c r="P1512" s="736">
        <f t="shared" si="532"/>
        <v>15000</v>
      </c>
      <c r="Q1512" s="760">
        <v>11714.45</v>
      </c>
      <c r="R1512" s="738">
        <v>8989.36</v>
      </c>
      <c r="S1512" s="760">
        <v>18000</v>
      </c>
      <c r="T1512" s="739">
        <v>1100121</v>
      </c>
      <c r="U1512" s="742">
        <v>18000</v>
      </c>
      <c r="V1512" s="741">
        <v>1100122</v>
      </c>
    </row>
    <row r="1513" spans="1:22" ht="15" x14ac:dyDescent="0.25">
      <c r="A1513" s="734">
        <v>2112</v>
      </c>
      <c r="B1513" s="735" t="s">
        <v>39</v>
      </c>
      <c r="C1513" s="736"/>
      <c r="D1513" s="736">
        <v>8530</v>
      </c>
      <c r="E1513" s="749">
        <v>8530</v>
      </c>
      <c r="F1513" s="736">
        <v>8530</v>
      </c>
      <c r="G1513" s="759">
        <v>9000</v>
      </c>
      <c r="H1513" s="752"/>
      <c r="I1513" s="752"/>
      <c r="J1513" s="736">
        <f t="shared" si="530"/>
        <v>9000</v>
      </c>
      <c r="K1513" s="752"/>
      <c r="L1513" s="752"/>
      <c r="M1513" s="736">
        <f t="shared" si="531"/>
        <v>9000</v>
      </c>
      <c r="N1513" s="736"/>
      <c r="O1513" s="736"/>
      <c r="P1513" s="736">
        <f t="shared" si="532"/>
        <v>9000</v>
      </c>
      <c r="Q1513" s="760">
        <v>9000</v>
      </c>
      <c r="R1513" s="738">
        <v>9000</v>
      </c>
      <c r="S1513" s="760">
        <v>10000</v>
      </c>
      <c r="T1513" s="739">
        <v>1100121</v>
      </c>
      <c r="U1513" s="742">
        <v>10000</v>
      </c>
      <c r="V1513" s="741">
        <v>1100122</v>
      </c>
    </row>
    <row r="1514" spans="1:22" ht="15" x14ac:dyDescent="0.25">
      <c r="A1514" s="734">
        <v>2121</v>
      </c>
      <c r="B1514" s="735" t="s">
        <v>24</v>
      </c>
      <c r="C1514" s="736">
        <v>3300</v>
      </c>
      <c r="D1514" s="736">
        <v>3498</v>
      </c>
      <c r="E1514" s="749">
        <v>2448.6</v>
      </c>
      <c r="F1514" s="736">
        <v>0</v>
      </c>
      <c r="G1514" s="759">
        <v>3500</v>
      </c>
      <c r="H1514" s="752"/>
      <c r="I1514" s="752"/>
      <c r="J1514" s="736">
        <f t="shared" si="530"/>
        <v>3500</v>
      </c>
      <c r="K1514" s="752"/>
      <c r="L1514" s="752"/>
      <c r="M1514" s="736">
        <f t="shared" si="531"/>
        <v>3500</v>
      </c>
      <c r="N1514" s="736"/>
      <c r="O1514" s="736">
        <v>3325</v>
      </c>
      <c r="P1514" s="736">
        <f t="shared" si="532"/>
        <v>175</v>
      </c>
      <c r="Q1514" s="760">
        <v>175</v>
      </c>
      <c r="R1514" s="738"/>
      <c r="S1514" s="760">
        <v>4000</v>
      </c>
      <c r="T1514" s="739">
        <v>1100121</v>
      </c>
      <c r="U1514" s="742">
        <v>4000</v>
      </c>
      <c r="V1514" s="741">
        <v>1100122</v>
      </c>
    </row>
    <row r="1515" spans="1:22" ht="15" x14ac:dyDescent="0.25">
      <c r="A1515" s="734">
        <v>2182</v>
      </c>
      <c r="B1515" s="735" t="s">
        <v>203</v>
      </c>
      <c r="C1515" s="736">
        <v>17754.060000000001</v>
      </c>
      <c r="D1515" s="736">
        <v>23320</v>
      </c>
      <c r="E1515" s="749">
        <v>23320</v>
      </c>
      <c r="F1515" s="736">
        <v>16240</v>
      </c>
      <c r="G1515" s="759">
        <v>20000</v>
      </c>
      <c r="H1515" s="752"/>
      <c r="I1515" s="752"/>
      <c r="J1515" s="736">
        <f t="shared" si="530"/>
        <v>20000</v>
      </c>
      <c r="K1515" s="752"/>
      <c r="L1515" s="752"/>
      <c r="M1515" s="736">
        <f t="shared" si="531"/>
        <v>20000</v>
      </c>
      <c r="N1515" s="736"/>
      <c r="O1515" s="736"/>
      <c r="P1515" s="736">
        <f t="shared" si="532"/>
        <v>20000</v>
      </c>
      <c r="Q1515" s="760">
        <v>20000</v>
      </c>
      <c r="R1515" s="738">
        <v>16437.2</v>
      </c>
      <c r="S1515" s="760">
        <v>25000</v>
      </c>
      <c r="T1515" s="739">
        <v>1100121</v>
      </c>
      <c r="U1515" s="742">
        <v>25000</v>
      </c>
      <c r="V1515" s="741">
        <v>1100122</v>
      </c>
    </row>
    <row r="1516" spans="1:22" ht="15" x14ac:dyDescent="0.25">
      <c r="A1516" s="734">
        <v>2212</v>
      </c>
      <c r="B1516" s="735" t="s">
        <v>40</v>
      </c>
      <c r="C1516" s="736">
        <v>31578</v>
      </c>
      <c r="D1516" s="736">
        <v>30000</v>
      </c>
      <c r="E1516" s="749">
        <v>15000</v>
      </c>
      <c r="F1516" s="736">
        <v>0</v>
      </c>
      <c r="G1516" s="759">
        <v>15000</v>
      </c>
      <c r="H1516" s="752"/>
      <c r="I1516" s="752"/>
      <c r="J1516" s="736">
        <f t="shared" si="530"/>
        <v>15000</v>
      </c>
      <c r="K1516" s="752"/>
      <c r="L1516" s="752"/>
      <c r="M1516" s="736">
        <f t="shared" si="531"/>
        <v>15000</v>
      </c>
      <c r="N1516" s="736"/>
      <c r="O1516" s="736"/>
      <c r="P1516" s="736">
        <f t="shared" si="532"/>
        <v>15000</v>
      </c>
      <c r="Q1516" s="760">
        <v>15000</v>
      </c>
      <c r="R1516" s="738"/>
      <c r="S1516" s="760">
        <v>15900</v>
      </c>
      <c r="T1516" s="739">
        <v>1100121</v>
      </c>
      <c r="U1516" s="746">
        <v>5000</v>
      </c>
      <c r="V1516" s="741">
        <v>1100122</v>
      </c>
    </row>
    <row r="1517" spans="1:22" ht="15" x14ac:dyDescent="0.2">
      <c r="A1517" s="739">
        <v>2491</v>
      </c>
      <c r="B1517" s="743" t="s">
        <v>41</v>
      </c>
      <c r="C1517" s="736">
        <v>498.81</v>
      </c>
      <c r="D1517" s="736"/>
      <c r="E1517" s="736"/>
      <c r="F1517" s="736"/>
      <c r="G1517" s="752"/>
      <c r="H1517" s="752"/>
      <c r="I1517" s="752"/>
      <c r="J1517" s="736">
        <f t="shared" si="530"/>
        <v>0</v>
      </c>
      <c r="K1517" s="752"/>
      <c r="L1517" s="752"/>
      <c r="M1517" s="736">
        <f t="shared" si="531"/>
        <v>0</v>
      </c>
      <c r="N1517" s="736"/>
      <c r="O1517" s="736"/>
      <c r="P1517" s="738">
        <f t="shared" si="532"/>
        <v>0</v>
      </c>
      <c r="Q1517" s="753"/>
      <c r="R1517" s="738"/>
      <c r="S1517" s="753"/>
      <c r="T1517" s="739"/>
      <c r="U1517" s="745"/>
      <c r="V1517" s="739"/>
    </row>
    <row r="1518" spans="1:22" ht="15" x14ac:dyDescent="0.2">
      <c r="A1518" s="739">
        <v>2531</v>
      </c>
      <c r="B1518" s="743" t="s">
        <v>145</v>
      </c>
      <c r="C1518" s="736">
        <v>8536.48</v>
      </c>
      <c r="D1518" s="736">
        <v>0</v>
      </c>
      <c r="E1518" s="749">
        <v>16436.04</v>
      </c>
      <c r="F1518" s="736">
        <v>16436.04</v>
      </c>
      <c r="G1518" s="752"/>
      <c r="H1518" s="752"/>
      <c r="I1518" s="752"/>
      <c r="J1518" s="736">
        <f t="shared" si="530"/>
        <v>0</v>
      </c>
      <c r="K1518" s="752"/>
      <c r="L1518" s="752"/>
      <c r="M1518" s="736">
        <f t="shared" si="531"/>
        <v>0</v>
      </c>
      <c r="N1518" s="736"/>
      <c r="O1518" s="736"/>
      <c r="P1518" s="738">
        <f t="shared" si="532"/>
        <v>0</v>
      </c>
      <c r="Q1518" s="753"/>
      <c r="R1518" s="738"/>
      <c r="S1518" s="753"/>
      <c r="T1518" s="739">
        <v>1100119</v>
      </c>
      <c r="U1518" s="745"/>
      <c r="V1518" s="739">
        <v>1100119</v>
      </c>
    </row>
    <row r="1519" spans="1:22" ht="15" x14ac:dyDescent="0.2">
      <c r="A1519" s="739">
        <v>2531</v>
      </c>
      <c r="B1519" s="743" t="s">
        <v>145</v>
      </c>
      <c r="C1519" s="736"/>
      <c r="D1519" s="736"/>
      <c r="E1519" s="749"/>
      <c r="F1519" s="736"/>
      <c r="G1519" s="752"/>
      <c r="H1519" s="752">
        <v>12909</v>
      </c>
      <c r="I1519" s="752"/>
      <c r="J1519" s="736">
        <f t="shared" si="530"/>
        <v>12909</v>
      </c>
      <c r="K1519" s="752"/>
      <c r="L1519" s="752"/>
      <c r="M1519" s="736">
        <f t="shared" si="531"/>
        <v>12909</v>
      </c>
      <c r="N1519" s="736"/>
      <c r="O1519" s="736"/>
      <c r="P1519" s="736">
        <f t="shared" si="532"/>
        <v>12909</v>
      </c>
      <c r="Q1519" s="753">
        <v>12909</v>
      </c>
      <c r="R1519" s="738">
        <v>12909</v>
      </c>
      <c r="S1519" s="753"/>
      <c r="T1519" s="739">
        <v>1100120</v>
      </c>
      <c r="U1519" s="745"/>
      <c r="V1519" s="739">
        <v>1100120</v>
      </c>
    </row>
    <row r="1520" spans="1:22" ht="15" x14ac:dyDescent="0.25">
      <c r="A1520" s="734">
        <v>2531</v>
      </c>
      <c r="B1520" s="735" t="s">
        <v>145</v>
      </c>
      <c r="C1520" s="736"/>
      <c r="D1520" s="736">
        <v>25000</v>
      </c>
      <c r="E1520" s="749">
        <v>25000</v>
      </c>
      <c r="F1520" s="736">
        <v>12027.05</v>
      </c>
      <c r="G1520" s="759">
        <v>35000</v>
      </c>
      <c r="H1520" s="752"/>
      <c r="I1520" s="752"/>
      <c r="J1520" s="736">
        <f t="shared" si="530"/>
        <v>35000</v>
      </c>
      <c r="K1520" s="752">
        <v>48000</v>
      </c>
      <c r="L1520" s="752"/>
      <c r="M1520" s="736">
        <f t="shared" si="531"/>
        <v>83000</v>
      </c>
      <c r="N1520" s="736"/>
      <c r="O1520" s="736"/>
      <c r="P1520" s="736">
        <f t="shared" si="532"/>
        <v>83000</v>
      </c>
      <c r="Q1520" s="760">
        <v>83000</v>
      </c>
      <c r="R1520" s="738">
        <v>82850.3</v>
      </c>
      <c r="S1520" s="760">
        <v>50000</v>
      </c>
      <c r="T1520" s="739">
        <v>1100121</v>
      </c>
      <c r="U1520" s="742">
        <v>35000</v>
      </c>
      <c r="V1520" s="741">
        <v>1100122</v>
      </c>
    </row>
    <row r="1521" spans="1:22" ht="15" x14ac:dyDescent="0.25">
      <c r="A1521" s="734">
        <v>2711</v>
      </c>
      <c r="B1521" s="735" t="s">
        <v>27</v>
      </c>
      <c r="C1521" s="736">
        <v>2941970</v>
      </c>
      <c r="D1521" s="736">
        <v>3350000</v>
      </c>
      <c r="E1521" s="749">
        <v>3350000</v>
      </c>
      <c r="F1521" s="736">
        <v>3349999.97</v>
      </c>
      <c r="G1521" s="759">
        <v>4500000</v>
      </c>
      <c r="H1521" s="752"/>
      <c r="I1521" s="752"/>
      <c r="J1521" s="736">
        <f t="shared" si="530"/>
        <v>4500000</v>
      </c>
      <c r="K1521" s="752"/>
      <c r="L1521" s="752"/>
      <c r="M1521" s="736">
        <f t="shared" si="531"/>
        <v>4500000</v>
      </c>
      <c r="N1521" s="736"/>
      <c r="O1521" s="736">
        <v>145263.95000000001</v>
      </c>
      <c r="P1521" s="736">
        <f t="shared" si="532"/>
        <v>4354736.05</v>
      </c>
      <c r="Q1521" s="760">
        <v>4354736.05</v>
      </c>
      <c r="R1521" s="738">
        <v>4354735.9400000004</v>
      </c>
      <c r="S1521" s="760">
        <v>4500000</v>
      </c>
      <c r="T1521" s="739">
        <v>1100121</v>
      </c>
      <c r="U1521" s="742">
        <v>4500000</v>
      </c>
      <c r="V1521" s="741">
        <v>1100122</v>
      </c>
    </row>
    <row r="1522" spans="1:22" ht="15" x14ac:dyDescent="0.25">
      <c r="A1522" s="734">
        <v>3331</v>
      </c>
      <c r="B1522" s="735" t="s">
        <v>171</v>
      </c>
      <c r="C1522" s="736">
        <v>224460</v>
      </c>
      <c r="D1522" s="736">
        <v>431420</v>
      </c>
      <c r="E1522" s="749">
        <v>431420</v>
      </c>
      <c r="F1522" s="736">
        <v>532472.04</v>
      </c>
      <c r="G1522" s="759">
        <v>240000</v>
      </c>
      <c r="H1522" s="752"/>
      <c r="I1522" s="752"/>
      <c r="J1522" s="736">
        <f t="shared" si="530"/>
        <v>240000</v>
      </c>
      <c r="K1522" s="752"/>
      <c r="L1522" s="752"/>
      <c r="M1522" s="736">
        <f t="shared" si="531"/>
        <v>240000</v>
      </c>
      <c r="N1522" s="736"/>
      <c r="O1522" s="736">
        <v>31200</v>
      </c>
      <c r="P1522" s="736">
        <f t="shared" si="532"/>
        <v>208800</v>
      </c>
      <c r="Q1522" s="760">
        <v>208800</v>
      </c>
      <c r="R1522" s="738">
        <v>50112</v>
      </c>
      <c r="S1522" s="760">
        <v>276000</v>
      </c>
      <c r="T1522" s="739">
        <v>1100121</v>
      </c>
      <c r="U1522" s="742">
        <v>276000</v>
      </c>
      <c r="V1522" s="741">
        <v>1100122</v>
      </c>
    </row>
    <row r="1523" spans="1:22" ht="15" x14ac:dyDescent="0.25">
      <c r="A1523" s="734">
        <v>3332</v>
      </c>
      <c r="B1523" s="735" t="s">
        <v>63</v>
      </c>
      <c r="C1523" s="736">
        <v>27712.400000000001</v>
      </c>
      <c r="D1523" s="736">
        <v>232000</v>
      </c>
      <c r="E1523" s="749">
        <v>232000</v>
      </c>
      <c r="F1523" s="736">
        <v>32805.629999999997</v>
      </c>
      <c r="G1523" s="759">
        <v>232000</v>
      </c>
      <c r="H1523" s="752"/>
      <c r="I1523" s="752"/>
      <c r="J1523" s="736">
        <f t="shared" si="530"/>
        <v>232000</v>
      </c>
      <c r="K1523" s="752"/>
      <c r="L1523" s="752"/>
      <c r="M1523" s="736">
        <f t="shared" si="531"/>
        <v>232000</v>
      </c>
      <c r="N1523" s="736">
        <v>154525</v>
      </c>
      <c r="O1523" s="736"/>
      <c r="P1523" s="736">
        <f t="shared" si="532"/>
        <v>386525</v>
      </c>
      <c r="Q1523" s="760">
        <v>404525</v>
      </c>
      <c r="R1523" s="738">
        <v>403637.67</v>
      </c>
      <c r="S1523" s="760">
        <v>266800</v>
      </c>
      <c r="T1523" s="739">
        <v>1100121</v>
      </c>
      <c r="U1523" s="742">
        <v>266800</v>
      </c>
      <c r="V1523" s="741">
        <v>1100122</v>
      </c>
    </row>
    <row r="1524" spans="1:22" ht="15" x14ac:dyDescent="0.25">
      <c r="A1524" s="734">
        <v>3341</v>
      </c>
      <c r="B1524" s="735" t="s">
        <v>219</v>
      </c>
      <c r="C1524" s="736">
        <v>307074.59999999998</v>
      </c>
      <c r="D1524" s="736">
        <v>350000</v>
      </c>
      <c r="E1524" s="749">
        <v>350000</v>
      </c>
      <c r="F1524" s="736">
        <v>333527</v>
      </c>
      <c r="G1524" s="759">
        <v>400000</v>
      </c>
      <c r="H1524" s="752"/>
      <c r="I1524" s="752"/>
      <c r="J1524" s="736">
        <f t="shared" si="530"/>
        <v>400000</v>
      </c>
      <c r="K1524" s="752"/>
      <c r="L1524" s="752"/>
      <c r="M1524" s="736">
        <f t="shared" si="531"/>
        <v>400000</v>
      </c>
      <c r="N1524" s="736"/>
      <c r="O1524" s="736"/>
      <c r="P1524" s="736">
        <f t="shared" si="532"/>
        <v>400000</v>
      </c>
      <c r="Q1524" s="760">
        <v>400000</v>
      </c>
      <c r="R1524" s="738">
        <v>362896.52</v>
      </c>
      <c r="S1524" s="760">
        <v>424000</v>
      </c>
      <c r="T1524" s="739">
        <v>1100121</v>
      </c>
      <c r="U1524" s="742">
        <v>400000</v>
      </c>
      <c r="V1524" s="741">
        <v>1100122</v>
      </c>
    </row>
    <row r="1525" spans="1:22" ht="30" x14ac:dyDescent="0.25">
      <c r="A1525" s="734">
        <v>3361</v>
      </c>
      <c r="B1525" s="735" t="s">
        <v>29</v>
      </c>
      <c r="C1525" s="736"/>
      <c r="D1525" s="736">
        <v>15000</v>
      </c>
      <c r="E1525" s="749">
        <v>15000</v>
      </c>
      <c r="F1525" s="736">
        <v>0</v>
      </c>
      <c r="G1525" s="759">
        <v>15000</v>
      </c>
      <c r="H1525" s="752"/>
      <c r="I1525" s="752"/>
      <c r="J1525" s="736">
        <f t="shared" si="530"/>
        <v>15000</v>
      </c>
      <c r="K1525" s="752"/>
      <c r="L1525" s="752"/>
      <c r="M1525" s="736">
        <f t="shared" si="531"/>
        <v>15000</v>
      </c>
      <c r="N1525" s="736"/>
      <c r="O1525" s="736"/>
      <c r="P1525" s="736">
        <f t="shared" si="532"/>
        <v>15000</v>
      </c>
      <c r="Q1525" s="760">
        <v>15000</v>
      </c>
      <c r="R1525" s="738"/>
      <c r="S1525" s="760">
        <v>15105</v>
      </c>
      <c r="T1525" s="739">
        <v>1100121</v>
      </c>
      <c r="U1525" s="742">
        <v>15105</v>
      </c>
      <c r="V1525" s="741">
        <v>1100122</v>
      </c>
    </row>
    <row r="1526" spans="1:22" ht="15" x14ac:dyDescent="0.25">
      <c r="A1526" s="734">
        <v>3391</v>
      </c>
      <c r="B1526" s="735" t="s">
        <v>118</v>
      </c>
      <c r="C1526" s="736"/>
      <c r="D1526" s="736">
        <v>100000</v>
      </c>
      <c r="E1526" s="749">
        <v>100000</v>
      </c>
      <c r="F1526" s="736">
        <v>0</v>
      </c>
      <c r="G1526" s="759">
        <v>120000</v>
      </c>
      <c r="H1526" s="752"/>
      <c r="I1526" s="752"/>
      <c r="J1526" s="736">
        <f t="shared" si="530"/>
        <v>120000</v>
      </c>
      <c r="K1526" s="752"/>
      <c r="L1526" s="752"/>
      <c r="M1526" s="736">
        <f t="shared" si="531"/>
        <v>120000</v>
      </c>
      <c r="N1526" s="736"/>
      <c r="O1526" s="736">
        <v>120000</v>
      </c>
      <c r="P1526" s="738">
        <f t="shared" si="532"/>
        <v>0</v>
      </c>
      <c r="R1526" s="738"/>
      <c r="S1526" s="738">
        <v>139200</v>
      </c>
      <c r="T1526" s="739">
        <v>1100121</v>
      </c>
      <c r="U1526" s="746">
        <f>120000+556800</f>
        <v>676800</v>
      </c>
      <c r="V1526" s="741">
        <v>1100122</v>
      </c>
    </row>
    <row r="1527" spans="1:22" ht="15" x14ac:dyDescent="0.25">
      <c r="A1527" s="734">
        <v>3821</v>
      </c>
      <c r="B1527" s="735" t="s">
        <v>31</v>
      </c>
      <c r="C1527" s="736">
        <v>34460</v>
      </c>
      <c r="D1527" s="736">
        <v>45000</v>
      </c>
      <c r="E1527" s="749">
        <v>45000</v>
      </c>
      <c r="F1527" s="736">
        <v>21160</v>
      </c>
      <c r="G1527" s="759">
        <v>45000</v>
      </c>
      <c r="H1527" s="752"/>
      <c r="I1527" s="752"/>
      <c r="J1527" s="736">
        <f t="shared" si="530"/>
        <v>45000</v>
      </c>
      <c r="K1527" s="752"/>
      <c r="L1527" s="752"/>
      <c r="M1527" s="736">
        <f t="shared" si="531"/>
        <v>45000</v>
      </c>
      <c r="N1527" s="736"/>
      <c r="O1527" s="736"/>
      <c r="P1527" s="736">
        <f t="shared" si="532"/>
        <v>45000</v>
      </c>
      <c r="Q1527" s="760">
        <v>27000</v>
      </c>
      <c r="R1527" s="738"/>
      <c r="S1527" s="760">
        <v>52200</v>
      </c>
      <c r="T1527" s="739">
        <v>1100121</v>
      </c>
      <c r="U1527" s="740">
        <v>45000</v>
      </c>
      <c r="V1527" s="741">
        <v>1100122</v>
      </c>
    </row>
    <row r="1528" spans="1:22" ht="15" x14ac:dyDescent="0.25">
      <c r="A1528" s="734">
        <v>3951</v>
      </c>
      <c r="B1528" s="735" t="s">
        <v>198</v>
      </c>
      <c r="C1528" s="736">
        <v>82776.800000000003</v>
      </c>
      <c r="D1528" s="736">
        <v>200000</v>
      </c>
      <c r="E1528" s="749">
        <v>200000</v>
      </c>
      <c r="F1528" s="736">
        <v>65739.89</v>
      </c>
      <c r="G1528" s="759">
        <v>200000</v>
      </c>
      <c r="H1528" s="752"/>
      <c r="I1528" s="752"/>
      <c r="J1528" s="736">
        <f t="shared" si="530"/>
        <v>200000</v>
      </c>
      <c r="K1528" s="752"/>
      <c r="L1528" s="752"/>
      <c r="M1528" s="736">
        <f t="shared" si="531"/>
        <v>200000</v>
      </c>
      <c r="N1528" s="736"/>
      <c r="O1528" s="736"/>
      <c r="P1528" s="736">
        <f t="shared" si="532"/>
        <v>200000</v>
      </c>
      <c r="Q1528" s="760">
        <v>200000</v>
      </c>
      <c r="R1528" s="738">
        <v>127204.64</v>
      </c>
      <c r="S1528" s="760">
        <v>211488.2</v>
      </c>
      <c r="T1528" s="739">
        <v>1100121</v>
      </c>
      <c r="U1528" s="740">
        <v>200000</v>
      </c>
      <c r="V1528" s="741">
        <v>1100122</v>
      </c>
    </row>
    <row r="1529" spans="1:22" ht="15" x14ac:dyDescent="0.25">
      <c r="A1529" s="739">
        <v>3981</v>
      </c>
      <c r="B1529" s="743" t="s">
        <v>234</v>
      </c>
      <c r="C1529" s="736">
        <v>9507520</v>
      </c>
      <c r="D1529" s="736">
        <v>10867858</v>
      </c>
      <c r="E1529" s="749">
        <v>10867858</v>
      </c>
      <c r="F1529" s="736">
        <v>1719933</v>
      </c>
      <c r="G1529" s="759">
        <v>11954643.800000001</v>
      </c>
      <c r="H1529" s="736"/>
      <c r="I1529" s="736"/>
      <c r="J1529" s="736">
        <f t="shared" si="530"/>
        <v>11954643.800000001</v>
      </c>
      <c r="K1529" s="736"/>
      <c r="L1529" s="759">
        <v>11954643.800000001</v>
      </c>
      <c r="M1529" s="736">
        <f t="shared" si="531"/>
        <v>0</v>
      </c>
      <c r="N1529" s="736"/>
      <c r="O1529" s="736"/>
      <c r="P1529" s="738">
        <f t="shared" si="532"/>
        <v>0</v>
      </c>
      <c r="Q1529" s="760">
        <v>6924643.7999999998</v>
      </c>
      <c r="R1529" s="738"/>
      <c r="S1529" s="760">
        <v>12552375.99</v>
      </c>
      <c r="T1529" s="739">
        <v>1100121</v>
      </c>
      <c r="U1529" s="750">
        <v>0</v>
      </c>
      <c r="V1529" s="739">
        <v>1100122</v>
      </c>
    </row>
    <row r="1530" spans="1:22" ht="15" x14ac:dyDescent="0.2">
      <c r="A1530" s="739">
        <v>3981</v>
      </c>
      <c r="B1530" s="743" t="s">
        <v>234</v>
      </c>
      <c r="C1530" s="736"/>
      <c r="D1530" s="736">
        <v>0</v>
      </c>
      <c r="E1530" s="749"/>
      <c r="F1530" s="736">
        <v>9687405</v>
      </c>
      <c r="G1530" s="752"/>
      <c r="H1530" s="752"/>
      <c r="I1530" s="752"/>
      <c r="J1530" s="736">
        <f t="shared" si="530"/>
        <v>0</v>
      </c>
      <c r="K1530" s="752"/>
      <c r="L1530" s="752"/>
      <c r="M1530" s="736">
        <f t="shared" si="531"/>
        <v>0</v>
      </c>
      <c r="N1530" s="736"/>
      <c r="O1530" s="736"/>
      <c r="P1530" s="738">
        <f t="shared" si="532"/>
        <v>0</v>
      </c>
      <c r="Q1530" s="753"/>
      <c r="R1530" s="738"/>
      <c r="S1530" s="753"/>
      <c r="T1530" s="739">
        <v>1500521</v>
      </c>
      <c r="U1530" s="745"/>
      <c r="V1530" s="739">
        <v>1500522</v>
      </c>
    </row>
    <row r="1531" spans="1:22" ht="15" x14ac:dyDescent="0.25">
      <c r="A1531" s="734">
        <v>3981</v>
      </c>
      <c r="B1531" s="735" t="s">
        <v>234</v>
      </c>
      <c r="C1531" s="736"/>
      <c r="D1531" s="736"/>
      <c r="E1531" s="749"/>
      <c r="F1531" s="736"/>
      <c r="G1531" s="752"/>
      <c r="H1531" s="752"/>
      <c r="I1531" s="752"/>
      <c r="J1531" s="736"/>
      <c r="K1531" s="759">
        <v>11954643.800000001</v>
      </c>
      <c r="L1531" s="752">
        <v>5030000</v>
      </c>
      <c r="M1531" s="736">
        <f t="shared" si="531"/>
        <v>6924643.8000000007</v>
      </c>
      <c r="N1531" s="736"/>
      <c r="O1531" s="736"/>
      <c r="P1531" s="736">
        <f t="shared" si="532"/>
        <v>6924643.8000000007</v>
      </c>
      <c r="Q1531" s="753"/>
      <c r="R1531" s="738">
        <v>5398246.6799999997</v>
      </c>
      <c r="S1531" s="753"/>
      <c r="T1531" s="739">
        <v>2510221</v>
      </c>
      <c r="U1531" s="740">
        <v>9149681</v>
      </c>
      <c r="V1531" s="741">
        <v>2510222</v>
      </c>
    </row>
    <row r="1532" spans="1:22" ht="15" x14ac:dyDescent="0.25">
      <c r="A1532" s="734">
        <v>4391</v>
      </c>
      <c r="B1532" s="735" t="s">
        <v>235</v>
      </c>
      <c r="C1532" s="736">
        <v>5555075.1699999999</v>
      </c>
      <c r="D1532" s="736">
        <v>9000000</v>
      </c>
      <c r="E1532" s="749">
        <v>7114262.79</v>
      </c>
      <c r="F1532" s="736">
        <v>5940960.3799999999</v>
      </c>
      <c r="G1532" s="759">
        <v>7576689.8700000001</v>
      </c>
      <c r="H1532" s="752"/>
      <c r="I1532" s="752"/>
      <c r="J1532" s="736">
        <f t="shared" ref="J1532:J1534" si="533">G1532+H1532-I1532</f>
        <v>7576689.8700000001</v>
      </c>
      <c r="K1532" s="752"/>
      <c r="L1532" s="752"/>
      <c r="M1532" s="736">
        <f t="shared" si="531"/>
        <v>7576689.8700000001</v>
      </c>
      <c r="N1532" s="736"/>
      <c r="O1532" s="736"/>
      <c r="P1532" s="736">
        <f t="shared" si="532"/>
        <v>7576689.8700000001</v>
      </c>
      <c r="Q1532" s="760">
        <v>7576689.8700000001</v>
      </c>
      <c r="R1532" s="738">
        <v>5062050.34</v>
      </c>
      <c r="S1532" s="760">
        <v>8334358.8600000003</v>
      </c>
      <c r="T1532" s="739">
        <v>1100121</v>
      </c>
      <c r="U1532" s="742">
        <v>7955524</v>
      </c>
      <c r="V1532" s="741">
        <v>1100122</v>
      </c>
    </row>
    <row r="1533" spans="1:22" ht="15" x14ac:dyDescent="0.25">
      <c r="A1533" s="734">
        <v>5111</v>
      </c>
      <c r="B1533" s="735" t="s">
        <v>35</v>
      </c>
      <c r="C1533" s="736">
        <v>5998.74</v>
      </c>
      <c r="D1533" s="736">
        <v>15000</v>
      </c>
      <c r="E1533" s="749">
        <v>15000</v>
      </c>
      <c r="F1533" s="736">
        <v>12200</v>
      </c>
      <c r="G1533" s="759">
        <v>29000</v>
      </c>
      <c r="H1533" s="752"/>
      <c r="I1533" s="752"/>
      <c r="J1533" s="736">
        <f t="shared" si="533"/>
        <v>29000</v>
      </c>
      <c r="K1533" s="752"/>
      <c r="L1533" s="752"/>
      <c r="M1533" s="736">
        <f t="shared" si="531"/>
        <v>29000</v>
      </c>
      <c r="N1533" s="736"/>
      <c r="O1533" s="736"/>
      <c r="P1533" s="736">
        <f t="shared" si="532"/>
        <v>29000</v>
      </c>
      <c r="Q1533" s="760">
        <v>29000</v>
      </c>
      <c r="R1533" s="738">
        <v>27600</v>
      </c>
      <c r="S1533" s="760">
        <v>30000</v>
      </c>
      <c r="T1533" s="739">
        <v>1500521</v>
      </c>
      <c r="U1533" s="742">
        <v>30000</v>
      </c>
      <c r="V1533" s="741">
        <v>1100122</v>
      </c>
    </row>
    <row r="1534" spans="1:22" ht="15" x14ac:dyDescent="0.25">
      <c r="A1534" s="734">
        <v>5321</v>
      </c>
      <c r="B1534" s="735" t="s">
        <v>236</v>
      </c>
      <c r="C1534" s="736">
        <v>14503.03</v>
      </c>
      <c r="D1534" s="736">
        <v>13103</v>
      </c>
      <c r="E1534" s="749">
        <v>13103</v>
      </c>
      <c r="F1534" s="736">
        <v>0</v>
      </c>
      <c r="G1534" s="759">
        <v>15000</v>
      </c>
      <c r="H1534" s="752"/>
      <c r="I1534" s="752"/>
      <c r="J1534" s="736">
        <f t="shared" si="533"/>
        <v>15000</v>
      </c>
      <c r="K1534" s="752"/>
      <c r="L1534" s="752"/>
      <c r="M1534" s="736">
        <f t="shared" si="531"/>
        <v>15000</v>
      </c>
      <c r="N1534" s="736"/>
      <c r="O1534" s="736"/>
      <c r="P1534" s="736">
        <f t="shared" si="532"/>
        <v>15000</v>
      </c>
      <c r="Q1534" s="760">
        <v>15000</v>
      </c>
      <c r="R1534" s="738"/>
      <c r="S1534" s="760">
        <v>10000</v>
      </c>
      <c r="T1534" s="739">
        <v>1500521</v>
      </c>
      <c r="U1534" s="742">
        <v>10000</v>
      </c>
      <c r="V1534" s="741">
        <v>1100122</v>
      </c>
    </row>
    <row r="1535" spans="1:22" ht="15" x14ac:dyDescent="0.2">
      <c r="A1535" s="724" t="s">
        <v>237</v>
      </c>
      <c r="B1535" s="725" t="s">
        <v>238</v>
      </c>
      <c r="C1535" s="721">
        <f t="shared" ref="C1535:S1535" si="534">SUM(C1536)</f>
        <v>52513722.5</v>
      </c>
      <c r="D1535" s="721">
        <f t="shared" si="534"/>
        <v>62146965.560000002</v>
      </c>
      <c r="E1535" s="721">
        <f t="shared" si="534"/>
        <v>62684500.560000002</v>
      </c>
      <c r="F1535" s="721">
        <f t="shared" si="534"/>
        <v>63851035.399999999</v>
      </c>
      <c r="G1535" s="721">
        <f t="shared" si="534"/>
        <v>70825136.839999989</v>
      </c>
      <c r="H1535" s="721">
        <f t="shared" si="534"/>
        <v>0</v>
      </c>
      <c r="I1535" s="721">
        <f t="shared" si="534"/>
        <v>0</v>
      </c>
      <c r="J1535" s="721">
        <f t="shared" si="534"/>
        <v>70825136.839999989</v>
      </c>
      <c r="K1535" s="721">
        <f t="shared" si="534"/>
        <v>0</v>
      </c>
      <c r="L1535" s="721">
        <f t="shared" si="534"/>
        <v>0</v>
      </c>
      <c r="M1535" s="721">
        <f t="shared" si="534"/>
        <v>70825136.839999989</v>
      </c>
      <c r="N1535" s="721">
        <f t="shared" si="534"/>
        <v>0</v>
      </c>
      <c r="O1535" s="721">
        <f t="shared" si="534"/>
        <v>0</v>
      </c>
      <c r="P1535" s="721">
        <f t="shared" si="534"/>
        <v>70825136.839999989</v>
      </c>
      <c r="Q1535" s="756">
        <f t="shared" si="534"/>
        <v>70825136.839999989</v>
      </c>
      <c r="R1535" s="756">
        <f>SUM(R1536)</f>
        <v>46709144.920000002</v>
      </c>
      <c r="S1535" s="756">
        <f t="shared" si="534"/>
        <v>0</v>
      </c>
      <c r="T1535" s="724"/>
      <c r="U1535" s="726">
        <f t="shared" ref="U1535" si="535">SUM(U1536)</f>
        <v>72965114.700000003</v>
      </c>
      <c r="V1535" s="727"/>
    </row>
    <row r="1536" spans="1:22" ht="15" x14ac:dyDescent="0.2">
      <c r="A1536" s="728" t="s">
        <v>239</v>
      </c>
      <c r="B1536" s="729" t="s">
        <v>238</v>
      </c>
      <c r="C1536" s="730">
        <f t="shared" ref="C1536:S1536" si="536">SUM(C1537:C1539)</f>
        <v>52513722.5</v>
      </c>
      <c r="D1536" s="730">
        <f t="shared" si="536"/>
        <v>62146965.560000002</v>
      </c>
      <c r="E1536" s="730">
        <f t="shared" si="536"/>
        <v>62684500.560000002</v>
      </c>
      <c r="F1536" s="730">
        <f t="shared" si="536"/>
        <v>63851035.399999999</v>
      </c>
      <c r="G1536" s="730">
        <f t="shared" si="536"/>
        <v>70825136.839999989</v>
      </c>
      <c r="H1536" s="730">
        <f t="shared" si="536"/>
        <v>0</v>
      </c>
      <c r="I1536" s="730">
        <f t="shared" si="536"/>
        <v>0</v>
      </c>
      <c r="J1536" s="730">
        <f t="shared" si="536"/>
        <v>70825136.839999989</v>
      </c>
      <c r="K1536" s="730">
        <f t="shared" si="536"/>
        <v>0</v>
      </c>
      <c r="L1536" s="730">
        <f t="shared" si="536"/>
        <v>0</v>
      </c>
      <c r="M1536" s="730">
        <f t="shared" si="536"/>
        <v>70825136.839999989</v>
      </c>
      <c r="N1536" s="730">
        <f t="shared" si="536"/>
        <v>0</v>
      </c>
      <c r="O1536" s="730">
        <f t="shared" si="536"/>
        <v>0</v>
      </c>
      <c r="P1536" s="730">
        <f t="shared" si="536"/>
        <v>70825136.839999989</v>
      </c>
      <c r="Q1536" s="748">
        <f t="shared" si="536"/>
        <v>70825136.839999989</v>
      </c>
      <c r="R1536" s="748">
        <f>SUM(R1537:R1539)</f>
        <v>46709144.920000002</v>
      </c>
      <c r="S1536" s="748">
        <f t="shared" si="536"/>
        <v>0</v>
      </c>
      <c r="T1536" s="731"/>
      <c r="U1536" s="732">
        <f>SUM(U1537:U1539)</f>
        <v>72965114.700000003</v>
      </c>
      <c r="V1536" s="733"/>
    </row>
    <row r="1537" spans="1:22" ht="15" x14ac:dyDescent="0.2">
      <c r="A1537" s="739">
        <v>4511</v>
      </c>
      <c r="B1537" s="743" t="s">
        <v>240</v>
      </c>
      <c r="C1537" s="736">
        <v>52513722.5</v>
      </c>
      <c r="D1537" s="736">
        <v>0</v>
      </c>
      <c r="E1537" s="749">
        <v>18468099.52</v>
      </c>
      <c r="F1537" s="736">
        <v>0</v>
      </c>
      <c r="G1537" s="736"/>
      <c r="H1537" s="736"/>
      <c r="I1537" s="736"/>
      <c r="J1537" s="736">
        <f t="shared" ref="J1537:J1539" si="537">G1537+H1537-I1537</f>
        <v>0</v>
      </c>
      <c r="K1537" s="736"/>
      <c r="L1537" s="736"/>
      <c r="M1537" s="736">
        <f t="shared" ref="M1537:M1539" si="538">J1537+K1537-L1537</f>
        <v>0</v>
      </c>
      <c r="N1537" s="736"/>
      <c r="O1537" s="736"/>
      <c r="P1537" s="738">
        <f t="shared" ref="P1537:P1539" si="539">M1537+N1537-O1537</f>
        <v>0</v>
      </c>
      <c r="Q1537" s="738"/>
      <c r="R1537" s="738"/>
      <c r="S1537" s="738"/>
      <c r="T1537" s="739">
        <v>1100119</v>
      </c>
      <c r="U1537" s="744"/>
      <c r="V1537" s="739">
        <v>1100119</v>
      </c>
    </row>
    <row r="1538" spans="1:22" ht="15" x14ac:dyDescent="0.2">
      <c r="A1538" s="739">
        <v>4511</v>
      </c>
      <c r="B1538" s="743" t="s">
        <v>240</v>
      </c>
      <c r="C1538" s="736"/>
      <c r="D1538" s="736">
        <v>0</v>
      </c>
      <c r="E1538" s="749">
        <v>44216401.039999999</v>
      </c>
      <c r="F1538" s="736">
        <v>0</v>
      </c>
      <c r="G1538" s="752">
        <f>8697140.18+3415889.6+775200</f>
        <v>12888229.779999999</v>
      </c>
      <c r="H1538" s="752"/>
      <c r="I1538" s="752"/>
      <c r="J1538" s="736">
        <f t="shared" si="537"/>
        <v>12888229.779999999</v>
      </c>
      <c r="K1538" s="752"/>
      <c r="L1538" s="752"/>
      <c r="M1538" s="736">
        <f t="shared" si="538"/>
        <v>12888229.779999999</v>
      </c>
      <c r="N1538" s="736"/>
      <c r="O1538" s="736"/>
      <c r="P1538" s="736">
        <f t="shared" si="539"/>
        <v>12888229.779999999</v>
      </c>
      <c r="Q1538" s="753">
        <f>8697140.18+3415889.6+775200</f>
        <v>12888229.779999999</v>
      </c>
      <c r="R1538" s="738"/>
      <c r="S1538" s="753"/>
      <c r="T1538" s="808">
        <v>1500521</v>
      </c>
      <c r="U1538" s="744"/>
      <c r="V1538" s="808">
        <v>1500522</v>
      </c>
    </row>
    <row r="1539" spans="1:22" ht="15" x14ac:dyDescent="0.2">
      <c r="A1539" s="734">
        <v>4511</v>
      </c>
      <c r="B1539" s="735" t="s">
        <v>240</v>
      </c>
      <c r="C1539" s="736"/>
      <c r="D1539" s="736">
        <v>62146965.560000002</v>
      </c>
      <c r="E1539" s="736"/>
      <c r="F1539" s="736">
        <v>63851035.399999999</v>
      </c>
      <c r="G1539" s="752">
        <f>62127996.66-3415889.6-775200</f>
        <v>57936907.059999995</v>
      </c>
      <c r="H1539" s="752"/>
      <c r="I1539" s="752"/>
      <c r="J1539" s="736">
        <f t="shared" si="537"/>
        <v>57936907.059999995</v>
      </c>
      <c r="K1539" s="752"/>
      <c r="L1539" s="752"/>
      <c r="M1539" s="736">
        <f t="shared" si="538"/>
        <v>57936907.059999995</v>
      </c>
      <c r="N1539" s="736"/>
      <c r="O1539" s="736"/>
      <c r="P1539" s="736">
        <f t="shared" si="539"/>
        <v>57936907.059999995</v>
      </c>
      <c r="Q1539" s="753">
        <f>62127996.66-3415889.6-775200</f>
        <v>57936907.059999995</v>
      </c>
      <c r="R1539" s="738">
        <v>46709144.920000002</v>
      </c>
      <c r="S1539" s="753"/>
      <c r="T1539" s="808">
        <v>1100121</v>
      </c>
      <c r="U1539" s="746">
        <v>72965114.700000003</v>
      </c>
      <c r="V1539" s="870">
        <v>1100122</v>
      </c>
    </row>
    <row r="1540" spans="1:22" ht="15" x14ac:dyDescent="0.2">
      <c r="A1540" s="724" t="s">
        <v>241</v>
      </c>
      <c r="B1540" s="725" t="s">
        <v>1123</v>
      </c>
      <c r="C1540" s="721">
        <f t="shared" ref="C1540:S1540" si="540">SUM(C1541)</f>
        <v>923145.72</v>
      </c>
      <c r="D1540" s="721">
        <f t="shared" si="540"/>
        <v>1204657.3999999999</v>
      </c>
      <c r="E1540" s="721">
        <f t="shared" si="540"/>
        <v>1182777.3999999999</v>
      </c>
      <c r="F1540" s="721">
        <f t="shared" si="540"/>
        <v>1047540.79</v>
      </c>
      <c r="G1540" s="721">
        <f t="shared" si="540"/>
        <v>1494058.7</v>
      </c>
      <c r="H1540" s="721">
        <f t="shared" si="540"/>
        <v>0</v>
      </c>
      <c r="I1540" s="721">
        <f t="shared" si="540"/>
        <v>0</v>
      </c>
      <c r="J1540" s="721">
        <f t="shared" si="540"/>
        <v>1494058.7</v>
      </c>
      <c r="K1540" s="721">
        <f t="shared" si="540"/>
        <v>30521.89</v>
      </c>
      <c r="L1540" s="721">
        <f t="shared" si="540"/>
        <v>0</v>
      </c>
      <c r="M1540" s="721">
        <f t="shared" si="540"/>
        <v>1524580.5899999999</v>
      </c>
      <c r="N1540" s="721">
        <f t="shared" si="540"/>
        <v>0</v>
      </c>
      <c r="O1540" s="721">
        <f t="shared" si="540"/>
        <v>0</v>
      </c>
      <c r="P1540" s="721">
        <f t="shared" si="540"/>
        <v>1524580.5899999999</v>
      </c>
      <c r="Q1540" s="756">
        <f t="shared" si="540"/>
        <v>1517305.02</v>
      </c>
      <c r="R1540" s="756">
        <f>SUM(R1541)</f>
        <v>971483.72</v>
      </c>
      <c r="S1540" s="756">
        <f t="shared" si="540"/>
        <v>1646628.58</v>
      </c>
      <c r="T1540" s="724"/>
      <c r="U1540" s="726">
        <f t="shared" ref="U1540" si="541">SUM(U1541)</f>
        <v>1649455.53</v>
      </c>
      <c r="V1540" s="727"/>
    </row>
    <row r="1541" spans="1:22" ht="15" x14ac:dyDescent="0.2">
      <c r="A1541" s="728" t="s">
        <v>242</v>
      </c>
      <c r="B1541" s="729" t="s">
        <v>1624</v>
      </c>
      <c r="C1541" s="730">
        <f t="shared" ref="C1541:S1541" si="542">SUM(C1542:C1556)</f>
        <v>923145.72</v>
      </c>
      <c r="D1541" s="730">
        <f t="shared" si="542"/>
        <v>1204657.3999999999</v>
      </c>
      <c r="E1541" s="730">
        <f t="shared" si="542"/>
        <v>1182777.3999999999</v>
      </c>
      <c r="F1541" s="730">
        <f t="shared" si="542"/>
        <v>1047540.79</v>
      </c>
      <c r="G1541" s="730">
        <f t="shared" si="542"/>
        <v>1494058.7</v>
      </c>
      <c r="H1541" s="730">
        <f t="shared" si="542"/>
        <v>0</v>
      </c>
      <c r="I1541" s="730">
        <f t="shared" si="542"/>
        <v>0</v>
      </c>
      <c r="J1541" s="730">
        <f t="shared" si="542"/>
        <v>1494058.7</v>
      </c>
      <c r="K1541" s="730">
        <f t="shared" si="542"/>
        <v>30521.89</v>
      </c>
      <c r="L1541" s="730">
        <f t="shared" si="542"/>
        <v>0</v>
      </c>
      <c r="M1541" s="730">
        <f t="shared" si="542"/>
        <v>1524580.5899999999</v>
      </c>
      <c r="N1541" s="730">
        <f t="shared" si="542"/>
        <v>0</v>
      </c>
      <c r="O1541" s="730">
        <f t="shared" si="542"/>
        <v>0</v>
      </c>
      <c r="P1541" s="730">
        <f t="shared" si="542"/>
        <v>1524580.5899999999</v>
      </c>
      <c r="Q1541" s="748">
        <f t="shared" si="542"/>
        <v>1517305.02</v>
      </c>
      <c r="R1541" s="748">
        <f>SUM(R1542:R1556)</f>
        <v>971483.72</v>
      </c>
      <c r="S1541" s="748">
        <f t="shared" si="542"/>
        <v>1646628.58</v>
      </c>
      <c r="T1541" s="731"/>
      <c r="U1541" s="732">
        <f>SUM(U1542:U1556)</f>
        <v>1649455.53</v>
      </c>
      <c r="V1541" s="733"/>
    </row>
    <row r="1542" spans="1:22" ht="15" x14ac:dyDescent="0.25">
      <c r="A1542" s="734">
        <v>1131</v>
      </c>
      <c r="B1542" s="735" t="s">
        <v>6</v>
      </c>
      <c r="C1542" s="736">
        <v>130802.8</v>
      </c>
      <c r="D1542" s="823"/>
      <c r="E1542" s="749"/>
      <c r="F1542" s="823"/>
      <c r="G1542" s="752"/>
      <c r="H1542" s="752"/>
      <c r="I1542" s="752"/>
      <c r="J1542" s="736">
        <f t="shared" ref="J1542:J1556" si="543">G1542+H1542-I1542</f>
        <v>0</v>
      </c>
      <c r="K1542" s="752"/>
      <c r="L1542" s="752"/>
      <c r="M1542" s="736">
        <f t="shared" ref="M1542:M1556" si="544">J1542+K1542-L1542</f>
        <v>0</v>
      </c>
      <c r="N1542" s="736"/>
      <c r="O1542" s="736"/>
      <c r="P1542" s="738">
        <f t="shared" ref="P1542:P1556" si="545">M1542+N1542-O1542</f>
        <v>0</v>
      </c>
      <c r="Q1542" s="753">
        <v>50421</v>
      </c>
      <c r="R1542" s="738">
        <v>15126.3</v>
      </c>
      <c r="S1542" s="753">
        <v>138953.35999999999</v>
      </c>
      <c r="T1542" s="739">
        <v>1500521</v>
      </c>
      <c r="U1542" s="779">
        <v>137577.57999999999</v>
      </c>
      <c r="V1542" s="741">
        <v>1500522</v>
      </c>
    </row>
    <row r="1543" spans="1:22" ht="15" x14ac:dyDescent="0.25">
      <c r="A1543" s="734">
        <v>1132</v>
      </c>
      <c r="B1543" s="735" t="s">
        <v>8</v>
      </c>
      <c r="C1543" s="736">
        <v>147723.78</v>
      </c>
      <c r="D1543" s="736">
        <v>288586.48</v>
      </c>
      <c r="E1543" s="749">
        <v>288586.48</v>
      </c>
      <c r="F1543" s="736">
        <v>309634.61</v>
      </c>
      <c r="G1543" s="736">
        <v>407519.89999999997</v>
      </c>
      <c r="H1543" s="736"/>
      <c r="I1543" s="736"/>
      <c r="J1543" s="736">
        <f t="shared" si="543"/>
        <v>407519.89999999997</v>
      </c>
      <c r="K1543" s="752">
        <v>14353.71</v>
      </c>
      <c r="L1543" s="736"/>
      <c r="M1543" s="736">
        <f t="shared" si="544"/>
        <v>421873.61</v>
      </c>
      <c r="N1543" s="736"/>
      <c r="O1543" s="736"/>
      <c r="P1543" s="736">
        <f t="shared" si="545"/>
        <v>421873.61</v>
      </c>
      <c r="Q1543" s="738">
        <v>364177.04</v>
      </c>
      <c r="R1543" s="738">
        <v>262455.06</v>
      </c>
      <c r="S1543" s="751">
        <v>326165.84000000003</v>
      </c>
      <c r="T1543" s="739">
        <v>1500521</v>
      </c>
      <c r="U1543" s="779">
        <v>397539.95</v>
      </c>
      <c r="V1543" s="741">
        <v>1500522</v>
      </c>
    </row>
    <row r="1544" spans="1:22" ht="15" x14ac:dyDescent="0.25">
      <c r="A1544" s="734">
        <v>1321</v>
      </c>
      <c r="B1544" s="735" t="s">
        <v>9</v>
      </c>
      <c r="C1544" s="736">
        <v>9819.9</v>
      </c>
      <c r="D1544" s="736">
        <v>10219.200000000001</v>
      </c>
      <c r="E1544" s="749">
        <v>8756.2000000000007</v>
      </c>
      <c r="F1544" s="736">
        <v>8756.2000000000007</v>
      </c>
      <c r="G1544" s="736">
        <v>14580.7</v>
      </c>
      <c r="H1544" s="736"/>
      <c r="I1544" s="736"/>
      <c r="J1544" s="736">
        <f t="shared" si="543"/>
        <v>14580.7</v>
      </c>
      <c r="K1544" s="736">
        <v>488.15</v>
      </c>
      <c r="L1544" s="736"/>
      <c r="M1544" s="736">
        <f t="shared" si="544"/>
        <v>15068.85</v>
      </c>
      <c r="N1544" s="736"/>
      <c r="O1544" s="736"/>
      <c r="P1544" s="736">
        <f t="shared" si="545"/>
        <v>15068.85</v>
      </c>
      <c r="Q1544" s="738">
        <v>15068.85</v>
      </c>
      <c r="R1544" s="738">
        <v>5696.8</v>
      </c>
      <c r="S1544" s="751">
        <v>17636.48</v>
      </c>
      <c r="T1544" s="739">
        <v>1500521</v>
      </c>
      <c r="U1544" s="779">
        <v>16630.34</v>
      </c>
      <c r="V1544" s="741">
        <v>1500522</v>
      </c>
    </row>
    <row r="1545" spans="1:22" ht="15" x14ac:dyDescent="0.25">
      <c r="A1545" s="734">
        <v>1323</v>
      </c>
      <c r="B1545" s="735" t="s">
        <v>11</v>
      </c>
      <c r="C1545" s="736">
        <v>50960</v>
      </c>
      <c r="D1545" s="736">
        <v>51096</v>
      </c>
      <c r="E1545" s="749">
        <v>56556</v>
      </c>
      <c r="F1545" s="736">
        <v>53176</v>
      </c>
      <c r="G1545" s="736">
        <v>72903.5</v>
      </c>
      <c r="H1545" s="736"/>
      <c r="I1545" s="736"/>
      <c r="J1545" s="736">
        <f t="shared" si="543"/>
        <v>72903.5</v>
      </c>
      <c r="K1545" s="736">
        <v>2440.75</v>
      </c>
      <c r="L1545" s="736"/>
      <c r="M1545" s="736">
        <f t="shared" si="544"/>
        <v>75344.25</v>
      </c>
      <c r="N1545" s="736"/>
      <c r="O1545" s="736"/>
      <c r="P1545" s="736">
        <f t="shared" si="545"/>
        <v>75344.25</v>
      </c>
      <c r="Q1545" s="738">
        <v>75344.25</v>
      </c>
      <c r="R1545" s="738">
        <v>53893</v>
      </c>
      <c r="S1545" s="751">
        <v>82215.5</v>
      </c>
      <c r="T1545" s="739">
        <v>1500521</v>
      </c>
      <c r="U1545" s="779">
        <v>71323.87</v>
      </c>
      <c r="V1545" s="741">
        <v>1500522</v>
      </c>
    </row>
    <row r="1546" spans="1:22" ht="15" x14ac:dyDescent="0.25">
      <c r="A1546" s="734">
        <v>1413</v>
      </c>
      <c r="B1546" s="735" t="s">
        <v>13</v>
      </c>
      <c r="C1546" s="736">
        <v>48229.94</v>
      </c>
      <c r="D1546" s="736">
        <v>68942.86</v>
      </c>
      <c r="E1546" s="749">
        <v>60113.86</v>
      </c>
      <c r="F1546" s="736">
        <v>67466.62</v>
      </c>
      <c r="G1546" s="736">
        <v>107144.1</v>
      </c>
      <c r="H1546" s="736"/>
      <c r="I1546" s="736"/>
      <c r="J1546" s="736">
        <f t="shared" si="543"/>
        <v>107144.1</v>
      </c>
      <c r="K1546" s="736">
        <v>5352.53</v>
      </c>
      <c r="L1546" s="736"/>
      <c r="M1546" s="736">
        <f t="shared" si="544"/>
        <v>112496.63</v>
      </c>
      <c r="N1546" s="736"/>
      <c r="O1546" s="736"/>
      <c r="P1546" s="736">
        <f t="shared" si="545"/>
        <v>112496.63</v>
      </c>
      <c r="Q1546" s="738">
        <v>112496.63</v>
      </c>
      <c r="R1546" s="738">
        <v>68660.31</v>
      </c>
      <c r="S1546" s="751">
        <v>126365.88</v>
      </c>
      <c r="T1546" s="739">
        <v>1500521</v>
      </c>
      <c r="U1546" s="779">
        <v>96206.57</v>
      </c>
      <c r="V1546" s="741">
        <v>1500522</v>
      </c>
    </row>
    <row r="1547" spans="1:22" ht="15" x14ac:dyDescent="0.25">
      <c r="A1547" s="734">
        <v>1421</v>
      </c>
      <c r="B1547" s="735" t="s">
        <v>15</v>
      </c>
      <c r="C1547" s="736">
        <v>18736.009999999998</v>
      </c>
      <c r="D1547" s="736">
        <v>22007.82</v>
      </c>
      <c r="E1547" s="749">
        <v>18142.82</v>
      </c>
      <c r="F1547" s="736">
        <v>21325.77</v>
      </c>
      <c r="G1547" s="736">
        <v>31578.799999999999</v>
      </c>
      <c r="H1547" s="736"/>
      <c r="I1547" s="736"/>
      <c r="J1547" s="736">
        <f t="shared" si="543"/>
        <v>31578.799999999999</v>
      </c>
      <c r="K1547" s="736">
        <v>1663.04</v>
      </c>
      <c r="L1547" s="736"/>
      <c r="M1547" s="736">
        <f t="shared" si="544"/>
        <v>33241.839999999997</v>
      </c>
      <c r="N1547" s="736"/>
      <c r="O1547" s="736"/>
      <c r="P1547" s="736">
        <f t="shared" si="545"/>
        <v>33241.839999999997</v>
      </c>
      <c r="Q1547" s="738">
        <v>33241.839999999997</v>
      </c>
      <c r="R1547" s="738">
        <v>18638.14</v>
      </c>
      <c r="S1547" s="751">
        <v>35612.28</v>
      </c>
      <c r="T1547" s="739">
        <v>1500521</v>
      </c>
      <c r="U1547" s="779">
        <v>36852.78</v>
      </c>
      <c r="V1547" s="741">
        <v>1500522</v>
      </c>
    </row>
    <row r="1548" spans="1:22" ht="15" x14ac:dyDescent="0.25">
      <c r="A1548" s="734">
        <v>1431</v>
      </c>
      <c r="B1548" s="735" t="s">
        <v>16</v>
      </c>
      <c r="C1548" s="736">
        <v>15108.92</v>
      </c>
      <c r="D1548" s="736">
        <v>22668.04</v>
      </c>
      <c r="E1548" s="749">
        <v>19065.04</v>
      </c>
      <c r="F1548" s="736">
        <v>22730.94</v>
      </c>
      <c r="G1548" s="736">
        <v>32526</v>
      </c>
      <c r="H1548" s="736"/>
      <c r="I1548" s="736"/>
      <c r="J1548" s="736">
        <f t="shared" si="543"/>
        <v>32526</v>
      </c>
      <c r="K1548" s="736">
        <v>1706.25</v>
      </c>
      <c r="L1548" s="736"/>
      <c r="M1548" s="736">
        <f t="shared" si="544"/>
        <v>34232.25</v>
      </c>
      <c r="N1548" s="736"/>
      <c r="O1548" s="736"/>
      <c r="P1548" s="736">
        <f t="shared" si="545"/>
        <v>34232.25</v>
      </c>
      <c r="Q1548" s="738">
        <v>34232.25</v>
      </c>
      <c r="R1548" s="738">
        <v>19158.73</v>
      </c>
      <c r="S1548" s="751">
        <v>36680.519999999997</v>
      </c>
      <c r="T1548" s="739">
        <v>1500521</v>
      </c>
      <c r="U1548" s="779">
        <v>37413.949999999997</v>
      </c>
      <c r="V1548" s="741">
        <v>1500522</v>
      </c>
    </row>
    <row r="1549" spans="1:22" ht="15" x14ac:dyDescent="0.25">
      <c r="A1549" s="734">
        <v>1511</v>
      </c>
      <c r="B1549" s="735" t="s">
        <v>18</v>
      </c>
      <c r="C1549" s="736">
        <v>1877.86</v>
      </c>
      <c r="D1549" s="736">
        <v>7440.16</v>
      </c>
      <c r="E1549" s="749">
        <v>6929.16</v>
      </c>
      <c r="F1549" s="736">
        <v>7955.18</v>
      </c>
      <c r="G1549" s="736">
        <v>10614.300000000001</v>
      </c>
      <c r="H1549" s="736"/>
      <c r="I1549" s="736"/>
      <c r="J1549" s="736">
        <f t="shared" si="543"/>
        <v>10614.300000000001</v>
      </c>
      <c r="K1549" s="736">
        <v>355.6</v>
      </c>
      <c r="L1549" s="736"/>
      <c r="M1549" s="736">
        <f t="shared" si="544"/>
        <v>10969.900000000001</v>
      </c>
      <c r="N1549" s="736"/>
      <c r="O1549" s="736"/>
      <c r="P1549" s="736">
        <f t="shared" si="545"/>
        <v>10969.900000000001</v>
      </c>
      <c r="Q1549" s="738">
        <v>10969.9</v>
      </c>
      <c r="R1549" s="738">
        <v>7106.24</v>
      </c>
      <c r="S1549" s="751">
        <v>11971.96</v>
      </c>
      <c r="T1549" s="739">
        <v>1500521</v>
      </c>
      <c r="U1549" s="779">
        <v>10168.75</v>
      </c>
      <c r="V1549" s="741">
        <v>1500522</v>
      </c>
    </row>
    <row r="1550" spans="1:22" ht="15" x14ac:dyDescent="0.25">
      <c r="A1550" s="734">
        <v>1541</v>
      </c>
      <c r="B1550" s="735" t="s">
        <v>19</v>
      </c>
      <c r="C1550" s="736">
        <v>1545.62</v>
      </c>
      <c r="D1550" s="736">
        <v>804.44</v>
      </c>
      <c r="E1550" s="749">
        <v>804.44</v>
      </c>
      <c r="F1550" s="736">
        <v>756.08</v>
      </c>
      <c r="G1550" s="736">
        <v>973.7</v>
      </c>
      <c r="H1550" s="736"/>
      <c r="I1550" s="736"/>
      <c r="J1550" s="736">
        <f t="shared" si="543"/>
        <v>973.7</v>
      </c>
      <c r="K1550" s="736">
        <v>36.97</v>
      </c>
      <c r="L1550" s="736"/>
      <c r="M1550" s="736">
        <f t="shared" si="544"/>
        <v>1010.6700000000001</v>
      </c>
      <c r="N1550" s="736"/>
      <c r="O1550" s="736"/>
      <c r="P1550" s="736">
        <f t="shared" si="545"/>
        <v>1010.6700000000001</v>
      </c>
      <c r="Q1550" s="738">
        <v>1010.67</v>
      </c>
      <c r="R1550" s="738">
        <v>940.39</v>
      </c>
      <c r="S1550" s="751">
        <v>10117.120000000001</v>
      </c>
      <c r="T1550" s="739">
        <v>1500521</v>
      </c>
      <c r="U1550" s="779">
        <v>10117.120000000001</v>
      </c>
      <c r="V1550" s="741">
        <v>1500522</v>
      </c>
    </row>
    <row r="1551" spans="1:22" ht="15" x14ac:dyDescent="0.25">
      <c r="A1551" s="734">
        <v>1592</v>
      </c>
      <c r="B1551" s="735" t="s">
        <v>20</v>
      </c>
      <c r="C1551" s="736">
        <v>39945.08</v>
      </c>
      <c r="D1551" s="736">
        <v>83392.399999999994</v>
      </c>
      <c r="E1551" s="749">
        <v>75523.399999999994</v>
      </c>
      <c r="F1551" s="736">
        <v>88821.79</v>
      </c>
      <c r="G1551" s="736">
        <v>123217.70000000001</v>
      </c>
      <c r="H1551" s="736"/>
      <c r="I1551" s="736"/>
      <c r="J1551" s="736">
        <f t="shared" si="543"/>
        <v>123217.70000000001</v>
      </c>
      <c r="K1551" s="736">
        <v>4124.8900000000003</v>
      </c>
      <c r="L1551" s="736"/>
      <c r="M1551" s="736">
        <f t="shared" si="544"/>
        <v>127342.59000000001</v>
      </c>
      <c r="N1551" s="736"/>
      <c r="O1551" s="736"/>
      <c r="P1551" s="736">
        <f t="shared" si="545"/>
        <v>127342.59000000001</v>
      </c>
      <c r="Q1551" s="738">
        <v>127342.59</v>
      </c>
      <c r="R1551" s="738">
        <v>79155.27</v>
      </c>
      <c r="S1551" s="751">
        <v>133409.64000000001</v>
      </c>
      <c r="T1551" s="739">
        <v>1500521</v>
      </c>
      <c r="U1551" s="779">
        <v>113724.62</v>
      </c>
      <c r="V1551" s="741">
        <v>1500522</v>
      </c>
    </row>
    <row r="1552" spans="1:22" ht="15" x14ac:dyDescent="0.2">
      <c r="A1552" s="734">
        <v>2111</v>
      </c>
      <c r="B1552" s="735" t="s">
        <v>22</v>
      </c>
      <c r="C1552" s="736">
        <v>4515.57</v>
      </c>
      <c r="D1552" s="736">
        <v>4000</v>
      </c>
      <c r="E1552" s="749">
        <v>2800</v>
      </c>
      <c r="F1552" s="736">
        <v>2600</v>
      </c>
      <c r="G1552" s="752">
        <v>5500</v>
      </c>
      <c r="H1552" s="752"/>
      <c r="I1552" s="752"/>
      <c r="J1552" s="736">
        <f t="shared" si="543"/>
        <v>5500</v>
      </c>
      <c r="K1552" s="752"/>
      <c r="L1552" s="752"/>
      <c r="M1552" s="736">
        <f t="shared" si="544"/>
        <v>5500</v>
      </c>
      <c r="N1552" s="736"/>
      <c r="O1552" s="736"/>
      <c r="P1552" s="736">
        <f t="shared" si="545"/>
        <v>5500</v>
      </c>
      <c r="Q1552" s="753">
        <v>5500</v>
      </c>
      <c r="R1552" s="738">
        <v>3575.88</v>
      </c>
      <c r="S1552" s="753">
        <v>5800</v>
      </c>
      <c r="T1552" s="739">
        <v>1100121</v>
      </c>
      <c r="U1552" s="754">
        <v>5800</v>
      </c>
      <c r="V1552" s="741">
        <v>1100122</v>
      </c>
    </row>
    <row r="1553" spans="1:22" ht="30" x14ac:dyDescent="0.2">
      <c r="A1553" s="739">
        <v>3361</v>
      </c>
      <c r="B1553" s="743" t="s">
        <v>29</v>
      </c>
      <c r="C1553" s="736"/>
      <c r="D1553" s="736">
        <v>4000</v>
      </c>
      <c r="E1553" s="749">
        <v>4000</v>
      </c>
      <c r="F1553" s="736">
        <v>2088</v>
      </c>
      <c r="G1553" s="752">
        <v>4000</v>
      </c>
      <c r="H1553" s="752"/>
      <c r="I1553" s="752"/>
      <c r="J1553" s="736">
        <f t="shared" si="543"/>
        <v>4000</v>
      </c>
      <c r="K1553" s="752"/>
      <c r="L1553" s="752"/>
      <c r="M1553" s="736">
        <f t="shared" si="544"/>
        <v>4000</v>
      </c>
      <c r="N1553" s="736"/>
      <c r="O1553" s="736"/>
      <c r="P1553" s="736">
        <f t="shared" si="545"/>
        <v>4000</v>
      </c>
      <c r="Q1553" s="753">
        <v>4000</v>
      </c>
      <c r="R1553" s="738"/>
      <c r="S1553" s="753">
        <v>4000</v>
      </c>
      <c r="T1553" s="739">
        <v>1100121</v>
      </c>
      <c r="U1553" s="841"/>
      <c r="V1553" s="739">
        <v>1100122</v>
      </c>
    </row>
    <row r="1554" spans="1:22" ht="15" x14ac:dyDescent="0.2">
      <c r="A1554" s="739">
        <v>3611</v>
      </c>
      <c r="B1554" s="743" t="s">
        <v>66</v>
      </c>
      <c r="C1554" s="736"/>
      <c r="D1554" s="736">
        <v>1500</v>
      </c>
      <c r="E1554" s="749">
        <v>1500</v>
      </c>
      <c r="F1554" s="736">
        <v>1229.5999999999999</v>
      </c>
      <c r="G1554" s="752">
        <v>1500</v>
      </c>
      <c r="H1554" s="752"/>
      <c r="I1554" s="752"/>
      <c r="J1554" s="736">
        <f t="shared" si="543"/>
        <v>1500</v>
      </c>
      <c r="K1554" s="752"/>
      <c r="L1554" s="752"/>
      <c r="M1554" s="736">
        <f t="shared" si="544"/>
        <v>1500</v>
      </c>
      <c r="N1554" s="736"/>
      <c r="O1554" s="736"/>
      <c r="P1554" s="736">
        <f t="shared" si="545"/>
        <v>1500</v>
      </c>
      <c r="Q1554" s="753">
        <v>1500</v>
      </c>
      <c r="R1554" s="738"/>
      <c r="S1554" s="753">
        <v>1600</v>
      </c>
      <c r="T1554" s="739">
        <v>1100121</v>
      </c>
      <c r="U1554" s="745"/>
      <c r="V1554" s="739">
        <v>1100122</v>
      </c>
    </row>
    <row r="1555" spans="1:22" ht="15" x14ac:dyDescent="0.2">
      <c r="A1555" s="734">
        <v>3821</v>
      </c>
      <c r="B1555" s="735" t="s">
        <v>31</v>
      </c>
      <c r="C1555" s="736">
        <v>34880.239999999998</v>
      </c>
      <c r="D1555" s="736">
        <v>40000</v>
      </c>
      <c r="E1555" s="749">
        <v>40000</v>
      </c>
      <c r="F1555" s="736">
        <v>0</v>
      </c>
      <c r="G1555" s="752">
        <v>42000</v>
      </c>
      <c r="H1555" s="752"/>
      <c r="I1555" s="752"/>
      <c r="J1555" s="736">
        <f t="shared" si="543"/>
        <v>42000</v>
      </c>
      <c r="K1555" s="752"/>
      <c r="L1555" s="752"/>
      <c r="M1555" s="736">
        <f t="shared" si="544"/>
        <v>42000</v>
      </c>
      <c r="N1555" s="736"/>
      <c r="O1555" s="736"/>
      <c r="P1555" s="736">
        <f t="shared" si="545"/>
        <v>42000</v>
      </c>
      <c r="Q1555" s="753">
        <v>42000</v>
      </c>
      <c r="R1555" s="738">
        <v>16077.6</v>
      </c>
      <c r="S1555" s="753">
        <v>44100</v>
      </c>
      <c r="T1555" s="739">
        <v>1100121</v>
      </c>
      <c r="U1555" s="754">
        <v>44100</v>
      </c>
      <c r="V1555" s="741">
        <v>1100122</v>
      </c>
    </row>
    <row r="1556" spans="1:22" ht="15" x14ac:dyDescent="0.2">
      <c r="A1556" s="734">
        <v>4413</v>
      </c>
      <c r="B1556" s="735" t="s">
        <v>243</v>
      </c>
      <c r="C1556" s="736">
        <v>419000</v>
      </c>
      <c r="D1556" s="736">
        <v>600000</v>
      </c>
      <c r="E1556" s="749">
        <v>600000</v>
      </c>
      <c r="F1556" s="736">
        <v>461000</v>
      </c>
      <c r="G1556" s="752">
        <v>640000</v>
      </c>
      <c r="H1556" s="752"/>
      <c r="I1556" s="752"/>
      <c r="J1556" s="736">
        <f t="shared" si="543"/>
        <v>640000</v>
      </c>
      <c r="K1556" s="752"/>
      <c r="L1556" s="752"/>
      <c r="M1556" s="736">
        <f t="shared" si="544"/>
        <v>640000</v>
      </c>
      <c r="N1556" s="736"/>
      <c r="O1556" s="736"/>
      <c r="P1556" s="736">
        <f t="shared" si="545"/>
        <v>640000</v>
      </c>
      <c r="Q1556" s="753">
        <v>640000</v>
      </c>
      <c r="R1556" s="738">
        <v>421000</v>
      </c>
      <c r="S1556" s="753">
        <v>672000</v>
      </c>
      <c r="T1556" s="739">
        <v>1100121</v>
      </c>
      <c r="U1556" s="754">
        <v>672000</v>
      </c>
      <c r="V1556" s="741">
        <v>1100122</v>
      </c>
    </row>
    <row r="1557" spans="1:22" ht="15" x14ac:dyDescent="0.2">
      <c r="A1557" s="724" t="s">
        <v>244</v>
      </c>
      <c r="B1557" s="725" t="s">
        <v>245</v>
      </c>
      <c r="C1557" s="721">
        <f t="shared" ref="C1557:S1557" si="546">SUM(C1558+C1572)</f>
        <v>881542.88</v>
      </c>
      <c r="D1557" s="721">
        <f t="shared" si="546"/>
        <v>1072049.82</v>
      </c>
      <c r="E1557" s="721">
        <f t="shared" si="546"/>
        <v>1004880.99</v>
      </c>
      <c r="F1557" s="721">
        <f t="shared" si="546"/>
        <v>998723.52</v>
      </c>
      <c r="G1557" s="721">
        <f t="shared" si="546"/>
        <v>1291375.2000000002</v>
      </c>
      <c r="H1557" s="721">
        <f t="shared" si="546"/>
        <v>77838.11</v>
      </c>
      <c r="I1557" s="721">
        <f t="shared" si="546"/>
        <v>0</v>
      </c>
      <c r="J1557" s="721">
        <f t="shared" si="546"/>
        <v>1369213.31</v>
      </c>
      <c r="K1557" s="721">
        <f t="shared" si="546"/>
        <v>28684.400000000001</v>
      </c>
      <c r="L1557" s="721">
        <f t="shared" si="546"/>
        <v>0</v>
      </c>
      <c r="M1557" s="721">
        <f t="shared" si="546"/>
        <v>1397897.71</v>
      </c>
      <c r="N1557" s="721">
        <f t="shared" si="546"/>
        <v>0</v>
      </c>
      <c r="O1557" s="721">
        <f t="shared" si="546"/>
        <v>0</v>
      </c>
      <c r="P1557" s="721">
        <f t="shared" si="546"/>
        <v>1397897.71</v>
      </c>
      <c r="Q1557" s="756">
        <f t="shared" si="546"/>
        <v>1437442.2400000002</v>
      </c>
      <c r="R1557" s="756">
        <f>SUM(R1558+R1572)</f>
        <v>788939.52000000014</v>
      </c>
      <c r="S1557" s="756">
        <f t="shared" si="546"/>
        <v>1425585.22</v>
      </c>
      <c r="T1557" s="724"/>
      <c r="U1557" s="726">
        <f t="shared" ref="U1557" si="547">SUM(U1558+U1572)</f>
        <v>1586806.42</v>
      </c>
      <c r="V1557" s="727"/>
    </row>
    <row r="1558" spans="1:22" ht="15" x14ac:dyDescent="0.2">
      <c r="A1558" s="728" t="s">
        <v>246</v>
      </c>
      <c r="B1558" s="729" t="s">
        <v>1594</v>
      </c>
      <c r="C1558" s="730">
        <f t="shared" ref="C1558:S1558" si="548">SUM(C1559:C1571)</f>
        <v>199999.98</v>
      </c>
      <c r="D1558" s="730">
        <f t="shared" si="548"/>
        <v>400000</v>
      </c>
      <c r="E1558" s="730">
        <f t="shared" si="548"/>
        <v>250000</v>
      </c>
      <c r="F1558" s="730">
        <f t="shared" si="548"/>
        <v>172161.78</v>
      </c>
      <c r="G1558" s="730">
        <f t="shared" si="548"/>
        <v>300000</v>
      </c>
      <c r="H1558" s="730">
        <f t="shared" si="548"/>
        <v>77838.11</v>
      </c>
      <c r="I1558" s="730">
        <f t="shared" si="548"/>
        <v>0</v>
      </c>
      <c r="J1558" s="730">
        <f t="shared" si="548"/>
        <v>377838.11000000004</v>
      </c>
      <c r="K1558" s="730">
        <f t="shared" si="548"/>
        <v>0</v>
      </c>
      <c r="L1558" s="730">
        <f t="shared" si="548"/>
        <v>0</v>
      </c>
      <c r="M1558" s="730">
        <f t="shared" si="548"/>
        <v>377838.11000000004</v>
      </c>
      <c r="N1558" s="730">
        <f t="shared" si="548"/>
        <v>0</v>
      </c>
      <c r="O1558" s="730">
        <f t="shared" si="548"/>
        <v>0</v>
      </c>
      <c r="P1558" s="730">
        <f t="shared" si="548"/>
        <v>377838.11000000004</v>
      </c>
      <c r="Q1558" s="748">
        <f t="shared" si="548"/>
        <v>377838.11000000004</v>
      </c>
      <c r="R1558" s="748">
        <f>SUM(R1559:R1571)</f>
        <v>77838.11</v>
      </c>
      <c r="S1558" s="748">
        <f t="shared" si="548"/>
        <v>300000</v>
      </c>
      <c r="T1558" s="731"/>
      <c r="U1558" s="732">
        <f>SUM(U1560:U1571)</f>
        <v>300000</v>
      </c>
      <c r="V1558" s="733"/>
    </row>
    <row r="1559" spans="1:22" ht="15" x14ac:dyDescent="0.2">
      <c r="A1559" s="739">
        <v>2112</v>
      </c>
      <c r="B1559" s="743" t="s">
        <v>39</v>
      </c>
      <c r="C1559" s="736"/>
      <c r="D1559" s="736">
        <v>0</v>
      </c>
      <c r="E1559" s="749">
        <v>78728.12</v>
      </c>
      <c r="F1559" s="736">
        <v>78728.09</v>
      </c>
      <c r="G1559" s="752"/>
      <c r="H1559" s="752"/>
      <c r="I1559" s="752"/>
      <c r="J1559" s="736">
        <f t="shared" ref="J1559:J1571" si="549">G1559+H1559-I1559</f>
        <v>0</v>
      </c>
      <c r="K1559" s="752"/>
      <c r="L1559" s="752"/>
      <c r="M1559" s="736">
        <f t="shared" ref="M1559:M1571" si="550">J1559+K1559-L1559</f>
        <v>0</v>
      </c>
      <c r="N1559" s="736"/>
      <c r="O1559" s="736"/>
      <c r="P1559" s="738">
        <f t="shared" ref="P1559:P1571" si="551">M1559+N1559-O1559</f>
        <v>0</v>
      </c>
      <c r="Q1559" s="753"/>
      <c r="R1559" s="738"/>
      <c r="S1559" s="753">
        <v>50000</v>
      </c>
      <c r="T1559" s="739">
        <v>1100121</v>
      </c>
      <c r="U1559" s="785"/>
      <c r="V1559" s="739">
        <v>1100122</v>
      </c>
    </row>
    <row r="1560" spans="1:22" ht="15" x14ac:dyDescent="0.2">
      <c r="A1560" s="734">
        <v>2112</v>
      </c>
      <c r="B1560" s="735" t="s">
        <v>39</v>
      </c>
      <c r="C1560" s="736">
        <v>36125.99</v>
      </c>
      <c r="D1560" s="736">
        <v>0</v>
      </c>
      <c r="E1560" s="749">
        <v>50000</v>
      </c>
      <c r="F1560" s="736">
        <v>50000</v>
      </c>
      <c r="G1560" s="752">
        <v>50000</v>
      </c>
      <c r="H1560" s="752"/>
      <c r="I1560" s="752"/>
      <c r="J1560" s="736">
        <f t="shared" si="549"/>
        <v>50000</v>
      </c>
      <c r="K1560" s="752"/>
      <c r="L1560" s="752"/>
      <c r="M1560" s="736">
        <f t="shared" si="550"/>
        <v>50000</v>
      </c>
      <c r="N1560" s="738"/>
      <c r="O1560" s="738"/>
      <c r="P1560" s="736">
        <f t="shared" si="551"/>
        <v>50000</v>
      </c>
      <c r="Q1560" s="753">
        <v>50000</v>
      </c>
      <c r="R1560" s="738"/>
      <c r="S1560" s="753"/>
      <c r="T1560" s="739">
        <v>2610121</v>
      </c>
      <c r="U1560" s="754">
        <v>50000</v>
      </c>
      <c r="V1560" s="741">
        <v>2610122</v>
      </c>
    </row>
    <row r="1561" spans="1:22" ht="15" x14ac:dyDescent="0.2">
      <c r="A1561" s="739">
        <v>2491</v>
      </c>
      <c r="B1561" s="743" t="s">
        <v>41</v>
      </c>
      <c r="C1561" s="736"/>
      <c r="D1561" s="736"/>
      <c r="E1561" s="749"/>
      <c r="F1561" s="736"/>
      <c r="G1561" s="752"/>
      <c r="H1561" s="752">
        <v>1100.03</v>
      </c>
      <c r="I1561" s="752"/>
      <c r="J1561" s="736">
        <f t="shared" si="549"/>
        <v>1100.03</v>
      </c>
      <c r="K1561" s="752"/>
      <c r="L1561" s="752"/>
      <c r="M1561" s="736">
        <f t="shared" si="550"/>
        <v>1100.03</v>
      </c>
      <c r="N1561" s="736"/>
      <c r="O1561" s="736"/>
      <c r="P1561" s="736">
        <f t="shared" si="551"/>
        <v>1100.03</v>
      </c>
      <c r="Q1561" s="753">
        <v>1100.03</v>
      </c>
      <c r="R1561" s="738">
        <v>1100.03</v>
      </c>
      <c r="S1561" s="753"/>
      <c r="T1561" s="739">
        <v>1100120</v>
      </c>
      <c r="U1561" s="745"/>
      <c r="V1561" s="739">
        <v>1100120</v>
      </c>
    </row>
    <row r="1562" spans="1:22" ht="15" x14ac:dyDescent="0.2">
      <c r="A1562" s="734">
        <v>2491</v>
      </c>
      <c r="B1562" s="735" t="s">
        <v>41</v>
      </c>
      <c r="C1562" s="736"/>
      <c r="D1562" s="736">
        <v>200000</v>
      </c>
      <c r="E1562" s="749">
        <v>1930.68</v>
      </c>
      <c r="F1562" s="736">
        <v>830.65</v>
      </c>
      <c r="G1562" s="736">
        <v>250000</v>
      </c>
      <c r="H1562" s="736"/>
      <c r="I1562" s="736"/>
      <c r="J1562" s="736">
        <f t="shared" si="549"/>
        <v>250000</v>
      </c>
      <c r="K1562" s="736"/>
      <c r="L1562" s="736"/>
      <c r="M1562" s="736">
        <f t="shared" si="550"/>
        <v>250000</v>
      </c>
      <c r="N1562" s="736"/>
      <c r="O1562" s="736"/>
      <c r="P1562" s="736">
        <f t="shared" si="551"/>
        <v>250000</v>
      </c>
      <c r="Q1562" s="738">
        <v>250000</v>
      </c>
      <c r="R1562" s="738"/>
      <c r="S1562" s="738">
        <v>250000</v>
      </c>
      <c r="T1562" s="739">
        <v>1100121</v>
      </c>
      <c r="U1562" s="742">
        <v>250000</v>
      </c>
      <c r="V1562" s="741">
        <v>1100122</v>
      </c>
    </row>
    <row r="1563" spans="1:22" ht="15" x14ac:dyDescent="0.2">
      <c r="A1563" s="739">
        <v>2491</v>
      </c>
      <c r="B1563" s="743" t="s">
        <v>41</v>
      </c>
      <c r="C1563" s="736"/>
      <c r="D1563" s="736">
        <v>200000</v>
      </c>
      <c r="E1563" s="749">
        <v>0</v>
      </c>
      <c r="F1563" s="736">
        <v>0</v>
      </c>
      <c r="G1563" s="736"/>
      <c r="H1563" s="736"/>
      <c r="I1563" s="736"/>
      <c r="J1563" s="736">
        <f t="shared" si="549"/>
        <v>0</v>
      </c>
      <c r="K1563" s="736"/>
      <c r="L1563" s="736"/>
      <c r="M1563" s="736">
        <f t="shared" si="550"/>
        <v>0</v>
      </c>
      <c r="N1563" s="738"/>
      <c r="O1563" s="738"/>
      <c r="P1563" s="738">
        <f t="shared" si="551"/>
        <v>0</v>
      </c>
      <c r="Q1563" s="738"/>
      <c r="R1563" s="738"/>
      <c r="S1563" s="738"/>
      <c r="T1563" s="739">
        <v>2610121</v>
      </c>
      <c r="U1563" s="745"/>
      <c r="V1563" s="739">
        <v>2610122</v>
      </c>
    </row>
    <row r="1564" spans="1:22" ht="15" x14ac:dyDescent="0.2">
      <c r="A1564" s="739">
        <v>2531</v>
      </c>
      <c r="B1564" s="743" t="s">
        <v>145</v>
      </c>
      <c r="C1564" s="736">
        <v>2716.72</v>
      </c>
      <c r="D1564" s="736"/>
      <c r="E1564" s="749">
        <v>11176.64</v>
      </c>
      <c r="F1564" s="736"/>
      <c r="G1564" s="736"/>
      <c r="H1564" s="736"/>
      <c r="I1564" s="736"/>
      <c r="J1564" s="736">
        <f t="shared" si="549"/>
        <v>0</v>
      </c>
      <c r="K1564" s="736"/>
      <c r="L1564" s="736"/>
      <c r="M1564" s="736">
        <f t="shared" si="550"/>
        <v>0</v>
      </c>
      <c r="N1564" s="736"/>
      <c r="O1564" s="736"/>
      <c r="P1564" s="738">
        <f t="shared" si="551"/>
        <v>0</v>
      </c>
      <c r="Q1564" s="738"/>
      <c r="R1564" s="738"/>
      <c r="S1564" s="738"/>
      <c r="T1564" s="739"/>
      <c r="U1564" s="745"/>
      <c r="V1564" s="739"/>
    </row>
    <row r="1565" spans="1:22" ht="15" x14ac:dyDescent="0.2">
      <c r="A1565" s="739">
        <v>2711</v>
      </c>
      <c r="B1565" s="743" t="s">
        <v>27</v>
      </c>
      <c r="C1565" s="736"/>
      <c r="D1565" s="736">
        <v>0</v>
      </c>
      <c r="E1565" s="736"/>
      <c r="F1565" s="736">
        <v>11176.64</v>
      </c>
      <c r="G1565" s="736"/>
      <c r="H1565" s="736"/>
      <c r="I1565" s="736"/>
      <c r="J1565" s="736">
        <f t="shared" si="549"/>
        <v>0</v>
      </c>
      <c r="K1565" s="736"/>
      <c r="L1565" s="736"/>
      <c r="M1565" s="736">
        <f t="shared" si="550"/>
        <v>0</v>
      </c>
      <c r="N1565" s="736"/>
      <c r="O1565" s="736"/>
      <c r="P1565" s="738">
        <f t="shared" si="551"/>
        <v>0</v>
      </c>
      <c r="Q1565" s="738"/>
      <c r="R1565" s="738"/>
      <c r="S1565" s="738"/>
      <c r="T1565" s="739">
        <v>1100121</v>
      </c>
      <c r="U1565" s="745"/>
      <c r="V1565" s="739">
        <v>1100122</v>
      </c>
    </row>
    <row r="1566" spans="1:22" ht="15" x14ac:dyDescent="0.2">
      <c r="A1566" s="739">
        <v>3341</v>
      </c>
      <c r="B1566" s="743" t="s">
        <v>219</v>
      </c>
      <c r="C1566" s="736">
        <v>46300</v>
      </c>
      <c r="D1566" s="736"/>
      <c r="E1566" s="736"/>
      <c r="F1566" s="736"/>
      <c r="G1566" s="736"/>
      <c r="H1566" s="736"/>
      <c r="I1566" s="736"/>
      <c r="J1566" s="736">
        <f t="shared" si="549"/>
        <v>0</v>
      </c>
      <c r="K1566" s="736"/>
      <c r="L1566" s="736"/>
      <c r="M1566" s="736">
        <f t="shared" si="550"/>
        <v>0</v>
      </c>
      <c r="N1566" s="736"/>
      <c r="O1566" s="736"/>
      <c r="P1566" s="738">
        <f t="shared" si="551"/>
        <v>0</v>
      </c>
      <c r="Q1566" s="738"/>
      <c r="R1566" s="738"/>
      <c r="S1566" s="738"/>
      <c r="T1566" s="739"/>
      <c r="U1566" s="745"/>
      <c r="V1566" s="739"/>
    </row>
    <row r="1567" spans="1:22" ht="15" x14ac:dyDescent="0.2">
      <c r="A1567" s="739">
        <v>3611</v>
      </c>
      <c r="B1567" s="743" t="s">
        <v>66</v>
      </c>
      <c r="C1567" s="736">
        <v>31615.800000000003</v>
      </c>
      <c r="D1567" s="736"/>
      <c r="E1567" s="736"/>
      <c r="F1567" s="736"/>
      <c r="G1567" s="736"/>
      <c r="H1567" s="736"/>
      <c r="I1567" s="736"/>
      <c r="J1567" s="736">
        <f t="shared" si="549"/>
        <v>0</v>
      </c>
      <c r="K1567" s="736"/>
      <c r="L1567" s="736"/>
      <c r="M1567" s="736">
        <f t="shared" si="550"/>
        <v>0</v>
      </c>
      <c r="N1567" s="736"/>
      <c r="O1567" s="736"/>
      <c r="P1567" s="738">
        <f t="shared" si="551"/>
        <v>0</v>
      </c>
      <c r="Q1567" s="738"/>
      <c r="R1567" s="738"/>
      <c r="S1567" s="738"/>
      <c r="T1567" s="739"/>
      <c r="U1567" s="745"/>
      <c r="V1567" s="739"/>
    </row>
    <row r="1568" spans="1:22" ht="15" x14ac:dyDescent="0.2">
      <c r="A1568" s="739">
        <v>5111</v>
      </c>
      <c r="B1568" s="743" t="s">
        <v>35</v>
      </c>
      <c r="C1568" s="736"/>
      <c r="D1568" s="736">
        <v>0</v>
      </c>
      <c r="E1568" s="749">
        <v>10500</v>
      </c>
      <c r="F1568" s="736">
        <v>10500</v>
      </c>
      <c r="G1568" s="736"/>
      <c r="H1568" s="736"/>
      <c r="I1568" s="736"/>
      <c r="J1568" s="736">
        <f t="shared" si="549"/>
        <v>0</v>
      </c>
      <c r="K1568" s="736"/>
      <c r="L1568" s="736"/>
      <c r="M1568" s="736">
        <f t="shared" si="550"/>
        <v>0</v>
      </c>
      <c r="N1568" s="736"/>
      <c r="O1568" s="736"/>
      <c r="P1568" s="738">
        <f t="shared" si="551"/>
        <v>0</v>
      </c>
      <c r="Q1568" s="738"/>
      <c r="R1568" s="738"/>
      <c r="S1568" s="738"/>
      <c r="T1568" s="739">
        <v>1100121</v>
      </c>
      <c r="U1568" s="745"/>
      <c r="V1568" s="739">
        <v>1100122</v>
      </c>
    </row>
    <row r="1569" spans="1:22" ht="15" x14ac:dyDescent="0.2">
      <c r="A1569" s="739">
        <v>5151</v>
      </c>
      <c r="B1569" s="743" t="s">
        <v>36</v>
      </c>
      <c r="C1569" s="736"/>
      <c r="D1569" s="736"/>
      <c r="E1569" s="749"/>
      <c r="F1569" s="736"/>
      <c r="G1569" s="736"/>
      <c r="H1569" s="736">
        <v>76738.080000000002</v>
      </c>
      <c r="I1569" s="736"/>
      <c r="J1569" s="736">
        <f t="shared" si="549"/>
        <v>76738.080000000002</v>
      </c>
      <c r="K1569" s="736"/>
      <c r="L1569" s="736"/>
      <c r="M1569" s="736">
        <f t="shared" si="550"/>
        <v>76738.080000000002</v>
      </c>
      <c r="N1569" s="736"/>
      <c r="O1569" s="736"/>
      <c r="P1569" s="736">
        <f t="shared" si="551"/>
        <v>76738.080000000002</v>
      </c>
      <c r="Q1569" s="738">
        <v>76738.080000000002</v>
      </c>
      <c r="R1569" s="738">
        <v>76738.080000000002</v>
      </c>
      <c r="S1569" s="738"/>
      <c r="T1569" s="739">
        <v>1100120</v>
      </c>
      <c r="U1569" s="745"/>
      <c r="V1569" s="739">
        <v>1100120</v>
      </c>
    </row>
    <row r="1570" spans="1:22" ht="15" x14ac:dyDescent="0.2">
      <c r="A1570" s="739">
        <v>5151</v>
      </c>
      <c r="B1570" s="743" t="s">
        <v>36</v>
      </c>
      <c r="C1570" s="736">
        <v>50141.4</v>
      </c>
      <c r="D1570" s="736">
        <v>0</v>
      </c>
      <c r="E1570" s="749">
        <v>85716.56</v>
      </c>
      <c r="F1570" s="736">
        <v>8978.4</v>
      </c>
      <c r="G1570" s="736"/>
      <c r="H1570" s="736"/>
      <c r="I1570" s="736"/>
      <c r="J1570" s="736">
        <f t="shared" si="549"/>
        <v>0</v>
      </c>
      <c r="K1570" s="736"/>
      <c r="L1570" s="736"/>
      <c r="M1570" s="736">
        <f t="shared" si="550"/>
        <v>0</v>
      </c>
      <c r="N1570" s="736"/>
      <c r="O1570" s="736"/>
      <c r="P1570" s="738">
        <f t="shared" si="551"/>
        <v>0</v>
      </c>
      <c r="Q1570" s="738"/>
      <c r="R1570" s="738"/>
      <c r="S1570" s="738"/>
      <c r="T1570" s="739">
        <v>1100121</v>
      </c>
      <c r="U1570" s="745"/>
      <c r="V1570" s="739">
        <v>1100122</v>
      </c>
    </row>
    <row r="1571" spans="1:22" ht="15" x14ac:dyDescent="0.2">
      <c r="A1571" s="739">
        <v>5211</v>
      </c>
      <c r="B1571" s="743" t="s">
        <v>71</v>
      </c>
      <c r="C1571" s="736">
        <v>33100.07</v>
      </c>
      <c r="D1571" s="736">
        <v>0</v>
      </c>
      <c r="E1571" s="749">
        <v>11948</v>
      </c>
      <c r="F1571" s="736">
        <v>11948</v>
      </c>
      <c r="G1571" s="736"/>
      <c r="H1571" s="736"/>
      <c r="I1571" s="736"/>
      <c r="J1571" s="736">
        <f t="shared" si="549"/>
        <v>0</v>
      </c>
      <c r="K1571" s="736"/>
      <c r="L1571" s="736"/>
      <c r="M1571" s="736">
        <f t="shared" si="550"/>
        <v>0</v>
      </c>
      <c r="N1571" s="736"/>
      <c r="O1571" s="736"/>
      <c r="P1571" s="738">
        <f t="shared" si="551"/>
        <v>0</v>
      </c>
      <c r="Q1571" s="738"/>
      <c r="R1571" s="738"/>
      <c r="S1571" s="738"/>
      <c r="T1571" s="739">
        <v>1100121</v>
      </c>
      <c r="U1571" s="745"/>
      <c r="V1571" s="739">
        <v>1100122</v>
      </c>
    </row>
    <row r="1572" spans="1:22" ht="15" x14ac:dyDescent="0.2">
      <c r="A1572" s="728" t="s">
        <v>247</v>
      </c>
      <c r="B1572" s="729" t="s">
        <v>1578</v>
      </c>
      <c r="C1572" s="730">
        <f t="shared" ref="C1572:Q1572" si="552">SUM(C1573:C1586)</f>
        <v>681542.9</v>
      </c>
      <c r="D1572" s="730">
        <f t="shared" si="552"/>
        <v>672049.82000000007</v>
      </c>
      <c r="E1572" s="730">
        <f t="shared" si="552"/>
        <v>754880.99</v>
      </c>
      <c r="F1572" s="730">
        <f t="shared" si="552"/>
        <v>826561.74</v>
      </c>
      <c r="G1572" s="730">
        <f t="shared" si="552"/>
        <v>991375.20000000007</v>
      </c>
      <c r="H1572" s="730">
        <f t="shared" si="552"/>
        <v>0</v>
      </c>
      <c r="I1572" s="730">
        <f t="shared" si="552"/>
        <v>0</v>
      </c>
      <c r="J1572" s="730">
        <f t="shared" si="552"/>
        <v>991375.20000000007</v>
      </c>
      <c r="K1572" s="730">
        <f t="shared" si="552"/>
        <v>28684.400000000001</v>
      </c>
      <c r="L1572" s="730">
        <f t="shared" si="552"/>
        <v>0</v>
      </c>
      <c r="M1572" s="730">
        <f t="shared" si="552"/>
        <v>1020059.6</v>
      </c>
      <c r="N1572" s="730">
        <f t="shared" si="552"/>
        <v>0</v>
      </c>
      <c r="O1572" s="730">
        <f t="shared" si="552"/>
        <v>0</v>
      </c>
      <c r="P1572" s="730">
        <f t="shared" si="552"/>
        <v>1020059.6</v>
      </c>
      <c r="Q1572" s="748">
        <f t="shared" si="552"/>
        <v>1059604.1300000001</v>
      </c>
      <c r="R1572" s="748">
        <f>SUM(R1573:R1587)</f>
        <v>711101.41000000015</v>
      </c>
      <c r="S1572" s="748">
        <f>SUM(S1573:S1587)</f>
        <v>1125585.22</v>
      </c>
      <c r="T1572" s="731"/>
      <c r="U1572" s="732">
        <f>SUM(U1573:U1587)</f>
        <v>1286806.42</v>
      </c>
      <c r="V1572" s="733"/>
    </row>
    <row r="1573" spans="1:22" ht="15" x14ac:dyDescent="0.25">
      <c r="A1573" s="734">
        <v>1131</v>
      </c>
      <c r="B1573" s="735" t="s">
        <v>6</v>
      </c>
      <c r="C1573" s="736">
        <v>140018.48000000001</v>
      </c>
      <c r="D1573" s="736">
        <v>146371.68</v>
      </c>
      <c r="E1573" s="749">
        <v>148493.68</v>
      </c>
      <c r="F1573" s="736">
        <v>157761.78</v>
      </c>
      <c r="G1573" s="736">
        <v>172724</v>
      </c>
      <c r="H1573" s="736"/>
      <c r="I1573" s="736"/>
      <c r="J1573" s="736">
        <f t="shared" ref="J1573:J1586" si="553">G1573+H1573-I1573</f>
        <v>172724</v>
      </c>
      <c r="K1573" s="736">
        <v>768.23</v>
      </c>
      <c r="L1573" s="736"/>
      <c r="M1573" s="736">
        <f t="shared" ref="M1573:M1586" si="554">J1573+K1573-L1573</f>
        <v>173492.23</v>
      </c>
      <c r="N1573" s="736"/>
      <c r="O1573" s="736"/>
      <c r="P1573" s="736">
        <f t="shared" ref="P1573:P1586" si="555">M1573+N1573-O1573</f>
        <v>173492.23</v>
      </c>
      <c r="Q1573" s="738">
        <v>297904.77</v>
      </c>
      <c r="R1573" s="738">
        <v>163146.64000000001</v>
      </c>
      <c r="S1573" s="751">
        <v>537318.6</v>
      </c>
      <c r="T1573" s="739">
        <v>1500521</v>
      </c>
      <c r="U1573" s="779">
        <v>506665.35</v>
      </c>
      <c r="V1573" s="741">
        <v>1500522</v>
      </c>
    </row>
    <row r="1574" spans="1:22" ht="15" x14ac:dyDescent="0.25">
      <c r="A1574" s="734">
        <v>1132</v>
      </c>
      <c r="B1574" s="735" t="s">
        <v>8</v>
      </c>
      <c r="C1574" s="736">
        <v>173932.2</v>
      </c>
      <c r="D1574" s="736">
        <v>185483.48</v>
      </c>
      <c r="E1574" s="749">
        <v>282268.77</v>
      </c>
      <c r="F1574" s="736">
        <v>307766.23</v>
      </c>
      <c r="G1574" s="736">
        <v>319268.09999999998</v>
      </c>
      <c r="H1574" s="736"/>
      <c r="I1574" s="736"/>
      <c r="J1574" s="736">
        <f t="shared" si="553"/>
        <v>319268.09999999998</v>
      </c>
      <c r="K1574" s="736">
        <v>11254.14</v>
      </c>
      <c r="L1574" s="736"/>
      <c r="M1574" s="736">
        <f t="shared" si="554"/>
        <v>330522.23999999999</v>
      </c>
      <c r="N1574" s="736"/>
      <c r="O1574" s="736"/>
      <c r="P1574" s="736">
        <f t="shared" si="555"/>
        <v>330522.23999999999</v>
      </c>
      <c r="Q1574" s="738">
        <v>237830.39</v>
      </c>
      <c r="R1574" s="738">
        <v>197576.82</v>
      </c>
      <c r="S1574" s="751"/>
      <c r="T1574" s="739">
        <v>1500521</v>
      </c>
      <c r="U1574" s="779">
        <v>226505.13</v>
      </c>
      <c r="V1574" s="741">
        <v>1500522</v>
      </c>
    </row>
    <row r="1575" spans="1:22" ht="15" x14ac:dyDescent="0.25">
      <c r="A1575" s="734">
        <v>1321</v>
      </c>
      <c r="B1575" s="735" t="s">
        <v>9</v>
      </c>
      <c r="C1575" s="736">
        <v>18282.099999999999</v>
      </c>
      <c r="D1575" s="736">
        <v>21037.7</v>
      </c>
      <c r="E1575" s="749">
        <v>20818.7</v>
      </c>
      <c r="F1575" s="736">
        <v>19736.03</v>
      </c>
      <c r="G1575" s="736">
        <v>26884.1</v>
      </c>
      <c r="H1575" s="736"/>
      <c r="I1575" s="736"/>
      <c r="J1575" s="736">
        <f t="shared" si="553"/>
        <v>26884.1</v>
      </c>
      <c r="K1575" s="736">
        <v>900.18</v>
      </c>
      <c r="L1575" s="736"/>
      <c r="M1575" s="736">
        <f t="shared" si="554"/>
        <v>27784.28</v>
      </c>
      <c r="N1575" s="736"/>
      <c r="O1575" s="736"/>
      <c r="P1575" s="736">
        <f t="shared" si="555"/>
        <v>27784.28</v>
      </c>
      <c r="Q1575" s="738">
        <v>27784.28</v>
      </c>
      <c r="R1575" s="738">
        <v>13384.69</v>
      </c>
      <c r="S1575" s="751">
        <v>29491.52</v>
      </c>
      <c r="T1575" s="739">
        <v>1500521</v>
      </c>
      <c r="U1575" s="779">
        <v>27809.07</v>
      </c>
      <c r="V1575" s="741">
        <v>1500522</v>
      </c>
    </row>
    <row r="1576" spans="1:22" ht="15" x14ac:dyDescent="0.25">
      <c r="A1576" s="734">
        <v>1323</v>
      </c>
      <c r="B1576" s="735" t="s">
        <v>11</v>
      </c>
      <c r="C1576" s="736">
        <v>55032</v>
      </c>
      <c r="D1576" s="736">
        <v>56959.5</v>
      </c>
      <c r="E1576" s="749">
        <v>78829.38</v>
      </c>
      <c r="F1576" s="736">
        <v>83170.38</v>
      </c>
      <c r="G1576" s="736">
        <v>83970.5</v>
      </c>
      <c r="H1576" s="736"/>
      <c r="I1576" s="736"/>
      <c r="J1576" s="736">
        <f t="shared" si="553"/>
        <v>83970.5</v>
      </c>
      <c r="K1576" s="736">
        <v>2812.61</v>
      </c>
      <c r="L1576" s="736"/>
      <c r="M1576" s="736">
        <f t="shared" si="554"/>
        <v>86783.11</v>
      </c>
      <c r="N1576" s="736"/>
      <c r="O1576" s="736"/>
      <c r="P1576" s="736">
        <f t="shared" si="555"/>
        <v>86783.11</v>
      </c>
      <c r="Q1576" s="738">
        <v>86783.11</v>
      </c>
      <c r="R1576" s="738">
        <v>65493</v>
      </c>
      <c r="S1576" s="751">
        <v>92567</v>
      </c>
      <c r="T1576" s="739">
        <v>1500521</v>
      </c>
      <c r="U1576" s="779">
        <v>84632.24</v>
      </c>
      <c r="V1576" s="741">
        <v>1500522</v>
      </c>
    </row>
    <row r="1577" spans="1:22" ht="15" x14ac:dyDescent="0.25">
      <c r="A1577" s="734">
        <v>1413</v>
      </c>
      <c r="B1577" s="735" t="s">
        <v>13</v>
      </c>
      <c r="C1577" s="736">
        <v>75801.149999999994</v>
      </c>
      <c r="D1577" s="736">
        <v>76575.62</v>
      </c>
      <c r="E1577" s="749">
        <v>55820.62</v>
      </c>
      <c r="F1577" s="736">
        <v>69713.490000000005</v>
      </c>
      <c r="G1577" s="736">
        <v>122285.1</v>
      </c>
      <c r="H1577" s="736"/>
      <c r="I1577" s="736"/>
      <c r="J1577" s="736">
        <f t="shared" si="553"/>
        <v>122285.1</v>
      </c>
      <c r="K1577" s="736">
        <v>4143.91</v>
      </c>
      <c r="L1577" s="736"/>
      <c r="M1577" s="736">
        <f t="shared" si="554"/>
        <v>126429.01000000001</v>
      </c>
      <c r="N1577" s="736"/>
      <c r="O1577" s="736"/>
      <c r="P1577" s="736">
        <f t="shared" si="555"/>
        <v>126429.01000000001</v>
      </c>
      <c r="Q1577" s="738">
        <v>126429.01</v>
      </c>
      <c r="R1577" s="738">
        <v>87550.21</v>
      </c>
      <c r="S1577" s="751">
        <v>141758.39999999999</v>
      </c>
      <c r="T1577" s="739">
        <v>1500521</v>
      </c>
      <c r="U1577" s="779">
        <v>117700.02</v>
      </c>
      <c r="V1577" s="741">
        <v>1500522</v>
      </c>
    </row>
    <row r="1578" spans="1:22" ht="15" x14ac:dyDescent="0.25">
      <c r="A1578" s="734">
        <v>1421</v>
      </c>
      <c r="B1578" s="735" t="s">
        <v>15</v>
      </c>
      <c r="C1578" s="736">
        <v>47541.07</v>
      </c>
      <c r="D1578" s="736">
        <v>24920.400000000001</v>
      </c>
      <c r="E1578" s="749">
        <v>14556.4</v>
      </c>
      <c r="F1578" s="736">
        <v>22911.33</v>
      </c>
      <c r="G1578" s="736">
        <v>36885.799999999996</v>
      </c>
      <c r="H1578" s="736"/>
      <c r="I1578" s="736"/>
      <c r="J1578" s="736">
        <f t="shared" si="553"/>
        <v>36885.799999999996</v>
      </c>
      <c r="K1578" s="736">
        <v>1240.33</v>
      </c>
      <c r="L1578" s="736"/>
      <c r="M1578" s="736">
        <f t="shared" si="554"/>
        <v>38126.129999999997</v>
      </c>
      <c r="N1578" s="736"/>
      <c r="O1578" s="736"/>
      <c r="P1578" s="736">
        <f t="shared" si="555"/>
        <v>38126.129999999997</v>
      </c>
      <c r="Q1578" s="738">
        <v>38126.129999999997</v>
      </c>
      <c r="R1578" s="738">
        <v>24240.81</v>
      </c>
      <c r="S1578" s="751">
        <v>40653.839999999997</v>
      </c>
      <c r="T1578" s="739">
        <v>1500521</v>
      </c>
      <c r="U1578" s="779">
        <v>44361.87</v>
      </c>
      <c r="V1578" s="741">
        <v>1500522</v>
      </c>
    </row>
    <row r="1579" spans="1:22" ht="15" x14ac:dyDescent="0.25">
      <c r="A1579" s="734">
        <v>1431</v>
      </c>
      <c r="B1579" s="735" t="s">
        <v>16</v>
      </c>
      <c r="C1579" s="736">
        <v>45314.29</v>
      </c>
      <c r="D1579" s="736">
        <v>25668.080000000002</v>
      </c>
      <c r="E1579" s="749">
        <v>15179.08</v>
      </c>
      <c r="F1579" s="736">
        <v>24704.99</v>
      </c>
      <c r="G1579" s="736">
        <v>37992.299999999996</v>
      </c>
      <c r="H1579" s="736"/>
      <c r="I1579" s="736"/>
      <c r="J1579" s="736">
        <f t="shared" si="553"/>
        <v>37992.299999999996</v>
      </c>
      <c r="K1579" s="736">
        <v>1269.8599999999999</v>
      </c>
      <c r="L1579" s="736"/>
      <c r="M1579" s="736">
        <f t="shared" si="554"/>
        <v>39262.159999999996</v>
      </c>
      <c r="N1579" s="736"/>
      <c r="O1579" s="736"/>
      <c r="P1579" s="736">
        <f t="shared" si="555"/>
        <v>39262.159999999996</v>
      </c>
      <c r="Q1579" s="738">
        <v>39262.160000000003</v>
      </c>
      <c r="R1579" s="738">
        <v>24953.25</v>
      </c>
      <c r="S1579" s="751">
        <v>41873.64</v>
      </c>
      <c r="T1579" s="739">
        <v>1500521</v>
      </c>
      <c r="U1579" s="779">
        <v>44711.86</v>
      </c>
      <c r="V1579" s="741">
        <v>1500522</v>
      </c>
    </row>
    <row r="1580" spans="1:22" ht="15" x14ac:dyDescent="0.25">
      <c r="A1580" s="734">
        <v>1511</v>
      </c>
      <c r="B1580" s="735" t="s">
        <v>18</v>
      </c>
      <c r="C1580" s="736">
        <v>7698.04</v>
      </c>
      <c r="D1580" s="736">
        <v>8291.92</v>
      </c>
      <c r="E1580" s="749">
        <v>10247.92</v>
      </c>
      <c r="F1580" s="736">
        <v>10844.86</v>
      </c>
      <c r="G1580" s="736">
        <v>12226.800000000001</v>
      </c>
      <c r="H1580" s="736"/>
      <c r="I1580" s="736"/>
      <c r="J1580" s="736">
        <f t="shared" si="553"/>
        <v>12226.800000000001</v>
      </c>
      <c r="K1580" s="736">
        <v>409.65</v>
      </c>
      <c r="L1580" s="736"/>
      <c r="M1580" s="736">
        <f t="shared" si="554"/>
        <v>12636.45</v>
      </c>
      <c r="N1580" s="736"/>
      <c r="O1580" s="736"/>
      <c r="P1580" s="736">
        <f t="shared" si="555"/>
        <v>12636.45</v>
      </c>
      <c r="Q1580" s="738">
        <v>12636.45</v>
      </c>
      <c r="R1580" s="738">
        <v>8980.0499999999993</v>
      </c>
      <c r="S1580" s="751">
        <v>13478.92</v>
      </c>
      <c r="T1580" s="739">
        <v>1500521</v>
      </c>
      <c r="U1580" s="779">
        <v>12704.85</v>
      </c>
      <c r="V1580" s="741">
        <v>1500522</v>
      </c>
    </row>
    <row r="1581" spans="1:22" ht="15" x14ac:dyDescent="0.25">
      <c r="A1581" s="734">
        <v>1541</v>
      </c>
      <c r="B1581" s="735" t="s">
        <v>19</v>
      </c>
      <c r="C1581" s="736">
        <v>26667.49</v>
      </c>
      <c r="D1581" s="736">
        <v>31731.439999999999</v>
      </c>
      <c r="E1581" s="749">
        <v>22386.44</v>
      </c>
      <c r="F1581" s="736">
        <v>22158.92</v>
      </c>
      <c r="G1581" s="736">
        <v>44251.5</v>
      </c>
      <c r="H1581" s="736"/>
      <c r="I1581" s="736"/>
      <c r="J1581" s="736">
        <f t="shared" si="553"/>
        <v>44251.5</v>
      </c>
      <c r="K1581" s="736">
        <v>1684.39</v>
      </c>
      <c r="L1581" s="736"/>
      <c r="M1581" s="736">
        <f t="shared" si="554"/>
        <v>45935.89</v>
      </c>
      <c r="N1581" s="736"/>
      <c r="O1581" s="736"/>
      <c r="P1581" s="736">
        <f t="shared" si="555"/>
        <v>45935.89</v>
      </c>
      <c r="Q1581" s="738">
        <v>45935.89</v>
      </c>
      <c r="R1581" s="738">
        <v>29159.63</v>
      </c>
      <c r="S1581" s="751">
        <v>66674.14</v>
      </c>
      <c r="T1581" s="739">
        <v>1500521</v>
      </c>
      <c r="U1581" s="779">
        <v>66674.14</v>
      </c>
      <c r="V1581" s="741">
        <v>1500522</v>
      </c>
    </row>
    <row r="1582" spans="1:22" ht="15" x14ac:dyDescent="0.25">
      <c r="A1582" s="734">
        <v>1592</v>
      </c>
      <c r="B1582" s="735" t="s">
        <v>20</v>
      </c>
      <c r="C1582" s="736">
        <v>76757</v>
      </c>
      <c r="D1582" s="736">
        <v>82810</v>
      </c>
      <c r="E1582" s="749">
        <v>96660</v>
      </c>
      <c r="F1582" s="736">
        <v>101632.21</v>
      </c>
      <c r="G1582" s="736">
        <v>125267</v>
      </c>
      <c r="H1582" s="736"/>
      <c r="I1582" s="736"/>
      <c r="J1582" s="736">
        <f t="shared" si="553"/>
        <v>125267</v>
      </c>
      <c r="K1582" s="736">
        <v>4201.1000000000004</v>
      </c>
      <c r="L1582" s="736"/>
      <c r="M1582" s="736">
        <f t="shared" si="554"/>
        <v>129468.1</v>
      </c>
      <c r="N1582" s="736"/>
      <c r="O1582" s="736"/>
      <c r="P1582" s="736">
        <f t="shared" si="555"/>
        <v>129468.1</v>
      </c>
      <c r="Q1582" s="738">
        <v>139685.94</v>
      </c>
      <c r="R1582" s="738">
        <v>91849.88</v>
      </c>
      <c r="S1582" s="751">
        <v>136569.16</v>
      </c>
      <c r="T1582" s="739">
        <v>1500521</v>
      </c>
      <c r="U1582" s="779">
        <v>129841.89</v>
      </c>
      <c r="V1582" s="741">
        <v>1500522</v>
      </c>
    </row>
    <row r="1583" spans="1:22" ht="15" x14ac:dyDescent="0.2">
      <c r="A1583" s="734">
        <v>2111</v>
      </c>
      <c r="B1583" s="735" t="s">
        <v>22</v>
      </c>
      <c r="C1583" s="736">
        <v>8844</v>
      </c>
      <c r="D1583" s="736">
        <v>5000</v>
      </c>
      <c r="E1583" s="749">
        <v>3500</v>
      </c>
      <c r="F1583" s="736">
        <v>2871.52</v>
      </c>
      <c r="G1583" s="752">
        <v>3500</v>
      </c>
      <c r="H1583" s="752"/>
      <c r="I1583" s="752"/>
      <c r="J1583" s="736">
        <f t="shared" si="553"/>
        <v>3500</v>
      </c>
      <c r="K1583" s="752"/>
      <c r="L1583" s="752"/>
      <c r="M1583" s="736">
        <f t="shared" si="554"/>
        <v>3500</v>
      </c>
      <c r="N1583" s="736"/>
      <c r="O1583" s="736"/>
      <c r="P1583" s="736">
        <f t="shared" si="555"/>
        <v>3500</v>
      </c>
      <c r="Q1583" s="753">
        <v>3500</v>
      </c>
      <c r="R1583" s="738">
        <v>2186.4299999999998</v>
      </c>
      <c r="S1583" s="753">
        <v>3700</v>
      </c>
      <c r="T1583" s="739">
        <v>1100121</v>
      </c>
      <c r="U1583" s="754">
        <v>3700</v>
      </c>
      <c r="V1583" s="741">
        <v>1100122</v>
      </c>
    </row>
    <row r="1584" spans="1:22" ht="15" x14ac:dyDescent="0.2">
      <c r="A1584" s="734">
        <v>2112</v>
      </c>
      <c r="B1584" s="735" t="s">
        <v>39</v>
      </c>
      <c r="C1584" s="736">
        <v>3200</v>
      </c>
      <c r="D1584" s="736">
        <v>3600</v>
      </c>
      <c r="E1584" s="749">
        <v>3600</v>
      </c>
      <c r="F1584" s="736">
        <v>1900</v>
      </c>
      <c r="G1584" s="752">
        <v>3600</v>
      </c>
      <c r="H1584" s="752"/>
      <c r="I1584" s="752"/>
      <c r="J1584" s="736">
        <f t="shared" si="553"/>
        <v>3600</v>
      </c>
      <c r="K1584" s="752"/>
      <c r="L1584" s="752"/>
      <c r="M1584" s="736">
        <f t="shared" si="554"/>
        <v>3600</v>
      </c>
      <c r="N1584" s="736"/>
      <c r="O1584" s="736"/>
      <c r="P1584" s="736">
        <f t="shared" si="555"/>
        <v>3600</v>
      </c>
      <c r="Q1584" s="753">
        <v>3600</v>
      </c>
      <c r="R1584" s="738">
        <v>2580</v>
      </c>
      <c r="S1584" s="753">
        <v>6500</v>
      </c>
      <c r="T1584" s="739">
        <v>1100121</v>
      </c>
      <c r="U1584" s="754">
        <v>6500</v>
      </c>
      <c r="V1584" s="741">
        <v>1100122</v>
      </c>
    </row>
    <row r="1585" spans="1:22" ht="15" x14ac:dyDescent="0.2">
      <c r="A1585" s="739">
        <v>2121</v>
      </c>
      <c r="B1585" s="743" t="s">
        <v>24</v>
      </c>
      <c r="C1585" s="789"/>
      <c r="D1585" s="736">
        <v>3600</v>
      </c>
      <c r="E1585" s="749">
        <v>2520</v>
      </c>
      <c r="F1585" s="736">
        <v>1390</v>
      </c>
      <c r="G1585" s="752">
        <v>2520</v>
      </c>
      <c r="H1585" s="752"/>
      <c r="I1585" s="752"/>
      <c r="J1585" s="736">
        <f t="shared" si="553"/>
        <v>2520</v>
      </c>
      <c r="K1585" s="752"/>
      <c r="L1585" s="752"/>
      <c r="M1585" s="736">
        <f t="shared" si="554"/>
        <v>2520</v>
      </c>
      <c r="N1585" s="736"/>
      <c r="O1585" s="736"/>
      <c r="P1585" s="736">
        <f t="shared" si="555"/>
        <v>2520</v>
      </c>
      <c r="Q1585" s="753">
        <v>126</v>
      </c>
      <c r="R1585" s="738"/>
      <c r="S1585" s="753"/>
      <c r="T1585" s="739">
        <v>1100121</v>
      </c>
      <c r="U1585" s="745"/>
      <c r="V1585" s="739">
        <v>1100122</v>
      </c>
    </row>
    <row r="1586" spans="1:22" ht="15" x14ac:dyDescent="0.2">
      <c r="A1586" s="739">
        <v>3151</v>
      </c>
      <c r="B1586" s="743" t="s">
        <v>28</v>
      </c>
      <c r="C1586" s="736">
        <v>2455.08</v>
      </c>
      <c r="D1586" s="736"/>
      <c r="E1586" s="749"/>
      <c r="F1586" s="736"/>
      <c r="G1586" s="736"/>
      <c r="H1586" s="736"/>
      <c r="I1586" s="736"/>
      <c r="J1586" s="736">
        <f t="shared" si="553"/>
        <v>0</v>
      </c>
      <c r="K1586" s="736"/>
      <c r="L1586" s="736"/>
      <c r="M1586" s="736">
        <f t="shared" si="554"/>
        <v>0</v>
      </c>
      <c r="N1586" s="736"/>
      <c r="O1586" s="736"/>
      <c r="P1586" s="738">
        <f t="shared" si="555"/>
        <v>0</v>
      </c>
      <c r="Q1586" s="738"/>
      <c r="R1586" s="738"/>
      <c r="S1586" s="738"/>
      <c r="T1586" s="739"/>
      <c r="U1586" s="745"/>
      <c r="V1586" s="739"/>
    </row>
    <row r="1587" spans="1:22" ht="15" x14ac:dyDescent="0.2">
      <c r="A1587" s="734">
        <v>5111</v>
      </c>
      <c r="B1587" s="735" t="s">
        <v>35</v>
      </c>
      <c r="C1587" s="736"/>
      <c r="D1587" s="736"/>
      <c r="E1587" s="749"/>
      <c r="F1587" s="736"/>
      <c r="G1587" s="736"/>
      <c r="H1587" s="736"/>
      <c r="I1587" s="736"/>
      <c r="J1587" s="736"/>
      <c r="K1587" s="736"/>
      <c r="L1587" s="736"/>
      <c r="M1587" s="736"/>
      <c r="N1587" s="736"/>
      <c r="O1587" s="736"/>
      <c r="P1587" s="738"/>
      <c r="Q1587" s="738"/>
      <c r="R1587" s="738"/>
      <c r="S1587" s="738">
        <v>15000</v>
      </c>
      <c r="T1587" s="739"/>
      <c r="U1587" s="746">
        <v>15000</v>
      </c>
      <c r="V1587" s="741">
        <v>1100122</v>
      </c>
    </row>
    <row r="1588" spans="1:22" ht="15" x14ac:dyDescent="0.2">
      <c r="A1588" s="724" t="s">
        <v>248</v>
      </c>
      <c r="B1588" s="725" t="s">
        <v>249</v>
      </c>
      <c r="C1588" s="721">
        <f t="shared" ref="C1588:S1588" si="556">SUM(C1589+C1591+C1595+C1632)</f>
        <v>58355394.75</v>
      </c>
      <c r="D1588" s="721">
        <f t="shared" si="556"/>
        <v>53796176.32</v>
      </c>
      <c r="E1588" s="721">
        <f t="shared" si="556"/>
        <v>50601050.460000001</v>
      </c>
      <c r="F1588" s="721">
        <f t="shared" si="556"/>
        <v>46307243.739999995</v>
      </c>
      <c r="G1588" s="721">
        <f t="shared" si="556"/>
        <v>42683000.719999999</v>
      </c>
      <c r="H1588" s="721">
        <f t="shared" si="556"/>
        <v>0</v>
      </c>
      <c r="I1588" s="721">
        <f t="shared" si="556"/>
        <v>0</v>
      </c>
      <c r="J1588" s="721">
        <f t="shared" si="556"/>
        <v>42683000.719999999</v>
      </c>
      <c r="K1588" s="721">
        <f t="shared" si="556"/>
        <v>123223.28</v>
      </c>
      <c r="L1588" s="721">
        <f t="shared" si="556"/>
        <v>0</v>
      </c>
      <c r="M1588" s="721">
        <f t="shared" si="556"/>
        <v>42806224</v>
      </c>
      <c r="N1588" s="721">
        <f t="shared" si="556"/>
        <v>428290</v>
      </c>
      <c r="O1588" s="721">
        <f t="shared" si="556"/>
        <v>353000</v>
      </c>
      <c r="P1588" s="721">
        <f t="shared" si="556"/>
        <v>42881514</v>
      </c>
      <c r="Q1588" s="756">
        <f t="shared" si="556"/>
        <v>42833212.969999999</v>
      </c>
      <c r="R1588" s="756">
        <f t="shared" si="556"/>
        <v>29154227.739999998</v>
      </c>
      <c r="S1588" s="756">
        <f t="shared" si="556"/>
        <v>6762775.4999999991</v>
      </c>
      <c r="T1588" s="724"/>
      <c r="U1588" s="726">
        <f>SUM(U1589+U1591+U1595+U1632)</f>
        <v>44136499.810000002</v>
      </c>
      <c r="V1588" s="727"/>
    </row>
    <row r="1589" spans="1:22" ht="15" x14ac:dyDescent="0.2">
      <c r="A1589" s="728" t="s">
        <v>1770</v>
      </c>
      <c r="B1589" s="729" t="s">
        <v>1771</v>
      </c>
      <c r="C1589" s="730">
        <f t="shared" ref="C1589:S1589" si="557">C1590</f>
        <v>0</v>
      </c>
      <c r="D1589" s="730">
        <f t="shared" si="557"/>
        <v>0</v>
      </c>
      <c r="E1589" s="730">
        <f t="shared" si="557"/>
        <v>0</v>
      </c>
      <c r="F1589" s="730">
        <f t="shared" si="557"/>
        <v>0</v>
      </c>
      <c r="G1589" s="730">
        <f t="shared" si="557"/>
        <v>100000</v>
      </c>
      <c r="H1589" s="730">
        <f t="shared" si="557"/>
        <v>0</v>
      </c>
      <c r="I1589" s="730">
        <f t="shared" si="557"/>
        <v>0</v>
      </c>
      <c r="J1589" s="730">
        <f t="shared" si="557"/>
        <v>100000</v>
      </c>
      <c r="K1589" s="730">
        <f t="shared" si="557"/>
        <v>0</v>
      </c>
      <c r="L1589" s="730">
        <f t="shared" si="557"/>
        <v>0</v>
      </c>
      <c r="M1589" s="730">
        <f t="shared" si="557"/>
        <v>100000</v>
      </c>
      <c r="N1589" s="730">
        <f t="shared" si="557"/>
        <v>303290</v>
      </c>
      <c r="O1589" s="730">
        <f t="shared" si="557"/>
        <v>0</v>
      </c>
      <c r="P1589" s="730">
        <f t="shared" si="557"/>
        <v>403290</v>
      </c>
      <c r="Q1589" s="748">
        <f t="shared" si="557"/>
        <v>403290</v>
      </c>
      <c r="R1589" s="748">
        <f t="shared" si="557"/>
        <v>0</v>
      </c>
      <c r="S1589" s="748">
        <f t="shared" si="557"/>
        <v>0</v>
      </c>
      <c r="T1589" s="731"/>
      <c r="U1589" s="732">
        <f t="shared" ref="U1589" si="558">U1590</f>
        <v>0</v>
      </c>
      <c r="V1589" s="728"/>
    </row>
    <row r="1590" spans="1:22" ht="15" x14ac:dyDescent="0.2">
      <c r="A1590" s="808">
        <v>7993</v>
      </c>
      <c r="B1590" s="806" t="s">
        <v>1650</v>
      </c>
      <c r="C1590" s="823"/>
      <c r="D1590" s="823"/>
      <c r="E1590" s="823"/>
      <c r="F1590" s="823"/>
      <c r="G1590" s="752">
        <v>100000</v>
      </c>
      <c r="H1590" s="752"/>
      <c r="I1590" s="752"/>
      <c r="J1590" s="736">
        <f>G1590+H1590-I1590</f>
        <v>100000</v>
      </c>
      <c r="K1590" s="752"/>
      <c r="L1590" s="752"/>
      <c r="M1590" s="736">
        <f>J1590+K1590-L1590</f>
        <v>100000</v>
      </c>
      <c r="N1590" s="736">
        <f>300000+3290</f>
        <v>303290</v>
      </c>
      <c r="O1590" s="736"/>
      <c r="P1590" s="736">
        <f>M1590+N1590-O1590</f>
        <v>403290</v>
      </c>
      <c r="Q1590" s="753">
        <v>403290</v>
      </c>
      <c r="R1590" s="738"/>
      <c r="S1590" s="753"/>
      <c r="T1590" s="886">
        <v>1100121</v>
      </c>
      <c r="U1590" s="745"/>
      <c r="V1590" s="886">
        <v>1100122</v>
      </c>
    </row>
    <row r="1591" spans="1:22" ht="15" x14ac:dyDescent="0.2">
      <c r="A1591" s="728" t="s">
        <v>1772</v>
      </c>
      <c r="B1591" s="729" t="s">
        <v>1773</v>
      </c>
      <c r="C1591" s="730">
        <f t="shared" ref="C1591:S1591" si="559">SUM(C1592:C1594)</f>
        <v>285624.7</v>
      </c>
      <c r="D1591" s="730">
        <f t="shared" si="559"/>
        <v>1880646</v>
      </c>
      <c r="E1591" s="730">
        <f t="shared" si="559"/>
        <v>905201.36</v>
      </c>
      <c r="F1591" s="730">
        <f t="shared" si="559"/>
        <v>905201.36</v>
      </c>
      <c r="G1591" s="730">
        <f t="shared" si="559"/>
        <v>0</v>
      </c>
      <c r="H1591" s="730">
        <f t="shared" si="559"/>
        <v>0</v>
      </c>
      <c r="I1591" s="730">
        <f t="shared" si="559"/>
        <v>0</v>
      </c>
      <c r="J1591" s="730">
        <f t="shared" si="559"/>
        <v>0</v>
      </c>
      <c r="K1591" s="730">
        <f t="shared" si="559"/>
        <v>0</v>
      </c>
      <c r="L1591" s="730">
        <f t="shared" si="559"/>
        <v>0</v>
      </c>
      <c r="M1591" s="730">
        <f t="shared" si="559"/>
        <v>0</v>
      </c>
      <c r="N1591" s="730">
        <f t="shared" si="559"/>
        <v>0</v>
      </c>
      <c r="O1591" s="730">
        <f t="shared" si="559"/>
        <v>0</v>
      </c>
      <c r="P1591" s="748">
        <f t="shared" si="559"/>
        <v>0</v>
      </c>
      <c r="Q1591" s="748">
        <f t="shared" si="559"/>
        <v>0</v>
      </c>
      <c r="R1591" s="748">
        <f t="shared" si="559"/>
        <v>0</v>
      </c>
      <c r="S1591" s="748">
        <f t="shared" si="559"/>
        <v>0</v>
      </c>
      <c r="T1591" s="731"/>
      <c r="U1591" s="732">
        <f t="shared" ref="U1591" si="560">SUM(U1592:U1594)</f>
        <v>0</v>
      </c>
      <c r="V1591" s="728"/>
    </row>
    <row r="1592" spans="1:22" ht="15" x14ac:dyDescent="0.2">
      <c r="A1592" s="739">
        <v>2941</v>
      </c>
      <c r="B1592" s="743" t="s">
        <v>79</v>
      </c>
      <c r="C1592" s="736"/>
      <c r="D1592" s="736">
        <v>0</v>
      </c>
      <c r="E1592" s="749">
        <v>905201.36</v>
      </c>
      <c r="F1592" s="736">
        <v>905201.36</v>
      </c>
      <c r="G1592" s="736"/>
      <c r="H1592" s="736"/>
      <c r="I1592" s="736"/>
      <c r="J1592" s="736">
        <f t="shared" ref="J1592:J1594" si="561">G1592+H1592-I1592</f>
        <v>0</v>
      </c>
      <c r="K1592" s="736"/>
      <c r="L1592" s="736"/>
      <c r="M1592" s="736">
        <f t="shared" ref="M1592:M1594" si="562">J1592+K1592-L1592</f>
        <v>0</v>
      </c>
      <c r="N1592" s="736"/>
      <c r="O1592" s="736"/>
      <c r="P1592" s="738">
        <f t="shared" ref="P1592:P1594" si="563">M1592+N1592-O1592</f>
        <v>0</v>
      </c>
      <c r="Q1592" s="738"/>
      <c r="R1592" s="738"/>
      <c r="S1592" s="738"/>
      <c r="T1592" s="739">
        <v>1100118</v>
      </c>
      <c r="U1592" s="745"/>
      <c r="V1592" s="739">
        <v>1100118</v>
      </c>
    </row>
    <row r="1593" spans="1:22" ht="15" x14ac:dyDescent="0.2">
      <c r="A1593" s="739">
        <v>5151</v>
      </c>
      <c r="B1593" s="743" t="s">
        <v>36</v>
      </c>
      <c r="C1593" s="736"/>
      <c r="D1593" s="736">
        <v>1880646</v>
      </c>
      <c r="E1593" s="736"/>
      <c r="F1593" s="736">
        <v>0</v>
      </c>
      <c r="G1593" s="736"/>
      <c r="H1593" s="736"/>
      <c r="I1593" s="736"/>
      <c r="J1593" s="736">
        <f t="shared" si="561"/>
        <v>0</v>
      </c>
      <c r="K1593" s="736"/>
      <c r="L1593" s="736"/>
      <c r="M1593" s="736">
        <f t="shared" si="562"/>
        <v>0</v>
      </c>
      <c r="N1593" s="736"/>
      <c r="O1593" s="736"/>
      <c r="P1593" s="738">
        <f t="shared" si="563"/>
        <v>0</v>
      </c>
      <c r="Q1593" s="738"/>
      <c r="R1593" s="738"/>
      <c r="S1593" s="738"/>
      <c r="T1593" s="739">
        <v>2510121</v>
      </c>
      <c r="U1593" s="745"/>
      <c r="V1593" s="739">
        <v>2510122</v>
      </c>
    </row>
    <row r="1594" spans="1:22" ht="15" x14ac:dyDescent="0.2">
      <c r="A1594" s="739">
        <v>5971</v>
      </c>
      <c r="B1594" s="743" t="s">
        <v>250</v>
      </c>
      <c r="C1594" s="736">
        <v>285624.7</v>
      </c>
      <c r="D1594" s="736"/>
      <c r="E1594" s="736"/>
      <c r="F1594" s="736"/>
      <c r="G1594" s="736"/>
      <c r="H1594" s="736"/>
      <c r="I1594" s="736"/>
      <c r="J1594" s="736">
        <f t="shared" si="561"/>
        <v>0</v>
      </c>
      <c r="K1594" s="736"/>
      <c r="L1594" s="736"/>
      <c r="M1594" s="736">
        <f t="shared" si="562"/>
        <v>0</v>
      </c>
      <c r="N1594" s="736"/>
      <c r="O1594" s="736"/>
      <c r="P1594" s="738">
        <f t="shared" si="563"/>
        <v>0</v>
      </c>
      <c r="Q1594" s="738"/>
      <c r="R1594" s="738"/>
      <c r="S1594" s="738"/>
      <c r="T1594" s="739"/>
      <c r="U1594" s="745"/>
      <c r="V1594" s="739"/>
    </row>
    <row r="1595" spans="1:22" ht="15" x14ac:dyDescent="0.2">
      <c r="A1595" s="728" t="s">
        <v>251</v>
      </c>
      <c r="B1595" s="729" t="s">
        <v>1625</v>
      </c>
      <c r="C1595" s="730">
        <f t="shared" ref="C1595:S1595" si="564">SUM(C1596:C1631)</f>
        <v>5222470.0999999996</v>
      </c>
      <c r="D1595" s="730">
        <f t="shared" si="564"/>
        <v>7338097.6199999992</v>
      </c>
      <c r="E1595" s="730">
        <f t="shared" si="564"/>
        <v>7133600.6400000006</v>
      </c>
      <c r="F1595" s="730">
        <f t="shared" si="564"/>
        <v>4905496.26</v>
      </c>
      <c r="G1595" s="730">
        <f t="shared" si="564"/>
        <v>6864648.7999999998</v>
      </c>
      <c r="H1595" s="730">
        <f t="shared" si="564"/>
        <v>0</v>
      </c>
      <c r="I1595" s="730">
        <f t="shared" si="564"/>
        <v>0</v>
      </c>
      <c r="J1595" s="730">
        <f t="shared" si="564"/>
        <v>6864648.7999999998</v>
      </c>
      <c r="K1595" s="730">
        <f t="shared" si="564"/>
        <v>123223.28</v>
      </c>
      <c r="L1595" s="730">
        <f t="shared" si="564"/>
        <v>0</v>
      </c>
      <c r="M1595" s="730">
        <f t="shared" si="564"/>
        <v>6987872.0800000001</v>
      </c>
      <c r="N1595" s="730">
        <f t="shared" si="564"/>
        <v>125000</v>
      </c>
      <c r="O1595" s="730">
        <f t="shared" si="564"/>
        <v>353000</v>
      </c>
      <c r="P1595" s="730">
        <f t="shared" si="564"/>
        <v>6759872.0800000001</v>
      </c>
      <c r="Q1595" s="748">
        <f t="shared" si="564"/>
        <v>6711571.0499999998</v>
      </c>
      <c r="R1595" s="748">
        <f t="shared" si="564"/>
        <v>2392852.5900000003</v>
      </c>
      <c r="S1595" s="748">
        <f t="shared" si="564"/>
        <v>6762775.4999999991</v>
      </c>
      <c r="T1595" s="731"/>
      <c r="U1595" s="732">
        <f>SUM(U1596:U1631)</f>
        <v>7133491.8900000006</v>
      </c>
      <c r="V1595" s="733"/>
    </row>
    <row r="1596" spans="1:22" ht="15" x14ac:dyDescent="0.25">
      <c r="A1596" s="734">
        <v>1131</v>
      </c>
      <c r="B1596" s="735" t="s">
        <v>6</v>
      </c>
      <c r="C1596" s="736">
        <v>179650.37</v>
      </c>
      <c r="D1596" s="736">
        <v>348355.28</v>
      </c>
      <c r="E1596" s="749">
        <v>261673.86</v>
      </c>
      <c r="F1596" s="736">
        <v>189302.3</v>
      </c>
      <c r="G1596" s="736">
        <v>189507.80000000002</v>
      </c>
      <c r="H1596" s="736"/>
      <c r="I1596" s="736"/>
      <c r="J1596" s="736">
        <f t="shared" ref="J1596:J1629" si="565">G1596+H1596-I1596</f>
        <v>189507.80000000002</v>
      </c>
      <c r="K1596" s="736">
        <v>859.14</v>
      </c>
      <c r="L1596" s="736"/>
      <c r="M1596" s="736">
        <f t="shared" ref="M1596:M1629" si="566">J1596+K1596-L1596</f>
        <v>190366.94000000003</v>
      </c>
      <c r="N1596" s="736"/>
      <c r="O1596" s="736"/>
      <c r="P1596" s="736">
        <f t="shared" ref="P1596:P1629" si="567">M1596+N1596-O1596</f>
        <v>190366.94000000003</v>
      </c>
      <c r="Q1596" s="738">
        <v>190366.94</v>
      </c>
      <c r="R1596" s="738"/>
      <c r="S1596" s="751">
        <v>393724.24</v>
      </c>
      <c r="T1596" s="739">
        <v>1500521</v>
      </c>
      <c r="U1596" s="779">
        <v>196212.31</v>
      </c>
      <c r="V1596" s="741">
        <v>1500522</v>
      </c>
    </row>
    <row r="1597" spans="1:22" ht="15" x14ac:dyDescent="0.25">
      <c r="A1597" s="734">
        <v>1132</v>
      </c>
      <c r="B1597" s="735" t="s">
        <v>8</v>
      </c>
      <c r="C1597" s="736">
        <v>1403435.89</v>
      </c>
      <c r="D1597" s="736">
        <v>1479081.24</v>
      </c>
      <c r="E1597" s="749">
        <v>1481559.24</v>
      </c>
      <c r="F1597" s="736">
        <v>1532964</v>
      </c>
      <c r="G1597" s="736">
        <v>1544626.8</v>
      </c>
      <c r="H1597" s="736"/>
      <c r="I1597" s="736"/>
      <c r="J1597" s="736">
        <f t="shared" si="565"/>
        <v>1544626.8</v>
      </c>
      <c r="K1597" s="736">
        <v>16116.76</v>
      </c>
      <c r="L1597" s="736"/>
      <c r="M1597" s="736">
        <f t="shared" si="566"/>
        <v>1560743.56</v>
      </c>
      <c r="N1597" s="736"/>
      <c r="O1597" s="736"/>
      <c r="P1597" s="736">
        <f t="shared" si="567"/>
        <v>1560743.56</v>
      </c>
      <c r="Q1597" s="738">
        <v>1542820.76</v>
      </c>
      <c r="R1597" s="738"/>
      <c r="S1597" s="751">
        <v>1419858.44</v>
      </c>
      <c r="T1597" s="739">
        <v>1500521</v>
      </c>
      <c r="U1597" s="779">
        <v>1538281.86</v>
      </c>
      <c r="V1597" s="741">
        <v>1500522</v>
      </c>
    </row>
    <row r="1598" spans="1:22" ht="15" x14ac:dyDescent="0.25">
      <c r="A1598" s="734">
        <v>1321</v>
      </c>
      <c r="B1598" s="735" t="s">
        <v>9</v>
      </c>
      <c r="C1598" s="736">
        <v>89759.84</v>
      </c>
      <c r="D1598" s="736">
        <v>101738.28</v>
      </c>
      <c r="E1598" s="749">
        <v>95181.28</v>
      </c>
      <c r="F1598" s="736">
        <v>95033.94</v>
      </c>
      <c r="G1598" s="736">
        <v>109149.2</v>
      </c>
      <c r="H1598" s="736"/>
      <c r="I1598" s="736"/>
      <c r="J1598" s="736">
        <f t="shared" si="565"/>
        <v>109149.2</v>
      </c>
      <c r="K1598" s="736">
        <v>1495.69</v>
      </c>
      <c r="L1598" s="736"/>
      <c r="M1598" s="736">
        <f t="shared" si="566"/>
        <v>110644.89</v>
      </c>
      <c r="N1598" s="736"/>
      <c r="O1598" s="736"/>
      <c r="P1598" s="736">
        <f t="shared" si="567"/>
        <v>110644.89</v>
      </c>
      <c r="Q1598" s="738">
        <v>107702.25</v>
      </c>
      <c r="R1598" s="738"/>
      <c r="S1598" s="751">
        <v>109339.64</v>
      </c>
      <c r="T1598" s="739">
        <v>1500521</v>
      </c>
      <c r="U1598" s="779">
        <v>96413.34</v>
      </c>
      <c r="V1598" s="741">
        <v>1500522</v>
      </c>
    </row>
    <row r="1599" spans="1:22" ht="15" x14ac:dyDescent="0.25">
      <c r="A1599" s="734">
        <v>1323</v>
      </c>
      <c r="B1599" s="735" t="s">
        <v>11</v>
      </c>
      <c r="C1599" s="736">
        <v>273132</v>
      </c>
      <c r="D1599" s="736">
        <v>304240.5</v>
      </c>
      <c r="E1599" s="749">
        <v>346196.97</v>
      </c>
      <c r="F1599" s="736">
        <v>277968</v>
      </c>
      <c r="G1599" s="736">
        <v>287692.5</v>
      </c>
      <c r="H1599" s="736"/>
      <c r="I1599" s="736"/>
      <c r="J1599" s="736">
        <f t="shared" si="565"/>
        <v>287692.5</v>
      </c>
      <c r="K1599" s="736">
        <v>3614.51</v>
      </c>
      <c r="L1599" s="736"/>
      <c r="M1599" s="736">
        <f t="shared" si="566"/>
        <v>291307.01</v>
      </c>
      <c r="N1599" s="736"/>
      <c r="O1599" s="736"/>
      <c r="P1599" s="736">
        <f t="shared" si="567"/>
        <v>291307.01</v>
      </c>
      <c r="Q1599" s="738">
        <v>288221.01</v>
      </c>
      <c r="R1599" s="738"/>
      <c r="S1599" s="751">
        <v>301626.5</v>
      </c>
      <c r="T1599" s="739">
        <v>1500521</v>
      </c>
      <c r="U1599" s="779">
        <v>277060.78000000003</v>
      </c>
      <c r="V1599" s="741">
        <v>1500522</v>
      </c>
    </row>
    <row r="1600" spans="1:22" ht="15" x14ac:dyDescent="0.25">
      <c r="A1600" s="734">
        <v>1331</v>
      </c>
      <c r="B1600" s="735" t="s">
        <v>183</v>
      </c>
      <c r="C1600" s="736">
        <v>2657.88</v>
      </c>
      <c r="D1600" s="736">
        <v>53600</v>
      </c>
      <c r="E1600" s="749">
        <v>9648</v>
      </c>
      <c r="F1600" s="736">
        <v>2000</v>
      </c>
      <c r="G1600" s="736">
        <v>9648</v>
      </c>
      <c r="H1600" s="736"/>
      <c r="I1600" s="736"/>
      <c r="J1600" s="736">
        <f t="shared" si="565"/>
        <v>9648</v>
      </c>
      <c r="K1600" s="736"/>
      <c r="L1600" s="736"/>
      <c r="M1600" s="736">
        <f t="shared" si="566"/>
        <v>9648</v>
      </c>
      <c r="N1600" s="736"/>
      <c r="O1600" s="736"/>
      <c r="P1600" s="736">
        <f t="shared" si="567"/>
        <v>9648</v>
      </c>
      <c r="Q1600" s="738">
        <v>9648</v>
      </c>
      <c r="R1600" s="738"/>
      <c r="S1600" s="751">
        <v>9648</v>
      </c>
      <c r="T1600" s="739">
        <v>1500521</v>
      </c>
      <c r="U1600" s="779">
        <v>9648</v>
      </c>
      <c r="V1600" s="741">
        <v>1500522</v>
      </c>
    </row>
    <row r="1601" spans="1:22" ht="15" x14ac:dyDescent="0.25">
      <c r="A1601" s="734">
        <v>1413</v>
      </c>
      <c r="B1601" s="735" t="s">
        <v>13</v>
      </c>
      <c r="C1601" s="736">
        <v>224449.89</v>
      </c>
      <c r="D1601" s="736">
        <v>308699.90000000002</v>
      </c>
      <c r="E1601" s="749">
        <v>269000.15000000002</v>
      </c>
      <c r="F1601" s="736">
        <v>266219.13</v>
      </c>
      <c r="G1601" s="736">
        <v>328645.39999999997</v>
      </c>
      <c r="H1601" s="736"/>
      <c r="I1601" s="736"/>
      <c r="J1601" s="736">
        <f t="shared" si="565"/>
        <v>328645.39999999997</v>
      </c>
      <c r="K1601" s="736">
        <v>53385.73</v>
      </c>
      <c r="L1601" s="736"/>
      <c r="M1601" s="736">
        <f t="shared" si="566"/>
        <v>382031.12999999995</v>
      </c>
      <c r="N1601" s="736"/>
      <c r="O1601" s="736"/>
      <c r="P1601" s="736">
        <f t="shared" si="567"/>
        <v>382031.12999999995</v>
      </c>
      <c r="Q1601" s="738">
        <v>382031.13</v>
      </c>
      <c r="R1601" s="738"/>
      <c r="S1601" s="751">
        <v>379506.72</v>
      </c>
      <c r="T1601" s="739">
        <v>1500521</v>
      </c>
      <c r="U1601" s="779">
        <v>297693.95</v>
      </c>
      <c r="V1601" s="741">
        <v>1500522</v>
      </c>
    </row>
    <row r="1602" spans="1:22" ht="15" x14ac:dyDescent="0.25">
      <c r="A1602" s="734">
        <v>1421</v>
      </c>
      <c r="B1602" s="735" t="s">
        <v>15</v>
      </c>
      <c r="C1602" s="736">
        <v>81799.27</v>
      </c>
      <c r="D1602" s="736">
        <v>102761.62</v>
      </c>
      <c r="E1602" s="749">
        <v>82307.62</v>
      </c>
      <c r="F1602" s="736">
        <v>88579.18</v>
      </c>
      <c r="G1602" s="736">
        <v>103240</v>
      </c>
      <c r="H1602" s="736"/>
      <c r="I1602" s="736"/>
      <c r="J1602" s="736">
        <f t="shared" si="565"/>
        <v>103240</v>
      </c>
      <c r="K1602" s="736">
        <v>18297.18</v>
      </c>
      <c r="L1602" s="736"/>
      <c r="M1602" s="736">
        <f t="shared" si="566"/>
        <v>121537.18</v>
      </c>
      <c r="N1602" s="736"/>
      <c r="O1602" s="736"/>
      <c r="P1602" s="736">
        <f t="shared" si="567"/>
        <v>121537.18</v>
      </c>
      <c r="Q1602" s="738">
        <v>121537.18</v>
      </c>
      <c r="R1602" s="738"/>
      <c r="S1602" s="751">
        <v>112748.76</v>
      </c>
      <c r="T1602" s="739">
        <v>1500521</v>
      </c>
      <c r="U1602" s="779">
        <v>114243.96</v>
      </c>
      <c r="V1602" s="741">
        <v>1500522</v>
      </c>
    </row>
    <row r="1603" spans="1:22" ht="15" x14ac:dyDescent="0.25">
      <c r="A1603" s="734">
        <v>1431</v>
      </c>
      <c r="B1603" s="735" t="s">
        <v>16</v>
      </c>
      <c r="C1603" s="736">
        <v>87331.38</v>
      </c>
      <c r="D1603" s="736">
        <v>105844.52</v>
      </c>
      <c r="E1603" s="749">
        <v>86349.52</v>
      </c>
      <c r="F1603" s="736">
        <v>93696.639999999999</v>
      </c>
      <c r="G1603" s="736">
        <v>106337.3</v>
      </c>
      <c r="H1603" s="736"/>
      <c r="I1603" s="736"/>
      <c r="J1603" s="736">
        <f t="shared" si="565"/>
        <v>106337.3</v>
      </c>
      <c r="K1603" s="736">
        <v>18821.12</v>
      </c>
      <c r="L1603" s="736"/>
      <c r="M1603" s="736">
        <f t="shared" si="566"/>
        <v>125158.42</v>
      </c>
      <c r="N1603" s="736"/>
      <c r="O1603" s="736"/>
      <c r="P1603" s="736">
        <f t="shared" si="567"/>
        <v>125158.42</v>
      </c>
      <c r="Q1603" s="738">
        <v>125158.42</v>
      </c>
      <c r="R1603" s="738"/>
      <c r="S1603" s="751">
        <v>116131.32</v>
      </c>
      <c r="T1603" s="739">
        <v>1500521</v>
      </c>
      <c r="U1603" s="779">
        <v>116514.02</v>
      </c>
      <c r="V1603" s="741">
        <v>1500522</v>
      </c>
    </row>
    <row r="1604" spans="1:22" ht="15" x14ac:dyDescent="0.25">
      <c r="A1604" s="734">
        <v>1511</v>
      </c>
      <c r="B1604" s="735" t="s">
        <v>18</v>
      </c>
      <c r="C1604" s="736">
        <v>37740.25</v>
      </c>
      <c r="D1604" s="736">
        <v>44295.16</v>
      </c>
      <c r="E1604" s="749">
        <v>40066.160000000003</v>
      </c>
      <c r="F1604" s="736">
        <v>41441.550000000003</v>
      </c>
      <c r="G1604" s="736">
        <v>41889.199999999997</v>
      </c>
      <c r="H1604" s="736"/>
      <c r="I1604" s="736"/>
      <c r="J1604" s="736">
        <f t="shared" si="565"/>
        <v>41889.199999999997</v>
      </c>
      <c r="K1604" s="736">
        <v>526.98</v>
      </c>
      <c r="L1604" s="736"/>
      <c r="M1604" s="736">
        <f t="shared" si="566"/>
        <v>42416.18</v>
      </c>
      <c r="N1604" s="736"/>
      <c r="O1604" s="736"/>
      <c r="P1604" s="736">
        <f t="shared" si="567"/>
        <v>42416.18</v>
      </c>
      <c r="Q1604" s="738">
        <v>42416.18</v>
      </c>
      <c r="R1604" s="738"/>
      <c r="S1604" s="751">
        <v>43912.959999999999</v>
      </c>
      <c r="T1604" s="739">
        <v>1500521</v>
      </c>
      <c r="U1604" s="779">
        <v>41930.089999999997</v>
      </c>
      <c r="V1604" s="741">
        <v>1500522</v>
      </c>
    </row>
    <row r="1605" spans="1:22" ht="15" x14ac:dyDescent="0.25">
      <c r="A1605" s="734">
        <v>1541</v>
      </c>
      <c r="B1605" s="735" t="s">
        <v>19</v>
      </c>
      <c r="C1605" s="736">
        <v>65536.320000000007</v>
      </c>
      <c r="D1605" s="736">
        <v>73626.8</v>
      </c>
      <c r="E1605" s="749">
        <v>69852.800000000003</v>
      </c>
      <c r="F1605" s="736">
        <v>71766.31</v>
      </c>
      <c r="G1605" s="736">
        <v>89785.400000000009</v>
      </c>
      <c r="H1605" s="736"/>
      <c r="I1605" s="736"/>
      <c r="J1605" s="736">
        <f t="shared" si="565"/>
        <v>89785.400000000009</v>
      </c>
      <c r="K1605" s="736">
        <v>3417.26</v>
      </c>
      <c r="L1605" s="736"/>
      <c r="M1605" s="736">
        <f t="shared" si="566"/>
        <v>93202.66</v>
      </c>
      <c r="N1605" s="736"/>
      <c r="O1605" s="736"/>
      <c r="P1605" s="736">
        <f t="shared" si="567"/>
        <v>93202.66</v>
      </c>
      <c r="Q1605" s="738">
        <v>89183.24</v>
      </c>
      <c r="R1605" s="738"/>
      <c r="S1605" s="751">
        <v>81860.740000000005</v>
      </c>
      <c r="T1605" s="739">
        <v>1500521</v>
      </c>
      <c r="U1605" s="779">
        <v>80351.240000000005</v>
      </c>
      <c r="V1605" s="741">
        <v>1500522</v>
      </c>
    </row>
    <row r="1606" spans="1:22" ht="15" x14ac:dyDescent="0.25">
      <c r="A1606" s="734">
        <v>1592</v>
      </c>
      <c r="B1606" s="735" t="s">
        <v>20</v>
      </c>
      <c r="C1606" s="736">
        <v>330376.76</v>
      </c>
      <c r="D1606" s="736">
        <v>387434.32</v>
      </c>
      <c r="E1606" s="749">
        <v>350747.04</v>
      </c>
      <c r="F1606" s="736">
        <v>362803.53</v>
      </c>
      <c r="G1606" s="736">
        <v>366799.19999999995</v>
      </c>
      <c r="H1606" s="736"/>
      <c r="I1606" s="736"/>
      <c r="J1606" s="736">
        <f t="shared" si="565"/>
        <v>366799.19999999995</v>
      </c>
      <c r="K1606" s="736">
        <v>6688.91</v>
      </c>
      <c r="L1606" s="736"/>
      <c r="M1606" s="736">
        <f t="shared" si="566"/>
        <v>373488.10999999993</v>
      </c>
      <c r="N1606" s="736"/>
      <c r="O1606" s="736"/>
      <c r="P1606" s="736">
        <f t="shared" si="567"/>
        <v>373488.10999999993</v>
      </c>
      <c r="Q1606" s="738">
        <v>400326</v>
      </c>
      <c r="R1606" s="738"/>
      <c r="S1606" s="751">
        <v>382258.24</v>
      </c>
      <c r="T1606" s="739">
        <v>1500521</v>
      </c>
      <c r="U1606" s="779">
        <v>367936.2</v>
      </c>
      <c r="V1606" s="741">
        <v>1500522</v>
      </c>
    </row>
    <row r="1607" spans="1:22" ht="15" x14ac:dyDescent="0.25">
      <c r="A1607" s="734">
        <v>1711</v>
      </c>
      <c r="B1607" s="735" t="s">
        <v>218</v>
      </c>
      <c r="C1607" s="736"/>
      <c r="D1607" s="736">
        <v>78880</v>
      </c>
      <c r="E1607" s="749">
        <v>47328</v>
      </c>
      <c r="F1607" s="736">
        <v>0</v>
      </c>
      <c r="G1607" s="736">
        <v>47328</v>
      </c>
      <c r="H1607" s="736"/>
      <c r="I1607" s="736"/>
      <c r="J1607" s="736">
        <f t="shared" si="565"/>
        <v>47328</v>
      </c>
      <c r="K1607" s="736"/>
      <c r="L1607" s="736"/>
      <c r="M1607" s="736">
        <f t="shared" si="566"/>
        <v>47328</v>
      </c>
      <c r="N1607" s="736"/>
      <c r="O1607" s="736"/>
      <c r="P1607" s="736">
        <f t="shared" si="567"/>
        <v>47328</v>
      </c>
      <c r="Q1607" s="738">
        <v>47328</v>
      </c>
      <c r="R1607" s="738"/>
      <c r="S1607" s="751">
        <v>47328</v>
      </c>
      <c r="T1607" s="739">
        <v>1500521</v>
      </c>
      <c r="U1607" s="779">
        <v>47328</v>
      </c>
      <c r="V1607" s="741">
        <v>1500522</v>
      </c>
    </row>
    <row r="1608" spans="1:22" ht="15" x14ac:dyDescent="0.2">
      <c r="A1608" s="734">
        <v>2111</v>
      </c>
      <c r="B1608" s="735" t="s">
        <v>22</v>
      </c>
      <c r="C1608" s="736">
        <v>5100</v>
      </c>
      <c r="D1608" s="736">
        <v>10000</v>
      </c>
      <c r="E1608" s="749">
        <v>7000</v>
      </c>
      <c r="F1608" s="736">
        <v>6170.11</v>
      </c>
      <c r="G1608" s="749">
        <v>7000</v>
      </c>
      <c r="H1608" s="749"/>
      <c r="I1608" s="749"/>
      <c r="J1608" s="736">
        <f t="shared" si="565"/>
        <v>7000</v>
      </c>
      <c r="K1608" s="749"/>
      <c r="L1608" s="749"/>
      <c r="M1608" s="736">
        <f t="shared" si="566"/>
        <v>7000</v>
      </c>
      <c r="N1608" s="736"/>
      <c r="O1608" s="736"/>
      <c r="P1608" s="736">
        <f t="shared" si="567"/>
        <v>7000</v>
      </c>
      <c r="Q1608" s="783">
        <v>6958.01</v>
      </c>
      <c r="R1608" s="738">
        <v>4370.54</v>
      </c>
      <c r="S1608" s="783">
        <f t="shared" ref="S1608:S1629" si="568">Q1608</f>
        <v>6958.01</v>
      </c>
      <c r="T1608" s="739">
        <v>1100121</v>
      </c>
      <c r="U1608" s="742">
        <f>S1608</f>
        <v>6958.01</v>
      </c>
      <c r="V1608" s="741">
        <v>1100122</v>
      </c>
    </row>
    <row r="1609" spans="1:22" ht="15" x14ac:dyDescent="0.2">
      <c r="A1609" s="734">
        <v>2112</v>
      </c>
      <c r="B1609" s="735" t="s">
        <v>39</v>
      </c>
      <c r="C1609" s="736">
        <v>7359.85</v>
      </c>
      <c r="D1609" s="736">
        <v>8000</v>
      </c>
      <c r="E1609" s="749">
        <v>8000</v>
      </c>
      <c r="F1609" s="736">
        <v>8000</v>
      </c>
      <c r="G1609" s="749">
        <v>8000</v>
      </c>
      <c r="H1609" s="749"/>
      <c r="I1609" s="749"/>
      <c r="J1609" s="736">
        <f t="shared" si="565"/>
        <v>8000</v>
      </c>
      <c r="K1609" s="749"/>
      <c r="L1609" s="749"/>
      <c r="M1609" s="736">
        <f t="shared" si="566"/>
        <v>8000</v>
      </c>
      <c r="N1609" s="736"/>
      <c r="O1609" s="736"/>
      <c r="P1609" s="736">
        <f t="shared" si="567"/>
        <v>8000</v>
      </c>
      <c r="Q1609" s="783">
        <v>8000</v>
      </c>
      <c r="R1609" s="738">
        <v>2399.9899999999998</v>
      </c>
      <c r="S1609" s="783">
        <f t="shared" si="568"/>
        <v>8000</v>
      </c>
      <c r="T1609" s="739">
        <v>1100121</v>
      </c>
      <c r="U1609" s="742">
        <f>S1609</f>
        <v>8000</v>
      </c>
      <c r="V1609" s="741">
        <v>1100122</v>
      </c>
    </row>
    <row r="1610" spans="1:22" ht="15" x14ac:dyDescent="0.2">
      <c r="A1610" s="734">
        <v>2121</v>
      </c>
      <c r="B1610" s="735" t="s">
        <v>24</v>
      </c>
      <c r="C1610" s="736">
        <v>9306</v>
      </c>
      <c r="D1610" s="736">
        <v>9500</v>
      </c>
      <c r="E1610" s="749">
        <v>6650</v>
      </c>
      <c r="F1610" s="736">
        <v>5358</v>
      </c>
      <c r="G1610" s="749">
        <v>6650</v>
      </c>
      <c r="H1610" s="749"/>
      <c r="I1610" s="749"/>
      <c r="J1610" s="736">
        <f t="shared" si="565"/>
        <v>6650</v>
      </c>
      <c r="K1610" s="749"/>
      <c r="L1610" s="749"/>
      <c r="M1610" s="736">
        <f t="shared" si="566"/>
        <v>6650</v>
      </c>
      <c r="N1610" s="736"/>
      <c r="O1610" s="736"/>
      <c r="P1610" s="736">
        <f t="shared" si="567"/>
        <v>6650</v>
      </c>
      <c r="Q1610" s="783">
        <v>5379.13</v>
      </c>
      <c r="R1610" s="738">
        <v>3774.39</v>
      </c>
      <c r="S1610" s="783">
        <f t="shared" si="568"/>
        <v>5379.13</v>
      </c>
      <c r="T1610" s="739">
        <v>1100121</v>
      </c>
      <c r="U1610" s="742">
        <f>S1610</f>
        <v>5379.13</v>
      </c>
      <c r="V1610" s="741">
        <v>1100122</v>
      </c>
    </row>
    <row r="1611" spans="1:22" ht="15" x14ac:dyDescent="0.2">
      <c r="A1611" s="734">
        <v>2212</v>
      </c>
      <c r="B1611" s="735" t="s">
        <v>40</v>
      </c>
      <c r="C1611" s="736">
        <v>2408.81</v>
      </c>
      <c r="D1611" s="736">
        <v>8000</v>
      </c>
      <c r="E1611" s="749">
        <v>8000</v>
      </c>
      <c r="F1611" s="736">
        <v>5262.7</v>
      </c>
      <c r="G1611" s="749">
        <v>8000</v>
      </c>
      <c r="H1611" s="749"/>
      <c r="I1611" s="749"/>
      <c r="J1611" s="736">
        <f t="shared" si="565"/>
        <v>8000</v>
      </c>
      <c r="K1611" s="749"/>
      <c r="L1611" s="749"/>
      <c r="M1611" s="736">
        <f t="shared" si="566"/>
        <v>8000</v>
      </c>
      <c r="N1611" s="736"/>
      <c r="O1611" s="736"/>
      <c r="P1611" s="736">
        <f t="shared" si="567"/>
        <v>8000</v>
      </c>
      <c r="Q1611" s="783">
        <v>8000</v>
      </c>
      <c r="R1611" s="738"/>
      <c r="S1611" s="783">
        <f t="shared" si="568"/>
        <v>8000</v>
      </c>
      <c r="T1611" s="739">
        <v>1100121</v>
      </c>
      <c r="U1611" s="740">
        <v>5000</v>
      </c>
      <c r="V1611" s="741">
        <v>1100122</v>
      </c>
    </row>
    <row r="1612" spans="1:22" ht="15" x14ac:dyDescent="0.2">
      <c r="A1612" s="734">
        <v>2491</v>
      </c>
      <c r="B1612" s="735" t="s">
        <v>41</v>
      </c>
      <c r="C1612" s="736">
        <v>487.2</v>
      </c>
      <c r="D1612" s="736">
        <v>3000</v>
      </c>
      <c r="E1612" s="749">
        <v>3000</v>
      </c>
      <c r="F1612" s="736">
        <v>2675.5</v>
      </c>
      <c r="G1612" s="749">
        <v>3000</v>
      </c>
      <c r="H1612" s="749"/>
      <c r="I1612" s="749"/>
      <c r="J1612" s="736">
        <f t="shared" si="565"/>
        <v>3000</v>
      </c>
      <c r="K1612" s="749"/>
      <c r="L1612" s="749"/>
      <c r="M1612" s="736">
        <f t="shared" si="566"/>
        <v>3000</v>
      </c>
      <c r="N1612" s="736"/>
      <c r="O1612" s="736"/>
      <c r="P1612" s="736">
        <f t="shared" si="567"/>
        <v>3000</v>
      </c>
      <c r="Q1612" s="783">
        <v>3000</v>
      </c>
      <c r="R1612" s="738">
        <v>1870.18</v>
      </c>
      <c r="S1612" s="783">
        <f t="shared" si="568"/>
        <v>3000</v>
      </c>
      <c r="T1612" s="739">
        <v>1100121</v>
      </c>
      <c r="U1612" s="742">
        <f>S1612</f>
        <v>3000</v>
      </c>
      <c r="V1612" s="741">
        <v>1100122</v>
      </c>
    </row>
    <row r="1613" spans="1:22" ht="30" x14ac:dyDescent="0.2">
      <c r="A1613" s="734">
        <v>2612</v>
      </c>
      <c r="B1613" s="735" t="s">
        <v>26</v>
      </c>
      <c r="C1613" s="736">
        <v>62650.66</v>
      </c>
      <c r="D1613" s="736">
        <v>70000</v>
      </c>
      <c r="E1613" s="749">
        <v>70000</v>
      </c>
      <c r="F1613" s="736">
        <v>43842.01</v>
      </c>
      <c r="G1613" s="749">
        <v>70000</v>
      </c>
      <c r="H1613" s="749"/>
      <c r="I1613" s="749"/>
      <c r="J1613" s="736">
        <f t="shared" si="565"/>
        <v>70000</v>
      </c>
      <c r="K1613" s="752"/>
      <c r="L1613" s="749"/>
      <c r="M1613" s="736">
        <f t="shared" si="566"/>
        <v>70000</v>
      </c>
      <c r="N1613" s="736"/>
      <c r="O1613" s="736">
        <v>5000</v>
      </c>
      <c r="P1613" s="736">
        <f t="shared" si="567"/>
        <v>65000</v>
      </c>
      <c r="Q1613" s="783">
        <v>65000</v>
      </c>
      <c r="R1613" s="738">
        <v>48837.75</v>
      </c>
      <c r="S1613" s="738">
        <f t="shared" si="568"/>
        <v>65000</v>
      </c>
      <c r="T1613" s="739">
        <v>1100121</v>
      </c>
      <c r="U1613" s="740">
        <v>70000</v>
      </c>
      <c r="V1613" s="741">
        <v>1100122</v>
      </c>
    </row>
    <row r="1614" spans="1:22" ht="30" x14ac:dyDescent="0.25">
      <c r="A1614" s="739">
        <v>2612</v>
      </c>
      <c r="B1614" s="743" t="s">
        <v>26</v>
      </c>
      <c r="C1614" s="759">
        <v>-339908</v>
      </c>
      <c r="D1614" s="736">
        <v>0</v>
      </c>
      <c r="E1614" s="749">
        <v>0</v>
      </c>
      <c r="F1614" s="736">
        <v>-384693.64</v>
      </c>
      <c r="G1614" s="752"/>
      <c r="H1614" s="752"/>
      <c r="I1614" s="752"/>
      <c r="J1614" s="736">
        <f t="shared" si="565"/>
        <v>0</v>
      </c>
      <c r="K1614" s="752"/>
      <c r="L1614" s="752"/>
      <c r="M1614" s="736">
        <f t="shared" si="566"/>
        <v>0</v>
      </c>
      <c r="N1614" s="736"/>
      <c r="O1614" s="736"/>
      <c r="P1614" s="738">
        <f t="shared" si="567"/>
        <v>0</v>
      </c>
      <c r="Q1614" s="753"/>
      <c r="R1614" s="738"/>
      <c r="S1614" s="738">
        <f t="shared" si="568"/>
        <v>0</v>
      </c>
      <c r="T1614" s="739">
        <v>1701119</v>
      </c>
      <c r="U1614" s="785"/>
      <c r="V1614" s="739">
        <v>1701119</v>
      </c>
    </row>
    <row r="1615" spans="1:22" ht="15" x14ac:dyDescent="0.2">
      <c r="A1615" s="734">
        <v>3141</v>
      </c>
      <c r="B1615" s="735" t="s">
        <v>48</v>
      </c>
      <c r="C1615" s="736">
        <v>1012287.37</v>
      </c>
      <c r="D1615" s="736">
        <v>1250000</v>
      </c>
      <c r="E1615" s="749">
        <v>1250000</v>
      </c>
      <c r="F1615" s="736">
        <v>981688.13</v>
      </c>
      <c r="G1615" s="752">
        <v>1350000</v>
      </c>
      <c r="H1615" s="752"/>
      <c r="I1615" s="752"/>
      <c r="J1615" s="736">
        <f t="shared" si="565"/>
        <v>1350000</v>
      </c>
      <c r="K1615" s="752"/>
      <c r="L1615" s="752"/>
      <c r="M1615" s="736">
        <f t="shared" si="566"/>
        <v>1350000</v>
      </c>
      <c r="N1615" s="736"/>
      <c r="O1615" s="736"/>
      <c r="P1615" s="736">
        <f t="shared" si="567"/>
        <v>1350000</v>
      </c>
      <c r="Q1615" s="753">
        <v>1350000</v>
      </c>
      <c r="R1615" s="738">
        <v>958351.92</v>
      </c>
      <c r="S1615" s="783">
        <f t="shared" si="568"/>
        <v>1350000</v>
      </c>
      <c r="T1615" s="739">
        <v>1100121</v>
      </c>
      <c r="U1615" s="746">
        <v>1400000</v>
      </c>
      <c r="V1615" s="741">
        <v>1100122</v>
      </c>
    </row>
    <row r="1616" spans="1:22" ht="15" x14ac:dyDescent="0.2">
      <c r="A1616" s="734">
        <v>3151</v>
      </c>
      <c r="B1616" s="735" t="s">
        <v>28</v>
      </c>
      <c r="C1616" s="736">
        <v>43339.65</v>
      </c>
      <c r="D1616" s="736">
        <v>55000</v>
      </c>
      <c r="E1616" s="749">
        <v>55000</v>
      </c>
      <c r="F1616" s="736">
        <v>49044.2</v>
      </c>
      <c r="G1616" s="752">
        <v>65000</v>
      </c>
      <c r="H1616" s="752"/>
      <c r="I1616" s="752"/>
      <c r="J1616" s="736">
        <f t="shared" si="565"/>
        <v>65000</v>
      </c>
      <c r="K1616" s="752"/>
      <c r="L1616" s="752"/>
      <c r="M1616" s="736">
        <f t="shared" si="566"/>
        <v>65000</v>
      </c>
      <c r="N1616" s="736"/>
      <c r="O1616" s="736"/>
      <c r="P1616" s="736">
        <f t="shared" si="567"/>
        <v>65000</v>
      </c>
      <c r="Q1616" s="753">
        <v>65000</v>
      </c>
      <c r="R1616" s="738">
        <v>45300.84</v>
      </c>
      <c r="S1616" s="783">
        <f t="shared" si="568"/>
        <v>65000</v>
      </c>
      <c r="T1616" s="739">
        <v>1100121</v>
      </c>
      <c r="U1616" s="740">
        <v>75000</v>
      </c>
      <c r="V1616" s="741">
        <v>1100122</v>
      </c>
    </row>
    <row r="1617" spans="1:22" ht="15" x14ac:dyDescent="0.2">
      <c r="A1617" s="734">
        <v>3311</v>
      </c>
      <c r="B1617" s="735" t="s">
        <v>117</v>
      </c>
      <c r="C1617" s="736">
        <v>417600</v>
      </c>
      <c r="D1617" s="736">
        <v>420000</v>
      </c>
      <c r="E1617" s="749">
        <v>420000</v>
      </c>
      <c r="F1617" s="736">
        <v>400200</v>
      </c>
      <c r="G1617" s="749">
        <v>420000</v>
      </c>
      <c r="H1617" s="749"/>
      <c r="I1617" s="749"/>
      <c r="J1617" s="736">
        <f t="shared" si="565"/>
        <v>420000</v>
      </c>
      <c r="K1617" s="749"/>
      <c r="L1617" s="749"/>
      <c r="M1617" s="736">
        <f t="shared" si="566"/>
        <v>420000</v>
      </c>
      <c r="N1617" s="736"/>
      <c r="O1617" s="736"/>
      <c r="P1617" s="736">
        <f t="shared" si="567"/>
        <v>420000</v>
      </c>
      <c r="Q1617" s="783">
        <v>420000</v>
      </c>
      <c r="R1617" s="738">
        <v>295800</v>
      </c>
      <c r="S1617" s="783">
        <f t="shared" si="568"/>
        <v>420000</v>
      </c>
      <c r="T1617" s="739">
        <v>1100121</v>
      </c>
      <c r="U1617" s="740">
        <v>434000</v>
      </c>
      <c r="V1617" s="741">
        <v>1100122</v>
      </c>
    </row>
    <row r="1618" spans="1:22" ht="15" x14ac:dyDescent="0.2">
      <c r="A1618" s="734">
        <v>3331</v>
      </c>
      <c r="B1618" s="735" t="s">
        <v>171</v>
      </c>
      <c r="C1618" s="736">
        <v>936655.22</v>
      </c>
      <c r="D1618" s="736">
        <v>1200000</v>
      </c>
      <c r="E1618" s="749">
        <v>1200000</v>
      </c>
      <c r="F1618" s="736">
        <v>381129.22</v>
      </c>
      <c r="G1618" s="752">
        <v>700000</v>
      </c>
      <c r="H1618" s="752"/>
      <c r="I1618" s="752"/>
      <c r="J1618" s="736">
        <f t="shared" si="565"/>
        <v>700000</v>
      </c>
      <c r="K1618" s="752"/>
      <c r="L1618" s="752"/>
      <c r="M1618" s="736">
        <f t="shared" si="566"/>
        <v>700000</v>
      </c>
      <c r="N1618" s="736">
        <f>75000+50000</f>
        <v>125000</v>
      </c>
      <c r="O1618" s="736">
        <v>348000</v>
      </c>
      <c r="P1618" s="736">
        <f t="shared" si="567"/>
        <v>477000</v>
      </c>
      <c r="Q1618" s="753">
        <v>477000</v>
      </c>
      <c r="R1618" s="738">
        <v>458358.95</v>
      </c>
      <c r="S1618" s="783">
        <f t="shared" si="568"/>
        <v>477000</v>
      </c>
      <c r="T1618" s="739">
        <v>1100121</v>
      </c>
      <c r="U1618" s="742">
        <f>450000+450000</f>
        <v>900000</v>
      </c>
      <c r="V1618" s="741">
        <v>1100122</v>
      </c>
    </row>
    <row r="1619" spans="1:22" ht="15" x14ac:dyDescent="0.2">
      <c r="A1619" s="734">
        <v>3341</v>
      </c>
      <c r="B1619" s="735" t="s">
        <v>219</v>
      </c>
      <c r="C1619" s="736">
        <v>191370.5</v>
      </c>
      <c r="D1619" s="736">
        <v>50000</v>
      </c>
      <c r="E1619" s="749">
        <v>100000</v>
      </c>
      <c r="F1619" s="736">
        <v>98510.84</v>
      </c>
      <c r="G1619" s="749">
        <v>130000</v>
      </c>
      <c r="H1619" s="749"/>
      <c r="I1619" s="749"/>
      <c r="J1619" s="736">
        <f t="shared" si="565"/>
        <v>130000</v>
      </c>
      <c r="K1619" s="749"/>
      <c r="L1619" s="749"/>
      <c r="M1619" s="736">
        <f t="shared" si="566"/>
        <v>130000</v>
      </c>
      <c r="N1619" s="736"/>
      <c r="O1619" s="736"/>
      <c r="P1619" s="736">
        <f t="shared" si="567"/>
        <v>130000</v>
      </c>
      <c r="Q1619" s="783">
        <v>130000</v>
      </c>
      <c r="R1619" s="738"/>
      <c r="S1619" s="783">
        <f t="shared" si="568"/>
        <v>130000</v>
      </c>
      <c r="T1619" s="739">
        <v>1100121</v>
      </c>
      <c r="U1619" s="742">
        <f>S1619</f>
        <v>130000</v>
      </c>
      <c r="V1619" s="741">
        <v>1100122</v>
      </c>
    </row>
    <row r="1620" spans="1:22" ht="30" x14ac:dyDescent="0.2">
      <c r="A1620" s="739">
        <v>3361</v>
      </c>
      <c r="B1620" s="743" t="s">
        <v>29</v>
      </c>
      <c r="C1620" s="736"/>
      <c r="D1620" s="736">
        <v>5000</v>
      </c>
      <c r="E1620" s="749">
        <v>5000</v>
      </c>
      <c r="F1620" s="736">
        <v>0</v>
      </c>
      <c r="G1620" s="749">
        <v>5000</v>
      </c>
      <c r="H1620" s="749"/>
      <c r="I1620" s="749"/>
      <c r="J1620" s="736">
        <f t="shared" si="565"/>
        <v>5000</v>
      </c>
      <c r="K1620" s="749"/>
      <c r="L1620" s="749"/>
      <c r="M1620" s="736">
        <f t="shared" si="566"/>
        <v>5000</v>
      </c>
      <c r="N1620" s="736"/>
      <c r="O1620" s="736"/>
      <c r="P1620" s="736">
        <f t="shared" si="567"/>
        <v>5000</v>
      </c>
      <c r="Q1620" s="783">
        <v>5000</v>
      </c>
      <c r="R1620" s="738"/>
      <c r="S1620" s="783">
        <f t="shared" si="568"/>
        <v>5000</v>
      </c>
      <c r="T1620" s="739">
        <v>1100121</v>
      </c>
      <c r="U1620" s="745">
        <v>0</v>
      </c>
      <c r="V1620" s="739">
        <v>1100122</v>
      </c>
    </row>
    <row r="1621" spans="1:22" ht="15" x14ac:dyDescent="0.2">
      <c r="A1621" s="734">
        <v>3411</v>
      </c>
      <c r="B1621" s="735" t="s">
        <v>252</v>
      </c>
      <c r="C1621" s="736"/>
      <c r="D1621" s="736">
        <v>500000</v>
      </c>
      <c r="E1621" s="749">
        <v>500000</v>
      </c>
      <c r="F1621" s="736">
        <v>194382.17</v>
      </c>
      <c r="G1621" s="749">
        <v>500000</v>
      </c>
      <c r="H1621" s="749"/>
      <c r="I1621" s="749"/>
      <c r="J1621" s="736">
        <f t="shared" si="565"/>
        <v>500000</v>
      </c>
      <c r="K1621" s="749"/>
      <c r="L1621" s="749"/>
      <c r="M1621" s="736">
        <f t="shared" si="566"/>
        <v>500000</v>
      </c>
      <c r="N1621" s="736"/>
      <c r="O1621" s="736"/>
      <c r="P1621" s="736">
        <f t="shared" si="567"/>
        <v>500000</v>
      </c>
      <c r="Q1621" s="783">
        <v>500000</v>
      </c>
      <c r="R1621" s="738">
        <v>408446.59</v>
      </c>
      <c r="S1621" s="783">
        <f t="shared" si="568"/>
        <v>500000</v>
      </c>
      <c r="T1621" s="739">
        <v>1100121</v>
      </c>
      <c r="U1621" s="740">
        <v>600000</v>
      </c>
      <c r="V1621" s="741">
        <v>1100122</v>
      </c>
    </row>
    <row r="1622" spans="1:22" ht="15" x14ac:dyDescent="0.2">
      <c r="A1622" s="739">
        <v>3511</v>
      </c>
      <c r="B1622" s="743" t="s">
        <v>49</v>
      </c>
      <c r="C1622" s="736"/>
      <c r="D1622" s="736">
        <v>5000</v>
      </c>
      <c r="E1622" s="749">
        <v>5000</v>
      </c>
      <c r="F1622" s="736">
        <v>0</v>
      </c>
      <c r="G1622" s="749">
        <v>5000</v>
      </c>
      <c r="H1622" s="749"/>
      <c r="I1622" s="749"/>
      <c r="J1622" s="736">
        <f t="shared" si="565"/>
        <v>5000</v>
      </c>
      <c r="K1622" s="749"/>
      <c r="L1622" s="749"/>
      <c r="M1622" s="736">
        <f t="shared" si="566"/>
        <v>5000</v>
      </c>
      <c r="N1622" s="736"/>
      <c r="O1622" s="736"/>
      <c r="P1622" s="736">
        <f t="shared" si="567"/>
        <v>5000</v>
      </c>
      <c r="Q1622" s="783">
        <v>5000</v>
      </c>
      <c r="R1622" s="738"/>
      <c r="S1622" s="783">
        <f t="shared" si="568"/>
        <v>5000</v>
      </c>
      <c r="T1622" s="739">
        <v>1100121</v>
      </c>
      <c r="U1622" s="745">
        <v>0</v>
      </c>
      <c r="V1622" s="739">
        <v>1100122</v>
      </c>
    </row>
    <row r="1623" spans="1:22" ht="15" x14ac:dyDescent="0.2">
      <c r="A1623" s="734">
        <v>3551</v>
      </c>
      <c r="B1623" s="735" t="s">
        <v>30</v>
      </c>
      <c r="C1623" s="736">
        <v>18764.62</v>
      </c>
      <c r="D1623" s="736">
        <v>35000</v>
      </c>
      <c r="E1623" s="749">
        <v>35000</v>
      </c>
      <c r="F1623" s="736">
        <v>17513.080000000002</v>
      </c>
      <c r="G1623" s="749">
        <v>40000</v>
      </c>
      <c r="H1623" s="749"/>
      <c r="I1623" s="749"/>
      <c r="J1623" s="736">
        <f t="shared" si="565"/>
        <v>40000</v>
      </c>
      <c r="K1623" s="749"/>
      <c r="L1623" s="749"/>
      <c r="M1623" s="736">
        <f t="shared" si="566"/>
        <v>40000</v>
      </c>
      <c r="N1623" s="736"/>
      <c r="O1623" s="736"/>
      <c r="P1623" s="736">
        <f t="shared" si="567"/>
        <v>40000</v>
      </c>
      <c r="Q1623" s="783">
        <v>50000</v>
      </c>
      <c r="R1623" s="738">
        <v>32641.66</v>
      </c>
      <c r="S1623" s="738">
        <f t="shared" si="568"/>
        <v>50000</v>
      </c>
      <c r="T1623" s="739">
        <v>1100121</v>
      </c>
      <c r="U1623" s="740">
        <v>50000</v>
      </c>
      <c r="V1623" s="741">
        <v>1100122</v>
      </c>
    </row>
    <row r="1624" spans="1:22" ht="15" x14ac:dyDescent="0.2">
      <c r="A1624" s="734">
        <v>3611</v>
      </c>
      <c r="B1624" s="735" t="s">
        <v>66</v>
      </c>
      <c r="C1624" s="736"/>
      <c r="D1624" s="736">
        <v>100000</v>
      </c>
      <c r="E1624" s="749">
        <v>100000</v>
      </c>
      <c r="F1624" s="736">
        <v>5040.75</v>
      </c>
      <c r="G1624" s="749">
        <v>100000</v>
      </c>
      <c r="H1624" s="749"/>
      <c r="I1624" s="749"/>
      <c r="J1624" s="736">
        <f t="shared" si="565"/>
        <v>100000</v>
      </c>
      <c r="K1624" s="749"/>
      <c r="L1624" s="749"/>
      <c r="M1624" s="736">
        <f t="shared" si="566"/>
        <v>100000</v>
      </c>
      <c r="N1624" s="736"/>
      <c r="O1624" s="736"/>
      <c r="P1624" s="736">
        <f t="shared" si="567"/>
        <v>100000</v>
      </c>
      <c r="Q1624" s="783">
        <v>100000</v>
      </c>
      <c r="R1624" s="738">
        <v>81597.119999999995</v>
      </c>
      <c r="S1624" s="783">
        <f t="shared" si="568"/>
        <v>100000</v>
      </c>
      <c r="T1624" s="739">
        <v>1100121</v>
      </c>
      <c r="U1624" s="742">
        <f>S1624</f>
        <v>100000</v>
      </c>
      <c r="V1624" s="741">
        <v>1100122</v>
      </c>
    </row>
    <row r="1625" spans="1:22" ht="15" x14ac:dyDescent="0.2">
      <c r="A1625" s="734">
        <v>3612</v>
      </c>
      <c r="B1625" s="735" t="s">
        <v>188</v>
      </c>
      <c r="C1625" s="736">
        <v>44882.92</v>
      </c>
      <c r="D1625" s="736">
        <v>50000</v>
      </c>
      <c r="E1625" s="749">
        <v>50000</v>
      </c>
      <c r="F1625" s="736">
        <v>38644.5</v>
      </c>
      <c r="G1625" s="749">
        <v>50000</v>
      </c>
      <c r="H1625" s="749"/>
      <c r="I1625" s="749"/>
      <c r="J1625" s="736">
        <f t="shared" si="565"/>
        <v>50000</v>
      </c>
      <c r="K1625" s="749"/>
      <c r="L1625" s="749"/>
      <c r="M1625" s="736">
        <f t="shared" si="566"/>
        <v>50000</v>
      </c>
      <c r="N1625" s="736"/>
      <c r="O1625" s="736"/>
      <c r="P1625" s="736">
        <f t="shared" si="567"/>
        <v>50000</v>
      </c>
      <c r="Q1625" s="783">
        <v>50000</v>
      </c>
      <c r="R1625" s="738">
        <v>32734</v>
      </c>
      <c r="S1625" s="783">
        <f t="shared" si="568"/>
        <v>50000</v>
      </c>
      <c r="T1625" s="739">
        <v>1100121</v>
      </c>
      <c r="U1625" s="742">
        <f>S1625</f>
        <v>50000</v>
      </c>
      <c r="V1625" s="741">
        <v>1100122</v>
      </c>
    </row>
    <row r="1626" spans="1:22" ht="15" x14ac:dyDescent="0.2">
      <c r="A1626" s="734">
        <v>3751</v>
      </c>
      <c r="B1626" s="735" t="s">
        <v>44</v>
      </c>
      <c r="C1626" s="736">
        <v>4080.99</v>
      </c>
      <c r="D1626" s="736">
        <v>15000</v>
      </c>
      <c r="E1626" s="749">
        <v>15000</v>
      </c>
      <c r="F1626" s="736">
        <v>1756</v>
      </c>
      <c r="G1626" s="749">
        <v>15000</v>
      </c>
      <c r="H1626" s="749"/>
      <c r="I1626" s="749"/>
      <c r="J1626" s="736">
        <f t="shared" si="565"/>
        <v>15000</v>
      </c>
      <c r="K1626" s="749"/>
      <c r="L1626" s="749"/>
      <c r="M1626" s="736">
        <f t="shared" si="566"/>
        <v>15000</v>
      </c>
      <c r="N1626" s="736"/>
      <c r="O1626" s="736"/>
      <c r="P1626" s="736">
        <f t="shared" si="567"/>
        <v>15000</v>
      </c>
      <c r="Q1626" s="783">
        <v>15000</v>
      </c>
      <c r="R1626" s="738">
        <v>2935.5</v>
      </c>
      <c r="S1626" s="783">
        <f t="shared" si="568"/>
        <v>15000</v>
      </c>
      <c r="T1626" s="739">
        <v>1100121</v>
      </c>
      <c r="U1626" s="742">
        <f>S1626</f>
        <v>15000</v>
      </c>
      <c r="V1626" s="741">
        <v>1100122</v>
      </c>
    </row>
    <row r="1627" spans="1:22" ht="15" x14ac:dyDescent="0.2">
      <c r="A1627" s="734">
        <v>3791</v>
      </c>
      <c r="B1627" s="735" t="s">
        <v>45</v>
      </c>
      <c r="C1627" s="736">
        <v>9445.01</v>
      </c>
      <c r="D1627" s="736">
        <v>15000</v>
      </c>
      <c r="E1627" s="749">
        <v>15000</v>
      </c>
      <c r="F1627" s="736">
        <v>15247.17</v>
      </c>
      <c r="G1627" s="749">
        <v>15000</v>
      </c>
      <c r="H1627" s="749"/>
      <c r="I1627" s="749"/>
      <c r="J1627" s="736">
        <f t="shared" si="565"/>
        <v>15000</v>
      </c>
      <c r="K1627" s="749"/>
      <c r="L1627" s="749"/>
      <c r="M1627" s="736">
        <f t="shared" si="566"/>
        <v>15000</v>
      </c>
      <c r="N1627" s="736"/>
      <c r="O1627" s="736"/>
      <c r="P1627" s="736">
        <f t="shared" si="567"/>
        <v>15000</v>
      </c>
      <c r="Q1627" s="783">
        <v>15000</v>
      </c>
      <c r="R1627" s="738">
        <v>6378</v>
      </c>
      <c r="S1627" s="783">
        <f t="shared" si="568"/>
        <v>15000</v>
      </c>
      <c r="T1627" s="739">
        <v>1100121</v>
      </c>
      <c r="U1627" s="742">
        <f>S1627</f>
        <v>15000</v>
      </c>
      <c r="V1627" s="741">
        <v>1100122</v>
      </c>
    </row>
    <row r="1628" spans="1:22" ht="15" x14ac:dyDescent="0.2">
      <c r="A1628" s="734">
        <v>3852</v>
      </c>
      <c r="B1628" s="735" t="s">
        <v>32</v>
      </c>
      <c r="C1628" s="736">
        <v>19067.43</v>
      </c>
      <c r="D1628" s="736">
        <v>40000</v>
      </c>
      <c r="E1628" s="749">
        <v>40000</v>
      </c>
      <c r="F1628" s="736">
        <v>12575.94</v>
      </c>
      <c r="G1628" s="749">
        <v>40000</v>
      </c>
      <c r="H1628" s="749"/>
      <c r="I1628" s="749"/>
      <c r="J1628" s="736">
        <f t="shared" si="565"/>
        <v>40000</v>
      </c>
      <c r="K1628" s="749"/>
      <c r="L1628" s="749"/>
      <c r="M1628" s="736">
        <f t="shared" si="566"/>
        <v>40000</v>
      </c>
      <c r="N1628" s="736"/>
      <c r="O1628" s="736"/>
      <c r="P1628" s="736">
        <f t="shared" si="567"/>
        <v>40000</v>
      </c>
      <c r="Q1628" s="783">
        <v>40000</v>
      </c>
      <c r="R1628" s="738">
        <v>6947.16</v>
      </c>
      <c r="S1628" s="783">
        <f t="shared" si="568"/>
        <v>40000</v>
      </c>
      <c r="T1628" s="739">
        <v>1100121</v>
      </c>
      <c r="U1628" s="742">
        <v>30000</v>
      </c>
      <c r="V1628" s="741">
        <v>1100122</v>
      </c>
    </row>
    <row r="1629" spans="1:22" ht="15" x14ac:dyDescent="0.2">
      <c r="A1629" s="734">
        <v>3921</v>
      </c>
      <c r="B1629" s="735" t="s">
        <v>33</v>
      </c>
      <c r="C1629" s="736">
        <v>1702.02</v>
      </c>
      <c r="D1629" s="736">
        <v>1040</v>
      </c>
      <c r="E1629" s="749">
        <v>1040</v>
      </c>
      <c r="F1629" s="736">
        <v>527</v>
      </c>
      <c r="G1629" s="749">
        <v>2350</v>
      </c>
      <c r="H1629" s="749"/>
      <c r="I1629" s="749"/>
      <c r="J1629" s="736">
        <f t="shared" si="565"/>
        <v>2350</v>
      </c>
      <c r="K1629" s="749"/>
      <c r="L1629" s="749"/>
      <c r="M1629" s="736">
        <f t="shared" si="566"/>
        <v>2350</v>
      </c>
      <c r="N1629" s="736"/>
      <c r="O1629" s="736"/>
      <c r="P1629" s="736">
        <f t="shared" si="567"/>
        <v>2350</v>
      </c>
      <c r="Q1629" s="783">
        <v>2350</v>
      </c>
      <c r="R1629" s="738">
        <v>2108</v>
      </c>
      <c r="S1629" s="783">
        <f t="shared" si="568"/>
        <v>2350</v>
      </c>
      <c r="T1629" s="739">
        <v>1100121</v>
      </c>
      <c r="U1629" s="740">
        <v>2541</v>
      </c>
      <c r="V1629" s="741">
        <v>1100122</v>
      </c>
    </row>
    <row r="1630" spans="1:22" ht="15" x14ac:dyDescent="0.2">
      <c r="A1630" s="739">
        <v>3921</v>
      </c>
      <c r="B1630" s="743" t="s">
        <v>33</v>
      </c>
      <c r="C1630" s="736"/>
      <c r="D1630" s="736"/>
      <c r="E1630" s="749"/>
      <c r="F1630" s="736"/>
      <c r="G1630" s="749"/>
      <c r="H1630" s="749"/>
      <c r="I1630" s="749"/>
      <c r="J1630" s="736"/>
      <c r="K1630" s="749"/>
      <c r="L1630" s="749"/>
      <c r="M1630" s="736"/>
      <c r="N1630" s="736"/>
      <c r="O1630" s="736"/>
      <c r="P1630" s="736"/>
      <c r="Q1630" s="783"/>
      <c r="R1630" s="738"/>
      <c r="S1630" s="783"/>
      <c r="T1630" s="739"/>
      <c r="U1630" s="745"/>
      <c r="V1630" s="739"/>
    </row>
    <row r="1631" spans="1:22" ht="15" x14ac:dyDescent="0.2">
      <c r="A1631" s="734">
        <v>3951</v>
      </c>
      <c r="B1631" s="735" t="s">
        <v>198</v>
      </c>
      <c r="C1631" s="736"/>
      <c r="D1631" s="736">
        <v>100000</v>
      </c>
      <c r="E1631" s="749">
        <v>100000</v>
      </c>
      <c r="F1631" s="736">
        <v>848</v>
      </c>
      <c r="G1631" s="749">
        <v>100000</v>
      </c>
      <c r="H1631" s="749"/>
      <c r="I1631" s="749"/>
      <c r="J1631" s="736">
        <f>G1631+H1631-I1631</f>
        <v>100000</v>
      </c>
      <c r="K1631" s="749"/>
      <c r="L1631" s="749"/>
      <c r="M1631" s="736">
        <f>J1631+K1631-L1631</f>
        <v>100000</v>
      </c>
      <c r="N1631" s="736"/>
      <c r="O1631" s="736"/>
      <c r="P1631" s="736">
        <f>M1631+N1631-O1631</f>
        <v>100000</v>
      </c>
      <c r="Q1631" s="783">
        <v>44144.800000000003</v>
      </c>
      <c r="R1631" s="738"/>
      <c r="S1631" s="783">
        <f>Q1631</f>
        <v>44144.800000000003</v>
      </c>
      <c r="T1631" s="739">
        <v>1100121</v>
      </c>
      <c r="U1631" s="742">
        <v>50000</v>
      </c>
      <c r="V1631" s="741">
        <v>1100122</v>
      </c>
    </row>
    <row r="1632" spans="1:22" ht="15" x14ac:dyDescent="0.2">
      <c r="A1632" s="728" t="s">
        <v>253</v>
      </c>
      <c r="B1632" s="729" t="s">
        <v>74</v>
      </c>
      <c r="C1632" s="730">
        <f t="shared" ref="C1632:S1632" si="569">SUM(C1633:C1634)</f>
        <v>52847299.950000003</v>
      </c>
      <c r="D1632" s="730">
        <f t="shared" si="569"/>
        <v>44577432.700000003</v>
      </c>
      <c r="E1632" s="730">
        <f t="shared" si="569"/>
        <v>42562248.460000001</v>
      </c>
      <c r="F1632" s="730">
        <f t="shared" si="569"/>
        <v>40496546.119999997</v>
      </c>
      <c r="G1632" s="730">
        <f t="shared" si="569"/>
        <v>35718351.920000002</v>
      </c>
      <c r="H1632" s="730">
        <f t="shared" si="569"/>
        <v>0</v>
      </c>
      <c r="I1632" s="730">
        <f t="shared" si="569"/>
        <v>0</v>
      </c>
      <c r="J1632" s="730">
        <f t="shared" si="569"/>
        <v>35718351.920000002</v>
      </c>
      <c r="K1632" s="730">
        <f t="shared" si="569"/>
        <v>0</v>
      </c>
      <c r="L1632" s="730">
        <f t="shared" si="569"/>
        <v>0</v>
      </c>
      <c r="M1632" s="730">
        <f t="shared" si="569"/>
        <v>35718351.920000002</v>
      </c>
      <c r="N1632" s="730">
        <f t="shared" si="569"/>
        <v>0</v>
      </c>
      <c r="O1632" s="730">
        <f t="shared" si="569"/>
        <v>0</v>
      </c>
      <c r="P1632" s="730">
        <f t="shared" si="569"/>
        <v>35718351.920000002</v>
      </c>
      <c r="Q1632" s="748">
        <f t="shared" si="569"/>
        <v>35718351.920000002</v>
      </c>
      <c r="R1632" s="748">
        <f t="shared" si="569"/>
        <v>26761375.149999999</v>
      </c>
      <c r="S1632" s="748">
        <f t="shared" si="569"/>
        <v>0</v>
      </c>
      <c r="T1632" s="731"/>
      <c r="U1632" s="732">
        <f>SUM(U1633:U1634)</f>
        <v>37003007.920000002</v>
      </c>
      <c r="V1632" s="733"/>
    </row>
    <row r="1633" spans="1:22" ht="15" x14ac:dyDescent="0.2">
      <c r="A1633" s="734">
        <v>9111</v>
      </c>
      <c r="B1633" s="735" t="s">
        <v>75</v>
      </c>
      <c r="C1633" s="736">
        <v>27244249.349999998</v>
      </c>
      <c r="D1633" s="736">
        <v>23536625.920000002</v>
      </c>
      <c r="E1633" s="749">
        <v>23536625.920000002</v>
      </c>
      <c r="F1633" s="736">
        <v>23536625.879999999</v>
      </c>
      <c r="G1633" s="749">
        <v>23536625.920000002</v>
      </c>
      <c r="H1633" s="749"/>
      <c r="I1633" s="749"/>
      <c r="J1633" s="736">
        <f t="shared" ref="J1633:J1634" si="570">G1633+H1633-I1633</f>
        <v>23536625.920000002</v>
      </c>
      <c r="K1633" s="749"/>
      <c r="L1633" s="749"/>
      <c r="M1633" s="736">
        <f t="shared" ref="M1633:M1634" si="571">J1633+K1633-L1633</f>
        <v>23536625.920000002</v>
      </c>
      <c r="N1633" s="736"/>
      <c r="O1633" s="736"/>
      <c r="P1633" s="736">
        <f t="shared" ref="P1633:P1634" si="572">M1633+N1633-O1633</f>
        <v>23536625.920000002</v>
      </c>
      <c r="Q1633" s="783">
        <v>23536625.920000002</v>
      </c>
      <c r="R1633" s="738">
        <v>17652469.41</v>
      </c>
      <c r="S1633" s="783"/>
      <c r="T1633" s="739">
        <v>2510221</v>
      </c>
      <c r="U1633" s="740">
        <v>23536625.920000002</v>
      </c>
      <c r="V1633" s="741">
        <v>2510222</v>
      </c>
    </row>
    <row r="1634" spans="1:22" ht="15" x14ac:dyDescent="0.2">
      <c r="A1634" s="734">
        <v>9211</v>
      </c>
      <c r="B1634" s="735" t="s">
        <v>76</v>
      </c>
      <c r="C1634" s="736">
        <v>25603050.600000001</v>
      </c>
      <c r="D1634" s="736">
        <v>21040806.780000001</v>
      </c>
      <c r="E1634" s="749">
        <v>19025622.539999999</v>
      </c>
      <c r="F1634" s="736">
        <v>16959920.239999998</v>
      </c>
      <c r="G1634" s="749">
        <v>12181726</v>
      </c>
      <c r="H1634" s="749"/>
      <c r="I1634" s="749"/>
      <c r="J1634" s="736">
        <f t="shared" si="570"/>
        <v>12181726</v>
      </c>
      <c r="K1634" s="749"/>
      <c r="L1634" s="749"/>
      <c r="M1634" s="736">
        <f t="shared" si="571"/>
        <v>12181726</v>
      </c>
      <c r="N1634" s="736"/>
      <c r="O1634" s="736"/>
      <c r="P1634" s="736">
        <f t="shared" si="572"/>
        <v>12181726</v>
      </c>
      <c r="Q1634" s="783">
        <v>12181726</v>
      </c>
      <c r="R1634" s="738">
        <v>9108905.7400000002</v>
      </c>
      <c r="S1634" s="783"/>
      <c r="T1634" s="739">
        <v>2510221</v>
      </c>
      <c r="U1634" s="740">
        <v>13466382</v>
      </c>
      <c r="V1634" s="741">
        <v>2510222</v>
      </c>
    </row>
    <row r="1635" spans="1:22" ht="15" x14ac:dyDescent="0.2">
      <c r="A1635" s="724" t="s">
        <v>254</v>
      </c>
      <c r="B1635" s="725" t="s">
        <v>255</v>
      </c>
      <c r="C1635" s="721">
        <f t="shared" ref="C1635:S1635" si="573">SUM(C1636)</f>
        <v>7635026.9800000004</v>
      </c>
      <c r="D1635" s="721">
        <f t="shared" si="573"/>
        <v>10697499.25</v>
      </c>
      <c r="E1635" s="721">
        <f t="shared" si="573"/>
        <v>8180541.9700000007</v>
      </c>
      <c r="F1635" s="721">
        <f t="shared" si="573"/>
        <v>8112327.2800000003</v>
      </c>
      <c r="G1635" s="721">
        <f t="shared" si="573"/>
        <v>9337342.0199999977</v>
      </c>
      <c r="H1635" s="721">
        <f t="shared" si="573"/>
        <v>39000</v>
      </c>
      <c r="I1635" s="721">
        <f t="shared" si="573"/>
        <v>0</v>
      </c>
      <c r="J1635" s="721">
        <f t="shared" si="573"/>
        <v>9376342.0199999977</v>
      </c>
      <c r="K1635" s="721">
        <f t="shared" si="573"/>
        <v>222401.14</v>
      </c>
      <c r="L1635" s="721">
        <f t="shared" si="573"/>
        <v>36751.01</v>
      </c>
      <c r="M1635" s="721">
        <f t="shared" si="573"/>
        <v>9561992.1499999985</v>
      </c>
      <c r="N1635" s="721">
        <f t="shared" si="573"/>
        <v>65786.010000000009</v>
      </c>
      <c r="O1635" s="721">
        <f t="shared" si="573"/>
        <v>73992.61</v>
      </c>
      <c r="P1635" s="721">
        <f t="shared" si="573"/>
        <v>9553785.549999997</v>
      </c>
      <c r="Q1635" s="756">
        <f t="shared" si="573"/>
        <v>9557977.2199999988</v>
      </c>
      <c r="R1635" s="756">
        <f t="shared" si="573"/>
        <v>333969.87999999995</v>
      </c>
      <c r="S1635" s="756">
        <f t="shared" si="573"/>
        <v>12495129.619999999</v>
      </c>
      <c r="T1635" s="724"/>
      <c r="U1635" s="726">
        <f t="shared" ref="U1635" si="574">SUM(U1636)</f>
        <v>9533728.2200000007</v>
      </c>
      <c r="V1635" s="727"/>
    </row>
    <row r="1636" spans="1:22" ht="15" x14ac:dyDescent="0.2">
      <c r="A1636" s="728" t="s">
        <v>256</v>
      </c>
      <c r="B1636" s="729" t="s">
        <v>1613</v>
      </c>
      <c r="C1636" s="730">
        <f t="shared" ref="C1636:S1636" si="575">SUM(C1637:C1672)</f>
        <v>7635026.9800000004</v>
      </c>
      <c r="D1636" s="730">
        <f t="shared" si="575"/>
        <v>10697499.25</v>
      </c>
      <c r="E1636" s="730">
        <f t="shared" si="575"/>
        <v>8180541.9700000007</v>
      </c>
      <c r="F1636" s="730">
        <f t="shared" si="575"/>
        <v>8112327.2800000003</v>
      </c>
      <c r="G1636" s="730">
        <f t="shared" si="575"/>
        <v>9337342.0199999977</v>
      </c>
      <c r="H1636" s="730">
        <f t="shared" si="575"/>
        <v>39000</v>
      </c>
      <c r="I1636" s="730">
        <f t="shared" si="575"/>
        <v>0</v>
      </c>
      <c r="J1636" s="730">
        <f t="shared" si="575"/>
        <v>9376342.0199999977</v>
      </c>
      <c r="K1636" s="730">
        <f t="shared" si="575"/>
        <v>222401.14</v>
      </c>
      <c r="L1636" s="730">
        <f t="shared" si="575"/>
        <v>36751.01</v>
      </c>
      <c r="M1636" s="730">
        <f t="shared" si="575"/>
        <v>9561992.1499999985</v>
      </c>
      <c r="N1636" s="730">
        <f t="shared" si="575"/>
        <v>65786.010000000009</v>
      </c>
      <c r="O1636" s="730">
        <f t="shared" si="575"/>
        <v>73992.61</v>
      </c>
      <c r="P1636" s="730">
        <f t="shared" si="575"/>
        <v>9553785.549999997</v>
      </c>
      <c r="Q1636" s="748">
        <f t="shared" si="575"/>
        <v>9557977.2199999988</v>
      </c>
      <c r="R1636" s="748">
        <f t="shared" si="575"/>
        <v>333969.87999999995</v>
      </c>
      <c r="S1636" s="748">
        <f t="shared" si="575"/>
        <v>12495129.619999999</v>
      </c>
      <c r="T1636" s="731"/>
      <c r="U1636" s="732">
        <f>SUM(U1637:U1672)</f>
        <v>9533728.2200000007</v>
      </c>
      <c r="V1636" s="733"/>
    </row>
    <row r="1637" spans="1:22" ht="15" x14ac:dyDescent="0.25">
      <c r="A1637" s="734">
        <v>1131</v>
      </c>
      <c r="B1637" s="735" t="s">
        <v>6</v>
      </c>
      <c r="C1637" s="736">
        <v>1445736.56</v>
      </c>
      <c r="D1637" s="736">
        <v>2265452.2799999998</v>
      </c>
      <c r="E1637" s="749">
        <v>1238246.73</v>
      </c>
      <c r="F1637" s="736">
        <v>1349994.79</v>
      </c>
      <c r="G1637" s="736">
        <v>1344174.27</v>
      </c>
      <c r="H1637" s="736"/>
      <c r="I1637" s="736"/>
      <c r="J1637" s="736">
        <f t="shared" ref="J1637:J1648" si="576">G1637+H1637-I1637</f>
        <v>1344174.27</v>
      </c>
      <c r="K1637" s="736">
        <f>6083.25-11.34</f>
        <v>6071.91</v>
      </c>
      <c r="L1637" s="736"/>
      <c r="M1637" s="736">
        <f t="shared" ref="M1637:M1648" si="577">J1637+K1637-L1637</f>
        <v>1350246.18</v>
      </c>
      <c r="N1637" s="736">
        <v>0.01</v>
      </c>
      <c r="O1637" s="736"/>
      <c r="P1637" s="736">
        <f t="shared" ref="P1637:P1669" si="578">M1637+N1637-O1637</f>
        <v>1350246.19</v>
      </c>
      <c r="Q1637" s="738">
        <v>1341280.77</v>
      </c>
      <c r="R1637" s="738"/>
      <c r="S1637" s="751">
        <v>2560492.48</v>
      </c>
      <c r="T1637" s="739">
        <v>1500521</v>
      </c>
      <c r="U1637" s="779">
        <v>1377552.27</v>
      </c>
      <c r="V1637" s="741">
        <v>1500522</v>
      </c>
    </row>
    <row r="1638" spans="1:22" ht="15" x14ac:dyDescent="0.25">
      <c r="A1638" s="734">
        <v>1132</v>
      </c>
      <c r="B1638" s="735" t="s">
        <v>8</v>
      </c>
      <c r="C1638" s="736">
        <v>1386430.94</v>
      </c>
      <c r="D1638" s="736">
        <v>1600282.32</v>
      </c>
      <c r="E1638" s="749">
        <v>1622845.02</v>
      </c>
      <c r="F1638" s="736">
        <v>1681063.57</v>
      </c>
      <c r="G1638" s="736">
        <v>1681097.6</v>
      </c>
      <c r="H1638" s="736"/>
      <c r="I1638" s="736"/>
      <c r="J1638" s="736">
        <f t="shared" si="576"/>
        <v>1681097.6</v>
      </c>
      <c r="K1638" s="736">
        <v>44867.51</v>
      </c>
      <c r="L1638" s="736"/>
      <c r="M1638" s="736">
        <f t="shared" si="577"/>
        <v>1725965.11</v>
      </c>
      <c r="N1638" s="736"/>
      <c r="O1638" s="736"/>
      <c r="P1638" s="736">
        <f t="shared" si="578"/>
        <v>1725965.11</v>
      </c>
      <c r="Q1638" s="738">
        <v>1717161.12</v>
      </c>
      <c r="R1638" s="738"/>
      <c r="S1638" s="751">
        <v>2059581.16</v>
      </c>
      <c r="T1638" s="739">
        <v>1500521</v>
      </c>
      <c r="U1638" s="779">
        <v>1762093.6</v>
      </c>
      <c r="V1638" s="741">
        <v>1500522</v>
      </c>
    </row>
    <row r="1639" spans="1:22" ht="15" x14ac:dyDescent="0.25">
      <c r="A1639" s="734">
        <v>1212</v>
      </c>
      <c r="B1639" s="735" t="s">
        <v>53</v>
      </c>
      <c r="C1639" s="736">
        <v>1240295.8999999999</v>
      </c>
      <c r="D1639" s="736">
        <v>1364407.2</v>
      </c>
      <c r="E1639" s="749">
        <v>1490315.96</v>
      </c>
      <c r="F1639" s="736">
        <v>1471954.44</v>
      </c>
      <c r="G1639" s="736">
        <v>1496350.8</v>
      </c>
      <c r="H1639" s="736"/>
      <c r="I1639" s="736"/>
      <c r="J1639" s="736">
        <f t="shared" si="576"/>
        <v>1496350.8</v>
      </c>
      <c r="K1639" s="736">
        <v>22571.279999999999</v>
      </c>
      <c r="L1639" s="736"/>
      <c r="M1639" s="736">
        <f t="shared" si="577"/>
        <v>1518922.08</v>
      </c>
      <c r="N1639" s="736"/>
      <c r="O1639" s="736"/>
      <c r="P1639" s="736">
        <f t="shared" si="578"/>
        <v>1518922.08</v>
      </c>
      <c r="Q1639" s="738">
        <v>1493909.32</v>
      </c>
      <c r="R1639" s="738"/>
      <c r="S1639" s="751">
        <v>1469048.4</v>
      </c>
      <c r="T1639" s="739">
        <v>1500521</v>
      </c>
      <c r="U1639" s="779">
        <v>1401224.41</v>
      </c>
      <c r="V1639" s="741">
        <v>1500522</v>
      </c>
    </row>
    <row r="1640" spans="1:22" ht="15" x14ac:dyDescent="0.25">
      <c r="A1640" s="734">
        <v>1321</v>
      </c>
      <c r="B1640" s="735" t="s">
        <v>9</v>
      </c>
      <c r="C1640" s="736">
        <v>177455.07</v>
      </c>
      <c r="D1640" s="736">
        <v>227317.33</v>
      </c>
      <c r="E1640" s="749">
        <v>181012.33</v>
      </c>
      <c r="F1640" s="736">
        <v>178340.71</v>
      </c>
      <c r="G1640" s="736">
        <v>190306.1</v>
      </c>
      <c r="H1640" s="736"/>
      <c r="I1640" s="736"/>
      <c r="J1640" s="736">
        <f t="shared" si="576"/>
        <v>190306.1</v>
      </c>
      <c r="K1640" s="736">
        <v>3570.01</v>
      </c>
      <c r="L1640" s="736"/>
      <c r="M1640" s="736">
        <f t="shared" si="577"/>
        <v>193876.11000000002</v>
      </c>
      <c r="N1640" s="736"/>
      <c r="O1640" s="736"/>
      <c r="P1640" s="736">
        <f t="shared" si="578"/>
        <v>193876.11000000002</v>
      </c>
      <c r="Q1640" s="738">
        <v>193876.11</v>
      </c>
      <c r="R1640" s="738"/>
      <c r="S1640" s="751">
        <v>272445.28999999998</v>
      </c>
      <c r="T1640" s="739">
        <v>1500521</v>
      </c>
      <c r="U1640" s="779">
        <v>194182.19</v>
      </c>
      <c r="V1640" s="741">
        <v>1500522</v>
      </c>
    </row>
    <row r="1641" spans="1:22" ht="15" x14ac:dyDescent="0.25">
      <c r="A1641" s="734">
        <v>1323</v>
      </c>
      <c r="B1641" s="735" t="s">
        <v>11</v>
      </c>
      <c r="C1641" s="736">
        <v>549122.9</v>
      </c>
      <c r="D1641" s="736">
        <v>714334.8</v>
      </c>
      <c r="E1641" s="749">
        <v>609925.16</v>
      </c>
      <c r="F1641" s="736">
        <v>561588.68000000005</v>
      </c>
      <c r="G1641" s="736">
        <v>566249</v>
      </c>
      <c r="H1641" s="736"/>
      <c r="I1641" s="736"/>
      <c r="J1641" s="736">
        <f t="shared" si="576"/>
        <v>566249</v>
      </c>
      <c r="K1641" s="736">
        <v>16003.6</v>
      </c>
      <c r="L1641" s="736"/>
      <c r="M1641" s="736">
        <f t="shared" si="577"/>
        <v>582252.6</v>
      </c>
      <c r="N1641" s="736"/>
      <c r="O1641" s="736"/>
      <c r="P1641" s="736">
        <f t="shared" si="578"/>
        <v>582252.6</v>
      </c>
      <c r="Q1641" s="738">
        <v>582252.6</v>
      </c>
      <c r="R1641" s="738"/>
      <c r="S1641" s="751">
        <v>846587.35</v>
      </c>
      <c r="T1641" s="739">
        <v>1500521</v>
      </c>
      <c r="U1641" s="779">
        <v>571666.56000000006</v>
      </c>
      <c r="V1641" s="741">
        <v>1500522</v>
      </c>
    </row>
    <row r="1642" spans="1:22" ht="15" x14ac:dyDescent="0.25">
      <c r="A1642" s="734">
        <v>1413</v>
      </c>
      <c r="B1642" s="735" t="s">
        <v>13</v>
      </c>
      <c r="C1642" s="736">
        <v>779157.37</v>
      </c>
      <c r="D1642" s="736">
        <v>1107508.56</v>
      </c>
      <c r="E1642" s="749">
        <v>877272.36</v>
      </c>
      <c r="F1642" s="736">
        <v>863136.61</v>
      </c>
      <c r="G1642" s="736">
        <v>996968.29999999993</v>
      </c>
      <c r="H1642" s="736"/>
      <c r="I1642" s="736"/>
      <c r="J1642" s="736">
        <f t="shared" si="576"/>
        <v>996968.29999999993</v>
      </c>
      <c r="K1642" s="736">
        <v>29423.71</v>
      </c>
      <c r="L1642" s="736"/>
      <c r="M1642" s="736">
        <f t="shared" si="577"/>
        <v>1026392.0099999999</v>
      </c>
      <c r="N1642" s="736"/>
      <c r="O1642" s="736"/>
      <c r="P1642" s="736">
        <f t="shared" si="578"/>
        <v>1026392.0099999999</v>
      </c>
      <c r="Q1642" s="738">
        <v>1013884.53</v>
      </c>
      <c r="R1642" s="738"/>
      <c r="S1642" s="751">
        <v>1478399.76</v>
      </c>
      <c r="T1642" s="739">
        <v>1500521</v>
      </c>
      <c r="U1642" s="779">
        <v>960835.11</v>
      </c>
      <c r="V1642" s="741">
        <v>1500522</v>
      </c>
    </row>
    <row r="1643" spans="1:22" ht="15" x14ac:dyDescent="0.25">
      <c r="A1643" s="734">
        <v>1421</v>
      </c>
      <c r="B1643" s="735" t="s">
        <v>15</v>
      </c>
      <c r="C1643" s="736">
        <v>272650.83</v>
      </c>
      <c r="D1643" s="736">
        <v>353820.96</v>
      </c>
      <c r="E1643" s="749">
        <v>255405.31</v>
      </c>
      <c r="F1643" s="736">
        <v>274341.3</v>
      </c>
      <c r="G1643" s="736">
        <v>299643.39999999997</v>
      </c>
      <c r="H1643" s="736"/>
      <c r="I1643" s="736"/>
      <c r="J1643" s="736">
        <f t="shared" si="576"/>
        <v>299643.39999999997</v>
      </c>
      <c r="K1643" s="736">
        <v>8544.7900000000009</v>
      </c>
      <c r="L1643" s="736"/>
      <c r="M1643" s="736">
        <f t="shared" si="577"/>
        <v>308188.18999999994</v>
      </c>
      <c r="N1643" s="736"/>
      <c r="O1643" s="736"/>
      <c r="P1643" s="736">
        <f t="shared" si="578"/>
        <v>308188.18999999994</v>
      </c>
      <c r="Q1643" s="738">
        <v>308188.19</v>
      </c>
      <c r="R1643" s="738"/>
      <c r="S1643" s="751">
        <v>422659.8</v>
      </c>
      <c r="T1643" s="739">
        <v>1500521</v>
      </c>
      <c r="U1643" s="779">
        <v>358547.35</v>
      </c>
      <c r="V1643" s="741">
        <v>1500522</v>
      </c>
    </row>
    <row r="1644" spans="1:22" ht="15" x14ac:dyDescent="0.25">
      <c r="A1644" s="734">
        <v>1431</v>
      </c>
      <c r="B1644" s="735" t="s">
        <v>16</v>
      </c>
      <c r="C1644" s="736">
        <v>290920.83</v>
      </c>
      <c r="D1644" s="736">
        <v>364435.82</v>
      </c>
      <c r="E1644" s="749">
        <v>267597.32</v>
      </c>
      <c r="F1644" s="736">
        <v>289710.90000000002</v>
      </c>
      <c r="G1644" s="736">
        <v>308633.09999999998</v>
      </c>
      <c r="H1644" s="736"/>
      <c r="I1644" s="736"/>
      <c r="J1644" s="736">
        <f t="shared" si="576"/>
        <v>308633.09999999998</v>
      </c>
      <c r="K1644" s="736">
        <v>8737.3799999999992</v>
      </c>
      <c r="L1644" s="736"/>
      <c r="M1644" s="736">
        <f t="shared" si="577"/>
        <v>317370.48</v>
      </c>
      <c r="N1644" s="736"/>
      <c r="O1644" s="736"/>
      <c r="P1644" s="736">
        <f t="shared" si="578"/>
        <v>317370.48</v>
      </c>
      <c r="Q1644" s="738">
        <v>317370.48</v>
      </c>
      <c r="R1644" s="738"/>
      <c r="S1644" s="751">
        <v>435339.24</v>
      </c>
      <c r="T1644" s="739">
        <v>1500521</v>
      </c>
      <c r="U1644" s="779">
        <v>366455.31</v>
      </c>
      <c r="V1644" s="741">
        <v>1500522</v>
      </c>
    </row>
    <row r="1645" spans="1:22" ht="15" x14ac:dyDescent="0.25">
      <c r="A1645" s="734">
        <v>1511</v>
      </c>
      <c r="B1645" s="735" t="s">
        <v>18</v>
      </c>
      <c r="C1645" s="736">
        <v>67556.92</v>
      </c>
      <c r="D1645" s="736">
        <v>95713.8</v>
      </c>
      <c r="E1645" s="749">
        <v>69445.240000000005</v>
      </c>
      <c r="F1645" s="736">
        <v>72018.52</v>
      </c>
      <c r="G1645" s="736">
        <v>73375.200000000012</v>
      </c>
      <c r="H1645" s="736"/>
      <c r="I1645" s="736"/>
      <c r="J1645" s="736">
        <f t="shared" si="576"/>
        <v>73375.200000000012</v>
      </c>
      <c r="K1645" s="736">
        <v>2116.1999999999998</v>
      </c>
      <c r="L1645" s="736"/>
      <c r="M1645" s="736">
        <f t="shared" si="577"/>
        <v>75491.400000000009</v>
      </c>
      <c r="N1645" s="736"/>
      <c r="O1645" s="736"/>
      <c r="P1645" s="736">
        <f t="shared" si="578"/>
        <v>75491.400000000009</v>
      </c>
      <c r="Q1645" s="738">
        <v>75491.399999999994</v>
      </c>
      <c r="R1645" s="738"/>
      <c r="S1645" s="751">
        <v>114343.32</v>
      </c>
      <c r="T1645" s="739">
        <v>1500521</v>
      </c>
      <c r="U1645" s="779">
        <v>76442.539999999994</v>
      </c>
      <c r="V1645" s="741">
        <v>1500522</v>
      </c>
    </row>
    <row r="1646" spans="1:22" ht="15" x14ac:dyDescent="0.25">
      <c r="A1646" s="734">
        <v>1541</v>
      </c>
      <c r="B1646" s="735" t="s">
        <v>19</v>
      </c>
      <c r="C1646" s="736">
        <v>375766.05</v>
      </c>
      <c r="D1646" s="736">
        <v>429919.62</v>
      </c>
      <c r="E1646" s="749">
        <v>301883.11</v>
      </c>
      <c r="F1646" s="736">
        <v>311210.67</v>
      </c>
      <c r="G1646" s="736">
        <v>396614.6</v>
      </c>
      <c r="H1646" s="736"/>
      <c r="I1646" s="736"/>
      <c r="J1646" s="736">
        <f t="shared" si="576"/>
        <v>396614.6</v>
      </c>
      <c r="K1646" s="736">
        <v>15096.66</v>
      </c>
      <c r="L1646" s="736"/>
      <c r="M1646" s="736">
        <f t="shared" si="577"/>
        <v>411711.25999999995</v>
      </c>
      <c r="N1646" s="736"/>
      <c r="O1646" s="736"/>
      <c r="P1646" s="736">
        <f t="shared" si="578"/>
        <v>411711.25999999995</v>
      </c>
      <c r="Q1646" s="738">
        <v>411711.26</v>
      </c>
      <c r="R1646" s="738"/>
      <c r="S1646" s="751">
        <v>451982.7</v>
      </c>
      <c r="T1646" s="739">
        <v>1500521</v>
      </c>
      <c r="U1646" s="779">
        <v>410765.16</v>
      </c>
      <c r="V1646" s="741">
        <v>1500522</v>
      </c>
    </row>
    <row r="1647" spans="1:22" ht="15" x14ac:dyDescent="0.25">
      <c r="A1647" s="734">
        <v>1592</v>
      </c>
      <c r="B1647" s="735" t="s">
        <v>20</v>
      </c>
      <c r="C1647" s="736">
        <v>638654.31999999995</v>
      </c>
      <c r="D1647" s="736">
        <v>920752.56</v>
      </c>
      <c r="E1647" s="749">
        <v>657457.43000000005</v>
      </c>
      <c r="F1647" s="736">
        <v>681264.76</v>
      </c>
      <c r="G1647" s="736">
        <v>689430.6</v>
      </c>
      <c r="H1647" s="736"/>
      <c r="I1647" s="736"/>
      <c r="J1647" s="736">
        <f t="shared" si="576"/>
        <v>689430.6</v>
      </c>
      <c r="K1647" s="736">
        <v>20399.96</v>
      </c>
      <c r="L1647" s="736"/>
      <c r="M1647" s="736">
        <f t="shared" si="577"/>
        <v>709830.55999999994</v>
      </c>
      <c r="N1647" s="736"/>
      <c r="O1647" s="736"/>
      <c r="P1647" s="736">
        <f t="shared" si="578"/>
        <v>709830.55999999994</v>
      </c>
      <c r="Q1647" s="738">
        <v>759414.78</v>
      </c>
      <c r="R1647" s="738"/>
      <c r="S1647" s="751">
        <v>1097470.92</v>
      </c>
      <c r="T1647" s="739">
        <v>1500521</v>
      </c>
      <c r="U1647" s="779">
        <v>718369.72</v>
      </c>
      <c r="V1647" s="741">
        <v>1500522</v>
      </c>
    </row>
    <row r="1648" spans="1:22" ht="15" x14ac:dyDescent="0.2">
      <c r="A1648" s="734">
        <v>2111</v>
      </c>
      <c r="B1648" s="735" t="s">
        <v>22</v>
      </c>
      <c r="C1648" s="736">
        <v>67736</v>
      </c>
      <c r="D1648" s="736">
        <v>93000</v>
      </c>
      <c r="E1648" s="749">
        <v>65100</v>
      </c>
      <c r="F1648" s="736">
        <v>37659.86</v>
      </c>
      <c r="G1648" s="749">
        <v>65000</v>
      </c>
      <c r="H1648" s="749"/>
      <c r="I1648" s="749"/>
      <c r="J1648" s="736">
        <f t="shared" si="576"/>
        <v>65000</v>
      </c>
      <c r="K1648" s="749"/>
      <c r="L1648" s="749"/>
      <c r="M1648" s="736">
        <f t="shared" si="577"/>
        <v>65000</v>
      </c>
      <c r="N1648" s="736"/>
      <c r="O1648" s="736"/>
      <c r="P1648" s="736">
        <f t="shared" si="578"/>
        <v>65000</v>
      </c>
      <c r="Q1648" s="783">
        <v>6786</v>
      </c>
      <c r="R1648" s="738">
        <v>34174.93</v>
      </c>
      <c r="S1648" s="783">
        <f>Q1648</f>
        <v>6786</v>
      </c>
      <c r="T1648" s="739">
        <v>1100121</v>
      </c>
      <c r="U1648" s="742">
        <f>S1648</f>
        <v>6786</v>
      </c>
      <c r="V1648" s="741">
        <v>1100122</v>
      </c>
    </row>
    <row r="1649" spans="1:22" ht="15" x14ac:dyDescent="0.2">
      <c r="A1649" s="739">
        <v>2111</v>
      </c>
      <c r="B1649" s="743" t="s">
        <v>22</v>
      </c>
      <c r="C1649" s="736"/>
      <c r="D1649" s="736"/>
      <c r="E1649" s="749"/>
      <c r="F1649" s="736"/>
      <c r="G1649" s="749"/>
      <c r="H1649" s="749"/>
      <c r="I1649" s="749"/>
      <c r="J1649" s="736"/>
      <c r="K1649" s="749"/>
      <c r="L1649" s="749"/>
      <c r="M1649" s="736"/>
      <c r="N1649" s="736">
        <v>6786</v>
      </c>
      <c r="O1649" s="736"/>
      <c r="P1649" s="736">
        <f t="shared" si="578"/>
        <v>6786</v>
      </c>
      <c r="Q1649" s="783">
        <v>65000</v>
      </c>
      <c r="R1649" s="738"/>
      <c r="S1649" s="783"/>
      <c r="T1649" s="739">
        <v>1100120</v>
      </c>
      <c r="U1649" s="745"/>
      <c r="V1649" s="739">
        <v>1100120</v>
      </c>
    </row>
    <row r="1650" spans="1:22" ht="15" x14ac:dyDescent="0.2">
      <c r="A1650" s="739">
        <v>2112</v>
      </c>
      <c r="B1650" s="743" t="s">
        <v>39</v>
      </c>
      <c r="C1650" s="736">
        <v>18380.009999999998</v>
      </c>
      <c r="D1650" s="736">
        <v>10000</v>
      </c>
      <c r="E1650" s="749">
        <v>10000</v>
      </c>
      <c r="F1650" s="736">
        <v>0</v>
      </c>
      <c r="G1650" s="749">
        <v>10000</v>
      </c>
      <c r="H1650" s="749"/>
      <c r="I1650" s="749"/>
      <c r="J1650" s="736">
        <f t="shared" ref="J1650:J1654" si="579">G1650+H1650-I1650</f>
        <v>10000</v>
      </c>
      <c r="K1650" s="749"/>
      <c r="L1650" s="749"/>
      <c r="M1650" s="736">
        <f t="shared" ref="M1650:M1663" si="580">J1650+K1650-L1650</f>
        <v>10000</v>
      </c>
      <c r="N1650" s="736"/>
      <c r="O1650" s="736"/>
      <c r="P1650" s="736">
        <f t="shared" si="578"/>
        <v>10000</v>
      </c>
      <c r="Q1650" s="783">
        <v>10000</v>
      </c>
      <c r="R1650" s="738"/>
      <c r="S1650" s="783">
        <f t="shared" ref="S1650:S1657" si="581">Q1650</f>
        <v>10000</v>
      </c>
      <c r="T1650" s="739">
        <v>1100121</v>
      </c>
      <c r="U1650" s="750">
        <v>0</v>
      </c>
      <c r="V1650" s="739">
        <v>1100122</v>
      </c>
    </row>
    <row r="1651" spans="1:22" ht="15" x14ac:dyDescent="0.2">
      <c r="A1651" s="734">
        <v>2121</v>
      </c>
      <c r="B1651" s="735" t="s">
        <v>24</v>
      </c>
      <c r="C1651" s="736">
        <v>9674</v>
      </c>
      <c r="D1651" s="736">
        <v>15000</v>
      </c>
      <c r="E1651" s="749">
        <v>10500</v>
      </c>
      <c r="F1651" s="736">
        <v>7336</v>
      </c>
      <c r="G1651" s="749">
        <v>10500</v>
      </c>
      <c r="H1651" s="749"/>
      <c r="I1651" s="749"/>
      <c r="J1651" s="736">
        <f t="shared" si="579"/>
        <v>10500</v>
      </c>
      <c r="K1651" s="749"/>
      <c r="L1651" s="749"/>
      <c r="M1651" s="736">
        <f t="shared" si="580"/>
        <v>10500</v>
      </c>
      <c r="N1651" s="736"/>
      <c r="O1651" s="736"/>
      <c r="P1651" s="736">
        <f t="shared" si="578"/>
        <v>10500</v>
      </c>
      <c r="Q1651" s="783">
        <v>10397.1</v>
      </c>
      <c r="R1651" s="738">
        <v>10169.1</v>
      </c>
      <c r="S1651" s="783">
        <f t="shared" si="581"/>
        <v>10397.1</v>
      </c>
      <c r="T1651" s="739">
        <v>1100121</v>
      </c>
      <c r="U1651" s="740">
        <v>15000</v>
      </c>
      <c r="V1651" s="741">
        <v>1100122</v>
      </c>
    </row>
    <row r="1652" spans="1:22" ht="15" x14ac:dyDescent="0.2">
      <c r="A1652" s="734">
        <v>2212</v>
      </c>
      <c r="B1652" s="735" t="s">
        <v>40</v>
      </c>
      <c r="C1652" s="736">
        <v>1515</v>
      </c>
      <c r="D1652" s="736">
        <v>5000</v>
      </c>
      <c r="E1652" s="749">
        <v>3500</v>
      </c>
      <c r="F1652" s="736">
        <v>202</v>
      </c>
      <c r="G1652" s="749">
        <v>3500</v>
      </c>
      <c r="H1652" s="749"/>
      <c r="I1652" s="749"/>
      <c r="J1652" s="736">
        <f t="shared" si="579"/>
        <v>3500</v>
      </c>
      <c r="K1652" s="749"/>
      <c r="L1652" s="749"/>
      <c r="M1652" s="736">
        <f t="shared" si="580"/>
        <v>3500</v>
      </c>
      <c r="N1652" s="736"/>
      <c r="O1652" s="736"/>
      <c r="P1652" s="736">
        <f t="shared" si="578"/>
        <v>3500</v>
      </c>
      <c r="Q1652" s="783">
        <v>3500</v>
      </c>
      <c r="R1652" s="738"/>
      <c r="S1652" s="783">
        <f t="shared" si="581"/>
        <v>3500</v>
      </c>
      <c r="T1652" s="739">
        <v>1100121</v>
      </c>
      <c r="U1652" s="740">
        <v>3500</v>
      </c>
      <c r="V1652" s="741">
        <v>1100122</v>
      </c>
    </row>
    <row r="1653" spans="1:22" ht="15" x14ac:dyDescent="0.2">
      <c r="A1653" s="734">
        <v>2491</v>
      </c>
      <c r="B1653" s="735" t="s">
        <v>41</v>
      </c>
      <c r="C1653" s="736">
        <v>9980.7900000000009</v>
      </c>
      <c r="D1653" s="736">
        <v>10000</v>
      </c>
      <c r="E1653" s="749">
        <v>10000</v>
      </c>
      <c r="F1653" s="736">
        <v>551</v>
      </c>
      <c r="G1653" s="749">
        <v>10000</v>
      </c>
      <c r="H1653" s="749"/>
      <c r="I1653" s="749"/>
      <c r="J1653" s="736">
        <f t="shared" si="579"/>
        <v>10000</v>
      </c>
      <c r="K1653" s="749"/>
      <c r="L1653" s="749"/>
      <c r="M1653" s="736">
        <f t="shared" si="580"/>
        <v>10000</v>
      </c>
      <c r="N1653" s="736"/>
      <c r="O1653" s="736"/>
      <c r="P1653" s="736">
        <f t="shared" si="578"/>
        <v>10000</v>
      </c>
      <c r="Q1653" s="783">
        <v>10000</v>
      </c>
      <c r="R1653" s="738"/>
      <c r="S1653" s="783">
        <f t="shared" si="581"/>
        <v>10000</v>
      </c>
      <c r="T1653" s="739">
        <v>1100121</v>
      </c>
      <c r="U1653" s="740">
        <v>10000</v>
      </c>
      <c r="V1653" s="741">
        <v>1100122</v>
      </c>
    </row>
    <row r="1654" spans="1:22" ht="30" x14ac:dyDescent="0.2">
      <c r="A1654" s="734">
        <v>2612</v>
      </c>
      <c r="B1654" s="735" t="s">
        <v>26</v>
      </c>
      <c r="C1654" s="736">
        <v>68260.41</v>
      </c>
      <c r="D1654" s="736">
        <v>75000</v>
      </c>
      <c r="E1654" s="749">
        <v>75000</v>
      </c>
      <c r="F1654" s="736">
        <v>65453.93</v>
      </c>
      <c r="G1654" s="749">
        <v>85000</v>
      </c>
      <c r="H1654" s="749"/>
      <c r="I1654" s="749"/>
      <c r="J1654" s="736">
        <f t="shared" si="579"/>
        <v>85000</v>
      </c>
      <c r="K1654" s="749">
        <f>9999-0.87</f>
        <v>9998.1299999999992</v>
      </c>
      <c r="L1654" s="749">
        <v>35000</v>
      </c>
      <c r="M1654" s="736">
        <f t="shared" si="580"/>
        <v>59998.130000000005</v>
      </c>
      <c r="N1654" s="736"/>
      <c r="O1654" s="736">
        <v>19998.13</v>
      </c>
      <c r="P1654" s="736">
        <f t="shared" si="578"/>
        <v>40000</v>
      </c>
      <c r="Q1654" s="783">
        <v>50000</v>
      </c>
      <c r="R1654" s="738">
        <v>41495.5</v>
      </c>
      <c r="S1654" s="738">
        <f t="shared" si="581"/>
        <v>50000</v>
      </c>
      <c r="T1654" s="739">
        <v>1100121</v>
      </c>
      <c r="U1654" s="740">
        <v>60000</v>
      </c>
      <c r="V1654" s="741">
        <v>1100122</v>
      </c>
    </row>
    <row r="1655" spans="1:22" ht="15" x14ac:dyDescent="0.2">
      <c r="A1655" s="734">
        <v>2614</v>
      </c>
      <c r="B1655" s="735" t="s">
        <v>1763</v>
      </c>
      <c r="C1655" s="736"/>
      <c r="D1655" s="736"/>
      <c r="E1655" s="749"/>
      <c r="F1655" s="736"/>
      <c r="G1655" s="749"/>
      <c r="H1655" s="749"/>
      <c r="I1655" s="749"/>
      <c r="J1655" s="736"/>
      <c r="K1655" s="749">
        <v>35000</v>
      </c>
      <c r="L1655" s="749"/>
      <c r="M1655" s="736">
        <f t="shared" si="580"/>
        <v>35000</v>
      </c>
      <c r="N1655" s="736"/>
      <c r="O1655" s="736">
        <v>10000</v>
      </c>
      <c r="P1655" s="736">
        <f t="shared" si="578"/>
        <v>25000</v>
      </c>
      <c r="Q1655" s="783">
        <v>25000</v>
      </c>
      <c r="R1655" s="738">
        <v>14368.37</v>
      </c>
      <c r="S1655" s="738">
        <f t="shared" si="581"/>
        <v>25000</v>
      </c>
      <c r="T1655" s="739">
        <v>1100121</v>
      </c>
      <c r="U1655" s="740">
        <v>35000</v>
      </c>
      <c r="V1655" s="741">
        <v>1100122</v>
      </c>
    </row>
    <row r="1656" spans="1:22" ht="15" x14ac:dyDescent="0.2">
      <c r="A1656" s="734">
        <v>3111</v>
      </c>
      <c r="B1656" s="735" t="s">
        <v>47</v>
      </c>
      <c r="C1656" s="736">
        <v>15159</v>
      </c>
      <c r="D1656" s="736">
        <v>18000</v>
      </c>
      <c r="E1656" s="749">
        <v>18000</v>
      </c>
      <c r="F1656" s="736">
        <v>12936</v>
      </c>
      <c r="G1656" s="749">
        <v>18000</v>
      </c>
      <c r="H1656" s="749"/>
      <c r="I1656" s="749"/>
      <c r="J1656" s="736">
        <f t="shared" ref="J1656:J1663" si="582">G1656+H1656-I1656</f>
        <v>18000</v>
      </c>
      <c r="K1656" s="749"/>
      <c r="L1656" s="749"/>
      <c r="M1656" s="736">
        <f t="shared" si="580"/>
        <v>18000</v>
      </c>
      <c r="N1656" s="736"/>
      <c r="O1656" s="736"/>
      <c r="P1656" s="736">
        <f t="shared" si="578"/>
        <v>18000</v>
      </c>
      <c r="Q1656" s="783">
        <v>18000</v>
      </c>
      <c r="R1656" s="738">
        <v>11559</v>
      </c>
      <c r="S1656" s="783">
        <f t="shared" si="581"/>
        <v>18000</v>
      </c>
      <c r="T1656" s="739">
        <v>1100121</v>
      </c>
      <c r="U1656" s="740">
        <v>23000</v>
      </c>
      <c r="V1656" s="741">
        <v>1100122</v>
      </c>
    </row>
    <row r="1657" spans="1:22" ht="15" x14ac:dyDescent="0.2">
      <c r="A1657" s="734">
        <v>3173</v>
      </c>
      <c r="B1657" s="735" t="s">
        <v>257</v>
      </c>
      <c r="C1657" s="736">
        <v>6794.87</v>
      </c>
      <c r="D1657" s="736">
        <v>650000</v>
      </c>
      <c r="E1657" s="749">
        <v>29462</v>
      </c>
      <c r="F1657" s="736">
        <v>0</v>
      </c>
      <c r="G1657" s="749">
        <v>700000</v>
      </c>
      <c r="H1657" s="749"/>
      <c r="I1657" s="749"/>
      <c r="J1657" s="736">
        <f t="shared" si="582"/>
        <v>700000</v>
      </c>
      <c r="K1657" s="749"/>
      <c r="L1657" s="749"/>
      <c r="M1657" s="736">
        <f t="shared" si="580"/>
        <v>700000</v>
      </c>
      <c r="N1657" s="736"/>
      <c r="O1657" s="736"/>
      <c r="P1657" s="736">
        <f t="shared" si="578"/>
        <v>700000</v>
      </c>
      <c r="Q1657" s="783">
        <v>700000</v>
      </c>
      <c r="R1657" s="738"/>
      <c r="S1657" s="783">
        <f t="shared" si="581"/>
        <v>700000</v>
      </c>
      <c r="T1657" s="739">
        <v>1100121</v>
      </c>
      <c r="U1657" s="742">
        <f>S1657</f>
        <v>700000</v>
      </c>
      <c r="V1657" s="741">
        <v>1100122</v>
      </c>
    </row>
    <row r="1658" spans="1:22" ht="15" x14ac:dyDescent="0.2">
      <c r="A1658" s="734">
        <v>3221</v>
      </c>
      <c r="B1658" s="735" t="s">
        <v>99</v>
      </c>
      <c r="C1658" s="736">
        <v>32224.7</v>
      </c>
      <c r="D1658" s="736">
        <v>33514</v>
      </c>
      <c r="E1658" s="749">
        <v>50034</v>
      </c>
      <c r="F1658" s="736">
        <v>50031.66</v>
      </c>
      <c r="G1658" s="749">
        <v>51779.85</v>
      </c>
      <c r="H1658" s="749"/>
      <c r="I1658" s="749"/>
      <c r="J1658" s="736">
        <f t="shared" si="582"/>
        <v>51779.85</v>
      </c>
      <c r="K1658" s="749"/>
      <c r="L1658" s="749">
        <v>1751.01</v>
      </c>
      <c r="M1658" s="736">
        <f t="shared" si="580"/>
        <v>50028.84</v>
      </c>
      <c r="N1658" s="738"/>
      <c r="O1658" s="738">
        <v>4994.42</v>
      </c>
      <c r="P1658" s="736">
        <f t="shared" si="578"/>
        <v>45034.42</v>
      </c>
      <c r="Q1658" s="783">
        <v>45034.42</v>
      </c>
      <c r="R1658" s="738">
        <v>37521.67</v>
      </c>
      <c r="S1658" s="783">
        <v>52030</v>
      </c>
      <c r="T1658" s="739">
        <v>1100121</v>
      </c>
      <c r="U1658" s="742">
        <v>47287</v>
      </c>
      <c r="V1658" s="741">
        <v>1100122</v>
      </c>
    </row>
    <row r="1659" spans="1:22" ht="15" x14ac:dyDescent="0.2">
      <c r="A1659" s="734">
        <v>3314</v>
      </c>
      <c r="B1659" s="735" t="s">
        <v>197</v>
      </c>
      <c r="C1659" s="736"/>
      <c r="D1659" s="736">
        <v>100000</v>
      </c>
      <c r="E1659" s="749">
        <v>100000</v>
      </c>
      <c r="F1659" s="736">
        <v>0</v>
      </c>
      <c r="G1659" s="749">
        <v>100000</v>
      </c>
      <c r="H1659" s="749"/>
      <c r="I1659" s="749"/>
      <c r="J1659" s="736">
        <f t="shared" si="582"/>
        <v>100000</v>
      </c>
      <c r="K1659" s="749"/>
      <c r="L1659" s="749"/>
      <c r="M1659" s="736">
        <f t="shared" si="580"/>
        <v>100000</v>
      </c>
      <c r="N1659" s="736"/>
      <c r="O1659" s="736"/>
      <c r="P1659" s="736">
        <f t="shared" si="578"/>
        <v>100000</v>
      </c>
      <c r="Q1659" s="783">
        <v>100000</v>
      </c>
      <c r="R1659" s="738"/>
      <c r="S1659" s="783">
        <f t="shared" ref="S1659:S1669" si="583">Q1659</f>
        <v>100000</v>
      </c>
      <c r="T1659" s="739">
        <v>1100121</v>
      </c>
      <c r="U1659" s="742">
        <f>S1659</f>
        <v>100000</v>
      </c>
      <c r="V1659" s="741">
        <v>1100122</v>
      </c>
    </row>
    <row r="1660" spans="1:22" ht="15" x14ac:dyDescent="0.2">
      <c r="A1660" s="734">
        <v>3411</v>
      </c>
      <c r="B1660" s="735" t="s">
        <v>252</v>
      </c>
      <c r="C1660" s="736">
        <v>77566.11</v>
      </c>
      <c r="D1660" s="736">
        <v>100000</v>
      </c>
      <c r="E1660" s="749">
        <v>100000</v>
      </c>
      <c r="F1660" s="736">
        <f>126977.3-0.35</f>
        <v>126976.95</v>
      </c>
      <c r="G1660" s="749">
        <v>108562</v>
      </c>
      <c r="H1660" s="749"/>
      <c r="I1660" s="749"/>
      <c r="J1660" s="736">
        <f t="shared" si="582"/>
        <v>108562</v>
      </c>
      <c r="K1660" s="749"/>
      <c r="L1660" s="749"/>
      <c r="M1660" s="736">
        <f t="shared" si="580"/>
        <v>108562</v>
      </c>
      <c r="N1660" s="736"/>
      <c r="O1660" s="736"/>
      <c r="P1660" s="736">
        <f t="shared" si="578"/>
        <v>108562</v>
      </c>
      <c r="Q1660" s="783">
        <v>108562</v>
      </c>
      <c r="R1660" s="738">
        <v>107729.57</v>
      </c>
      <c r="S1660" s="783">
        <f t="shared" si="583"/>
        <v>108562</v>
      </c>
      <c r="T1660" s="739">
        <v>1100121</v>
      </c>
      <c r="U1660" s="740">
        <v>150000</v>
      </c>
      <c r="V1660" s="741">
        <v>1100122</v>
      </c>
    </row>
    <row r="1661" spans="1:22" ht="15" x14ac:dyDescent="0.2">
      <c r="A1661" s="739">
        <v>3511</v>
      </c>
      <c r="B1661" s="743" t="s">
        <v>49</v>
      </c>
      <c r="C1661" s="736"/>
      <c r="D1661" s="736">
        <v>5000</v>
      </c>
      <c r="E1661" s="749">
        <v>5000</v>
      </c>
      <c r="F1661" s="736">
        <v>3306</v>
      </c>
      <c r="G1661" s="749">
        <v>5000</v>
      </c>
      <c r="H1661" s="749"/>
      <c r="I1661" s="749"/>
      <c r="J1661" s="736">
        <f t="shared" si="582"/>
        <v>5000</v>
      </c>
      <c r="K1661" s="749"/>
      <c r="L1661" s="749"/>
      <c r="M1661" s="736">
        <f t="shared" si="580"/>
        <v>5000</v>
      </c>
      <c r="N1661" s="736"/>
      <c r="O1661" s="736"/>
      <c r="P1661" s="736">
        <f t="shared" si="578"/>
        <v>5000</v>
      </c>
      <c r="Q1661" s="783">
        <v>5000</v>
      </c>
      <c r="R1661" s="738"/>
      <c r="S1661" s="783">
        <f t="shared" si="583"/>
        <v>5000</v>
      </c>
      <c r="T1661" s="739">
        <v>1100121</v>
      </c>
      <c r="U1661" s="745">
        <v>0</v>
      </c>
      <c r="V1661" s="739">
        <v>1100122</v>
      </c>
    </row>
    <row r="1662" spans="1:22" ht="15" x14ac:dyDescent="0.2">
      <c r="A1662" s="734">
        <v>3521</v>
      </c>
      <c r="B1662" s="735" t="s">
        <v>120</v>
      </c>
      <c r="C1662" s="736">
        <v>3712</v>
      </c>
      <c r="D1662" s="736">
        <v>27000</v>
      </c>
      <c r="E1662" s="749">
        <v>17000</v>
      </c>
      <c r="F1662" s="736">
        <v>0</v>
      </c>
      <c r="G1662" s="749">
        <v>15000</v>
      </c>
      <c r="H1662" s="749"/>
      <c r="I1662" s="749"/>
      <c r="J1662" s="736">
        <f t="shared" si="582"/>
        <v>15000</v>
      </c>
      <c r="K1662" s="749"/>
      <c r="L1662" s="749"/>
      <c r="M1662" s="736">
        <f t="shared" si="580"/>
        <v>15000</v>
      </c>
      <c r="N1662" s="736"/>
      <c r="O1662" s="736"/>
      <c r="P1662" s="736">
        <f t="shared" si="578"/>
        <v>15000</v>
      </c>
      <c r="Q1662" s="783">
        <v>15000</v>
      </c>
      <c r="R1662" s="738"/>
      <c r="S1662" s="783">
        <f t="shared" si="583"/>
        <v>15000</v>
      </c>
      <c r="T1662" s="739">
        <v>1100121</v>
      </c>
      <c r="U1662" s="740">
        <v>15000</v>
      </c>
      <c r="V1662" s="741">
        <v>1100122</v>
      </c>
    </row>
    <row r="1663" spans="1:22" ht="15" x14ac:dyDescent="0.2">
      <c r="A1663" s="739">
        <v>3551</v>
      </c>
      <c r="B1663" s="743" t="s">
        <v>30</v>
      </c>
      <c r="C1663" s="736"/>
      <c r="D1663" s="736"/>
      <c r="E1663" s="749"/>
      <c r="F1663" s="736"/>
      <c r="G1663" s="749"/>
      <c r="H1663" s="749">
        <v>39000</v>
      </c>
      <c r="I1663" s="749"/>
      <c r="J1663" s="736">
        <f t="shared" si="582"/>
        <v>39000</v>
      </c>
      <c r="K1663" s="749"/>
      <c r="L1663" s="749"/>
      <c r="M1663" s="736">
        <f t="shared" si="580"/>
        <v>39000</v>
      </c>
      <c r="N1663" s="736"/>
      <c r="O1663" s="736">
        <v>39000</v>
      </c>
      <c r="P1663" s="738">
        <f t="shared" si="578"/>
        <v>0</v>
      </c>
      <c r="Q1663" s="783">
        <v>60000</v>
      </c>
      <c r="R1663" s="738">
        <v>36977.11</v>
      </c>
      <c r="S1663" s="738">
        <f t="shared" si="583"/>
        <v>60000</v>
      </c>
      <c r="T1663" s="739">
        <v>1100120</v>
      </c>
      <c r="U1663" s="908"/>
      <c r="V1663" s="739">
        <v>1100120</v>
      </c>
    </row>
    <row r="1664" spans="1:22" ht="15" x14ac:dyDescent="0.2">
      <c r="A1664" s="734">
        <v>5691</v>
      </c>
      <c r="B1664" s="735" t="s">
        <v>1713</v>
      </c>
      <c r="C1664" s="736"/>
      <c r="D1664" s="736"/>
      <c r="E1664" s="749"/>
      <c r="F1664" s="736"/>
      <c r="G1664" s="749"/>
      <c r="H1664" s="749"/>
      <c r="I1664" s="749"/>
      <c r="J1664" s="736"/>
      <c r="K1664" s="749"/>
      <c r="L1664" s="749"/>
      <c r="M1664" s="736"/>
      <c r="N1664" s="736">
        <v>39000</v>
      </c>
      <c r="O1664" s="736"/>
      <c r="P1664" s="736">
        <f t="shared" si="578"/>
        <v>39000</v>
      </c>
      <c r="Q1664" s="783">
        <v>39000</v>
      </c>
      <c r="R1664" s="738"/>
      <c r="S1664" s="783">
        <f t="shared" si="583"/>
        <v>39000</v>
      </c>
      <c r="T1664" s="739">
        <v>1100120</v>
      </c>
      <c r="U1664" s="740">
        <v>42000</v>
      </c>
      <c r="V1664" s="741">
        <v>1100121</v>
      </c>
    </row>
    <row r="1665" spans="1:22" ht="15" x14ac:dyDescent="0.2">
      <c r="A1665" s="734">
        <v>3551</v>
      </c>
      <c r="B1665" s="735" t="s">
        <v>30</v>
      </c>
      <c r="C1665" s="736">
        <v>39955.449999999997</v>
      </c>
      <c r="D1665" s="736">
        <v>50000</v>
      </c>
      <c r="E1665" s="749">
        <v>50000</v>
      </c>
      <c r="F1665" s="736">
        <v>31178.65</v>
      </c>
      <c r="G1665" s="749">
        <v>50000</v>
      </c>
      <c r="H1665" s="749"/>
      <c r="I1665" s="749"/>
      <c r="J1665" s="736">
        <f t="shared" ref="J1665:J1669" si="584">G1665+H1665-I1665</f>
        <v>50000</v>
      </c>
      <c r="K1665" s="749"/>
      <c r="L1665" s="749"/>
      <c r="M1665" s="736">
        <f t="shared" ref="M1665:M1669" si="585">J1665+K1665-L1665</f>
        <v>50000</v>
      </c>
      <c r="N1665" s="736">
        <v>10000</v>
      </c>
      <c r="O1665" s="736"/>
      <c r="P1665" s="736">
        <f t="shared" si="578"/>
        <v>60000</v>
      </c>
      <c r="Q1665" s="783"/>
      <c r="R1665" s="738"/>
      <c r="S1665" s="738">
        <f t="shared" si="583"/>
        <v>0</v>
      </c>
      <c r="T1665" s="739">
        <v>1100121</v>
      </c>
      <c r="U1665" s="740">
        <v>60000</v>
      </c>
      <c r="V1665" s="741">
        <v>1100122</v>
      </c>
    </row>
    <row r="1666" spans="1:22" ht="15" x14ac:dyDescent="0.2">
      <c r="A1666" s="734">
        <v>3751</v>
      </c>
      <c r="B1666" s="735" t="s">
        <v>44</v>
      </c>
      <c r="C1666" s="736">
        <v>6508.55</v>
      </c>
      <c r="D1666" s="736">
        <v>7000</v>
      </c>
      <c r="E1666" s="749">
        <v>7000</v>
      </c>
      <c r="F1666" s="736">
        <v>666.67</v>
      </c>
      <c r="G1666" s="749">
        <v>7000</v>
      </c>
      <c r="H1666" s="749"/>
      <c r="I1666" s="749"/>
      <c r="J1666" s="736">
        <f t="shared" si="584"/>
        <v>7000</v>
      </c>
      <c r="K1666" s="749"/>
      <c r="L1666" s="749"/>
      <c r="M1666" s="736">
        <f t="shared" si="585"/>
        <v>7000</v>
      </c>
      <c r="N1666" s="738"/>
      <c r="O1666" s="736">
        <v>0.06</v>
      </c>
      <c r="P1666" s="736">
        <f t="shared" si="578"/>
        <v>6999.94</v>
      </c>
      <c r="Q1666" s="783">
        <v>6999.94</v>
      </c>
      <c r="R1666" s="738">
        <v>1265.99</v>
      </c>
      <c r="S1666" s="783">
        <f t="shared" si="583"/>
        <v>6999.94</v>
      </c>
      <c r="T1666" s="739">
        <v>1100121</v>
      </c>
      <c r="U1666" s="740">
        <v>7000</v>
      </c>
      <c r="V1666" s="741">
        <v>1100122</v>
      </c>
    </row>
    <row r="1667" spans="1:22" ht="15" x14ac:dyDescent="0.2">
      <c r="A1667" s="734">
        <v>3791</v>
      </c>
      <c r="B1667" s="735" t="s">
        <v>45</v>
      </c>
      <c r="C1667" s="736">
        <v>13123.22</v>
      </c>
      <c r="D1667" s="736">
        <v>14000</v>
      </c>
      <c r="E1667" s="749">
        <v>14000</v>
      </c>
      <c r="F1667" s="736">
        <v>4196.0200000000004</v>
      </c>
      <c r="G1667" s="749">
        <v>14000</v>
      </c>
      <c r="H1667" s="749"/>
      <c r="I1667" s="749"/>
      <c r="J1667" s="736">
        <f t="shared" si="584"/>
        <v>14000</v>
      </c>
      <c r="K1667" s="749"/>
      <c r="L1667" s="749"/>
      <c r="M1667" s="736">
        <f t="shared" si="585"/>
        <v>14000</v>
      </c>
      <c r="N1667" s="736"/>
      <c r="O1667" s="736"/>
      <c r="P1667" s="736">
        <f t="shared" si="578"/>
        <v>14000</v>
      </c>
      <c r="Q1667" s="783">
        <v>14000</v>
      </c>
      <c r="R1667" s="738">
        <v>6263</v>
      </c>
      <c r="S1667" s="783">
        <f t="shared" si="583"/>
        <v>14000</v>
      </c>
      <c r="T1667" s="739">
        <v>1100121</v>
      </c>
      <c r="U1667" s="740">
        <v>14000</v>
      </c>
      <c r="V1667" s="741">
        <v>1100122</v>
      </c>
    </row>
    <row r="1668" spans="1:22" ht="15" x14ac:dyDescent="0.2">
      <c r="A1668" s="734">
        <v>3852</v>
      </c>
      <c r="B1668" s="735" t="s">
        <v>32</v>
      </c>
      <c r="C1668" s="736">
        <v>39749.160000000003</v>
      </c>
      <c r="D1668" s="736">
        <v>40000</v>
      </c>
      <c r="E1668" s="749">
        <v>43500</v>
      </c>
      <c r="F1668" s="736">
        <v>36944.589999999997</v>
      </c>
      <c r="G1668" s="749">
        <v>40000</v>
      </c>
      <c r="H1668" s="749"/>
      <c r="I1668" s="749"/>
      <c r="J1668" s="736">
        <f t="shared" si="584"/>
        <v>40000</v>
      </c>
      <c r="K1668" s="749"/>
      <c r="L1668" s="749"/>
      <c r="M1668" s="736">
        <f t="shared" si="585"/>
        <v>40000</v>
      </c>
      <c r="N1668" s="736"/>
      <c r="O1668" s="736"/>
      <c r="P1668" s="736">
        <f t="shared" si="578"/>
        <v>40000</v>
      </c>
      <c r="Q1668" s="783">
        <v>40000</v>
      </c>
      <c r="R1668" s="738">
        <v>31393.66</v>
      </c>
      <c r="S1668" s="783">
        <f t="shared" si="583"/>
        <v>40000</v>
      </c>
      <c r="T1668" s="739">
        <v>1100121</v>
      </c>
      <c r="U1668" s="740">
        <v>45000</v>
      </c>
      <c r="V1668" s="741">
        <v>1100122</v>
      </c>
    </row>
    <row r="1669" spans="1:22" ht="15" x14ac:dyDescent="0.2">
      <c r="A1669" s="734">
        <v>3921</v>
      </c>
      <c r="B1669" s="735" t="s">
        <v>33</v>
      </c>
      <c r="C1669" s="736">
        <v>940.02</v>
      </c>
      <c r="D1669" s="736">
        <v>1040</v>
      </c>
      <c r="E1669" s="749">
        <v>1040</v>
      </c>
      <c r="F1669" s="736">
        <v>263</v>
      </c>
      <c r="G1669" s="749">
        <v>1157.2</v>
      </c>
      <c r="H1669" s="749"/>
      <c r="I1669" s="749"/>
      <c r="J1669" s="736">
        <f t="shared" si="584"/>
        <v>1157.2</v>
      </c>
      <c r="K1669" s="749"/>
      <c r="L1669" s="749"/>
      <c r="M1669" s="736">
        <f t="shared" si="585"/>
        <v>1157.2</v>
      </c>
      <c r="N1669" s="736"/>
      <c r="O1669" s="736"/>
      <c r="P1669" s="736">
        <f t="shared" si="578"/>
        <v>1157.2</v>
      </c>
      <c r="Q1669" s="783">
        <v>1157.2</v>
      </c>
      <c r="R1669" s="738">
        <v>1051.98</v>
      </c>
      <c r="S1669" s="783">
        <f t="shared" si="583"/>
        <v>1157.2</v>
      </c>
      <c r="T1669" s="739">
        <v>1100121</v>
      </c>
      <c r="U1669" s="740">
        <v>2021</v>
      </c>
      <c r="V1669" s="741">
        <v>1100122</v>
      </c>
    </row>
    <row r="1670" spans="1:22" ht="15" x14ac:dyDescent="0.2">
      <c r="A1670" s="739">
        <v>3921</v>
      </c>
      <c r="B1670" s="743" t="s">
        <v>33</v>
      </c>
      <c r="C1670" s="736"/>
      <c r="D1670" s="736"/>
      <c r="E1670" s="749"/>
      <c r="F1670" s="736"/>
      <c r="G1670" s="749"/>
      <c r="H1670" s="749"/>
      <c r="I1670" s="749"/>
      <c r="J1670" s="736"/>
      <c r="K1670" s="749"/>
      <c r="L1670" s="749"/>
      <c r="M1670" s="736"/>
      <c r="N1670" s="736"/>
      <c r="O1670" s="736"/>
      <c r="P1670" s="736"/>
      <c r="Q1670" s="783"/>
      <c r="R1670" s="738"/>
      <c r="S1670" s="783">
        <v>1346.96</v>
      </c>
      <c r="T1670" s="739"/>
      <c r="U1670" s="745"/>
      <c r="V1670" s="739"/>
    </row>
    <row r="1671" spans="1:22" ht="15" x14ac:dyDescent="0.2">
      <c r="A1671" s="739">
        <v>5641</v>
      </c>
      <c r="B1671" s="806" t="s">
        <v>1774</v>
      </c>
      <c r="C1671" s="736"/>
      <c r="D1671" s="736"/>
      <c r="E1671" s="749"/>
      <c r="F1671" s="736"/>
      <c r="G1671" s="749"/>
      <c r="H1671" s="749"/>
      <c r="I1671" s="749"/>
      <c r="J1671" s="736"/>
      <c r="K1671" s="749"/>
      <c r="L1671" s="749"/>
      <c r="M1671" s="736">
        <v>0</v>
      </c>
      <c r="N1671" s="736">
        <v>10000</v>
      </c>
      <c r="O1671" s="736"/>
      <c r="P1671" s="736">
        <f t="shared" ref="P1671:P1672" si="586">M1671+N1671-O1671</f>
        <v>10000</v>
      </c>
      <c r="Q1671" s="783">
        <v>10000</v>
      </c>
      <c r="R1671" s="738"/>
      <c r="S1671" s="783">
        <f>Q1671</f>
        <v>10000</v>
      </c>
      <c r="T1671" s="739">
        <v>1100121</v>
      </c>
      <c r="U1671" s="745"/>
      <c r="V1671" s="739">
        <v>1100122</v>
      </c>
    </row>
    <row r="1672" spans="1:22" ht="15" x14ac:dyDescent="0.2">
      <c r="A1672" s="739">
        <v>5151</v>
      </c>
      <c r="B1672" s="743" t="s">
        <v>36</v>
      </c>
      <c r="C1672" s="736"/>
      <c r="D1672" s="736">
        <v>0</v>
      </c>
      <c r="E1672" s="736"/>
      <c r="F1672" s="736">
        <v>0</v>
      </c>
      <c r="G1672" s="736"/>
      <c r="H1672" s="736"/>
      <c r="I1672" s="736"/>
      <c r="J1672" s="736">
        <f>G1672+H1672-I1672</f>
        <v>0</v>
      </c>
      <c r="K1672" s="736"/>
      <c r="L1672" s="736"/>
      <c r="M1672" s="736">
        <f>J1672+K1672-L1672</f>
        <v>0</v>
      </c>
      <c r="N1672" s="736"/>
      <c r="O1672" s="736"/>
      <c r="P1672" s="738">
        <f t="shared" si="586"/>
        <v>0</v>
      </c>
      <c r="Q1672" s="738"/>
      <c r="R1672" s="738"/>
      <c r="S1672" s="783">
        <f>Q1672</f>
        <v>0</v>
      </c>
      <c r="T1672" s="739">
        <v>1100121</v>
      </c>
      <c r="U1672" s="745"/>
      <c r="V1672" s="739">
        <v>1100122</v>
      </c>
    </row>
    <row r="1673" spans="1:22" ht="15" x14ac:dyDescent="0.2">
      <c r="A1673" s="724" t="s">
        <v>258</v>
      </c>
      <c r="B1673" s="725" t="s">
        <v>259</v>
      </c>
      <c r="C1673" s="721">
        <f t="shared" ref="C1673:S1673" si="587">SUM(C1674+C1722+C1751)</f>
        <v>21071254.569999997</v>
      </c>
      <c r="D1673" s="721">
        <f t="shared" si="587"/>
        <v>21745263.469999999</v>
      </c>
      <c r="E1673" s="721">
        <f t="shared" si="587"/>
        <v>21723682.559999999</v>
      </c>
      <c r="F1673" s="721">
        <f t="shared" si="587"/>
        <v>23019398.520000003</v>
      </c>
      <c r="G1673" s="721">
        <f t="shared" si="587"/>
        <v>22545043.199999999</v>
      </c>
      <c r="H1673" s="721">
        <f t="shared" si="587"/>
        <v>44616</v>
      </c>
      <c r="I1673" s="721">
        <f t="shared" si="587"/>
        <v>0</v>
      </c>
      <c r="J1673" s="721">
        <f t="shared" si="587"/>
        <v>22589659.199999999</v>
      </c>
      <c r="K1673" s="721">
        <f t="shared" si="587"/>
        <v>3628895.7600000002</v>
      </c>
      <c r="L1673" s="721">
        <f t="shared" si="587"/>
        <v>22295.759999999998</v>
      </c>
      <c r="M1673" s="721">
        <f t="shared" si="587"/>
        <v>26196259.200000003</v>
      </c>
      <c r="N1673" s="721">
        <f t="shared" si="587"/>
        <v>657424.22</v>
      </c>
      <c r="O1673" s="721">
        <f t="shared" si="587"/>
        <v>172338.64</v>
      </c>
      <c r="P1673" s="721">
        <f t="shared" si="587"/>
        <v>26681344.780000001</v>
      </c>
      <c r="Q1673" s="756">
        <f t="shared" si="587"/>
        <v>26453779.370000001</v>
      </c>
      <c r="R1673" s="756">
        <f t="shared" si="587"/>
        <v>7120248.1299999999</v>
      </c>
      <c r="S1673" s="756">
        <f t="shared" si="587"/>
        <v>26608734.480000004</v>
      </c>
      <c r="T1673" s="724"/>
      <c r="U1673" s="726">
        <f t="shared" ref="U1673" si="588">SUM(U1674+U1722+U1751)</f>
        <v>28017260.170000002</v>
      </c>
      <c r="V1673" s="727"/>
    </row>
    <row r="1674" spans="1:22" ht="15" x14ac:dyDescent="0.2">
      <c r="A1674" s="728" t="s">
        <v>260</v>
      </c>
      <c r="B1674" s="729" t="s">
        <v>1626</v>
      </c>
      <c r="C1674" s="730">
        <f t="shared" ref="C1674:S1674" si="589">SUM(C1675:C1721)</f>
        <v>13836322.189999996</v>
      </c>
      <c r="D1674" s="730">
        <f t="shared" si="589"/>
        <v>15094983.92</v>
      </c>
      <c r="E1674" s="730">
        <f t="shared" si="589"/>
        <v>15196854.77</v>
      </c>
      <c r="F1674" s="730">
        <f t="shared" si="589"/>
        <v>14915972.390000001</v>
      </c>
      <c r="G1674" s="730">
        <f t="shared" si="589"/>
        <v>15583107.299999999</v>
      </c>
      <c r="H1674" s="730">
        <f t="shared" si="589"/>
        <v>42200</v>
      </c>
      <c r="I1674" s="730">
        <f t="shared" si="589"/>
        <v>0</v>
      </c>
      <c r="J1674" s="730">
        <f t="shared" si="589"/>
        <v>15625307.299999999</v>
      </c>
      <c r="K1674" s="730">
        <f t="shared" si="589"/>
        <v>3133477.0700000003</v>
      </c>
      <c r="L1674" s="730">
        <f t="shared" si="589"/>
        <v>0.01</v>
      </c>
      <c r="M1674" s="730">
        <f t="shared" si="589"/>
        <v>18758784.360000003</v>
      </c>
      <c r="N1674" s="730">
        <f t="shared" si="589"/>
        <v>637424.22</v>
      </c>
      <c r="O1674" s="730">
        <f t="shared" si="589"/>
        <v>61700</v>
      </c>
      <c r="P1674" s="730">
        <f t="shared" si="589"/>
        <v>19334508.580000002</v>
      </c>
      <c r="Q1674" s="748">
        <f t="shared" si="589"/>
        <v>19065495.580000002</v>
      </c>
      <c r="R1674" s="748">
        <f t="shared" si="589"/>
        <v>3237739.95</v>
      </c>
      <c r="S1674" s="748">
        <f t="shared" si="589"/>
        <v>18864055.900000002</v>
      </c>
      <c r="T1674" s="731"/>
      <c r="U1674" s="732">
        <f>SUM(U1675:U1721)</f>
        <v>18433591.530000001</v>
      </c>
      <c r="V1674" s="733"/>
    </row>
    <row r="1675" spans="1:22" ht="15" x14ac:dyDescent="0.25">
      <c r="A1675" s="734">
        <v>1131</v>
      </c>
      <c r="B1675" s="735" t="s">
        <v>6</v>
      </c>
      <c r="C1675" s="736">
        <v>2369291.77</v>
      </c>
      <c r="D1675" s="736">
        <v>2620406.88</v>
      </c>
      <c r="E1675" s="749">
        <v>2510111.44</v>
      </c>
      <c r="F1675" s="736">
        <v>2741085.47</v>
      </c>
      <c r="G1675" s="736">
        <v>2728473.5</v>
      </c>
      <c r="H1675" s="736"/>
      <c r="I1675" s="736"/>
      <c r="J1675" s="736">
        <f t="shared" ref="J1675:J1690" si="590">G1675+H1675-I1675</f>
        <v>2728473.5</v>
      </c>
      <c r="K1675" s="736">
        <v>110019.61</v>
      </c>
      <c r="L1675" s="736"/>
      <c r="M1675" s="736">
        <f t="shared" ref="M1675:M1690" si="591">J1675+K1675-L1675</f>
        <v>2838493.11</v>
      </c>
      <c r="N1675" s="736"/>
      <c r="O1675" s="736"/>
      <c r="P1675" s="736">
        <f t="shared" ref="P1675:P1712" si="592">M1675+N1675-O1675</f>
        <v>2838493.11</v>
      </c>
      <c r="Q1675" s="738">
        <v>2871477.43</v>
      </c>
      <c r="R1675" s="738"/>
      <c r="S1675" s="751">
        <v>3144858.08</v>
      </c>
      <c r="T1675" s="739">
        <v>1500521</v>
      </c>
      <c r="U1675" s="779">
        <v>3236280.86</v>
      </c>
      <c r="V1675" s="741">
        <v>1500522</v>
      </c>
    </row>
    <row r="1676" spans="1:22" ht="15" x14ac:dyDescent="0.25">
      <c r="A1676" s="734">
        <v>1132</v>
      </c>
      <c r="B1676" s="735" t="s">
        <v>8</v>
      </c>
      <c r="C1676" s="736">
        <v>681219.26</v>
      </c>
      <c r="D1676" s="736">
        <v>754622.96</v>
      </c>
      <c r="E1676" s="749">
        <v>670559.26</v>
      </c>
      <c r="F1676" s="736">
        <v>694805.7</v>
      </c>
      <c r="G1676" s="736">
        <v>698800</v>
      </c>
      <c r="H1676" s="736"/>
      <c r="I1676" s="736"/>
      <c r="J1676" s="736">
        <f t="shared" si="590"/>
        <v>698800</v>
      </c>
      <c r="K1676" s="736">
        <v>27485.23</v>
      </c>
      <c r="L1676" s="736"/>
      <c r="M1676" s="736">
        <f t="shared" si="591"/>
        <v>726285.23</v>
      </c>
      <c r="N1676" s="736"/>
      <c r="O1676" s="736"/>
      <c r="P1676" s="736">
        <f t="shared" si="592"/>
        <v>726285.23</v>
      </c>
      <c r="Q1676" s="738">
        <v>726285.23</v>
      </c>
      <c r="R1676" s="738"/>
      <c r="S1676" s="751">
        <v>1060528.56</v>
      </c>
      <c r="T1676" s="739">
        <v>1500521</v>
      </c>
      <c r="U1676" s="779">
        <v>803404.94</v>
      </c>
      <c r="V1676" s="741">
        <v>1500522</v>
      </c>
    </row>
    <row r="1677" spans="1:22" ht="15" x14ac:dyDescent="0.25">
      <c r="A1677" s="734">
        <v>1212</v>
      </c>
      <c r="B1677" s="735" t="s">
        <v>53</v>
      </c>
      <c r="C1677" s="736">
        <v>3278706.04</v>
      </c>
      <c r="D1677" s="736">
        <v>3244496.4</v>
      </c>
      <c r="E1677" s="749">
        <v>3914363.8</v>
      </c>
      <c r="F1677" s="736">
        <v>3773063.02</v>
      </c>
      <c r="G1677" s="736">
        <v>3394375.2</v>
      </c>
      <c r="H1677" s="736"/>
      <c r="I1677" s="736"/>
      <c r="J1677" s="736">
        <f t="shared" si="590"/>
        <v>3394375.2</v>
      </c>
      <c r="K1677" s="736">
        <v>1798668.81</v>
      </c>
      <c r="L1677" s="736"/>
      <c r="M1677" s="736">
        <f t="shared" si="591"/>
        <v>5193044.01</v>
      </c>
      <c r="N1677" s="736"/>
      <c r="O1677" s="736"/>
      <c r="P1677" s="736">
        <f t="shared" si="592"/>
        <v>5193044.01</v>
      </c>
      <c r="Q1677" s="738">
        <v>4831408.4000000004</v>
      </c>
      <c r="R1677" s="738"/>
      <c r="S1677" s="751">
        <v>4060955.17</v>
      </c>
      <c r="T1677" s="739">
        <v>1500521</v>
      </c>
      <c r="U1677" s="779">
        <v>3829283.52</v>
      </c>
      <c r="V1677" s="741">
        <v>1500522</v>
      </c>
    </row>
    <row r="1678" spans="1:22" ht="15" x14ac:dyDescent="0.25">
      <c r="A1678" s="734">
        <v>1321</v>
      </c>
      <c r="B1678" s="735" t="s">
        <v>9</v>
      </c>
      <c r="C1678" s="736">
        <v>215819.48</v>
      </c>
      <c r="D1678" s="736">
        <v>232447.03</v>
      </c>
      <c r="E1678" s="749">
        <v>241380.03</v>
      </c>
      <c r="F1678" s="736">
        <v>232768.3</v>
      </c>
      <c r="G1678" s="736">
        <v>239201</v>
      </c>
      <c r="H1678" s="736"/>
      <c r="I1678" s="736"/>
      <c r="J1678" s="736">
        <f t="shared" si="590"/>
        <v>239201</v>
      </c>
      <c r="K1678" s="736">
        <v>16040.02</v>
      </c>
      <c r="L1678" s="736"/>
      <c r="M1678" s="736">
        <f t="shared" si="591"/>
        <v>255241.02</v>
      </c>
      <c r="N1678" s="736"/>
      <c r="O1678" s="736"/>
      <c r="P1678" s="736">
        <f t="shared" si="592"/>
        <v>255241.02</v>
      </c>
      <c r="Q1678" s="738">
        <v>255241.02</v>
      </c>
      <c r="R1678" s="738"/>
      <c r="S1678" s="751">
        <v>282124.89</v>
      </c>
      <c r="T1678" s="739">
        <v>1500521</v>
      </c>
      <c r="U1678" s="779">
        <v>267089.99</v>
      </c>
      <c r="V1678" s="741">
        <v>1500522</v>
      </c>
    </row>
    <row r="1679" spans="1:22" ht="15" x14ac:dyDescent="0.25">
      <c r="A1679" s="734">
        <v>1322</v>
      </c>
      <c r="B1679" s="735" t="s">
        <v>182</v>
      </c>
      <c r="C1679" s="736">
        <v>48817.26</v>
      </c>
      <c r="D1679" s="736">
        <v>57000</v>
      </c>
      <c r="E1679" s="749">
        <v>46402.19</v>
      </c>
      <c r="F1679" s="736">
        <v>19572.830000000002</v>
      </c>
      <c r="G1679" s="736">
        <v>46402.2</v>
      </c>
      <c r="H1679" s="736"/>
      <c r="I1679" s="736"/>
      <c r="J1679" s="736">
        <f t="shared" si="590"/>
        <v>46402.2</v>
      </c>
      <c r="K1679" s="736"/>
      <c r="L1679" s="736">
        <v>0.01</v>
      </c>
      <c r="M1679" s="736">
        <f t="shared" si="591"/>
        <v>46402.189999999995</v>
      </c>
      <c r="N1679" s="736"/>
      <c r="O1679" s="736"/>
      <c r="P1679" s="736">
        <f t="shared" si="592"/>
        <v>46402.189999999995</v>
      </c>
      <c r="Q1679" s="738">
        <v>46402.19</v>
      </c>
      <c r="R1679" s="738"/>
      <c r="S1679" s="751">
        <v>46402.19</v>
      </c>
      <c r="T1679" s="739">
        <v>1500521</v>
      </c>
      <c r="U1679" s="779">
        <v>46402.19</v>
      </c>
      <c r="V1679" s="741">
        <v>1500522</v>
      </c>
    </row>
    <row r="1680" spans="1:22" ht="15" x14ac:dyDescent="0.25">
      <c r="A1680" s="734">
        <v>1323</v>
      </c>
      <c r="B1680" s="735" t="s">
        <v>11</v>
      </c>
      <c r="C1680" s="736">
        <v>690341.32</v>
      </c>
      <c r="D1680" s="736">
        <v>745325.85</v>
      </c>
      <c r="E1680" s="749">
        <v>885611.72</v>
      </c>
      <c r="F1680" s="736">
        <v>737976.76</v>
      </c>
      <c r="G1680" s="736">
        <v>738558.8</v>
      </c>
      <c r="H1680" s="736"/>
      <c r="I1680" s="736"/>
      <c r="J1680" s="736">
        <f t="shared" si="590"/>
        <v>738558.8</v>
      </c>
      <c r="K1680" s="736">
        <v>112939.09</v>
      </c>
      <c r="L1680" s="736"/>
      <c r="M1680" s="736">
        <f t="shared" si="591"/>
        <v>851497.89</v>
      </c>
      <c r="N1680" s="736"/>
      <c r="O1680" s="736"/>
      <c r="P1680" s="736">
        <f t="shared" si="592"/>
        <v>851497.89</v>
      </c>
      <c r="Q1680" s="738">
        <v>851497.89</v>
      </c>
      <c r="R1680" s="738"/>
      <c r="S1680" s="751">
        <v>900083.75</v>
      </c>
      <c r="T1680" s="739">
        <v>1500521</v>
      </c>
      <c r="U1680" s="779">
        <v>848735.27</v>
      </c>
      <c r="V1680" s="741">
        <v>1500522</v>
      </c>
    </row>
    <row r="1681" spans="1:22" ht="15" x14ac:dyDescent="0.25">
      <c r="A1681" s="734">
        <v>1331</v>
      </c>
      <c r="B1681" s="735" t="s">
        <v>183</v>
      </c>
      <c r="C1681" s="736">
        <v>291834.18</v>
      </c>
      <c r="D1681" s="736">
        <v>344250</v>
      </c>
      <c r="E1681" s="749">
        <v>236843.8</v>
      </c>
      <c r="F1681" s="736">
        <v>156332.68</v>
      </c>
      <c r="G1681" s="736">
        <v>236843.8</v>
      </c>
      <c r="H1681" s="736"/>
      <c r="I1681" s="736"/>
      <c r="J1681" s="736">
        <f t="shared" si="590"/>
        <v>236843.8</v>
      </c>
      <c r="K1681" s="736"/>
      <c r="L1681" s="736"/>
      <c r="M1681" s="736">
        <f t="shared" si="591"/>
        <v>236843.8</v>
      </c>
      <c r="N1681" s="736"/>
      <c r="O1681" s="736"/>
      <c r="P1681" s="736">
        <f t="shared" si="592"/>
        <v>236843.8</v>
      </c>
      <c r="Q1681" s="738">
        <v>236843.8</v>
      </c>
      <c r="R1681" s="738"/>
      <c r="S1681" s="751">
        <v>236843.8</v>
      </c>
      <c r="T1681" s="739">
        <v>1500521</v>
      </c>
      <c r="U1681" s="779">
        <v>236843.8</v>
      </c>
      <c r="V1681" s="741">
        <v>1500522</v>
      </c>
    </row>
    <row r="1682" spans="1:22" ht="15" x14ac:dyDescent="0.25">
      <c r="A1682" s="734">
        <v>1413</v>
      </c>
      <c r="B1682" s="735" t="s">
        <v>13</v>
      </c>
      <c r="C1682" s="736">
        <v>1148385.71</v>
      </c>
      <c r="D1682" s="736">
        <v>1467476.44</v>
      </c>
      <c r="E1682" s="749">
        <v>1410857.84</v>
      </c>
      <c r="F1682" s="736">
        <v>1362961.06</v>
      </c>
      <c r="G1682" s="736">
        <v>1580092</v>
      </c>
      <c r="H1682" s="736"/>
      <c r="I1682" s="736"/>
      <c r="J1682" s="736">
        <f t="shared" si="590"/>
        <v>1580092</v>
      </c>
      <c r="K1682" s="736">
        <v>447005.55</v>
      </c>
      <c r="L1682" s="736"/>
      <c r="M1682" s="736">
        <f t="shared" si="591"/>
        <v>2027097.55</v>
      </c>
      <c r="N1682" s="736"/>
      <c r="O1682" s="736"/>
      <c r="P1682" s="736">
        <f t="shared" si="592"/>
        <v>2027097.55</v>
      </c>
      <c r="Q1682" s="738">
        <v>2027097.55</v>
      </c>
      <c r="R1682" s="738"/>
      <c r="S1682" s="751">
        <v>1944207.6</v>
      </c>
      <c r="T1682" s="739">
        <v>1500521</v>
      </c>
      <c r="U1682" s="779">
        <v>1833293.35</v>
      </c>
      <c r="V1682" s="741">
        <v>1500522</v>
      </c>
    </row>
    <row r="1683" spans="1:22" ht="15" x14ac:dyDescent="0.25">
      <c r="A1683" s="734">
        <v>1421</v>
      </c>
      <c r="B1683" s="735" t="s">
        <v>15</v>
      </c>
      <c r="C1683" s="736">
        <v>378175.2</v>
      </c>
      <c r="D1683" s="736">
        <v>437000.18</v>
      </c>
      <c r="E1683" s="749">
        <v>385990.18</v>
      </c>
      <c r="F1683" s="736">
        <v>409179.26</v>
      </c>
      <c r="G1683" s="736">
        <v>446018.19999999995</v>
      </c>
      <c r="H1683" s="736"/>
      <c r="I1683" s="736"/>
      <c r="J1683" s="736">
        <f t="shared" si="590"/>
        <v>446018.19999999995</v>
      </c>
      <c r="K1683" s="736">
        <v>115507.62</v>
      </c>
      <c r="L1683" s="736"/>
      <c r="M1683" s="736">
        <f t="shared" si="591"/>
        <v>561525.81999999995</v>
      </c>
      <c r="N1683" s="736"/>
      <c r="O1683" s="736"/>
      <c r="P1683" s="736">
        <f t="shared" si="592"/>
        <v>561525.81999999995</v>
      </c>
      <c r="Q1683" s="738">
        <v>561525.81999999995</v>
      </c>
      <c r="R1683" s="738"/>
      <c r="S1683" s="751">
        <v>524961.84</v>
      </c>
      <c r="T1683" s="739">
        <v>1500521</v>
      </c>
      <c r="U1683" s="779">
        <v>495013.52</v>
      </c>
      <c r="V1683" s="741">
        <v>1500522</v>
      </c>
    </row>
    <row r="1684" spans="1:22" ht="15" x14ac:dyDescent="0.25">
      <c r="A1684" s="734">
        <v>1431</v>
      </c>
      <c r="B1684" s="735" t="s">
        <v>16</v>
      </c>
      <c r="C1684" s="736">
        <v>430408.68</v>
      </c>
      <c r="D1684" s="736">
        <v>450110.71999999997</v>
      </c>
      <c r="E1684" s="749">
        <v>403044.72</v>
      </c>
      <c r="F1684" s="736">
        <v>431229.1</v>
      </c>
      <c r="G1684" s="736">
        <v>459399.5</v>
      </c>
      <c r="H1684" s="736"/>
      <c r="I1684" s="736"/>
      <c r="J1684" s="736">
        <f t="shared" si="590"/>
        <v>459399.5</v>
      </c>
      <c r="K1684" s="736">
        <v>118856.75</v>
      </c>
      <c r="L1684" s="736"/>
      <c r="M1684" s="736">
        <f t="shared" si="591"/>
        <v>578256.25</v>
      </c>
      <c r="N1684" s="736"/>
      <c r="O1684" s="736"/>
      <c r="P1684" s="736">
        <f t="shared" si="592"/>
        <v>578256.25</v>
      </c>
      <c r="Q1684" s="738">
        <v>578256.25</v>
      </c>
      <c r="R1684" s="738"/>
      <c r="S1684" s="751">
        <v>540711.12</v>
      </c>
      <c r="T1684" s="739">
        <v>1500521</v>
      </c>
      <c r="U1684" s="779">
        <v>561060.67000000004</v>
      </c>
      <c r="V1684" s="741">
        <v>1500522</v>
      </c>
    </row>
    <row r="1685" spans="1:22" ht="15" x14ac:dyDescent="0.25">
      <c r="A1685" s="734">
        <v>1511</v>
      </c>
      <c r="B1685" s="735" t="s">
        <v>18</v>
      </c>
      <c r="C1685" s="736">
        <v>77421.39</v>
      </c>
      <c r="D1685" s="736">
        <v>88863.32</v>
      </c>
      <c r="E1685" s="749">
        <v>82784.149999999994</v>
      </c>
      <c r="F1685" s="736">
        <v>85917.7</v>
      </c>
      <c r="G1685" s="736">
        <v>86952.400000000009</v>
      </c>
      <c r="H1685" s="736"/>
      <c r="I1685" s="736"/>
      <c r="J1685" s="736">
        <f t="shared" si="590"/>
        <v>86952.400000000009</v>
      </c>
      <c r="K1685" s="736">
        <v>5272.23</v>
      </c>
      <c r="L1685" s="736"/>
      <c r="M1685" s="736">
        <f t="shared" si="591"/>
        <v>92224.63</v>
      </c>
      <c r="N1685" s="736"/>
      <c r="O1685" s="736"/>
      <c r="P1685" s="736">
        <f t="shared" si="592"/>
        <v>92224.63</v>
      </c>
      <c r="Q1685" s="738">
        <v>92224.63</v>
      </c>
      <c r="R1685" s="738"/>
      <c r="S1685" s="751">
        <v>109254.6</v>
      </c>
      <c r="T1685" s="739">
        <v>1500521</v>
      </c>
      <c r="U1685" s="779">
        <v>103021.78</v>
      </c>
      <c r="V1685" s="741">
        <v>1500522</v>
      </c>
    </row>
    <row r="1686" spans="1:22" ht="15" x14ac:dyDescent="0.25">
      <c r="A1686" s="734">
        <v>1541</v>
      </c>
      <c r="B1686" s="735" t="s">
        <v>19</v>
      </c>
      <c r="C1686" s="736">
        <v>788592.7</v>
      </c>
      <c r="D1686" s="736">
        <v>903485.7</v>
      </c>
      <c r="E1686" s="749">
        <v>896339.46</v>
      </c>
      <c r="F1686" s="736">
        <v>924852.91</v>
      </c>
      <c r="G1686" s="736">
        <v>1193577</v>
      </c>
      <c r="H1686" s="736"/>
      <c r="I1686" s="736"/>
      <c r="J1686" s="736">
        <f t="shared" si="590"/>
        <v>1193577</v>
      </c>
      <c r="K1686" s="736">
        <v>57750.75</v>
      </c>
      <c r="L1686" s="736"/>
      <c r="M1686" s="736">
        <f t="shared" si="591"/>
        <v>1251327.75</v>
      </c>
      <c r="N1686" s="736"/>
      <c r="O1686" s="736"/>
      <c r="P1686" s="736">
        <f t="shared" si="592"/>
        <v>1251327.75</v>
      </c>
      <c r="Q1686" s="738">
        <v>1189598.6200000001</v>
      </c>
      <c r="R1686" s="738"/>
      <c r="S1686" s="751">
        <v>1176406.3999999999</v>
      </c>
      <c r="T1686" s="739">
        <v>1500521</v>
      </c>
      <c r="U1686" s="779">
        <v>1149228.8400000001</v>
      </c>
      <c r="V1686" s="741">
        <v>1500522</v>
      </c>
    </row>
    <row r="1687" spans="1:22" ht="15" x14ac:dyDescent="0.25">
      <c r="A1687" s="734">
        <v>1591</v>
      </c>
      <c r="B1687" s="735" t="s">
        <v>184</v>
      </c>
      <c r="C1687" s="736">
        <v>16571.52</v>
      </c>
      <c r="D1687" s="736">
        <v>60000</v>
      </c>
      <c r="E1687" s="749">
        <v>30000</v>
      </c>
      <c r="F1687" s="736">
        <v>0</v>
      </c>
      <c r="G1687" s="736">
        <v>30000</v>
      </c>
      <c r="H1687" s="736"/>
      <c r="I1687" s="736"/>
      <c r="J1687" s="736">
        <f t="shared" si="590"/>
        <v>30000</v>
      </c>
      <c r="K1687" s="736"/>
      <c r="L1687" s="736"/>
      <c r="M1687" s="736">
        <f t="shared" si="591"/>
        <v>30000</v>
      </c>
      <c r="N1687" s="736"/>
      <c r="O1687" s="736"/>
      <c r="P1687" s="736">
        <f t="shared" si="592"/>
        <v>30000</v>
      </c>
      <c r="Q1687" s="738">
        <v>30000</v>
      </c>
      <c r="R1687" s="738"/>
      <c r="S1687" s="751">
        <v>30000</v>
      </c>
      <c r="T1687" s="739">
        <v>1500521</v>
      </c>
      <c r="U1687" s="779">
        <v>30000</v>
      </c>
      <c r="V1687" s="741">
        <v>1500522</v>
      </c>
    </row>
    <row r="1688" spans="1:22" ht="15" x14ac:dyDescent="0.25">
      <c r="A1688" s="734">
        <v>1592</v>
      </c>
      <c r="B1688" s="735" t="s">
        <v>20</v>
      </c>
      <c r="C1688" s="736">
        <v>897201.57</v>
      </c>
      <c r="D1688" s="736">
        <v>1066778.44</v>
      </c>
      <c r="E1688" s="749">
        <v>964955.18</v>
      </c>
      <c r="F1688" s="736">
        <v>1001895.09</v>
      </c>
      <c r="G1688" s="736">
        <v>1013856.5</v>
      </c>
      <c r="H1688" s="736"/>
      <c r="I1688" s="736"/>
      <c r="J1688" s="736">
        <f t="shared" si="590"/>
        <v>1013856.5</v>
      </c>
      <c r="K1688" s="736">
        <v>51931.41</v>
      </c>
      <c r="L1688" s="736"/>
      <c r="M1688" s="736">
        <f t="shared" si="591"/>
        <v>1065787.9099999999</v>
      </c>
      <c r="N1688" s="736"/>
      <c r="O1688" s="736"/>
      <c r="P1688" s="736">
        <f t="shared" si="592"/>
        <v>1065787.9099999999</v>
      </c>
      <c r="Q1688" s="738">
        <v>1169155.33</v>
      </c>
      <c r="R1688" s="738"/>
      <c r="S1688" s="751">
        <v>1257041.24</v>
      </c>
      <c r="T1688" s="739">
        <v>1500521</v>
      </c>
      <c r="U1688" s="779">
        <v>1185328.8</v>
      </c>
      <c r="V1688" s="741">
        <v>1500522</v>
      </c>
    </row>
    <row r="1689" spans="1:22" ht="15" x14ac:dyDescent="0.2">
      <c r="A1689" s="734">
        <v>2111</v>
      </c>
      <c r="B1689" s="735" t="s">
        <v>22</v>
      </c>
      <c r="C1689" s="736">
        <v>126494</v>
      </c>
      <c r="D1689" s="736">
        <v>120000</v>
      </c>
      <c r="E1689" s="749">
        <v>84000</v>
      </c>
      <c r="F1689" s="736">
        <v>77285.740000000005</v>
      </c>
      <c r="G1689" s="752">
        <v>120000</v>
      </c>
      <c r="H1689" s="752"/>
      <c r="I1689" s="752"/>
      <c r="J1689" s="736">
        <f t="shared" si="590"/>
        <v>120000</v>
      </c>
      <c r="K1689" s="752"/>
      <c r="L1689" s="752"/>
      <c r="M1689" s="736">
        <f t="shared" si="591"/>
        <v>120000</v>
      </c>
      <c r="N1689" s="736"/>
      <c r="O1689" s="736"/>
      <c r="P1689" s="736">
        <f t="shared" si="592"/>
        <v>120000</v>
      </c>
      <c r="Q1689" s="753">
        <v>120000</v>
      </c>
      <c r="R1689" s="738">
        <v>57140.53</v>
      </c>
      <c r="S1689" s="753">
        <v>124200</v>
      </c>
      <c r="T1689" s="739">
        <v>1100121</v>
      </c>
      <c r="U1689" s="754">
        <v>110000</v>
      </c>
      <c r="V1689" s="741">
        <v>1100122</v>
      </c>
    </row>
    <row r="1690" spans="1:22" ht="15" x14ac:dyDescent="0.2">
      <c r="A1690" s="739">
        <v>2112</v>
      </c>
      <c r="B1690" s="743" t="s">
        <v>39</v>
      </c>
      <c r="C1690" s="736">
        <v>41119.01</v>
      </c>
      <c r="D1690" s="736">
        <v>43680</v>
      </c>
      <c r="E1690" s="749">
        <v>25000</v>
      </c>
      <c r="F1690" s="736">
        <v>24250</v>
      </c>
      <c r="G1690" s="736"/>
      <c r="H1690" s="736">
        <v>22700</v>
      </c>
      <c r="I1690" s="736"/>
      <c r="J1690" s="736">
        <f t="shared" si="590"/>
        <v>22700</v>
      </c>
      <c r="K1690" s="736"/>
      <c r="L1690" s="736"/>
      <c r="M1690" s="736">
        <f t="shared" si="591"/>
        <v>22700</v>
      </c>
      <c r="N1690" s="736"/>
      <c r="O1690" s="736"/>
      <c r="P1690" s="736">
        <f t="shared" si="592"/>
        <v>22700</v>
      </c>
      <c r="Q1690" s="738">
        <v>212160</v>
      </c>
      <c r="R1690" s="738">
        <v>216764.46</v>
      </c>
      <c r="S1690" s="738"/>
      <c r="T1690" s="739">
        <v>1100120</v>
      </c>
      <c r="U1690" s="745"/>
      <c r="V1690" s="739">
        <v>1100120</v>
      </c>
    </row>
    <row r="1691" spans="1:22" ht="15" x14ac:dyDescent="0.2">
      <c r="A1691" s="739">
        <v>2112</v>
      </c>
      <c r="B1691" s="743" t="s">
        <v>39</v>
      </c>
      <c r="C1691" s="736"/>
      <c r="D1691" s="736"/>
      <c r="E1691" s="749"/>
      <c r="F1691" s="736"/>
      <c r="G1691" s="736"/>
      <c r="H1691" s="736"/>
      <c r="I1691" s="736"/>
      <c r="J1691" s="736"/>
      <c r="K1691" s="736"/>
      <c r="L1691" s="736"/>
      <c r="M1691" s="736"/>
      <c r="N1691" s="736">
        <f>102000+45760+41700</f>
        <v>189460</v>
      </c>
      <c r="O1691" s="736"/>
      <c r="P1691" s="736">
        <f t="shared" si="592"/>
        <v>189460</v>
      </c>
      <c r="Q1691" s="738"/>
      <c r="R1691" s="738"/>
      <c r="S1691" s="738"/>
      <c r="T1691" s="739">
        <v>1100120</v>
      </c>
      <c r="U1691" s="745"/>
      <c r="V1691" s="739">
        <v>1100120</v>
      </c>
    </row>
    <row r="1692" spans="1:22" ht="15" x14ac:dyDescent="0.2">
      <c r="A1692" s="734">
        <v>2112</v>
      </c>
      <c r="B1692" s="735" t="s">
        <v>39</v>
      </c>
      <c r="C1692" s="736"/>
      <c r="D1692" s="736"/>
      <c r="E1692" s="749"/>
      <c r="F1692" s="736"/>
      <c r="G1692" s="736"/>
      <c r="H1692" s="736"/>
      <c r="I1692" s="736"/>
      <c r="J1692" s="736"/>
      <c r="K1692" s="736"/>
      <c r="L1692" s="736"/>
      <c r="M1692" s="736"/>
      <c r="N1692" s="736">
        <v>10200</v>
      </c>
      <c r="O1692" s="736"/>
      <c r="P1692" s="736">
        <f t="shared" si="592"/>
        <v>10200</v>
      </c>
      <c r="Q1692" s="738">
        <v>10200</v>
      </c>
      <c r="R1692" s="738"/>
      <c r="S1692" s="738">
        <v>30000</v>
      </c>
      <c r="T1692" s="739">
        <v>1100121</v>
      </c>
      <c r="U1692" s="742">
        <v>30000</v>
      </c>
      <c r="V1692" s="741">
        <v>1100122</v>
      </c>
    </row>
    <row r="1693" spans="1:22" ht="15" x14ac:dyDescent="0.2">
      <c r="A1693" s="734">
        <v>2121</v>
      </c>
      <c r="B1693" s="735" t="s">
        <v>24</v>
      </c>
      <c r="C1693" s="736">
        <v>103965.08</v>
      </c>
      <c r="D1693" s="736">
        <v>200000</v>
      </c>
      <c r="E1693" s="749">
        <v>140000</v>
      </c>
      <c r="F1693" s="736">
        <v>129365.38</v>
      </c>
      <c r="G1693" s="752">
        <v>200000</v>
      </c>
      <c r="H1693" s="752"/>
      <c r="I1693" s="752"/>
      <c r="J1693" s="736">
        <f t="shared" ref="J1693:J1696" si="593">G1693+H1693-I1693</f>
        <v>200000</v>
      </c>
      <c r="K1693" s="752"/>
      <c r="L1693" s="752"/>
      <c r="M1693" s="736">
        <f t="shared" ref="M1693:M1696" si="594">J1693+K1693-L1693</f>
        <v>200000</v>
      </c>
      <c r="N1693" s="736"/>
      <c r="O1693" s="736"/>
      <c r="P1693" s="736">
        <f t="shared" si="592"/>
        <v>200000</v>
      </c>
      <c r="Q1693" s="753">
        <v>200000</v>
      </c>
      <c r="R1693" s="738">
        <v>185592.04</v>
      </c>
      <c r="S1693" s="753">
        <v>220000</v>
      </c>
      <c r="T1693" s="739">
        <v>1100121</v>
      </c>
      <c r="U1693" s="754">
        <v>270000</v>
      </c>
      <c r="V1693" s="741">
        <v>1100122</v>
      </c>
    </row>
    <row r="1694" spans="1:22" ht="15" x14ac:dyDescent="0.2">
      <c r="A1694" s="734">
        <v>2212</v>
      </c>
      <c r="B1694" s="735" t="s">
        <v>40</v>
      </c>
      <c r="C1694" s="736">
        <v>4070.79</v>
      </c>
      <c r="D1694" s="736">
        <v>5000</v>
      </c>
      <c r="E1694" s="749">
        <v>2971</v>
      </c>
      <c r="F1694" s="736">
        <v>2688.49</v>
      </c>
      <c r="G1694" s="752">
        <v>5000</v>
      </c>
      <c r="H1694" s="752"/>
      <c r="I1694" s="752"/>
      <c r="J1694" s="736">
        <f t="shared" si="593"/>
        <v>5000</v>
      </c>
      <c r="K1694" s="752"/>
      <c r="L1694" s="752"/>
      <c r="M1694" s="736">
        <f t="shared" si="594"/>
        <v>5000</v>
      </c>
      <c r="N1694" s="736"/>
      <c r="O1694" s="736"/>
      <c r="P1694" s="736">
        <f t="shared" si="592"/>
        <v>5000</v>
      </c>
      <c r="Q1694" s="753">
        <v>5000</v>
      </c>
      <c r="R1694" s="738">
        <v>538</v>
      </c>
      <c r="S1694" s="753">
        <v>5000</v>
      </c>
      <c r="T1694" s="739">
        <v>1100121</v>
      </c>
      <c r="U1694" s="754">
        <v>4000</v>
      </c>
      <c r="V1694" s="741">
        <v>1100122</v>
      </c>
    </row>
    <row r="1695" spans="1:22" ht="15" x14ac:dyDescent="0.2">
      <c r="A1695" s="739">
        <v>2481</v>
      </c>
      <c r="B1695" s="743" t="s">
        <v>1775</v>
      </c>
      <c r="C1695" s="736"/>
      <c r="D1695" s="736"/>
      <c r="E1695" s="749"/>
      <c r="F1695" s="736"/>
      <c r="G1695" s="752"/>
      <c r="H1695" s="752"/>
      <c r="I1695" s="752"/>
      <c r="J1695" s="736">
        <f t="shared" si="593"/>
        <v>0</v>
      </c>
      <c r="K1695" s="752"/>
      <c r="L1695" s="752"/>
      <c r="M1695" s="736">
        <f t="shared" si="594"/>
        <v>0</v>
      </c>
      <c r="N1695" s="736"/>
      <c r="O1695" s="736"/>
      <c r="P1695" s="738">
        <f t="shared" si="592"/>
        <v>0</v>
      </c>
      <c r="Q1695" s="753"/>
      <c r="R1695" s="738"/>
      <c r="S1695" s="753"/>
      <c r="T1695" s="739">
        <v>1100121</v>
      </c>
      <c r="U1695" s="745"/>
      <c r="V1695" s="739">
        <v>1100122</v>
      </c>
    </row>
    <row r="1696" spans="1:22" ht="15" x14ac:dyDescent="0.2">
      <c r="A1696" s="734">
        <v>2491</v>
      </c>
      <c r="B1696" s="735" t="s">
        <v>41</v>
      </c>
      <c r="C1696" s="736">
        <v>19582.37</v>
      </c>
      <c r="D1696" s="736">
        <v>20000</v>
      </c>
      <c r="E1696" s="749">
        <v>20000</v>
      </c>
      <c r="F1696" s="736">
        <v>19650.310000000001</v>
      </c>
      <c r="G1696" s="752">
        <v>20700</v>
      </c>
      <c r="H1696" s="752"/>
      <c r="I1696" s="752"/>
      <c r="J1696" s="736">
        <f t="shared" si="593"/>
        <v>20700</v>
      </c>
      <c r="K1696" s="752"/>
      <c r="L1696" s="752"/>
      <c r="M1696" s="736">
        <f t="shared" si="594"/>
        <v>20700</v>
      </c>
      <c r="N1696" s="736">
        <f>5000</f>
        <v>5000</v>
      </c>
      <c r="O1696" s="736"/>
      <c r="P1696" s="736">
        <f t="shared" si="592"/>
        <v>25700</v>
      </c>
      <c r="Q1696" s="753">
        <v>10000</v>
      </c>
      <c r="R1696" s="738">
        <v>22689.59</v>
      </c>
      <c r="S1696" s="753">
        <v>20000</v>
      </c>
      <c r="T1696" s="739">
        <v>1100121</v>
      </c>
      <c r="U1696" s="754">
        <v>20000</v>
      </c>
      <c r="V1696" s="741">
        <v>1100122</v>
      </c>
    </row>
    <row r="1697" spans="1:22" ht="15" x14ac:dyDescent="0.2">
      <c r="A1697" s="739">
        <v>2491</v>
      </c>
      <c r="B1697" s="743" t="s">
        <v>41</v>
      </c>
      <c r="C1697" s="736"/>
      <c r="D1697" s="736"/>
      <c r="E1697" s="749"/>
      <c r="F1697" s="736"/>
      <c r="G1697" s="752"/>
      <c r="H1697" s="752"/>
      <c r="I1697" s="752"/>
      <c r="J1697" s="736"/>
      <c r="K1697" s="752"/>
      <c r="L1697" s="752"/>
      <c r="M1697" s="736"/>
      <c r="N1697" s="736">
        <f>10000</f>
        <v>10000</v>
      </c>
      <c r="O1697" s="736"/>
      <c r="P1697" s="736">
        <f t="shared" si="592"/>
        <v>10000</v>
      </c>
      <c r="Q1697" s="753">
        <v>46192</v>
      </c>
      <c r="R1697" s="738"/>
      <c r="S1697" s="753"/>
      <c r="T1697" s="739">
        <v>1100120</v>
      </c>
      <c r="U1697" s="745"/>
      <c r="V1697" s="739">
        <v>1100120</v>
      </c>
    </row>
    <row r="1698" spans="1:22" ht="30" x14ac:dyDescent="0.2">
      <c r="A1698" s="734">
        <v>2612</v>
      </c>
      <c r="B1698" s="735" t="s">
        <v>26</v>
      </c>
      <c r="C1698" s="736">
        <v>80927.78</v>
      </c>
      <c r="D1698" s="736">
        <v>85000</v>
      </c>
      <c r="E1698" s="749">
        <v>75000</v>
      </c>
      <c r="F1698" s="736">
        <v>48177.53</v>
      </c>
      <c r="G1698" s="909">
        <v>55000</v>
      </c>
      <c r="H1698" s="909"/>
      <c r="I1698" s="909"/>
      <c r="J1698" s="736">
        <f t="shared" ref="J1698:J1699" si="595">G1698+H1698-I1698</f>
        <v>55000</v>
      </c>
      <c r="K1698" s="749"/>
      <c r="L1698" s="909"/>
      <c r="M1698" s="736">
        <f t="shared" ref="M1698:M1699" si="596">J1698+K1698-L1698</f>
        <v>55000</v>
      </c>
      <c r="N1698" s="736"/>
      <c r="O1698" s="736">
        <v>20000</v>
      </c>
      <c r="P1698" s="736">
        <f t="shared" si="592"/>
        <v>35000</v>
      </c>
      <c r="Q1698" s="910">
        <v>53000</v>
      </c>
      <c r="R1698" s="738">
        <v>36388.9</v>
      </c>
      <c r="S1698" s="738">
        <f>Q1698</f>
        <v>53000</v>
      </c>
      <c r="T1698" s="739">
        <v>1100121</v>
      </c>
      <c r="U1698" s="740">
        <v>52000</v>
      </c>
      <c r="V1698" s="741">
        <v>1100122</v>
      </c>
    </row>
    <row r="1699" spans="1:22" ht="15" x14ac:dyDescent="0.2">
      <c r="A1699" s="734">
        <v>3111</v>
      </c>
      <c r="B1699" s="735" t="s">
        <v>47</v>
      </c>
      <c r="C1699" s="736">
        <v>35961</v>
      </c>
      <c r="D1699" s="736">
        <v>0</v>
      </c>
      <c r="E1699" s="749">
        <v>36000</v>
      </c>
      <c r="F1699" s="736">
        <v>9391</v>
      </c>
      <c r="G1699" s="752">
        <v>30000</v>
      </c>
      <c r="H1699" s="752"/>
      <c r="I1699" s="752"/>
      <c r="J1699" s="736">
        <f t="shared" si="595"/>
        <v>30000</v>
      </c>
      <c r="K1699" s="752"/>
      <c r="L1699" s="752"/>
      <c r="M1699" s="736">
        <f t="shared" si="596"/>
        <v>30000</v>
      </c>
      <c r="N1699" s="736">
        <v>25000</v>
      </c>
      <c r="O1699" s="736"/>
      <c r="P1699" s="736">
        <f t="shared" si="592"/>
        <v>55000</v>
      </c>
      <c r="Q1699" s="753">
        <v>55000</v>
      </c>
      <c r="R1699" s="738">
        <v>8542</v>
      </c>
      <c r="S1699" s="753">
        <v>56925</v>
      </c>
      <c r="T1699" s="739">
        <v>1100121</v>
      </c>
      <c r="U1699" s="740">
        <v>55000</v>
      </c>
      <c r="V1699" s="741">
        <v>1100122</v>
      </c>
    </row>
    <row r="1700" spans="1:22" ht="15" x14ac:dyDescent="0.2">
      <c r="A1700" s="734">
        <v>3131</v>
      </c>
      <c r="B1700" s="735" t="s">
        <v>61</v>
      </c>
      <c r="C1700" s="736"/>
      <c r="D1700" s="736"/>
      <c r="E1700" s="749"/>
      <c r="F1700" s="736"/>
      <c r="G1700" s="752"/>
      <c r="H1700" s="752"/>
      <c r="I1700" s="752"/>
      <c r="J1700" s="736"/>
      <c r="K1700" s="752"/>
      <c r="L1700" s="752"/>
      <c r="M1700" s="736"/>
      <c r="N1700" s="736">
        <v>50000</v>
      </c>
      <c r="O1700" s="736"/>
      <c r="P1700" s="736">
        <f t="shared" si="592"/>
        <v>50000</v>
      </c>
      <c r="Q1700" s="753">
        <v>50000</v>
      </c>
      <c r="R1700" s="738"/>
      <c r="S1700" s="753">
        <v>51750</v>
      </c>
      <c r="T1700" s="739">
        <v>1100121</v>
      </c>
      <c r="U1700" s="740">
        <v>50000</v>
      </c>
      <c r="V1700" s="741">
        <v>1100122</v>
      </c>
    </row>
    <row r="1701" spans="1:22" ht="15" x14ac:dyDescent="0.2">
      <c r="A1701" s="739">
        <v>3221</v>
      </c>
      <c r="B1701" s="743" t="s">
        <v>99</v>
      </c>
      <c r="C1701" s="736">
        <v>109359.96</v>
      </c>
      <c r="D1701" s="736"/>
      <c r="E1701" s="736"/>
      <c r="F1701" s="736"/>
      <c r="G1701" s="736"/>
      <c r="H1701" s="736"/>
      <c r="I1701" s="736"/>
      <c r="J1701" s="736">
        <f t="shared" ref="J1701:J1712" si="597">G1701+H1701-I1701</f>
        <v>0</v>
      </c>
      <c r="K1701" s="736"/>
      <c r="L1701" s="736"/>
      <c r="M1701" s="736">
        <f t="shared" ref="M1701:M1708" si="598">J1701+K1701-L1701</f>
        <v>0</v>
      </c>
      <c r="N1701" s="736"/>
      <c r="O1701" s="736"/>
      <c r="P1701" s="738">
        <f t="shared" si="592"/>
        <v>0</v>
      </c>
      <c r="Q1701" s="738"/>
      <c r="R1701" s="738"/>
      <c r="S1701" s="753"/>
      <c r="T1701" s="739"/>
      <c r="U1701" s="745"/>
      <c r="V1701" s="739"/>
    </row>
    <row r="1702" spans="1:22" ht="15" x14ac:dyDescent="0.2">
      <c r="A1702" s="739">
        <v>3331</v>
      </c>
      <c r="B1702" s="743" t="s">
        <v>171</v>
      </c>
      <c r="C1702" s="736"/>
      <c r="D1702" s="736">
        <v>0</v>
      </c>
      <c r="E1702" s="749">
        <v>127600</v>
      </c>
      <c r="F1702" s="736">
        <v>127600</v>
      </c>
      <c r="G1702" s="736"/>
      <c r="H1702" s="736"/>
      <c r="I1702" s="736"/>
      <c r="J1702" s="736">
        <f t="shared" si="597"/>
        <v>0</v>
      </c>
      <c r="K1702" s="736"/>
      <c r="L1702" s="736"/>
      <c r="M1702" s="736">
        <f t="shared" si="598"/>
        <v>0</v>
      </c>
      <c r="N1702" s="736"/>
      <c r="O1702" s="736"/>
      <c r="P1702" s="738">
        <f t="shared" si="592"/>
        <v>0</v>
      </c>
      <c r="Q1702" s="738"/>
      <c r="R1702" s="738"/>
      <c r="S1702" s="738"/>
      <c r="T1702" s="739">
        <v>1100119</v>
      </c>
      <c r="U1702" s="745"/>
      <c r="V1702" s="739">
        <v>1100119</v>
      </c>
    </row>
    <row r="1703" spans="1:22" ht="30" x14ac:dyDescent="0.2">
      <c r="A1703" s="734">
        <v>3361</v>
      </c>
      <c r="B1703" s="735" t="s">
        <v>29</v>
      </c>
      <c r="C1703" s="736">
        <v>19819.990000000002</v>
      </c>
      <c r="D1703" s="736">
        <v>20000</v>
      </c>
      <c r="E1703" s="749">
        <v>20000</v>
      </c>
      <c r="F1703" s="736">
        <v>19000</v>
      </c>
      <c r="G1703" s="752">
        <v>20700</v>
      </c>
      <c r="H1703" s="752"/>
      <c r="I1703" s="752"/>
      <c r="J1703" s="736">
        <f t="shared" si="597"/>
        <v>20700</v>
      </c>
      <c r="K1703" s="752"/>
      <c r="L1703" s="752"/>
      <c r="M1703" s="736">
        <f t="shared" si="598"/>
        <v>20700</v>
      </c>
      <c r="N1703" s="736"/>
      <c r="O1703" s="736"/>
      <c r="P1703" s="736">
        <f t="shared" si="592"/>
        <v>20700</v>
      </c>
      <c r="Q1703" s="753">
        <v>20700</v>
      </c>
      <c r="R1703" s="738">
        <v>11828</v>
      </c>
      <c r="S1703" s="753">
        <v>21424.5</v>
      </c>
      <c r="T1703" s="739">
        <v>1100121</v>
      </c>
      <c r="U1703" s="754">
        <v>21424.5</v>
      </c>
      <c r="V1703" s="741">
        <v>1100122</v>
      </c>
    </row>
    <row r="1704" spans="1:22" ht="15" x14ac:dyDescent="0.2">
      <c r="A1704" s="734">
        <v>3411</v>
      </c>
      <c r="B1704" s="735" t="s">
        <v>252</v>
      </c>
      <c r="C1704" s="736">
        <v>1239124.8500000001</v>
      </c>
      <c r="D1704" s="736">
        <v>1200000</v>
      </c>
      <c r="E1704" s="749">
        <v>1100000</v>
      </c>
      <c r="F1704" s="736">
        <v>1149498.1599999999</v>
      </c>
      <c r="G1704" s="752">
        <v>1242000</v>
      </c>
      <c r="H1704" s="752"/>
      <c r="I1704" s="752"/>
      <c r="J1704" s="736">
        <f t="shared" si="597"/>
        <v>1242000</v>
      </c>
      <c r="K1704" s="752"/>
      <c r="L1704" s="752"/>
      <c r="M1704" s="736">
        <f t="shared" si="598"/>
        <v>1242000</v>
      </c>
      <c r="N1704" s="736"/>
      <c r="O1704" s="736"/>
      <c r="P1704" s="736">
        <f t="shared" si="592"/>
        <v>1242000</v>
      </c>
      <c r="Q1704" s="753">
        <v>1242000</v>
      </c>
      <c r="R1704" s="738">
        <v>1241990.6200000001</v>
      </c>
      <c r="S1704" s="753">
        <v>1600000</v>
      </c>
      <c r="T1704" s="739">
        <v>1100121</v>
      </c>
      <c r="U1704" s="754">
        <v>1600000</v>
      </c>
      <c r="V1704" s="741">
        <v>1100122</v>
      </c>
    </row>
    <row r="1705" spans="1:22" ht="15" x14ac:dyDescent="0.2">
      <c r="A1705" s="734">
        <v>3421</v>
      </c>
      <c r="B1705" s="735" t="s">
        <v>261</v>
      </c>
      <c r="C1705" s="736">
        <v>59539.199999999997</v>
      </c>
      <c r="D1705" s="736">
        <v>60000</v>
      </c>
      <c r="E1705" s="749">
        <v>100000</v>
      </c>
      <c r="F1705" s="736">
        <v>74166.67</v>
      </c>
      <c r="G1705" s="752">
        <v>100000</v>
      </c>
      <c r="H1705" s="752"/>
      <c r="I1705" s="752"/>
      <c r="J1705" s="736">
        <f t="shared" si="597"/>
        <v>100000</v>
      </c>
      <c r="K1705" s="752"/>
      <c r="L1705" s="752"/>
      <c r="M1705" s="736">
        <f t="shared" si="598"/>
        <v>100000</v>
      </c>
      <c r="N1705" s="752">
        <v>85624.22</v>
      </c>
      <c r="O1705" s="736"/>
      <c r="P1705" s="736">
        <f t="shared" si="592"/>
        <v>185624.22</v>
      </c>
      <c r="Q1705" s="753">
        <v>185624.22</v>
      </c>
      <c r="R1705" s="738">
        <v>178404.28</v>
      </c>
      <c r="S1705" s="753">
        <v>300000</v>
      </c>
      <c r="T1705" s="739">
        <v>1100121</v>
      </c>
      <c r="U1705" s="754">
        <v>300000</v>
      </c>
      <c r="V1705" s="741">
        <v>1100122</v>
      </c>
    </row>
    <row r="1706" spans="1:22" ht="15" x14ac:dyDescent="0.2">
      <c r="A1706" s="734">
        <v>3431</v>
      </c>
      <c r="B1706" s="735" t="s">
        <v>205</v>
      </c>
      <c r="C1706" s="736">
        <v>115097.08</v>
      </c>
      <c r="D1706" s="736">
        <v>170000</v>
      </c>
      <c r="E1706" s="749">
        <v>190000</v>
      </c>
      <c r="F1706" s="736">
        <v>150309.21</v>
      </c>
      <c r="G1706" s="752">
        <v>190000</v>
      </c>
      <c r="H1706" s="752"/>
      <c r="I1706" s="752"/>
      <c r="J1706" s="736">
        <f t="shared" si="597"/>
        <v>190000</v>
      </c>
      <c r="K1706" s="752"/>
      <c r="L1706" s="752"/>
      <c r="M1706" s="736">
        <f t="shared" si="598"/>
        <v>190000</v>
      </c>
      <c r="N1706" s="736"/>
      <c r="O1706" s="736"/>
      <c r="P1706" s="736">
        <f t="shared" si="592"/>
        <v>190000</v>
      </c>
      <c r="Q1706" s="753">
        <v>190000</v>
      </c>
      <c r="R1706" s="738">
        <v>165340.35</v>
      </c>
      <c r="S1706" s="753">
        <v>200000</v>
      </c>
      <c r="T1706" s="739">
        <v>1100121</v>
      </c>
      <c r="U1706" s="754">
        <v>200000</v>
      </c>
      <c r="V1706" s="741">
        <v>1100122</v>
      </c>
    </row>
    <row r="1707" spans="1:22" ht="15" x14ac:dyDescent="0.2">
      <c r="A1707" s="734">
        <v>3511</v>
      </c>
      <c r="B1707" s="735" t="s">
        <v>49</v>
      </c>
      <c r="C1707" s="736">
        <v>15111.97</v>
      </c>
      <c r="D1707" s="736">
        <v>10000</v>
      </c>
      <c r="E1707" s="749">
        <v>10000</v>
      </c>
      <c r="F1707" s="736">
        <v>2900</v>
      </c>
      <c r="G1707" s="752">
        <v>10000</v>
      </c>
      <c r="H1707" s="896"/>
      <c r="I1707" s="752"/>
      <c r="J1707" s="736">
        <f t="shared" si="597"/>
        <v>10000</v>
      </c>
      <c r="K1707" s="896">
        <v>150000</v>
      </c>
      <c r="L1707" s="752"/>
      <c r="M1707" s="736">
        <f t="shared" si="598"/>
        <v>160000</v>
      </c>
      <c r="N1707" s="736"/>
      <c r="O1707" s="736"/>
      <c r="P1707" s="736">
        <f t="shared" si="592"/>
        <v>160000</v>
      </c>
      <c r="Q1707" s="753">
        <v>160000</v>
      </c>
      <c r="R1707" s="738">
        <v>158016.47</v>
      </c>
      <c r="S1707" s="753">
        <v>20000</v>
      </c>
      <c r="T1707" s="739">
        <v>1100121</v>
      </c>
      <c r="U1707" s="754">
        <v>20000</v>
      </c>
      <c r="V1707" s="741">
        <v>1100122</v>
      </c>
    </row>
    <row r="1708" spans="1:22" ht="15" x14ac:dyDescent="0.2">
      <c r="A1708" s="734">
        <v>3551</v>
      </c>
      <c r="B1708" s="735" t="s">
        <v>30</v>
      </c>
      <c r="C1708" s="736">
        <v>42417.2</v>
      </c>
      <c r="D1708" s="736">
        <v>45000</v>
      </c>
      <c r="E1708" s="749">
        <v>45000</v>
      </c>
      <c r="F1708" s="736">
        <v>36481.629999999997</v>
      </c>
      <c r="G1708" s="752">
        <v>45000</v>
      </c>
      <c r="H1708" s="752"/>
      <c r="I1708" s="752"/>
      <c r="J1708" s="736">
        <f t="shared" si="597"/>
        <v>45000</v>
      </c>
      <c r="K1708" s="752"/>
      <c r="L1708" s="752"/>
      <c r="M1708" s="736">
        <f t="shared" si="598"/>
        <v>45000</v>
      </c>
      <c r="N1708" s="736">
        <v>25000</v>
      </c>
      <c r="O1708" s="736"/>
      <c r="P1708" s="736">
        <f t="shared" si="592"/>
        <v>70000</v>
      </c>
      <c r="Q1708" s="753">
        <v>70000</v>
      </c>
      <c r="R1708" s="738">
        <v>40914.58</v>
      </c>
      <c r="S1708" s="738">
        <f>Q1708</f>
        <v>70000</v>
      </c>
      <c r="T1708" s="739">
        <v>1100121</v>
      </c>
      <c r="U1708" s="746">
        <v>70000</v>
      </c>
      <c r="V1708" s="741">
        <v>1100122</v>
      </c>
    </row>
    <row r="1709" spans="1:22" ht="15" x14ac:dyDescent="0.2">
      <c r="A1709" s="734">
        <v>3612</v>
      </c>
      <c r="B1709" s="735" t="s">
        <v>1776</v>
      </c>
      <c r="C1709" s="736"/>
      <c r="D1709" s="736"/>
      <c r="E1709" s="736"/>
      <c r="F1709" s="736"/>
      <c r="G1709" s="736"/>
      <c r="H1709" s="789"/>
      <c r="I1709" s="736"/>
      <c r="J1709" s="736">
        <f t="shared" si="597"/>
        <v>0</v>
      </c>
      <c r="K1709" s="789"/>
      <c r="L1709" s="736"/>
      <c r="M1709" s="736"/>
      <c r="N1709" s="736">
        <v>9500</v>
      </c>
      <c r="O1709" s="736"/>
      <c r="P1709" s="736">
        <f t="shared" si="592"/>
        <v>9500</v>
      </c>
      <c r="Q1709" s="738">
        <v>9500</v>
      </c>
      <c r="R1709" s="738"/>
      <c r="S1709" s="738">
        <v>9832.5</v>
      </c>
      <c r="T1709" s="739">
        <v>1100121</v>
      </c>
      <c r="U1709" s="742">
        <v>9832.5</v>
      </c>
      <c r="V1709" s="741">
        <v>1100122</v>
      </c>
    </row>
    <row r="1710" spans="1:22" ht="15" x14ac:dyDescent="0.2">
      <c r="A1710" s="739">
        <v>3791</v>
      </c>
      <c r="B1710" s="743" t="s">
        <v>45</v>
      </c>
      <c r="C1710" s="736"/>
      <c r="D1710" s="736">
        <v>3000</v>
      </c>
      <c r="E1710" s="749">
        <v>1000</v>
      </c>
      <c r="F1710" s="736">
        <v>0</v>
      </c>
      <c r="G1710" s="752">
        <v>0</v>
      </c>
      <c r="H1710" s="752"/>
      <c r="I1710" s="752"/>
      <c r="J1710" s="736">
        <f t="shared" si="597"/>
        <v>0</v>
      </c>
      <c r="K1710" s="752"/>
      <c r="L1710" s="752"/>
      <c r="M1710" s="736">
        <f t="shared" ref="M1710:M1712" si="599">J1710+K1710-L1710</f>
        <v>0</v>
      </c>
      <c r="N1710" s="736"/>
      <c r="O1710" s="736"/>
      <c r="P1710" s="738">
        <f t="shared" si="592"/>
        <v>0</v>
      </c>
      <c r="Q1710" s="753">
        <v>0</v>
      </c>
      <c r="R1710" s="738"/>
      <c r="S1710" s="753"/>
      <c r="T1710" s="739">
        <v>1100121</v>
      </c>
      <c r="U1710" s="745"/>
      <c r="V1710" s="739">
        <v>1100122</v>
      </c>
    </row>
    <row r="1711" spans="1:22" ht="15" x14ac:dyDescent="0.2">
      <c r="A1711" s="734">
        <v>3852</v>
      </c>
      <c r="B1711" s="735" t="s">
        <v>32</v>
      </c>
      <c r="C1711" s="736">
        <v>21518.11</v>
      </c>
      <c r="D1711" s="736">
        <v>30000</v>
      </c>
      <c r="E1711" s="749">
        <v>30000</v>
      </c>
      <c r="F1711" s="736">
        <v>15360.880000000001</v>
      </c>
      <c r="G1711" s="752">
        <v>30000</v>
      </c>
      <c r="H1711" s="752"/>
      <c r="I1711" s="752"/>
      <c r="J1711" s="736">
        <f t="shared" si="597"/>
        <v>30000</v>
      </c>
      <c r="K1711" s="752"/>
      <c r="L1711" s="752"/>
      <c r="M1711" s="736">
        <f t="shared" si="599"/>
        <v>30000</v>
      </c>
      <c r="N1711" s="736"/>
      <c r="O1711" s="736"/>
      <c r="P1711" s="736">
        <f t="shared" si="592"/>
        <v>30000</v>
      </c>
      <c r="Q1711" s="753">
        <v>30000</v>
      </c>
      <c r="R1711" s="738">
        <v>16678.32</v>
      </c>
      <c r="S1711" s="753">
        <v>30000</v>
      </c>
      <c r="T1711" s="739">
        <v>1100121</v>
      </c>
      <c r="U1711" s="754">
        <v>30000</v>
      </c>
      <c r="V1711" s="741">
        <v>1100122</v>
      </c>
    </row>
    <row r="1712" spans="1:22" ht="15" x14ac:dyDescent="0.2">
      <c r="A1712" s="734">
        <v>3921</v>
      </c>
      <c r="B1712" s="735" t="s">
        <v>33</v>
      </c>
      <c r="C1712" s="736">
        <v>940.01</v>
      </c>
      <c r="D1712" s="736">
        <v>1040</v>
      </c>
      <c r="E1712" s="749">
        <v>1040</v>
      </c>
      <c r="F1712" s="736">
        <v>525.99</v>
      </c>
      <c r="G1712" s="752">
        <v>1157.2</v>
      </c>
      <c r="H1712" s="752"/>
      <c r="I1712" s="752"/>
      <c r="J1712" s="736">
        <f t="shared" si="597"/>
        <v>1157.2</v>
      </c>
      <c r="K1712" s="752"/>
      <c r="L1712" s="752"/>
      <c r="M1712" s="736">
        <f t="shared" si="599"/>
        <v>1157.2</v>
      </c>
      <c r="N1712" s="736"/>
      <c r="O1712" s="736"/>
      <c r="P1712" s="736">
        <f t="shared" si="592"/>
        <v>1157.2</v>
      </c>
      <c r="Q1712" s="753">
        <v>1157.2</v>
      </c>
      <c r="R1712" s="738">
        <v>1051.98</v>
      </c>
      <c r="S1712" s="753">
        <v>1197.7</v>
      </c>
      <c r="T1712" s="739">
        <v>1100121</v>
      </c>
      <c r="U1712" s="740">
        <v>1347</v>
      </c>
      <c r="V1712" s="741">
        <v>1100122</v>
      </c>
    </row>
    <row r="1713" spans="1:22" ht="15" x14ac:dyDescent="0.2">
      <c r="A1713" s="739">
        <v>3921</v>
      </c>
      <c r="B1713" s="743" t="s">
        <v>33</v>
      </c>
      <c r="C1713" s="736"/>
      <c r="D1713" s="736"/>
      <c r="E1713" s="749"/>
      <c r="F1713" s="736"/>
      <c r="G1713" s="752"/>
      <c r="H1713" s="752"/>
      <c r="I1713" s="752"/>
      <c r="J1713" s="736"/>
      <c r="K1713" s="752"/>
      <c r="L1713" s="752"/>
      <c r="M1713" s="736"/>
      <c r="N1713" s="736"/>
      <c r="O1713" s="736"/>
      <c r="P1713" s="736"/>
      <c r="Q1713" s="753"/>
      <c r="R1713" s="738"/>
      <c r="S1713" s="753">
        <v>1346.96</v>
      </c>
      <c r="T1713" s="739"/>
      <c r="U1713" s="745"/>
      <c r="V1713" s="739"/>
    </row>
    <row r="1714" spans="1:22" ht="15" x14ac:dyDescent="0.2">
      <c r="A1714" s="734">
        <v>3961</v>
      </c>
      <c r="B1714" s="735" t="s">
        <v>122</v>
      </c>
      <c r="C1714" s="736">
        <v>448087.71</v>
      </c>
      <c r="D1714" s="736">
        <v>600000</v>
      </c>
      <c r="E1714" s="749">
        <v>500000</v>
      </c>
      <c r="F1714" s="736">
        <v>418181.52</v>
      </c>
      <c r="G1714" s="752">
        <v>621000</v>
      </c>
      <c r="H1714" s="752"/>
      <c r="I1714" s="752"/>
      <c r="J1714" s="736">
        <f t="shared" ref="J1714:J1719" si="600">G1714+H1714-I1714</f>
        <v>621000</v>
      </c>
      <c r="K1714" s="752"/>
      <c r="L1714" s="752"/>
      <c r="M1714" s="736">
        <f t="shared" ref="M1714:M1718" si="601">J1714+K1714-L1714</f>
        <v>621000</v>
      </c>
      <c r="N1714" s="736"/>
      <c r="O1714" s="736"/>
      <c r="P1714" s="736">
        <f t="shared" ref="P1714:P1721" si="602">M1714+N1714-O1714</f>
        <v>621000</v>
      </c>
      <c r="Q1714" s="753">
        <v>621000</v>
      </c>
      <c r="R1714" s="738">
        <v>617136.82999999996</v>
      </c>
      <c r="S1714" s="753">
        <v>700000</v>
      </c>
      <c r="T1714" s="739">
        <v>1100121</v>
      </c>
      <c r="U1714" s="754">
        <v>800000</v>
      </c>
      <c r="V1714" s="741">
        <v>1100122</v>
      </c>
    </row>
    <row r="1715" spans="1:22" ht="15" x14ac:dyDescent="0.25">
      <c r="A1715" s="734">
        <v>5111</v>
      </c>
      <c r="B1715" s="735" t="s">
        <v>35</v>
      </c>
      <c r="C1715" s="736"/>
      <c r="D1715" s="736"/>
      <c r="E1715" s="749"/>
      <c r="F1715" s="736"/>
      <c r="G1715" s="752"/>
      <c r="H1715" s="759">
        <v>19500</v>
      </c>
      <c r="I1715" s="752"/>
      <c r="J1715" s="736">
        <f t="shared" si="600"/>
        <v>19500</v>
      </c>
      <c r="K1715" s="759"/>
      <c r="L1715" s="752"/>
      <c r="M1715" s="736">
        <f t="shared" si="601"/>
        <v>19500</v>
      </c>
      <c r="N1715" s="736"/>
      <c r="O1715" s="736"/>
      <c r="P1715" s="736">
        <f t="shared" si="602"/>
        <v>19500</v>
      </c>
      <c r="Q1715" s="753">
        <v>19500</v>
      </c>
      <c r="R1715" s="738">
        <v>19500</v>
      </c>
      <c r="S1715" s="753">
        <v>15000</v>
      </c>
      <c r="T1715" s="739">
        <v>1100120</v>
      </c>
      <c r="U1715" s="754">
        <v>15000</v>
      </c>
      <c r="V1715" s="741">
        <v>1100122</v>
      </c>
    </row>
    <row r="1716" spans="1:22" ht="15" x14ac:dyDescent="0.2">
      <c r="A1716" s="739">
        <v>5111</v>
      </c>
      <c r="B1716" s="743" t="s">
        <v>35</v>
      </c>
      <c r="C1716" s="736">
        <v>17000</v>
      </c>
      <c r="D1716" s="736">
        <v>10000</v>
      </c>
      <c r="E1716" s="749">
        <v>10000</v>
      </c>
      <c r="F1716" s="736">
        <v>39500</v>
      </c>
      <c r="G1716" s="736"/>
      <c r="H1716" s="736"/>
      <c r="I1716" s="736"/>
      <c r="J1716" s="736">
        <f t="shared" si="600"/>
        <v>0</v>
      </c>
      <c r="K1716" s="736"/>
      <c r="L1716" s="736"/>
      <c r="M1716" s="736">
        <f t="shared" si="601"/>
        <v>0</v>
      </c>
      <c r="N1716" s="736">
        <v>14000</v>
      </c>
      <c r="O1716" s="736"/>
      <c r="P1716" s="736">
        <f t="shared" si="602"/>
        <v>14000</v>
      </c>
      <c r="Q1716" s="738">
        <v>14000</v>
      </c>
      <c r="R1716" s="738">
        <v>14000</v>
      </c>
      <c r="S1716" s="738"/>
      <c r="T1716" s="739">
        <v>1100121</v>
      </c>
      <c r="U1716" s="745"/>
      <c r="V1716" s="739">
        <v>1100122</v>
      </c>
    </row>
    <row r="1717" spans="1:22" ht="15" x14ac:dyDescent="0.2">
      <c r="A1717" s="739">
        <v>5151</v>
      </c>
      <c r="B1717" s="743" t="s">
        <v>36</v>
      </c>
      <c r="C1717" s="736">
        <v>23400</v>
      </c>
      <c r="D1717" s="736"/>
      <c r="E1717" s="736"/>
      <c r="F1717" s="736"/>
      <c r="G1717" s="736"/>
      <c r="H1717" s="736"/>
      <c r="I1717" s="736"/>
      <c r="J1717" s="736">
        <f t="shared" si="600"/>
        <v>0</v>
      </c>
      <c r="K1717" s="736"/>
      <c r="L1717" s="736"/>
      <c r="M1717" s="736">
        <f t="shared" si="601"/>
        <v>0</v>
      </c>
      <c r="N1717" s="736">
        <v>0</v>
      </c>
      <c r="O1717" s="736"/>
      <c r="P1717" s="738">
        <f t="shared" si="602"/>
        <v>0</v>
      </c>
      <c r="Q1717" s="738"/>
      <c r="R1717" s="738"/>
      <c r="S1717" s="738">
        <v>20000</v>
      </c>
      <c r="T1717" s="739">
        <v>1100121</v>
      </c>
      <c r="U1717" s="750">
        <v>0</v>
      </c>
      <c r="V1717" s="739">
        <v>1100122</v>
      </c>
    </row>
    <row r="1718" spans="1:22" ht="15" x14ac:dyDescent="0.2">
      <c r="A1718" s="739">
        <v>5191</v>
      </c>
      <c r="B1718" s="743" t="s">
        <v>1777</v>
      </c>
      <c r="C1718" s="736"/>
      <c r="D1718" s="736"/>
      <c r="E1718" s="736"/>
      <c r="F1718" s="736"/>
      <c r="G1718" s="736"/>
      <c r="H1718" s="789"/>
      <c r="I1718" s="736"/>
      <c r="J1718" s="736">
        <f t="shared" si="600"/>
        <v>0</v>
      </c>
      <c r="K1718" s="789">
        <v>42000</v>
      </c>
      <c r="L1718" s="736"/>
      <c r="M1718" s="736">
        <f t="shared" si="601"/>
        <v>42000</v>
      </c>
      <c r="N1718" s="736"/>
      <c r="O1718" s="736">
        <v>41700</v>
      </c>
      <c r="P1718" s="736">
        <f t="shared" si="602"/>
        <v>300</v>
      </c>
      <c r="Q1718" s="738">
        <v>300</v>
      </c>
      <c r="R1718" s="738"/>
      <c r="S1718" s="738"/>
      <c r="T1718" s="739">
        <v>1100121</v>
      </c>
      <c r="U1718" s="745"/>
      <c r="V1718" s="739">
        <v>1100122</v>
      </c>
    </row>
    <row r="1719" spans="1:22" ht="15" x14ac:dyDescent="0.2">
      <c r="A1719" s="739">
        <v>5211</v>
      </c>
      <c r="B1719" s="743" t="s">
        <v>71</v>
      </c>
      <c r="C1719" s="736"/>
      <c r="D1719" s="736"/>
      <c r="E1719" s="736"/>
      <c r="F1719" s="736"/>
      <c r="G1719" s="736"/>
      <c r="H1719" s="789"/>
      <c r="I1719" s="736"/>
      <c r="J1719" s="736">
        <f t="shared" si="600"/>
        <v>0</v>
      </c>
      <c r="K1719" s="789"/>
      <c r="L1719" s="736"/>
      <c r="M1719" s="736"/>
      <c r="N1719" s="736">
        <v>33640</v>
      </c>
      <c r="O1719" s="736"/>
      <c r="P1719" s="736">
        <f t="shared" si="602"/>
        <v>33640</v>
      </c>
      <c r="Q1719" s="738">
        <v>33640</v>
      </c>
      <c r="R1719" s="738">
        <v>10765</v>
      </c>
      <c r="S1719" s="738"/>
      <c r="T1719" s="739">
        <v>1100121</v>
      </c>
      <c r="U1719" s="745"/>
      <c r="V1719" s="739">
        <v>1100122</v>
      </c>
    </row>
    <row r="1720" spans="1:22" ht="15" x14ac:dyDescent="0.2">
      <c r="A1720" s="739">
        <v>5491</v>
      </c>
      <c r="B1720" s="743" t="s">
        <v>1778</v>
      </c>
      <c r="C1720" s="736"/>
      <c r="D1720" s="736"/>
      <c r="E1720" s="736"/>
      <c r="F1720" s="736"/>
      <c r="G1720" s="736"/>
      <c r="H1720" s="789"/>
      <c r="I1720" s="736"/>
      <c r="J1720" s="736"/>
      <c r="K1720" s="789"/>
      <c r="L1720" s="736"/>
      <c r="M1720" s="736">
        <f t="shared" ref="M1720:M1721" si="603">J1720+K1720-L1720</f>
        <v>0</v>
      </c>
      <c r="N1720" s="736">
        <v>180000</v>
      </c>
      <c r="O1720" s="736"/>
      <c r="P1720" s="736">
        <f t="shared" si="602"/>
        <v>180000</v>
      </c>
      <c r="Q1720" s="738">
        <v>180000</v>
      </c>
      <c r="R1720" s="738">
        <v>174950</v>
      </c>
      <c r="S1720" s="738"/>
      <c r="T1720" s="739">
        <v>1100121</v>
      </c>
      <c r="U1720" s="745"/>
      <c r="V1720" s="739">
        <v>1100122</v>
      </c>
    </row>
    <row r="1721" spans="1:22" ht="15" x14ac:dyDescent="0.2">
      <c r="A1721" s="734">
        <v>5641</v>
      </c>
      <c r="B1721" s="762" t="s">
        <v>1774</v>
      </c>
      <c r="C1721" s="736"/>
      <c r="D1721" s="736"/>
      <c r="E1721" s="736"/>
      <c r="F1721" s="736"/>
      <c r="G1721" s="736"/>
      <c r="H1721" s="789"/>
      <c r="I1721" s="736"/>
      <c r="J1721" s="736">
        <f>G1721+H1721-I1721</f>
        <v>0</v>
      </c>
      <c r="K1721" s="789">
        <v>80000</v>
      </c>
      <c r="L1721" s="736"/>
      <c r="M1721" s="736">
        <f t="shared" si="603"/>
        <v>80000</v>
      </c>
      <c r="N1721" s="736"/>
      <c r="O1721" s="736"/>
      <c r="P1721" s="736">
        <f t="shared" si="602"/>
        <v>80000</v>
      </c>
      <c r="Q1721" s="738">
        <v>59508</v>
      </c>
      <c r="R1721" s="738">
        <v>59508</v>
      </c>
      <c r="S1721" s="738"/>
      <c r="T1721" s="739">
        <v>1100121</v>
      </c>
      <c r="U1721" s="746">
        <v>150000</v>
      </c>
      <c r="V1721" s="741">
        <v>1100122</v>
      </c>
    </row>
    <row r="1722" spans="1:22" ht="15" x14ac:dyDescent="0.2">
      <c r="A1722" s="728" t="s">
        <v>262</v>
      </c>
      <c r="B1722" s="729" t="s">
        <v>1640</v>
      </c>
      <c r="C1722" s="730">
        <f t="shared" ref="C1722:S1722" si="604">SUM(C1723:C1750)</f>
        <v>6984120.3499999996</v>
      </c>
      <c r="D1722" s="730">
        <f t="shared" si="604"/>
        <v>6382507.7999999998</v>
      </c>
      <c r="E1722" s="730">
        <f t="shared" si="604"/>
        <v>6242074.2199999997</v>
      </c>
      <c r="F1722" s="730">
        <f t="shared" si="604"/>
        <v>7863299.7800000003</v>
      </c>
      <c r="G1722" s="730">
        <f t="shared" si="604"/>
        <v>6675432.4000000004</v>
      </c>
      <c r="H1722" s="730">
        <f t="shared" si="604"/>
        <v>2416</v>
      </c>
      <c r="I1722" s="730">
        <f t="shared" si="604"/>
        <v>0</v>
      </c>
      <c r="J1722" s="730">
        <f t="shared" si="604"/>
        <v>6677848.4000000004</v>
      </c>
      <c r="K1722" s="730">
        <f t="shared" si="604"/>
        <v>483589.44</v>
      </c>
      <c r="L1722" s="730">
        <f t="shared" si="604"/>
        <v>21971.16</v>
      </c>
      <c r="M1722" s="730">
        <f t="shared" si="604"/>
        <v>7139466.6799999997</v>
      </c>
      <c r="N1722" s="730">
        <f t="shared" si="604"/>
        <v>20000</v>
      </c>
      <c r="O1722" s="730">
        <f t="shared" si="604"/>
        <v>110638.64</v>
      </c>
      <c r="P1722" s="730">
        <f t="shared" si="604"/>
        <v>7048828.04</v>
      </c>
      <c r="Q1722" s="748">
        <f t="shared" si="604"/>
        <v>7090275.6299999999</v>
      </c>
      <c r="R1722" s="748">
        <f t="shared" si="604"/>
        <v>3853603.8899999997</v>
      </c>
      <c r="S1722" s="748">
        <f t="shared" si="604"/>
        <v>7430932.7999999998</v>
      </c>
      <c r="T1722" s="731"/>
      <c r="U1722" s="732">
        <f>SUM(U1723:U1750)</f>
        <v>9123356.370000001</v>
      </c>
      <c r="V1722" s="733"/>
    </row>
    <row r="1723" spans="1:22" ht="15" x14ac:dyDescent="0.25">
      <c r="A1723" s="734">
        <v>1131</v>
      </c>
      <c r="B1723" s="735" t="s">
        <v>6</v>
      </c>
      <c r="C1723" s="736">
        <v>736873.62</v>
      </c>
      <c r="D1723" s="736">
        <v>822352.44</v>
      </c>
      <c r="E1723" s="749">
        <v>822352.44</v>
      </c>
      <c r="F1723" s="736">
        <v>896531.16</v>
      </c>
      <c r="G1723" s="736">
        <v>894755.7</v>
      </c>
      <c r="H1723" s="736"/>
      <c r="I1723" s="736"/>
      <c r="J1723" s="736">
        <f>G1723+H1723-I1723</f>
        <v>894755.7</v>
      </c>
      <c r="K1723" s="736">
        <v>4042.57</v>
      </c>
      <c r="L1723" s="736"/>
      <c r="M1723" s="736">
        <f t="shared" ref="M1723:M1750" si="605">J1723+K1723-L1723</f>
        <v>898798.2699999999</v>
      </c>
      <c r="N1723" s="736"/>
      <c r="O1723" s="736"/>
      <c r="P1723" s="736">
        <f t="shared" ref="P1723:P1750" si="606">M1723+N1723-O1723</f>
        <v>898798.2699999999</v>
      </c>
      <c r="Q1723" s="738">
        <v>910503.98</v>
      </c>
      <c r="R1723" s="738"/>
      <c r="S1723" s="751">
        <v>929466.72</v>
      </c>
      <c r="T1723" s="739">
        <v>1500521</v>
      </c>
      <c r="U1723" s="779">
        <v>965326.01</v>
      </c>
      <c r="V1723" s="741">
        <v>1500522</v>
      </c>
    </row>
    <row r="1724" spans="1:22" ht="15" x14ac:dyDescent="0.25">
      <c r="A1724" s="734">
        <v>1132</v>
      </c>
      <c r="B1724" s="735" t="s">
        <v>8</v>
      </c>
      <c r="C1724" s="736"/>
      <c r="D1724" s="736"/>
      <c r="E1724" s="749"/>
      <c r="F1724" s="736"/>
      <c r="G1724" s="736"/>
      <c r="H1724" s="736"/>
      <c r="I1724" s="736"/>
      <c r="J1724" s="736"/>
      <c r="K1724" s="736">
        <v>164915.93</v>
      </c>
      <c r="L1724" s="736">
        <v>20000</v>
      </c>
      <c r="M1724" s="736">
        <f t="shared" si="605"/>
        <v>144915.93</v>
      </c>
      <c r="N1724" s="736"/>
      <c r="O1724" s="736"/>
      <c r="P1724" s="736">
        <f t="shared" si="606"/>
        <v>144915.93</v>
      </c>
      <c r="Q1724" s="738">
        <v>131366.54</v>
      </c>
      <c r="R1724" s="738"/>
      <c r="S1724" s="751">
        <v>186080.44</v>
      </c>
      <c r="T1724" s="739">
        <v>1100121</v>
      </c>
      <c r="U1724" s="779">
        <v>122190.9</v>
      </c>
      <c r="V1724" s="741">
        <v>1100122</v>
      </c>
    </row>
    <row r="1725" spans="1:22" ht="15" x14ac:dyDescent="0.25">
      <c r="A1725" s="739">
        <v>1132</v>
      </c>
      <c r="B1725" s="743" t="s">
        <v>8</v>
      </c>
      <c r="C1725" s="736"/>
      <c r="D1725" s="736"/>
      <c r="E1725" s="749"/>
      <c r="F1725" s="736"/>
      <c r="G1725" s="736"/>
      <c r="H1725" s="736"/>
      <c r="I1725" s="736"/>
      <c r="J1725" s="736"/>
      <c r="K1725" s="736">
        <v>20000</v>
      </c>
      <c r="L1725" s="736"/>
      <c r="M1725" s="736">
        <f t="shared" si="605"/>
        <v>20000</v>
      </c>
      <c r="N1725" s="736"/>
      <c r="O1725" s="736"/>
      <c r="P1725" s="736">
        <f t="shared" si="606"/>
        <v>20000</v>
      </c>
      <c r="Q1725" s="738">
        <v>20000</v>
      </c>
      <c r="R1725" s="738"/>
      <c r="S1725" s="751">
        <v>77862.22</v>
      </c>
      <c r="T1725" s="739">
        <v>1500521</v>
      </c>
      <c r="U1725" s="780"/>
      <c r="V1725" s="739">
        <v>1500522</v>
      </c>
    </row>
    <row r="1726" spans="1:22" ht="15" x14ac:dyDescent="0.25">
      <c r="A1726" s="734">
        <v>1321</v>
      </c>
      <c r="B1726" s="735" t="s">
        <v>9</v>
      </c>
      <c r="C1726" s="736">
        <v>53530.92</v>
      </c>
      <c r="D1726" s="736">
        <v>62352.28</v>
      </c>
      <c r="E1726" s="749">
        <v>61877.279999999999</v>
      </c>
      <c r="F1726" s="736">
        <v>61876.71</v>
      </c>
      <c r="G1726" s="736">
        <v>65793.8</v>
      </c>
      <c r="H1726" s="736"/>
      <c r="I1726" s="736"/>
      <c r="J1726" s="736">
        <f t="shared" ref="J1726:J1733" si="607">G1726+H1726-I1726</f>
        <v>65793.8</v>
      </c>
      <c r="K1726" s="736">
        <v>18695.77</v>
      </c>
      <c r="L1726" s="736"/>
      <c r="M1726" s="736">
        <f t="shared" si="605"/>
        <v>84489.57</v>
      </c>
      <c r="N1726" s="736"/>
      <c r="O1726" s="736"/>
      <c r="P1726" s="736">
        <f t="shared" si="606"/>
        <v>84489.57</v>
      </c>
      <c r="Q1726" s="738">
        <v>84489.57</v>
      </c>
      <c r="R1726" s="738"/>
      <c r="S1726" s="751">
        <v>203773</v>
      </c>
      <c r="T1726" s="739">
        <v>1500521</v>
      </c>
      <c r="U1726" s="779">
        <v>73420.289999999994</v>
      </c>
      <c r="V1726" s="741">
        <v>1500522</v>
      </c>
    </row>
    <row r="1727" spans="1:22" ht="15" x14ac:dyDescent="0.25">
      <c r="A1727" s="734">
        <v>1323</v>
      </c>
      <c r="B1727" s="735" t="s">
        <v>11</v>
      </c>
      <c r="C1727" s="736">
        <v>137521</v>
      </c>
      <c r="D1727" s="736">
        <v>152257</v>
      </c>
      <c r="E1727" s="749">
        <v>152257</v>
      </c>
      <c r="F1727" s="736">
        <v>154536</v>
      </c>
      <c r="G1727" s="736">
        <v>159949.5</v>
      </c>
      <c r="H1727" s="736"/>
      <c r="I1727" s="736"/>
      <c r="J1727" s="736">
        <f t="shared" si="607"/>
        <v>159949.5</v>
      </c>
      <c r="K1727" s="736">
        <v>34807.75</v>
      </c>
      <c r="L1727" s="736"/>
      <c r="M1727" s="736">
        <f t="shared" si="605"/>
        <v>194757.25</v>
      </c>
      <c r="N1727" s="736"/>
      <c r="O1727" s="736"/>
      <c r="P1727" s="736">
        <f t="shared" si="606"/>
        <v>194757.25</v>
      </c>
      <c r="Q1727" s="738">
        <v>194757.25</v>
      </c>
      <c r="R1727" s="738"/>
      <c r="S1727" s="751">
        <v>328103.52</v>
      </c>
      <c r="T1727" s="739">
        <v>1500521</v>
      </c>
      <c r="U1727" s="779">
        <v>191288.75</v>
      </c>
      <c r="V1727" s="741">
        <v>1500522</v>
      </c>
    </row>
    <row r="1728" spans="1:22" ht="15" x14ac:dyDescent="0.25">
      <c r="A1728" s="734">
        <v>1413</v>
      </c>
      <c r="B1728" s="735" t="s">
        <v>13</v>
      </c>
      <c r="C1728" s="736">
        <v>173880.84</v>
      </c>
      <c r="D1728" s="736">
        <v>220937.76</v>
      </c>
      <c r="E1728" s="749">
        <v>216381.76</v>
      </c>
      <c r="F1728" s="736">
        <v>213682.23</v>
      </c>
      <c r="G1728" s="736">
        <v>248041</v>
      </c>
      <c r="H1728" s="736"/>
      <c r="I1728" s="736"/>
      <c r="J1728" s="736">
        <f t="shared" si="607"/>
        <v>248041</v>
      </c>
      <c r="K1728" s="736">
        <v>8175.14</v>
      </c>
      <c r="L1728" s="736"/>
      <c r="M1728" s="736">
        <f t="shared" si="605"/>
        <v>256216.14</v>
      </c>
      <c r="N1728" s="736"/>
      <c r="O1728" s="736"/>
      <c r="P1728" s="736">
        <f t="shared" si="606"/>
        <v>256216.14</v>
      </c>
      <c r="Q1728" s="738">
        <v>256216.14</v>
      </c>
      <c r="R1728" s="738"/>
      <c r="S1728" s="751">
        <v>90133.8</v>
      </c>
      <c r="T1728" s="739">
        <v>1500521</v>
      </c>
      <c r="U1728" s="779">
        <v>280635.69</v>
      </c>
      <c r="V1728" s="741">
        <v>1500522</v>
      </c>
    </row>
    <row r="1729" spans="1:22" ht="15" x14ac:dyDescent="0.25">
      <c r="A1729" s="734">
        <v>1421</v>
      </c>
      <c r="B1729" s="735" t="s">
        <v>15</v>
      </c>
      <c r="C1729" s="736">
        <v>56771.72</v>
      </c>
      <c r="D1729" s="736">
        <v>67107.66</v>
      </c>
      <c r="E1729" s="749">
        <v>60538.66</v>
      </c>
      <c r="F1729" s="736">
        <v>64969.49</v>
      </c>
      <c r="G1729" s="736">
        <v>71003.900000000009</v>
      </c>
      <c r="H1729" s="736"/>
      <c r="I1729" s="736"/>
      <c r="J1729" s="736">
        <f t="shared" si="607"/>
        <v>71003.900000000009</v>
      </c>
      <c r="K1729" s="736">
        <v>2294.46</v>
      </c>
      <c r="L1729" s="736"/>
      <c r="M1729" s="736">
        <f t="shared" si="605"/>
        <v>73298.360000000015</v>
      </c>
      <c r="N1729" s="736"/>
      <c r="O1729" s="736"/>
      <c r="P1729" s="736">
        <f t="shared" si="606"/>
        <v>73298.360000000015</v>
      </c>
      <c r="Q1729" s="738">
        <v>73298.36</v>
      </c>
      <c r="R1729" s="738"/>
      <c r="S1729" s="751">
        <v>92837.88</v>
      </c>
      <c r="T1729" s="739">
        <v>1500521</v>
      </c>
      <c r="U1729" s="779">
        <v>101686.62</v>
      </c>
      <c r="V1729" s="741">
        <v>1500522</v>
      </c>
    </row>
    <row r="1730" spans="1:22" ht="15" x14ac:dyDescent="0.25">
      <c r="A1730" s="734">
        <v>1431</v>
      </c>
      <c r="B1730" s="735" t="s">
        <v>16</v>
      </c>
      <c r="C1730" s="736">
        <v>61287.56</v>
      </c>
      <c r="D1730" s="736">
        <v>69120.800000000003</v>
      </c>
      <c r="E1730" s="749">
        <v>63459.8</v>
      </c>
      <c r="F1730" s="736">
        <v>68502.399999999994</v>
      </c>
      <c r="G1730" s="736">
        <v>73134</v>
      </c>
      <c r="H1730" s="736"/>
      <c r="I1730" s="736"/>
      <c r="J1730" s="736">
        <f t="shared" si="607"/>
        <v>73134</v>
      </c>
      <c r="K1730" s="736">
        <v>2348.34</v>
      </c>
      <c r="L1730" s="736"/>
      <c r="M1730" s="736">
        <f t="shared" si="605"/>
        <v>75482.34</v>
      </c>
      <c r="N1730" s="736"/>
      <c r="O1730" s="736"/>
      <c r="P1730" s="736">
        <f t="shared" si="606"/>
        <v>75482.34</v>
      </c>
      <c r="Q1730" s="738">
        <v>75482.34</v>
      </c>
      <c r="R1730" s="738"/>
      <c r="S1730" s="751">
        <v>29666</v>
      </c>
      <c r="T1730" s="739">
        <v>1500521</v>
      </c>
      <c r="U1730" s="779">
        <v>104303.44</v>
      </c>
      <c r="V1730" s="741">
        <v>1500522</v>
      </c>
    </row>
    <row r="1731" spans="1:22" ht="15" x14ac:dyDescent="0.25">
      <c r="A1731" s="734">
        <v>1511</v>
      </c>
      <c r="B1731" s="735" t="s">
        <v>18</v>
      </c>
      <c r="C1731" s="736">
        <v>18604.650000000001</v>
      </c>
      <c r="D1731" s="736">
        <v>22174.880000000001</v>
      </c>
      <c r="E1731" s="749">
        <v>22174.880000000001</v>
      </c>
      <c r="F1731" s="736">
        <v>22881.279999999999</v>
      </c>
      <c r="G1731" s="736">
        <v>23292.399999999998</v>
      </c>
      <c r="H1731" s="736"/>
      <c r="I1731" s="736"/>
      <c r="J1731" s="736">
        <f t="shared" si="607"/>
        <v>23292.399999999998</v>
      </c>
      <c r="K1731" s="736">
        <v>780.43</v>
      </c>
      <c r="L1731" s="736"/>
      <c r="M1731" s="736">
        <f t="shared" si="605"/>
        <v>24072.829999999998</v>
      </c>
      <c r="N1731" s="736"/>
      <c r="O1731" s="736"/>
      <c r="P1731" s="736">
        <f t="shared" si="606"/>
        <v>24072.829999999998</v>
      </c>
      <c r="Q1731" s="738">
        <v>24072.83</v>
      </c>
      <c r="R1731" s="738"/>
      <c r="S1731" s="751">
        <v>472440.28</v>
      </c>
      <c r="T1731" s="739">
        <v>1500521</v>
      </c>
      <c r="U1731" s="779">
        <v>28451.15</v>
      </c>
      <c r="V1731" s="741">
        <v>1500522</v>
      </c>
    </row>
    <row r="1732" spans="1:22" ht="15" x14ac:dyDescent="0.25">
      <c r="A1732" s="734">
        <v>1541</v>
      </c>
      <c r="B1732" s="735" t="s">
        <v>19</v>
      </c>
      <c r="C1732" s="736">
        <v>292671.55</v>
      </c>
      <c r="D1732" s="736">
        <v>347612.46</v>
      </c>
      <c r="E1732" s="749">
        <v>346279.88</v>
      </c>
      <c r="F1732" s="736">
        <v>357317.23</v>
      </c>
      <c r="G1732" s="736">
        <v>458993.69999999995</v>
      </c>
      <c r="H1732" s="736"/>
      <c r="I1732" s="736"/>
      <c r="J1732" s="736">
        <f t="shared" si="607"/>
        <v>458993.69999999995</v>
      </c>
      <c r="K1732" s="736">
        <v>17470.72</v>
      </c>
      <c r="L1732" s="736"/>
      <c r="M1732" s="736">
        <f t="shared" si="605"/>
        <v>476464.41999999993</v>
      </c>
      <c r="N1732" s="736"/>
      <c r="O1732" s="736"/>
      <c r="P1732" s="736">
        <f t="shared" si="606"/>
        <v>476464.41999999993</v>
      </c>
      <c r="Q1732" s="738">
        <v>455974.6</v>
      </c>
      <c r="R1732" s="738"/>
      <c r="S1732" s="751">
        <v>367920.28</v>
      </c>
      <c r="T1732" s="739">
        <v>1500521</v>
      </c>
      <c r="U1732" s="779">
        <v>472440.28</v>
      </c>
      <c r="V1732" s="741">
        <v>1500522</v>
      </c>
    </row>
    <row r="1733" spans="1:22" ht="15" x14ac:dyDescent="0.25">
      <c r="A1733" s="734">
        <v>1592</v>
      </c>
      <c r="B1733" s="735" t="s">
        <v>20</v>
      </c>
      <c r="C1733" s="736">
        <v>243440.33</v>
      </c>
      <c r="D1733" s="736">
        <v>286078.52</v>
      </c>
      <c r="E1733" s="749">
        <v>286078.52</v>
      </c>
      <c r="F1733" s="736">
        <v>295244.90999999997</v>
      </c>
      <c r="G1733" s="736">
        <v>300518.40000000002</v>
      </c>
      <c r="H1733" s="736"/>
      <c r="I1733" s="736"/>
      <c r="J1733" s="736">
        <f t="shared" si="607"/>
        <v>300518.40000000002</v>
      </c>
      <c r="K1733" s="736">
        <v>10058.33</v>
      </c>
      <c r="L1733" s="736"/>
      <c r="M1733" s="736">
        <f t="shared" si="605"/>
        <v>310576.73000000004</v>
      </c>
      <c r="N1733" s="736"/>
      <c r="O1733" s="736"/>
      <c r="P1733" s="736">
        <f t="shared" si="606"/>
        <v>310576.73000000004</v>
      </c>
      <c r="Q1733" s="738">
        <v>374357.82</v>
      </c>
      <c r="R1733" s="738"/>
      <c r="S1733" s="751"/>
      <c r="T1733" s="739">
        <v>1500521</v>
      </c>
      <c r="U1733" s="779">
        <v>354150.43</v>
      </c>
      <c r="V1733" s="741">
        <v>1500522</v>
      </c>
    </row>
    <row r="1734" spans="1:22" ht="15" x14ac:dyDescent="0.2">
      <c r="A1734" s="739">
        <v>2111</v>
      </c>
      <c r="B1734" s="743" t="s">
        <v>22</v>
      </c>
      <c r="C1734" s="736">
        <v>21395.11</v>
      </c>
      <c r="D1734" s="736"/>
      <c r="E1734" s="749"/>
      <c r="F1734" s="736"/>
      <c r="G1734" s="736"/>
      <c r="H1734" s="736"/>
      <c r="I1734" s="736"/>
      <c r="J1734" s="736"/>
      <c r="K1734" s="736"/>
      <c r="L1734" s="736"/>
      <c r="M1734" s="736">
        <f t="shared" si="605"/>
        <v>0</v>
      </c>
      <c r="N1734" s="736"/>
      <c r="O1734" s="736"/>
      <c r="P1734" s="738">
        <f t="shared" si="606"/>
        <v>0</v>
      </c>
      <c r="Q1734" s="738"/>
      <c r="R1734" s="738"/>
      <c r="S1734" s="751"/>
      <c r="T1734" s="739"/>
      <c r="U1734" s="745"/>
      <c r="V1734" s="739"/>
    </row>
    <row r="1735" spans="1:22" ht="15" x14ac:dyDescent="0.2">
      <c r="A1735" s="734">
        <v>2111</v>
      </c>
      <c r="B1735" s="735" t="s">
        <v>22</v>
      </c>
      <c r="C1735" s="736">
        <v>64353.65</v>
      </c>
      <c r="D1735" s="736">
        <v>90000</v>
      </c>
      <c r="E1735" s="749">
        <v>60750</v>
      </c>
      <c r="F1735" s="736">
        <v>56981.25</v>
      </c>
      <c r="G1735" s="752">
        <v>93150</v>
      </c>
      <c r="H1735" s="752"/>
      <c r="I1735" s="752"/>
      <c r="J1735" s="736">
        <f t="shared" ref="J1735:J1736" si="608">G1735+H1735-I1735</f>
        <v>93150</v>
      </c>
      <c r="K1735" s="752"/>
      <c r="L1735" s="752"/>
      <c r="M1735" s="736">
        <f t="shared" si="605"/>
        <v>93150</v>
      </c>
      <c r="N1735" s="736"/>
      <c r="O1735" s="736"/>
      <c r="P1735" s="736">
        <f t="shared" si="606"/>
        <v>93150</v>
      </c>
      <c r="Q1735" s="753">
        <v>93150</v>
      </c>
      <c r="R1735" s="738">
        <v>65413.64</v>
      </c>
      <c r="S1735" s="753">
        <v>96410.25</v>
      </c>
      <c r="T1735" s="739">
        <v>1100121</v>
      </c>
      <c r="U1735" s="754">
        <v>96410.25</v>
      </c>
      <c r="V1735" s="741">
        <v>1100122</v>
      </c>
    </row>
    <row r="1736" spans="1:22" ht="15" x14ac:dyDescent="0.2">
      <c r="A1736" s="734">
        <v>2112</v>
      </c>
      <c r="B1736" s="735" t="s">
        <v>39</v>
      </c>
      <c r="C1736" s="736">
        <v>9200.01</v>
      </c>
      <c r="D1736" s="736">
        <v>10000</v>
      </c>
      <c r="E1736" s="749">
        <v>5000</v>
      </c>
      <c r="F1736" s="736">
        <v>4563.17</v>
      </c>
      <c r="G1736" s="752">
        <v>10350</v>
      </c>
      <c r="H1736" s="752"/>
      <c r="I1736" s="752"/>
      <c r="J1736" s="736">
        <f t="shared" si="608"/>
        <v>10350</v>
      </c>
      <c r="K1736" s="752"/>
      <c r="L1736" s="752"/>
      <c r="M1736" s="736">
        <f t="shared" si="605"/>
        <v>10350</v>
      </c>
      <c r="N1736" s="736"/>
      <c r="O1736" s="736"/>
      <c r="P1736" s="736">
        <f t="shared" si="606"/>
        <v>10350</v>
      </c>
      <c r="Q1736" s="753">
        <v>10350</v>
      </c>
      <c r="R1736" s="738">
        <v>6325.77</v>
      </c>
      <c r="S1736" s="753">
        <v>10712.25</v>
      </c>
      <c r="T1736" s="739">
        <v>1100121</v>
      </c>
      <c r="U1736" s="754">
        <v>10712.25</v>
      </c>
      <c r="V1736" s="741">
        <v>1100122</v>
      </c>
    </row>
    <row r="1737" spans="1:22" ht="15" x14ac:dyDescent="0.2">
      <c r="A1737" s="739">
        <v>2121</v>
      </c>
      <c r="B1737" s="743" t="s">
        <v>24</v>
      </c>
      <c r="C1737" s="736">
        <v>696.4</v>
      </c>
      <c r="D1737" s="736"/>
      <c r="E1737" s="749"/>
      <c r="F1737" s="736"/>
      <c r="G1737" s="752"/>
      <c r="H1737" s="752"/>
      <c r="I1737" s="752"/>
      <c r="J1737" s="736"/>
      <c r="K1737" s="752"/>
      <c r="L1737" s="752"/>
      <c r="M1737" s="736">
        <f t="shared" si="605"/>
        <v>0</v>
      </c>
      <c r="N1737" s="736"/>
      <c r="O1737" s="736"/>
      <c r="P1737" s="738">
        <f t="shared" si="606"/>
        <v>0</v>
      </c>
      <c r="Q1737" s="753"/>
      <c r="R1737" s="738"/>
      <c r="S1737" s="753"/>
      <c r="T1737" s="739"/>
      <c r="U1737" s="745"/>
      <c r="V1737" s="739"/>
    </row>
    <row r="1738" spans="1:22" ht="15" x14ac:dyDescent="0.2">
      <c r="A1738" s="734">
        <v>2121</v>
      </c>
      <c r="B1738" s="735" t="s">
        <v>24</v>
      </c>
      <c r="C1738" s="736">
        <v>8163.5</v>
      </c>
      <c r="D1738" s="736">
        <v>40000</v>
      </c>
      <c r="E1738" s="749">
        <v>25750</v>
      </c>
      <c r="F1738" s="736">
        <v>18218.2</v>
      </c>
      <c r="G1738" s="752">
        <v>41400</v>
      </c>
      <c r="H1738" s="752"/>
      <c r="I1738" s="752"/>
      <c r="J1738" s="736">
        <f t="shared" ref="J1738:J1750" si="609">G1738+H1738-I1738</f>
        <v>41400</v>
      </c>
      <c r="K1738" s="752"/>
      <c r="L1738" s="752"/>
      <c r="M1738" s="736">
        <f t="shared" si="605"/>
        <v>41400</v>
      </c>
      <c r="N1738" s="736"/>
      <c r="O1738" s="736"/>
      <c r="P1738" s="736">
        <f t="shared" si="606"/>
        <v>41400</v>
      </c>
      <c r="Q1738" s="753">
        <v>41400</v>
      </c>
      <c r="R1738" s="738">
        <v>5104</v>
      </c>
      <c r="S1738" s="753">
        <v>50000</v>
      </c>
      <c r="T1738" s="739">
        <v>1100121</v>
      </c>
      <c r="U1738" s="754">
        <v>50000</v>
      </c>
      <c r="V1738" s="741">
        <v>1100122</v>
      </c>
    </row>
    <row r="1739" spans="1:22" ht="30" x14ac:dyDescent="0.2">
      <c r="A1739" s="734">
        <v>2612</v>
      </c>
      <c r="B1739" s="735" t="s">
        <v>26</v>
      </c>
      <c r="C1739" s="736">
        <v>4273.9399999999996</v>
      </c>
      <c r="D1739" s="736">
        <v>5000</v>
      </c>
      <c r="E1739" s="749">
        <v>15000</v>
      </c>
      <c r="F1739" s="736">
        <v>14101.64</v>
      </c>
      <c r="G1739" s="752">
        <v>20000</v>
      </c>
      <c r="H1739" s="752"/>
      <c r="I1739" s="752"/>
      <c r="J1739" s="736">
        <f t="shared" si="609"/>
        <v>20000</v>
      </c>
      <c r="K1739" s="749"/>
      <c r="L1739" s="749"/>
      <c r="M1739" s="736">
        <f t="shared" si="605"/>
        <v>20000</v>
      </c>
      <c r="N1739" s="736">
        <v>20000</v>
      </c>
      <c r="O1739" s="736"/>
      <c r="P1739" s="736">
        <f t="shared" si="606"/>
        <v>40000</v>
      </c>
      <c r="Q1739" s="753">
        <v>40000</v>
      </c>
      <c r="R1739" s="738">
        <v>24937.31</v>
      </c>
      <c r="S1739" s="738">
        <f>Q1739</f>
        <v>40000</v>
      </c>
      <c r="T1739" s="739">
        <v>1100121</v>
      </c>
      <c r="U1739" s="740">
        <v>35000</v>
      </c>
      <c r="V1739" s="741">
        <v>1100122</v>
      </c>
    </row>
    <row r="1740" spans="1:22" ht="15" x14ac:dyDescent="0.2">
      <c r="A1740" s="739">
        <v>3181</v>
      </c>
      <c r="B1740" s="743" t="s">
        <v>62</v>
      </c>
      <c r="C1740" s="736">
        <v>191675.62</v>
      </c>
      <c r="D1740" s="736">
        <v>0</v>
      </c>
      <c r="E1740" s="749">
        <v>19140</v>
      </c>
      <c r="F1740" s="736">
        <v>0</v>
      </c>
      <c r="G1740" s="752"/>
      <c r="H1740" s="752"/>
      <c r="I1740" s="752"/>
      <c r="J1740" s="736">
        <f t="shared" si="609"/>
        <v>0</v>
      </c>
      <c r="K1740" s="752"/>
      <c r="L1740" s="752"/>
      <c r="M1740" s="736">
        <f t="shared" si="605"/>
        <v>0</v>
      </c>
      <c r="N1740" s="736"/>
      <c r="O1740" s="736"/>
      <c r="P1740" s="738">
        <f t="shared" si="606"/>
        <v>0</v>
      </c>
      <c r="Q1740" s="753"/>
      <c r="R1740" s="738"/>
      <c r="S1740" s="753"/>
      <c r="T1740" s="739">
        <v>1100119</v>
      </c>
      <c r="U1740" s="745"/>
      <c r="V1740" s="739">
        <v>1100119</v>
      </c>
    </row>
    <row r="1741" spans="1:22" ht="15" x14ac:dyDescent="0.2">
      <c r="A1741" s="734">
        <v>3181</v>
      </c>
      <c r="B1741" s="735" t="s">
        <v>62</v>
      </c>
      <c r="C1741" s="736"/>
      <c r="D1741" s="736">
        <v>370000</v>
      </c>
      <c r="E1741" s="749">
        <v>370000</v>
      </c>
      <c r="F1741" s="736">
        <v>214952.4</v>
      </c>
      <c r="G1741" s="752">
        <v>370000</v>
      </c>
      <c r="H1741" s="752"/>
      <c r="I1741" s="752"/>
      <c r="J1741" s="736">
        <f t="shared" si="609"/>
        <v>370000</v>
      </c>
      <c r="K1741" s="752"/>
      <c r="L1741" s="752"/>
      <c r="M1741" s="736">
        <f t="shared" si="605"/>
        <v>370000</v>
      </c>
      <c r="N1741" s="736"/>
      <c r="O1741" s="736"/>
      <c r="P1741" s="736">
        <f t="shared" si="606"/>
        <v>370000</v>
      </c>
      <c r="Q1741" s="753">
        <v>370000</v>
      </c>
      <c r="R1741" s="738"/>
      <c r="S1741" s="753">
        <v>382950</v>
      </c>
      <c r="T1741" s="739">
        <v>1100121</v>
      </c>
      <c r="U1741" s="740">
        <v>383283</v>
      </c>
      <c r="V1741" s="741">
        <v>1100122</v>
      </c>
    </row>
    <row r="1742" spans="1:22" ht="15" x14ac:dyDescent="0.2">
      <c r="A1742" s="739">
        <v>3221</v>
      </c>
      <c r="B1742" s="743" t="s">
        <v>99</v>
      </c>
      <c r="C1742" s="736">
        <v>32224.7</v>
      </c>
      <c r="D1742" s="736">
        <v>33514</v>
      </c>
      <c r="E1742" s="749">
        <v>50034</v>
      </c>
      <c r="F1742" s="736">
        <v>50031.66</v>
      </c>
      <c r="G1742" s="752">
        <v>52000</v>
      </c>
      <c r="H1742" s="752"/>
      <c r="I1742" s="752"/>
      <c r="J1742" s="736">
        <f t="shared" si="609"/>
        <v>52000</v>
      </c>
      <c r="K1742" s="752"/>
      <c r="L1742" s="752">
        <v>1971.16</v>
      </c>
      <c r="M1742" s="736">
        <f t="shared" si="605"/>
        <v>50028.84</v>
      </c>
      <c r="N1742" s="738"/>
      <c r="O1742" s="738">
        <v>25014.42</v>
      </c>
      <c r="P1742" s="736">
        <f t="shared" si="606"/>
        <v>25014.42</v>
      </c>
      <c r="Q1742" s="753">
        <v>25014.42</v>
      </c>
      <c r="R1742" s="738">
        <v>25014.42</v>
      </c>
      <c r="S1742" s="753">
        <v>25889.919999999998</v>
      </c>
      <c r="T1742" s="739">
        <v>1100121</v>
      </c>
      <c r="U1742" s="745">
        <v>0</v>
      </c>
      <c r="V1742" s="739">
        <v>1100122</v>
      </c>
    </row>
    <row r="1743" spans="1:22" ht="30" x14ac:dyDescent="0.2">
      <c r="A1743" s="734">
        <v>3361</v>
      </c>
      <c r="B1743" s="735" t="s">
        <v>29</v>
      </c>
      <c r="C1743" s="736">
        <v>28591.51</v>
      </c>
      <c r="D1743" s="736">
        <v>60000</v>
      </c>
      <c r="E1743" s="749">
        <v>60000</v>
      </c>
      <c r="F1743" s="736">
        <v>57000</v>
      </c>
      <c r="G1743" s="909">
        <v>62099.999999999993</v>
      </c>
      <c r="H1743" s="909"/>
      <c r="I1743" s="909"/>
      <c r="J1743" s="736">
        <f t="shared" si="609"/>
        <v>62099.999999999993</v>
      </c>
      <c r="K1743" s="909"/>
      <c r="L1743" s="909"/>
      <c r="M1743" s="736">
        <f t="shared" si="605"/>
        <v>62099.999999999993</v>
      </c>
      <c r="N1743" s="736"/>
      <c r="O1743" s="736"/>
      <c r="P1743" s="736">
        <f t="shared" si="606"/>
        <v>62099.999999999993</v>
      </c>
      <c r="Q1743" s="910">
        <v>62099.999999999993</v>
      </c>
      <c r="R1743" s="738">
        <v>19343.97</v>
      </c>
      <c r="S1743" s="910">
        <v>64273.5</v>
      </c>
      <c r="T1743" s="739">
        <v>1100121</v>
      </c>
      <c r="U1743" s="754">
        <v>64273.5</v>
      </c>
      <c r="V1743" s="741">
        <v>1100122</v>
      </c>
    </row>
    <row r="1744" spans="1:22" ht="15" x14ac:dyDescent="0.2">
      <c r="A1744" s="734">
        <v>3421</v>
      </c>
      <c r="B1744" s="735" t="s">
        <v>261</v>
      </c>
      <c r="C1744" s="736">
        <v>4637979.83</v>
      </c>
      <c r="D1744" s="736">
        <v>3500000</v>
      </c>
      <c r="E1744" s="749">
        <v>3433000</v>
      </c>
      <c r="F1744" s="736">
        <v>5142261.66</v>
      </c>
      <c r="G1744" s="752">
        <v>3550000</v>
      </c>
      <c r="H1744" s="752"/>
      <c r="I1744" s="752"/>
      <c r="J1744" s="736">
        <f t="shared" si="609"/>
        <v>3550000</v>
      </c>
      <c r="K1744" s="752">
        <v>200000</v>
      </c>
      <c r="L1744" s="752"/>
      <c r="M1744" s="736">
        <f t="shared" si="605"/>
        <v>3750000</v>
      </c>
      <c r="N1744" s="736"/>
      <c r="O1744" s="736">
        <v>85624.22</v>
      </c>
      <c r="P1744" s="736">
        <f t="shared" si="606"/>
        <v>3664375.78</v>
      </c>
      <c r="Q1744" s="753">
        <v>3664375.78</v>
      </c>
      <c r="R1744" s="738">
        <v>3590743.71</v>
      </c>
      <c r="S1744" s="753">
        <v>3792628.93</v>
      </c>
      <c r="T1744" s="739">
        <v>1100121</v>
      </c>
      <c r="U1744" s="746">
        <f>4000000+1470000</f>
        <v>5470000</v>
      </c>
      <c r="V1744" s="741">
        <v>1100122</v>
      </c>
    </row>
    <row r="1745" spans="1:22" ht="15" x14ac:dyDescent="0.2">
      <c r="A1745" s="739">
        <v>3611</v>
      </c>
      <c r="B1745" s="743" t="s">
        <v>66</v>
      </c>
      <c r="C1745" s="736"/>
      <c r="D1745" s="736"/>
      <c r="E1745" s="749"/>
      <c r="F1745" s="736"/>
      <c r="G1745" s="752"/>
      <c r="H1745" s="752">
        <v>2416</v>
      </c>
      <c r="I1745" s="752"/>
      <c r="J1745" s="736">
        <f t="shared" si="609"/>
        <v>2416</v>
      </c>
      <c r="K1745" s="752"/>
      <c r="L1745" s="752"/>
      <c r="M1745" s="736">
        <f t="shared" si="605"/>
        <v>2416</v>
      </c>
      <c r="N1745" s="736"/>
      <c r="O1745" s="736"/>
      <c r="P1745" s="736">
        <f t="shared" si="606"/>
        <v>2416</v>
      </c>
      <c r="Q1745" s="753">
        <v>2416</v>
      </c>
      <c r="R1745" s="738">
        <v>2416</v>
      </c>
      <c r="S1745" s="753"/>
      <c r="T1745" s="739">
        <v>1100120</v>
      </c>
      <c r="U1745" s="745"/>
      <c r="V1745" s="739">
        <v>1100120</v>
      </c>
    </row>
    <row r="1746" spans="1:22" ht="15" x14ac:dyDescent="0.2">
      <c r="A1746" s="734">
        <v>3611</v>
      </c>
      <c r="B1746" s="735" t="s">
        <v>66</v>
      </c>
      <c r="C1746" s="736">
        <v>168420.89</v>
      </c>
      <c r="D1746" s="736">
        <v>170000</v>
      </c>
      <c r="E1746" s="749">
        <v>170000</v>
      </c>
      <c r="F1746" s="736">
        <v>167568.39000000001</v>
      </c>
      <c r="G1746" s="752">
        <v>175950</v>
      </c>
      <c r="H1746" s="752"/>
      <c r="I1746" s="752"/>
      <c r="J1746" s="736">
        <f t="shared" si="609"/>
        <v>175950</v>
      </c>
      <c r="K1746" s="752"/>
      <c r="L1746" s="752"/>
      <c r="M1746" s="736">
        <f t="shared" si="605"/>
        <v>175950</v>
      </c>
      <c r="N1746" s="736"/>
      <c r="O1746" s="736"/>
      <c r="P1746" s="736">
        <f t="shared" si="606"/>
        <v>175950</v>
      </c>
      <c r="Q1746" s="753">
        <v>175950</v>
      </c>
      <c r="R1746" s="738">
        <v>112867.07</v>
      </c>
      <c r="S1746" s="753">
        <v>184608.81</v>
      </c>
      <c r="T1746" s="739">
        <v>1100121</v>
      </c>
      <c r="U1746" s="754">
        <v>184608.81</v>
      </c>
      <c r="V1746" s="741">
        <v>1100122</v>
      </c>
    </row>
    <row r="1747" spans="1:22" ht="15" x14ac:dyDescent="0.2">
      <c r="A1747" s="734">
        <v>3612</v>
      </c>
      <c r="B1747" s="735" t="s">
        <v>188</v>
      </c>
      <c r="C1747" s="736">
        <v>40850</v>
      </c>
      <c r="D1747" s="736">
        <v>50000</v>
      </c>
      <c r="E1747" s="749">
        <v>0</v>
      </c>
      <c r="F1747" s="736">
        <v>0</v>
      </c>
      <c r="G1747" s="752"/>
      <c r="H1747" s="752"/>
      <c r="I1747" s="752"/>
      <c r="J1747" s="736">
        <f t="shared" si="609"/>
        <v>0</v>
      </c>
      <c r="K1747" s="752"/>
      <c r="L1747" s="752"/>
      <c r="M1747" s="736">
        <f t="shared" si="605"/>
        <v>0</v>
      </c>
      <c r="N1747" s="736"/>
      <c r="O1747" s="736"/>
      <c r="P1747" s="738">
        <f t="shared" si="606"/>
        <v>0</v>
      </c>
      <c r="Q1747" s="753"/>
      <c r="R1747" s="738"/>
      <c r="S1747" s="753"/>
      <c r="T1747" s="739">
        <v>1100121</v>
      </c>
      <c r="U1747" s="740">
        <v>130000</v>
      </c>
      <c r="V1747" s="741">
        <v>1100122</v>
      </c>
    </row>
    <row r="1748" spans="1:22" ht="15" x14ac:dyDescent="0.2">
      <c r="A1748" s="739">
        <v>3751</v>
      </c>
      <c r="B1748" s="743" t="s">
        <v>44</v>
      </c>
      <c r="C1748" s="736">
        <v>210</v>
      </c>
      <c r="D1748" s="736">
        <v>2000</v>
      </c>
      <c r="E1748" s="749">
        <v>0</v>
      </c>
      <c r="F1748" s="736">
        <v>0</v>
      </c>
      <c r="G1748" s="752"/>
      <c r="H1748" s="752"/>
      <c r="I1748" s="752"/>
      <c r="J1748" s="736">
        <f t="shared" si="609"/>
        <v>0</v>
      </c>
      <c r="K1748" s="752"/>
      <c r="L1748" s="752"/>
      <c r="M1748" s="736">
        <f t="shared" si="605"/>
        <v>0</v>
      </c>
      <c r="N1748" s="736"/>
      <c r="O1748" s="736"/>
      <c r="P1748" s="738">
        <f t="shared" si="606"/>
        <v>0</v>
      </c>
      <c r="Q1748" s="753"/>
      <c r="R1748" s="738"/>
      <c r="S1748" s="753"/>
      <c r="T1748" s="739">
        <v>1100121</v>
      </c>
      <c r="U1748" s="745"/>
      <c r="V1748" s="739">
        <v>1100122</v>
      </c>
    </row>
    <row r="1749" spans="1:22" ht="15" x14ac:dyDescent="0.2">
      <c r="A1749" s="734">
        <v>3791</v>
      </c>
      <c r="B1749" s="735" t="s">
        <v>45</v>
      </c>
      <c r="C1749" s="736">
        <v>1503</v>
      </c>
      <c r="D1749" s="736">
        <v>2000</v>
      </c>
      <c r="E1749" s="749">
        <v>2000</v>
      </c>
      <c r="F1749" s="736">
        <v>1933</v>
      </c>
      <c r="G1749" s="752">
        <v>5000</v>
      </c>
      <c r="H1749" s="752"/>
      <c r="I1749" s="752"/>
      <c r="J1749" s="736">
        <f t="shared" si="609"/>
        <v>5000</v>
      </c>
      <c r="K1749" s="752"/>
      <c r="L1749" s="752"/>
      <c r="M1749" s="736">
        <f t="shared" si="605"/>
        <v>5000</v>
      </c>
      <c r="N1749" s="736"/>
      <c r="O1749" s="736"/>
      <c r="P1749" s="736">
        <f t="shared" si="606"/>
        <v>5000</v>
      </c>
      <c r="Q1749" s="753">
        <v>5000</v>
      </c>
      <c r="R1749" s="738">
        <v>1438</v>
      </c>
      <c r="S1749" s="753">
        <v>5175</v>
      </c>
      <c r="T1749" s="739">
        <v>1100121</v>
      </c>
      <c r="U1749" s="754">
        <v>5175</v>
      </c>
      <c r="V1749" s="741">
        <v>1100122</v>
      </c>
    </row>
    <row r="1750" spans="1:22" ht="15" x14ac:dyDescent="0.2">
      <c r="A1750" s="739">
        <v>3852</v>
      </c>
      <c r="B1750" s="743" t="s">
        <v>32</v>
      </c>
      <c r="C1750" s="736"/>
      <c r="D1750" s="736">
        <v>0</v>
      </c>
      <c r="E1750" s="736"/>
      <c r="F1750" s="736">
        <v>147</v>
      </c>
      <c r="G1750" s="736"/>
      <c r="H1750" s="736"/>
      <c r="I1750" s="736"/>
      <c r="J1750" s="736">
        <f t="shared" si="609"/>
        <v>0</v>
      </c>
      <c r="K1750" s="736"/>
      <c r="L1750" s="736"/>
      <c r="M1750" s="736">
        <f t="shared" si="605"/>
        <v>0</v>
      </c>
      <c r="N1750" s="736"/>
      <c r="O1750" s="736"/>
      <c r="P1750" s="738">
        <f t="shared" si="606"/>
        <v>0</v>
      </c>
      <c r="Q1750" s="738"/>
      <c r="R1750" s="738"/>
      <c r="S1750" s="738"/>
      <c r="T1750" s="739">
        <v>1100121</v>
      </c>
      <c r="U1750" s="745"/>
      <c r="V1750" s="739">
        <v>1100122</v>
      </c>
    </row>
    <row r="1751" spans="1:22" ht="15" x14ac:dyDescent="0.2">
      <c r="A1751" s="728" t="s">
        <v>263</v>
      </c>
      <c r="B1751" s="729" t="s">
        <v>1593</v>
      </c>
      <c r="C1751" s="730">
        <f t="shared" ref="C1751:P1751" si="610">SUM(C1752:C1761)</f>
        <v>250812.02999999997</v>
      </c>
      <c r="D1751" s="730">
        <f t="shared" si="610"/>
        <v>267771.75</v>
      </c>
      <c r="E1751" s="730">
        <f t="shared" si="610"/>
        <v>284753.56999999995</v>
      </c>
      <c r="F1751" s="730">
        <f t="shared" si="610"/>
        <v>240126.35000000003</v>
      </c>
      <c r="G1751" s="730">
        <f t="shared" si="610"/>
        <v>286503.5</v>
      </c>
      <c r="H1751" s="730">
        <f t="shared" si="610"/>
        <v>0</v>
      </c>
      <c r="I1751" s="730">
        <f t="shared" si="610"/>
        <v>0</v>
      </c>
      <c r="J1751" s="730">
        <f t="shared" si="610"/>
        <v>286503.5</v>
      </c>
      <c r="K1751" s="730">
        <f t="shared" si="610"/>
        <v>11829.249999999998</v>
      </c>
      <c r="L1751" s="730">
        <f t="shared" si="610"/>
        <v>324.58999999999997</v>
      </c>
      <c r="M1751" s="730">
        <f t="shared" si="610"/>
        <v>298008.16000000003</v>
      </c>
      <c r="N1751" s="730">
        <f t="shared" si="610"/>
        <v>0</v>
      </c>
      <c r="O1751" s="730">
        <f t="shared" si="610"/>
        <v>0</v>
      </c>
      <c r="P1751" s="730">
        <f t="shared" si="610"/>
        <v>298008.16000000003</v>
      </c>
      <c r="Q1751" s="748">
        <f>SUM(Q1752:Q1762)</f>
        <v>298008.16000000003</v>
      </c>
      <c r="R1751" s="748">
        <f t="shared" ref="R1751:S1751" si="611">SUM(R1752:R1762)</f>
        <v>28904.29</v>
      </c>
      <c r="S1751" s="748">
        <f t="shared" si="611"/>
        <v>313745.78000000003</v>
      </c>
      <c r="T1751" s="731"/>
      <c r="U1751" s="732">
        <f>SUM(U1752:U1762)</f>
        <v>460312.27</v>
      </c>
      <c r="V1751" s="733"/>
    </row>
    <row r="1752" spans="1:22" ht="15" x14ac:dyDescent="0.25">
      <c r="A1752" s="734">
        <v>1212</v>
      </c>
      <c r="B1752" s="735" t="s">
        <v>53</v>
      </c>
      <c r="C1752" s="736">
        <v>139396.92000000001</v>
      </c>
      <c r="D1752" s="736">
        <v>145684.79999999999</v>
      </c>
      <c r="E1752" s="749">
        <v>159541.62</v>
      </c>
      <c r="F1752" s="736">
        <v>151822.29</v>
      </c>
      <c r="G1752" s="736">
        <v>156672</v>
      </c>
      <c r="H1752" s="736"/>
      <c r="I1752" s="736"/>
      <c r="J1752" s="736">
        <f t="shared" ref="J1752:J1757" si="612">G1752+H1752-I1752</f>
        <v>156672</v>
      </c>
      <c r="K1752" s="736">
        <v>9872.4599999999991</v>
      </c>
      <c r="L1752" s="736"/>
      <c r="M1752" s="736">
        <f t="shared" ref="M1752:M1761" si="613">J1752+K1752-L1752</f>
        <v>166544.46</v>
      </c>
      <c r="N1752" s="736"/>
      <c r="O1752" s="736"/>
      <c r="P1752" s="736">
        <f t="shared" ref="P1752:P1761" si="614">M1752+N1752-O1752</f>
        <v>166544.46</v>
      </c>
      <c r="Q1752" s="738">
        <v>166544.46</v>
      </c>
      <c r="R1752" s="738"/>
      <c r="S1752" s="751">
        <v>174826.8</v>
      </c>
      <c r="T1752" s="739">
        <v>1500521</v>
      </c>
      <c r="U1752" s="779">
        <v>163860.81</v>
      </c>
      <c r="V1752" s="741">
        <v>1500522</v>
      </c>
    </row>
    <row r="1753" spans="1:22" ht="15" x14ac:dyDescent="0.25">
      <c r="A1753" s="734">
        <v>1321</v>
      </c>
      <c r="B1753" s="735" t="s">
        <v>9</v>
      </c>
      <c r="C1753" s="736">
        <v>154.02000000000001</v>
      </c>
      <c r="D1753" s="736">
        <v>607.03</v>
      </c>
      <c r="E1753" s="749">
        <v>919.03</v>
      </c>
      <c r="F1753" s="736">
        <v>246.46</v>
      </c>
      <c r="G1753" s="736">
        <v>1024.3</v>
      </c>
      <c r="H1753" s="736"/>
      <c r="I1753" s="736"/>
      <c r="J1753" s="736">
        <f t="shared" si="612"/>
        <v>1024.3</v>
      </c>
      <c r="K1753" s="736"/>
      <c r="L1753" s="736">
        <v>324.58999999999997</v>
      </c>
      <c r="M1753" s="736">
        <f t="shared" si="613"/>
        <v>699.71</v>
      </c>
      <c r="N1753" s="736"/>
      <c r="O1753" s="736"/>
      <c r="P1753" s="736">
        <f t="shared" si="614"/>
        <v>699.71</v>
      </c>
      <c r="Q1753" s="738">
        <v>699.71</v>
      </c>
      <c r="R1753" s="738"/>
      <c r="S1753" s="751">
        <v>728.45</v>
      </c>
      <c r="T1753" s="739">
        <v>1500521</v>
      </c>
      <c r="U1753" s="779">
        <v>1282.96</v>
      </c>
      <c r="V1753" s="741">
        <v>1500522</v>
      </c>
    </row>
    <row r="1754" spans="1:22" ht="15" x14ac:dyDescent="0.25">
      <c r="A1754" s="734">
        <v>1323</v>
      </c>
      <c r="B1754" s="735" t="s">
        <v>11</v>
      </c>
      <c r="C1754" s="736">
        <v>5865</v>
      </c>
      <c r="D1754" s="736">
        <v>6070.2</v>
      </c>
      <c r="E1754" s="749">
        <v>6718.2</v>
      </c>
      <c r="F1754" s="736">
        <v>6307.35</v>
      </c>
      <c r="G1754" s="736">
        <v>6528</v>
      </c>
      <c r="H1754" s="736"/>
      <c r="I1754" s="736"/>
      <c r="J1754" s="736">
        <f t="shared" si="612"/>
        <v>6528</v>
      </c>
      <c r="K1754" s="736">
        <v>468.95</v>
      </c>
      <c r="L1754" s="736"/>
      <c r="M1754" s="736">
        <f t="shared" si="613"/>
        <v>6996.95</v>
      </c>
      <c r="N1754" s="736"/>
      <c r="O1754" s="736"/>
      <c r="P1754" s="736">
        <f t="shared" si="614"/>
        <v>6996.95</v>
      </c>
      <c r="Q1754" s="738">
        <v>6996.95</v>
      </c>
      <c r="R1754" s="738"/>
      <c r="S1754" s="751">
        <v>7284.45</v>
      </c>
      <c r="T1754" s="739">
        <v>1500521</v>
      </c>
      <c r="U1754" s="779">
        <v>6872.1</v>
      </c>
      <c r="V1754" s="741">
        <v>1500522</v>
      </c>
    </row>
    <row r="1755" spans="1:22" ht="15" x14ac:dyDescent="0.25">
      <c r="A1755" s="734">
        <v>1413</v>
      </c>
      <c r="B1755" s="735" t="s">
        <v>13</v>
      </c>
      <c r="C1755" s="736">
        <v>30718.92</v>
      </c>
      <c r="D1755" s="736">
        <v>32472.12</v>
      </c>
      <c r="E1755" s="749">
        <v>34898.120000000003</v>
      </c>
      <c r="F1755" s="736">
        <v>33162.480000000003</v>
      </c>
      <c r="G1755" s="736">
        <v>37215.4</v>
      </c>
      <c r="H1755" s="736"/>
      <c r="I1755" s="736"/>
      <c r="J1755" s="736">
        <f t="shared" si="612"/>
        <v>37215.4</v>
      </c>
      <c r="K1755" s="736">
        <v>1051.99</v>
      </c>
      <c r="L1755" s="736"/>
      <c r="M1755" s="736">
        <f t="shared" si="613"/>
        <v>38267.39</v>
      </c>
      <c r="N1755" s="736"/>
      <c r="O1755" s="736"/>
      <c r="P1755" s="736">
        <f t="shared" si="614"/>
        <v>38267.39</v>
      </c>
      <c r="Q1755" s="738">
        <v>38267.39</v>
      </c>
      <c r="R1755" s="738"/>
      <c r="S1755" s="751">
        <v>41818.32</v>
      </c>
      <c r="T1755" s="739">
        <v>1500521</v>
      </c>
      <c r="U1755" s="779">
        <v>13857.68</v>
      </c>
      <c r="V1755" s="741">
        <v>1500522</v>
      </c>
    </row>
    <row r="1756" spans="1:22" ht="15" x14ac:dyDescent="0.25">
      <c r="A1756" s="734">
        <v>1421</v>
      </c>
      <c r="B1756" s="735" t="s">
        <v>15</v>
      </c>
      <c r="C1756" s="736">
        <v>8320.24</v>
      </c>
      <c r="D1756" s="736">
        <v>7851.02</v>
      </c>
      <c r="E1756" s="749">
        <v>7851.02</v>
      </c>
      <c r="F1756" s="736">
        <v>8058.54</v>
      </c>
      <c r="G1756" s="736">
        <v>8898.4</v>
      </c>
      <c r="H1756" s="736"/>
      <c r="I1756" s="736"/>
      <c r="J1756" s="736">
        <f t="shared" si="612"/>
        <v>8898.4</v>
      </c>
      <c r="K1756" s="736">
        <v>215.72</v>
      </c>
      <c r="L1756" s="736"/>
      <c r="M1756" s="736">
        <f t="shared" si="613"/>
        <v>9114.119999999999</v>
      </c>
      <c r="N1756" s="736"/>
      <c r="O1756" s="736"/>
      <c r="P1756" s="736">
        <f t="shared" si="614"/>
        <v>9114.119999999999</v>
      </c>
      <c r="Q1756" s="738">
        <v>9114.1200000000008</v>
      </c>
      <c r="R1756" s="738"/>
      <c r="S1756" s="751">
        <v>9725.52</v>
      </c>
      <c r="T1756" s="739">
        <v>1500521</v>
      </c>
      <c r="U1756" s="779">
        <v>3401.79</v>
      </c>
      <c r="V1756" s="741">
        <v>1500522</v>
      </c>
    </row>
    <row r="1757" spans="1:22" ht="15" x14ac:dyDescent="0.25">
      <c r="A1757" s="734">
        <v>1431</v>
      </c>
      <c r="B1757" s="735" t="s">
        <v>16</v>
      </c>
      <c r="C1757" s="736">
        <v>8848.84</v>
      </c>
      <c r="D1757" s="736">
        <v>8086.58</v>
      </c>
      <c r="E1757" s="749">
        <v>8425.58</v>
      </c>
      <c r="F1757" s="736">
        <v>8497.23</v>
      </c>
      <c r="G1757" s="736">
        <v>9165.4</v>
      </c>
      <c r="H1757" s="736"/>
      <c r="I1757" s="736"/>
      <c r="J1757" s="736">
        <f t="shared" si="612"/>
        <v>9165.4</v>
      </c>
      <c r="K1757" s="737">
        <v>220.13</v>
      </c>
      <c r="L1757" s="736"/>
      <c r="M1757" s="736">
        <f t="shared" si="613"/>
        <v>9385.5299999999988</v>
      </c>
      <c r="N1757" s="736"/>
      <c r="O1757" s="736"/>
      <c r="P1757" s="736">
        <f t="shared" si="614"/>
        <v>9385.5299999999988</v>
      </c>
      <c r="Q1757" s="738">
        <v>9385.5300000000007</v>
      </c>
      <c r="R1757" s="738"/>
      <c r="S1757" s="751">
        <v>10017.24</v>
      </c>
      <c r="T1757" s="739">
        <v>1500521</v>
      </c>
      <c r="U1757" s="779">
        <v>3441.93</v>
      </c>
      <c r="V1757" s="741">
        <v>1500522</v>
      </c>
    </row>
    <row r="1758" spans="1:22" ht="15" x14ac:dyDescent="0.2">
      <c r="A1758" s="739">
        <v>2111</v>
      </c>
      <c r="B1758" s="743" t="s">
        <v>22</v>
      </c>
      <c r="C1758" s="736">
        <v>746.54</v>
      </c>
      <c r="D1758" s="736"/>
      <c r="E1758" s="749"/>
      <c r="F1758" s="736"/>
      <c r="G1758" s="736"/>
      <c r="H1758" s="736"/>
      <c r="I1758" s="736"/>
      <c r="J1758" s="736"/>
      <c r="K1758" s="736"/>
      <c r="L1758" s="736"/>
      <c r="M1758" s="736">
        <f t="shared" si="613"/>
        <v>0</v>
      </c>
      <c r="N1758" s="736"/>
      <c r="O1758" s="736"/>
      <c r="P1758" s="738">
        <f t="shared" si="614"/>
        <v>0</v>
      </c>
      <c r="Q1758" s="738"/>
      <c r="R1758" s="738"/>
      <c r="S1758" s="751"/>
      <c r="T1758" s="739"/>
      <c r="U1758" s="745"/>
      <c r="V1758" s="739"/>
    </row>
    <row r="1759" spans="1:22" ht="15" x14ac:dyDescent="0.2">
      <c r="A1759" s="734">
        <v>2111</v>
      </c>
      <c r="B1759" s="735" t="s">
        <v>22</v>
      </c>
      <c r="C1759" s="736">
        <v>1481.56</v>
      </c>
      <c r="D1759" s="736">
        <v>2000</v>
      </c>
      <c r="E1759" s="749">
        <v>1400</v>
      </c>
      <c r="F1759" s="736">
        <v>0</v>
      </c>
      <c r="G1759" s="752">
        <v>2000</v>
      </c>
      <c r="H1759" s="752"/>
      <c r="I1759" s="752"/>
      <c r="J1759" s="736">
        <f t="shared" ref="J1759:J1761" si="615">G1759+H1759-I1759</f>
        <v>2000</v>
      </c>
      <c r="K1759" s="752"/>
      <c r="L1759" s="752"/>
      <c r="M1759" s="736">
        <f t="shared" si="613"/>
        <v>2000</v>
      </c>
      <c r="N1759" s="736"/>
      <c r="O1759" s="736"/>
      <c r="P1759" s="736">
        <f t="shared" si="614"/>
        <v>2000</v>
      </c>
      <c r="Q1759" s="753">
        <v>2000</v>
      </c>
      <c r="R1759" s="738">
        <v>906.28</v>
      </c>
      <c r="S1759" s="753">
        <v>2070</v>
      </c>
      <c r="T1759" s="739">
        <v>1100121</v>
      </c>
      <c r="U1759" s="754">
        <v>2070</v>
      </c>
      <c r="V1759" s="741">
        <v>1100122</v>
      </c>
    </row>
    <row r="1760" spans="1:22" ht="15" x14ac:dyDescent="0.2">
      <c r="A1760" s="734">
        <v>2161</v>
      </c>
      <c r="B1760" s="735" t="s">
        <v>59</v>
      </c>
      <c r="C1760" s="736">
        <v>10828.99</v>
      </c>
      <c r="D1760" s="736">
        <v>15000</v>
      </c>
      <c r="E1760" s="749">
        <v>15000</v>
      </c>
      <c r="F1760" s="736">
        <v>0</v>
      </c>
      <c r="G1760" s="752">
        <v>15000</v>
      </c>
      <c r="H1760" s="752"/>
      <c r="I1760" s="752"/>
      <c r="J1760" s="736">
        <f t="shared" si="615"/>
        <v>15000</v>
      </c>
      <c r="K1760" s="752"/>
      <c r="L1760" s="752"/>
      <c r="M1760" s="736">
        <f t="shared" si="613"/>
        <v>15000</v>
      </c>
      <c r="N1760" s="736"/>
      <c r="O1760" s="736"/>
      <c r="P1760" s="736">
        <f t="shared" si="614"/>
        <v>15000</v>
      </c>
      <c r="Q1760" s="753">
        <v>15000</v>
      </c>
      <c r="R1760" s="738">
        <v>6930.01</v>
      </c>
      <c r="S1760" s="753">
        <v>15525</v>
      </c>
      <c r="T1760" s="739">
        <v>1100121</v>
      </c>
      <c r="U1760" s="754">
        <v>15525</v>
      </c>
      <c r="V1760" s="741">
        <v>1100122</v>
      </c>
    </row>
    <row r="1761" spans="1:22" ht="15" x14ac:dyDescent="0.2">
      <c r="A1761" s="734">
        <v>3111</v>
      </c>
      <c r="B1761" s="735" t="s">
        <v>47</v>
      </c>
      <c r="C1761" s="736">
        <v>44451</v>
      </c>
      <c r="D1761" s="736">
        <v>50000</v>
      </c>
      <c r="E1761" s="749">
        <v>50000</v>
      </c>
      <c r="F1761" s="736">
        <v>32032</v>
      </c>
      <c r="G1761" s="752">
        <v>50000</v>
      </c>
      <c r="H1761" s="752"/>
      <c r="I1761" s="752"/>
      <c r="J1761" s="736">
        <f t="shared" si="615"/>
        <v>50000</v>
      </c>
      <c r="K1761" s="752"/>
      <c r="L1761" s="752"/>
      <c r="M1761" s="736">
        <f t="shared" si="613"/>
        <v>50000</v>
      </c>
      <c r="N1761" s="736"/>
      <c r="O1761" s="736"/>
      <c r="P1761" s="736">
        <f t="shared" si="614"/>
        <v>50000</v>
      </c>
      <c r="Q1761" s="753">
        <v>50000</v>
      </c>
      <c r="R1761" s="738">
        <v>21068</v>
      </c>
      <c r="S1761" s="753">
        <v>51750</v>
      </c>
      <c r="T1761" s="739">
        <v>1100121</v>
      </c>
      <c r="U1761" s="740">
        <v>50000</v>
      </c>
      <c r="V1761" s="741">
        <v>1100122</v>
      </c>
    </row>
    <row r="1762" spans="1:22" ht="15" x14ac:dyDescent="0.2">
      <c r="A1762" s="734">
        <v>3511</v>
      </c>
      <c r="B1762" s="735" t="s">
        <v>49</v>
      </c>
      <c r="C1762" s="736"/>
      <c r="D1762" s="736"/>
      <c r="E1762" s="749"/>
      <c r="F1762" s="736"/>
      <c r="G1762" s="752"/>
      <c r="H1762" s="752"/>
      <c r="I1762" s="752"/>
      <c r="J1762" s="736"/>
      <c r="K1762" s="752"/>
      <c r="L1762" s="752"/>
      <c r="M1762" s="736"/>
      <c r="N1762" s="736"/>
      <c r="O1762" s="736"/>
      <c r="P1762" s="736"/>
      <c r="Q1762" s="753"/>
      <c r="R1762" s="738"/>
      <c r="S1762" s="753"/>
      <c r="T1762" s="739"/>
      <c r="U1762" s="746">
        <v>200000</v>
      </c>
      <c r="V1762" s="741">
        <v>1100122</v>
      </c>
    </row>
    <row r="1763" spans="1:22" ht="15" x14ac:dyDescent="0.2">
      <c r="A1763" s="724" t="s">
        <v>264</v>
      </c>
      <c r="B1763" s="725" t="s">
        <v>265</v>
      </c>
      <c r="C1763" s="721">
        <f t="shared" ref="C1763:S1763" si="616">SUM(C1764)</f>
        <v>11627167.509999998</v>
      </c>
      <c r="D1763" s="721">
        <f t="shared" si="616"/>
        <v>14655397.209999999</v>
      </c>
      <c r="E1763" s="721">
        <f t="shared" si="616"/>
        <v>14297591.16</v>
      </c>
      <c r="F1763" s="721">
        <f t="shared" si="616"/>
        <v>11490397.750000004</v>
      </c>
      <c r="G1763" s="721">
        <f t="shared" si="616"/>
        <v>18012349.399999999</v>
      </c>
      <c r="H1763" s="721">
        <f t="shared" si="616"/>
        <v>383031.63</v>
      </c>
      <c r="I1763" s="721">
        <f t="shared" si="616"/>
        <v>0</v>
      </c>
      <c r="J1763" s="721">
        <f t="shared" si="616"/>
        <v>18395381.030000001</v>
      </c>
      <c r="K1763" s="721">
        <f t="shared" si="616"/>
        <v>3798141.59</v>
      </c>
      <c r="L1763" s="721">
        <f t="shared" si="616"/>
        <v>334550.42000000004</v>
      </c>
      <c r="M1763" s="721">
        <f t="shared" si="616"/>
        <v>21858972.200000003</v>
      </c>
      <c r="N1763" s="721">
        <f t="shared" si="616"/>
        <v>5000</v>
      </c>
      <c r="O1763" s="721">
        <f t="shared" si="616"/>
        <v>10000</v>
      </c>
      <c r="P1763" s="721">
        <f t="shared" si="616"/>
        <v>21853972.200000003</v>
      </c>
      <c r="Q1763" s="756">
        <f t="shared" si="616"/>
        <v>22702718.239999998</v>
      </c>
      <c r="R1763" s="756">
        <f t="shared" si="616"/>
        <v>8644917.7400000002</v>
      </c>
      <c r="S1763" s="756">
        <f t="shared" si="616"/>
        <v>18998916.23</v>
      </c>
      <c r="T1763" s="724"/>
      <c r="U1763" s="726">
        <f t="shared" ref="U1763" si="617">SUM(U1764)</f>
        <v>19094076.140000001</v>
      </c>
      <c r="V1763" s="727"/>
    </row>
    <row r="1764" spans="1:22" ht="15" x14ac:dyDescent="0.2">
      <c r="A1764" s="728" t="s">
        <v>266</v>
      </c>
      <c r="B1764" s="729" t="s">
        <v>1574</v>
      </c>
      <c r="C1764" s="730">
        <f t="shared" ref="C1764:S1764" si="618">SUM(C1765:C1798)</f>
        <v>11627167.509999998</v>
      </c>
      <c r="D1764" s="730">
        <f t="shared" si="618"/>
        <v>14655397.209999999</v>
      </c>
      <c r="E1764" s="730">
        <f t="shared" si="618"/>
        <v>14297591.16</v>
      </c>
      <c r="F1764" s="730">
        <f t="shared" si="618"/>
        <v>11490397.750000004</v>
      </c>
      <c r="G1764" s="730">
        <f t="shared" si="618"/>
        <v>18012349.399999999</v>
      </c>
      <c r="H1764" s="730">
        <f t="shared" si="618"/>
        <v>383031.63</v>
      </c>
      <c r="I1764" s="730">
        <f t="shared" si="618"/>
        <v>0</v>
      </c>
      <c r="J1764" s="730">
        <f t="shared" si="618"/>
        <v>18395381.030000001</v>
      </c>
      <c r="K1764" s="730">
        <f t="shared" si="618"/>
        <v>3798141.59</v>
      </c>
      <c r="L1764" s="730">
        <f t="shared" si="618"/>
        <v>334550.42000000004</v>
      </c>
      <c r="M1764" s="730">
        <f t="shared" si="618"/>
        <v>21858972.200000003</v>
      </c>
      <c r="N1764" s="730">
        <f t="shared" si="618"/>
        <v>5000</v>
      </c>
      <c r="O1764" s="730">
        <f t="shared" si="618"/>
        <v>10000</v>
      </c>
      <c r="P1764" s="730">
        <f t="shared" si="618"/>
        <v>21853972.200000003</v>
      </c>
      <c r="Q1764" s="748">
        <f t="shared" si="618"/>
        <v>22702718.239999998</v>
      </c>
      <c r="R1764" s="748">
        <f t="shared" si="618"/>
        <v>8644917.7400000002</v>
      </c>
      <c r="S1764" s="748">
        <f t="shared" si="618"/>
        <v>18998916.23</v>
      </c>
      <c r="T1764" s="731"/>
      <c r="U1764" s="732">
        <f>SUM(U1765:U1798)</f>
        <v>19094076.140000001</v>
      </c>
      <c r="V1764" s="733"/>
    </row>
    <row r="1765" spans="1:22" ht="15" x14ac:dyDescent="0.25">
      <c r="A1765" s="734">
        <v>1131</v>
      </c>
      <c r="B1765" s="735" t="s">
        <v>6</v>
      </c>
      <c r="C1765" s="736">
        <v>2838914.35</v>
      </c>
      <c r="D1765" s="736">
        <v>2954296.8</v>
      </c>
      <c r="E1765" s="749">
        <v>2961157.8</v>
      </c>
      <c r="F1765" s="736">
        <v>3231447.46</v>
      </c>
      <c r="G1765" s="736">
        <v>3214314.3000000003</v>
      </c>
      <c r="H1765" s="736"/>
      <c r="I1765" s="736"/>
      <c r="J1765" s="736">
        <f t="shared" ref="J1765:J1778" si="619">G1765+H1765-I1765</f>
        <v>3214314.3000000003</v>
      </c>
      <c r="K1765" s="736">
        <v>14527.8</v>
      </c>
      <c r="L1765" s="736"/>
      <c r="M1765" s="736">
        <f t="shared" ref="M1765:M1783" si="620">J1765+K1765-L1765</f>
        <v>3228842.1</v>
      </c>
      <c r="N1765" s="736"/>
      <c r="O1765" s="736"/>
      <c r="P1765" s="736">
        <f t="shared" ref="P1765:P1783" si="621">M1765+N1765-O1765</f>
        <v>3228842.1</v>
      </c>
      <c r="Q1765" s="738">
        <v>3195162.68</v>
      </c>
      <c r="R1765" s="738"/>
      <c r="S1765" s="751">
        <v>3442948.6</v>
      </c>
      <c r="T1765" s="739">
        <v>1500521</v>
      </c>
      <c r="U1765" s="779">
        <v>3307834.22</v>
      </c>
      <c r="V1765" s="741">
        <v>1500522</v>
      </c>
    </row>
    <row r="1766" spans="1:22" ht="15" x14ac:dyDescent="0.25">
      <c r="A1766" s="734">
        <v>1132</v>
      </c>
      <c r="B1766" s="735" t="s">
        <v>8</v>
      </c>
      <c r="C1766" s="736">
        <v>561008.48</v>
      </c>
      <c r="D1766" s="736">
        <v>599795.56000000006</v>
      </c>
      <c r="E1766" s="749">
        <v>644484.56000000006</v>
      </c>
      <c r="F1766" s="736">
        <v>664665.48</v>
      </c>
      <c r="G1766" s="736">
        <v>825872.4</v>
      </c>
      <c r="H1766" s="736"/>
      <c r="I1766" s="736"/>
      <c r="J1766" s="736">
        <f t="shared" si="619"/>
        <v>825872.4</v>
      </c>
      <c r="K1766" s="736">
        <v>17539.439999999999</v>
      </c>
      <c r="L1766" s="736"/>
      <c r="M1766" s="736">
        <f t="shared" si="620"/>
        <v>843411.84</v>
      </c>
      <c r="N1766" s="736"/>
      <c r="O1766" s="736"/>
      <c r="P1766" s="736">
        <f t="shared" si="621"/>
        <v>843411.84</v>
      </c>
      <c r="Q1766" s="738">
        <v>835081.74</v>
      </c>
      <c r="R1766" s="738"/>
      <c r="S1766" s="751">
        <v>871437.84</v>
      </c>
      <c r="T1766" s="739">
        <v>1500521</v>
      </c>
      <c r="U1766" s="779">
        <v>848581.91</v>
      </c>
      <c r="V1766" s="741">
        <v>1500522</v>
      </c>
    </row>
    <row r="1767" spans="1:22" ht="15" x14ac:dyDescent="0.25">
      <c r="A1767" s="734">
        <v>1212</v>
      </c>
      <c r="B1767" s="735" t="s">
        <v>53</v>
      </c>
      <c r="C1767" s="736">
        <v>726625.66</v>
      </c>
      <c r="D1767" s="736">
        <v>631692</v>
      </c>
      <c r="E1767" s="749">
        <v>707586.04</v>
      </c>
      <c r="F1767" s="736">
        <v>696161.21</v>
      </c>
      <c r="G1767" s="736">
        <v>727747.2</v>
      </c>
      <c r="H1767" s="736"/>
      <c r="I1767" s="736"/>
      <c r="J1767" s="736">
        <f t="shared" si="619"/>
        <v>727747.2</v>
      </c>
      <c r="K1767" s="736">
        <v>6854.31</v>
      </c>
      <c r="L1767" s="736"/>
      <c r="M1767" s="736">
        <f t="shared" si="620"/>
        <v>734601.51</v>
      </c>
      <c r="N1767" s="736"/>
      <c r="O1767" s="736"/>
      <c r="P1767" s="736">
        <f t="shared" si="621"/>
        <v>734601.51</v>
      </c>
      <c r="Q1767" s="738">
        <v>749555.72</v>
      </c>
      <c r="R1767" s="738"/>
      <c r="S1767" s="751">
        <v>948164.4</v>
      </c>
      <c r="T1767" s="739">
        <v>1500521</v>
      </c>
      <c r="U1767" s="779">
        <v>860013.06</v>
      </c>
      <c r="V1767" s="741">
        <v>1500522</v>
      </c>
    </row>
    <row r="1768" spans="1:22" ht="15" x14ac:dyDescent="0.25">
      <c r="A1768" s="734">
        <v>1321</v>
      </c>
      <c r="B1768" s="735" t="s">
        <v>9</v>
      </c>
      <c r="C1768" s="736">
        <v>220605.05</v>
      </c>
      <c r="D1768" s="736">
        <v>234701.77</v>
      </c>
      <c r="E1768" s="749">
        <v>242353.77</v>
      </c>
      <c r="F1768" s="736">
        <v>238032.22</v>
      </c>
      <c r="G1768" s="736">
        <v>257354.30000000002</v>
      </c>
      <c r="H1768" s="736"/>
      <c r="I1768" s="736"/>
      <c r="J1768" s="736">
        <f t="shared" si="619"/>
        <v>257354.30000000002</v>
      </c>
      <c r="K1768" s="736">
        <v>7835.37</v>
      </c>
      <c r="L1768" s="736"/>
      <c r="M1768" s="736">
        <f t="shared" si="620"/>
        <v>265189.67000000004</v>
      </c>
      <c r="N1768" s="736"/>
      <c r="O1768" s="736"/>
      <c r="P1768" s="736">
        <f t="shared" si="621"/>
        <v>265189.67000000004</v>
      </c>
      <c r="Q1768" s="738">
        <v>265189.67</v>
      </c>
      <c r="R1768" s="738"/>
      <c r="S1768" s="751">
        <v>279248.3</v>
      </c>
      <c r="T1768" s="739">
        <v>1500521</v>
      </c>
      <c r="U1768" s="779">
        <v>260740.82</v>
      </c>
      <c r="V1768" s="741">
        <v>1500522</v>
      </c>
    </row>
    <row r="1769" spans="1:22" ht="15" x14ac:dyDescent="0.25">
      <c r="A1769" s="734">
        <v>1323</v>
      </c>
      <c r="B1769" s="735" t="s">
        <v>11</v>
      </c>
      <c r="C1769" s="736">
        <v>654991.81999999995</v>
      </c>
      <c r="D1769" s="736">
        <v>675715</v>
      </c>
      <c r="E1769" s="749">
        <v>693329.29</v>
      </c>
      <c r="F1769" s="736">
        <v>697118.9</v>
      </c>
      <c r="G1769" s="736">
        <v>746080.8</v>
      </c>
      <c r="H1769" s="736"/>
      <c r="I1769" s="736"/>
      <c r="J1769" s="736">
        <f t="shared" si="619"/>
        <v>746080.8</v>
      </c>
      <c r="K1769" s="736">
        <v>22622.799999999999</v>
      </c>
      <c r="L1769" s="736"/>
      <c r="M1769" s="736">
        <f t="shared" si="620"/>
        <v>768703.60000000009</v>
      </c>
      <c r="N1769" s="736"/>
      <c r="O1769" s="736"/>
      <c r="P1769" s="736">
        <f t="shared" si="621"/>
        <v>768703.60000000009</v>
      </c>
      <c r="Q1769" s="738">
        <v>768703.6</v>
      </c>
      <c r="R1769" s="738"/>
      <c r="S1769" s="751">
        <v>822014.35</v>
      </c>
      <c r="T1769" s="739">
        <v>1500521</v>
      </c>
      <c r="U1769" s="779">
        <v>786298.79</v>
      </c>
      <c r="V1769" s="741">
        <v>1500522</v>
      </c>
    </row>
    <row r="1770" spans="1:22" ht="15" x14ac:dyDescent="0.25">
      <c r="A1770" s="734">
        <v>1331</v>
      </c>
      <c r="B1770" s="735" t="s">
        <v>183</v>
      </c>
      <c r="C1770" s="736">
        <v>4497.34</v>
      </c>
      <c r="D1770" s="736">
        <v>339496</v>
      </c>
      <c r="E1770" s="749">
        <v>104145.28</v>
      </c>
      <c r="F1770" s="736">
        <v>2187.9499999999998</v>
      </c>
      <c r="G1770" s="736">
        <v>104145.3</v>
      </c>
      <c r="H1770" s="736"/>
      <c r="I1770" s="736"/>
      <c r="J1770" s="736">
        <f t="shared" si="619"/>
        <v>104145.3</v>
      </c>
      <c r="K1770" s="736"/>
      <c r="L1770" s="736">
        <v>0.02</v>
      </c>
      <c r="M1770" s="736">
        <f t="shared" si="620"/>
        <v>104145.28</v>
      </c>
      <c r="N1770" s="736"/>
      <c r="O1770" s="736"/>
      <c r="P1770" s="736">
        <f t="shared" si="621"/>
        <v>104145.28</v>
      </c>
      <c r="Q1770" s="738">
        <v>104145.28</v>
      </c>
      <c r="R1770" s="738"/>
      <c r="S1770" s="751">
        <v>104145.28</v>
      </c>
      <c r="T1770" s="739">
        <v>1500521</v>
      </c>
      <c r="U1770" s="779">
        <v>104145.28</v>
      </c>
      <c r="V1770" s="741">
        <v>1500522</v>
      </c>
    </row>
    <row r="1771" spans="1:22" ht="15" x14ac:dyDescent="0.25">
      <c r="A1771" s="734">
        <v>1413</v>
      </c>
      <c r="B1771" s="735" t="s">
        <v>13</v>
      </c>
      <c r="C1771" s="736">
        <v>947492.6</v>
      </c>
      <c r="D1771" s="736">
        <v>1045266.4</v>
      </c>
      <c r="E1771" s="749">
        <v>1061738.2</v>
      </c>
      <c r="F1771" s="736">
        <v>1032576.34</v>
      </c>
      <c r="G1771" s="736">
        <v>1234525</v>
      </c>
      <c r="H1771" s="736"/>
      <c r="I1771" s="736"/>
      <c r="J1771" s="736">
        <f t="shared" si="619"/>
        <v>1234525</v>
      </c>
      <c r="K1771" s="736">
        <v>36695.800000000003</v>
      </c>
      <c r="L1771" s="736"/>
      <c r="M1771" s="736">
        <f t="shared" si="620"/>
        <v>1271220.8</v>
      </c>
      <c r="N1771" s="736"/>
      <c r="O1771" s="736"/>
      <c r="P1771" s="736">
        <f t="shared" si="621"/>
        <v>1271220.8</v>
      </c>
      <c r="Q1771" s="738">
        <v>1271220.8</v>
      </c>
      <c r="R1771" s="738"/>
      <c r="S1771" s="751">
        <v>1443954.6</v>
      </c>
      <c r="T1771" s="739">
        <v>1500521</v>
      </c>
      <c r="U1771" s="779">
        <v>1163840.71</v>
      </c>
      <c r="V1771" s="741">
        <v>1500522</v>
      </c>
    </row>
    <row r="1772" spans="1:22" ht="15" x14ac:dyDescent="0.25">
      <c r="A1772" s="734">
        <v>1421</v>
      </c>
      <c r="B1772" s="735" t="s">
        <v>15</v>
      </c>
      <c r="C1772" s="736">
        <v>313028.24</v>
      </c>
      <c r="D1772" s="736">
        <v>316917.09999999998</v>
      </c>
      <c r="E1772" s="749">
        <v>297478.09999999998</v>
      </c>
      <c r="F1772" s="736">
        <v>314880.86</v>
      </c>
      <c r="G1772" s="736">
        <v>354950.69999999995</v>
      </c>
      <c r="H1772" s="736"/>
      <c r="I1772" s="736"/>
      <c r="J1772" s="736">
        <f t="shared" si="619"/>
        <v>354950.69999999995</v>
      </c>
      <c r="K1772" s="736">
        <v>10050.209999999999</v>
      </c>
      <c r="L1772" s="736"/>
      <c r="M1772" s="736">
        <f t="shared" si="620"/>
        <v>365000.91</v>
      </c>
      <c r="N1772" s="736"/>
      <c r="O1772" s="736"/>
      <c r="P1772" s="736">
        <f t="shared" si="621"/>
        <v>365000.91</v>
      </c>
      <c r="Q1772" s="738">
        <v>365000.91</v>
      </c>
      <c r="R1772" s="738"/>
      <c r="S1772" s="751">
        <v>395957.04</v>
      </c>
      <c r="T1772" s="739">
        <v>1500521</v>
      </c>
      <c r="U1772" s="779">
        <v>423293.58</v>
      </c>
      <c r="V1772" s="741">
        <v>1500522</v>
      </c>
    </row>
    <row r="1773" spans="1:22" ht="15" x14ac:dyDescent="0.25">
      <c r="A1773" s="734">
        <v>1431</v>
      </c>
      <c r="B1773" s="735" t="s">
        <v>16</v>
      </c>
      <c r="C1773" s="736">
        <v>325179.36</v>
      </c>
      <c r="D1773" s="736">
        <v>326424.48</v>
      </c>
      <c r="E1773" s="749">
        <v>311649.48</v>
      </c>
      <c r="F1773" s="736">
        <v>330484.13</v>
      </c>
      <c r="G1773" s="736">
        <v>365598.8</v>
      </c>
      <c r="H1773" s="736"/>
      <c r="I1773" s="736"/>
      <c r="J1773" s="736">
        <f t="shared" si="619"/>
        <v>365598.8</v>
      </c>
      <c r="K1773" s="736">
        <v>10277.17</v>
      </c>
      <c r="L1773" s="736"/>
      <c r="M1773" s="736">
        <f t="shared" si="620"/>
        <v>375875.97</v>
      </c>
      <c r="N1773" s="736"/>
      <c r="O1773" s="736"/>
      <c r="P1773" s="736">
        <f t="shared" si="621"/>
        <v>375875.97</v>
      </c>
      <c r="Q1773" s="738">
        <v>375875.97</v>
      </c>
      <c r="R1773" s="738"/>
      <c r="S1773" s="751">
        <v>407836.08</v>
      </c>
      <c r="T1773" s="739">
        <v>1500521</v>
      </c>
      <c r="U1773" s="779">
        <v>425371.75</v>
      </c>
      <c r="V1773" s="741">
        <v>1500522</v>
      </c>
    </row>
    <row r="1774" spans="1:22" ht="15" x14ac:dyDescent="0.25">
      <c r="A1774" s="734">
        <v>1511</v>
      </c>
      <c r="B1774" s="735" t="s">
        <v>18</v>
      </c>
      <c r="C1774" s="736">
        <v>87225.12</v>
      </c>
      <c r="D1774" s="736">
        <v>94570.84</v>
      </c>
      <c r="E1774" s="749">
        <v>95602.44</v>
      </c>
      <c r="F1774" s="736">
        <v>98917.06</v>
      </c>
      <c r="G1774" s="736">
        <v>104231.4</v>
      </c>
      <c r="H1774" s="736"/>
      <c r="I1774" s="736"/>
      <c r="J1774" s="736">
        <f t="shared" si="619"/>
        <v>104231.4</v>
      </c>
      <c r="K1774" s="736">
        <v>3214.15</v>
      </c>
      <c r="L1774" s="736"/>
      <c r="M1774" s="736">
        <f t="shared" si="620"/>
        <v>107445.54999999999</v>
      </c>
      <c r="N1774" s="736"/>
      <c r="O1774" s="736"/>
      <c r="P1774" s="736">
        <f t="shared" si="621"/>
        <v>107445.54999999999</v>
      </c>
      <c r="Q1774" s="738">
        <v>107445.55</v>
      </c>
      <c r="R1774" s="738"/>
      <c r="S1774" s="751">
        <v>113932</v>
      </c>
      <c r="T1774" s="739">
        <v>1500521</v>
      </c>
      <c r="U1774" s="779">
        <v>107424.97</v>
      </c>
      <c r="V1774" s="741">
        <v>1500522</v>
      </c>
    </row>
    <row r="1775" spans="1:22" ht="15" x14ac:dyDescent="0.25">
      <c r="A1775" s="734">
        <v>1541</v>
      </c>
      <c r="B1775" s="735" t="s">
        <v>19</v>
      </c>
      <c r="C1775" s="736">
        <v>840821.14</v>
      </c>
      <c r="D1775" s="736">
        <v>994211.66</v>
      </c>
      <c r="E1775" s="749">
        <v>980999.63</v>
      </c>
      <c r="F1775" s="736">
        <v>1011545.34</v>
      </c>
      <c r="G1775" s="736">
        <v>1316766</v>
      </c>
      <c r="H1775" s="736"/>
      <c r="I1775" s="736"/>
      <c r="J1775" s="736">
        <f t="shared" si="619"/>
        <v>1316766</v>
      </c>
      <c r="K1775" s="736">
        <v>50122.05</v>
      </c>
      <c r="L1775" s="736"/>
      <c r="M1775" s="736">
        <f t="shared" si="620"/>
        <v>1366888.05</v>
      </c>
      <c r="N1775" s="736"/>
      <c r="O1775" s="736"/>
      <c r="P1775" s="736">
        <f t="shared" si="621"/>
        <v>1366888.05</v>
      </c>
      <c r="Q1775" s="738">
        <v>1299317.3700000001</v>
      </c>
      <c r="R1775" s="738"/>
      <c r="S1775" s="751">
        <v>1245527.1399999999</v>
      </c>
      <c r="T1775" s="739">
        <v>1500521</v>
      </c>
      <c r="U1775" s="779">
        <v>1231355.1399999999</v>
      </c>
      <c r="V1775" s="741">
        <v>1500522</v>
      </c>
    </row>
    <row r="1776" spans="1:22" ht="15" x14ac:dyDescent="0.25">
      <c r="A1776" s="734">
        <v>1591</v>
      </c>
      <c r="B1776" s="735" t="s">
        <v>184</v>
      </c>
      <c r="C1776" s="736"/>
      <c r="D1776" s="736">
        <v>6000</v>
      </c>
      <c r="E1776" s="749">
        <v>3000</v>
      </c>
      <c r="F1776" s="736">
        <v>0</v>
      </c>
      <c r="G1776" s="736">
        <v>3000</v>
      </c>
      <c r="H1776" s="736"/>
      <c r="I1776" s="736"/>
      <c r="J1776" s="736">
        <f t="shared" si="619"/>
        <v>3000</v>
      </c>
      <c r="K1776" s="736"/>
      <c r="L1776" s="736"/>
      <c r="M1776" s="736">
        <f t="shared" si="620"/>
        <v>3000</v>
      </c>
      <c r="N1776" s="736"/>
      <c r="O1776" s="736"/>
      <c r="P1776" s="736">
        <f t="shared" si="621"/>
        <v>3000</v>
      </c>
      <c r="Q1776" s="738">
        <v>3000</v>
      </c>
      <c r="R1776" s="738"/>
      <c r="S1776" s="751">
        <v>3000</v>
      </c>
      <c r="T1776" s="739">
        <v>1500521</v>
      </c>
      <c r="U1776" s="779">
        <v>3000</v>
      </c>
      <c r="V1776" s="741">
        <v>1500522</v>
      </c>
    </row>
    <row r="1777" spans="1:22" ht="15" x14ac:dyDescent="0.25">
      <c r="A1777" s="734">
        <v>1592</v>
      </c>
      <c r="B1777" s="735" t="s">
        <v>20</v>
      </c>
      <c r="C1777" s="736">
        <v>1081681.8500000001</v>
      </c>
      <c r="D1777" s="736">
        <v>1173499.6000000001</v>
      </c>
      <c r="E1777" s="749">
        <v>1183477.6000000001</v>
      </c>
      <c r="F1777" s="736">
        <v>1224704.8400000001</v>
      </c>
      <c r="G1777" s="736">
        <v>1281327.4000000001</v>
      </c>
      <c r="H1777" s="736"/>
      <c r="I1777" s="736"/>
      <c r="J1777" s="736">
        <f t="shared" si="619"/>
        <v>1281327.4000000001</v>
      </c>
      <c r="K1777" s="736">
        <v>40635.43</v>
      </c>
      <c r="L1777" s="736"/>
      <c r="M1777" s="736">
        <f t="shared" si="620"/>
        <v>1321962.83</v>
      </c>
      <c r="N1777" s="736"/>
      <c r="O1777" s="736"/>
      <c r="P1777" s="736">
        <f t="shared" si="621"/>
        <v>1321962.83</v>
      </c>
      <c r="Q1777" s="738">
        <v>1380930.64</v>
      </c>
      <c r="R1777" s="738"/>
      <c r="S1777" s="751">
        <v>1382268.16</v>
      </c>
      <c r="T1777" s="739">
        <v>1500521</v>
      </c>
      <c r="U1777" s="779">
        <v>1303192.9099999999</v>
      </c>
      <c r="V1777" s="741">
        <v>1500522</v>
      </c>
    </row>
    <row r="1778" spans="1:22" ht="15" x14ac:dyDescent="0.2">
      <c r="A1778" s="734">
        <v>2111</v>
      </c>
      <c r="B1778" s="735" t="s">
        <v>22</v>
      </c>
      <c r="C1778" s="736">
        <v>72398</v>
      </c>
      <c r="D1778" s="736">
        <v>110000</v>
      </c>
      <c r="E1778" s="749">
        <v>77000</v>
      </c>
      <c r="F1778" s="736">
        <v>70051.98</v>
      </c>
      <c r="G1778" s="752">
        <v>110000</v>
      </c>
      <c r="H1778" s="752"/>
      <c r="I1778" s="752"/>
      <c r="J1778" s="736">
        <f t="shared" si="619"/>
        <v>110000</v>
      </c>
      <c r="K1778" s="752"/>
      <c r="L1778" s="752"/>
      <c r="M1778" s="736">
        <f t="shared" si="620"/>
        <v>110000</v>
      </c>
      <c r="N1778" s="736"/>
      <c r="O1778" s="736"/>
      <c r="P1778" s="736">
        <f t="shared" si="621"/>
        <v>110000</v>
      </c>
      <c r="Q1778" s="753">
        <v>110000</v>
      </c>
      <c r="R1778" s="738">
        <v>77185.19</v>
      </c>
      <c r="S1778" s="753">
        <v>120000</v>
      </c>
      <c r="T1778" s="739">
        <v>1100121</v>
      </c>
      <c r="U1778" s="754">
        <v>120000</v>
      </c>
      <c r="V1778" s="741">
        <v>1100122</v>
      </c>
    </row>
    <row r="1779" spans="1:22" ht="15" x14ac:dyDescent="0.2">
      <c r="A1779" s="739">
        <v>2112</v>
      </c>
      <c r="B1779" s="743" t="s">
        <v>39</v>
      </c>
      <c r="C1779" s="736"/>
      <c r="D1779" s="736"/>
      <c r="E1779" s="749"/>
      <c r="F1779" s="736"/>
      <c r="G1779" s="752"/>
      <c r="H1779" s="752"/>
      <c r="I1779" s="752"/>
      <c r="J1779" s="736"/>
      <c r="K1779" s="752">
        <v>35000</v>
      </c>
      <c r="L1779" s="752"/>
      <c r="M1779" s="736">
        <f t="shared" si="620"/>
        <v>35000</v>
      </c>
      <c r="N1779" s="736"/>
      <c r="O1779" s="736"/>
      <c r="P1779" s="736">
        <f t="shared" si="621"/>
        <v>35000</v>
      </c>
      <c r="Q1779" s="753">
        <v>34150</v>
      </c>
      <c r="R1779" s="738">
        <v>77185.19</v>
      </c>
      <c r="S1779" s="753"/>
      <c r="T1779" s="739">
        <v>1100120</v>
      </c>
      <c r="U1779" s="745"/>
      <c r="V1779" s="739">
        <v>1100120</v>
      </c>
    </row>
    <row r="1780" spans="1:22" ht="15" x14ac:dyDescent="0.2">
      <c r="A1780" s="734">
        <v>2121</v>
      </c>
      <c r="B1780" s="735" t="s">
        <v>24</v>
      </c>
      <c r="C1780" s="736">
        <v>19507.5</v>
      </c>
      <c r="D1780" s="736">
        <v>30000</v>
      </c>
      <c r="E1780" s="749">
        <v>21000</v>
      </c>
      <c r="F1780" s="736">
        <v>18955</v>
      </c>
      <c r="G1780" s="752">
        <v>30000</v>
      </c>
      <c r="H1780" s="752"/>
      <c r="I1780" s="752"/>
      <c r="J1780" s="736">
        <f t="shared" ref="J1780:J1783" si="622">G1780+H1780-I1780</f>
        <v>30000</v>
      </c>
      <c r="K1780" s="752"/>
      <c r="L1780" s="752"/>
      <c r="M1780" s="736">
        <f t="shared" si="620"/>
        <v>30000</v>
      </c>
      <c r="N1780" s="736"/>
      <c r="O1780" s="736"/>
      <c r="P1780" s="736">
        <f t="shared" si="621"/>
        <v>30000</v>
      </c>
      <c r="Q1780" s="753">
        <v>28327.86</v>
      </c>
      <c r="R1780" s="738">
        <v>27741.360000000001</v>
      </c>
      <c r="S1780" s="753">
        <v>32000</v>
      </c>
      <c r="T1780" s="739">
        <v>1100121</v>
      </c>
      <c r="U1780" s="754">
        <v>32000</v>
      </c>
      <c r="V1780" s="741">
        <v>1100122</v>
      </c>
    </row>
    <row r="1781" spans="1:22" ht="15" x14ac:dyDescent="0.2">
      <c r="A1781" s="734">
        <v>2212</v>
      </c>
      <c r="B1781" s="735" t="s">
        <v>40</v>
      </c>
      <c r="C1781" s="736">
        <v>359</v>
      </c>
      <c r="D1781" s="736">
        <v>5000</v>
      </c>
      <c r="E1781" s="749">
        <v>5000</v>
      </c>
      <c r="F1781" s="736">
        <v>0</v>
      </c>
      <c r="G1781" s="752">
        <v>5000</v>
      </c>
      <c r="H1781" s="752"/>
      <c r="I1781" s="752"/>
      <c r="J1781" s="736">
        <f t="shared" si="622"/>
        <v>5000</v>
      </c>
      <c r="K1781" s="752"/>
      <c r="L1781" s="752"/>
      <c r="M1781" s="736">
        <f t="shared" si="620"/>
        <v>5000</v>
      </c>
      <c r="N1781" s="736"/>
      <c r="O1781" s="736"/>
      <c r="P1781" s="736">
        <f t="shared" si="621"/>
        <v>5000</v>
      </c>
      <c r="Q1781" s="753">
        <v>5000</v>
      </c>
      <c r="R1781" s="738"/>
      <c r="S1781" s="753">
        <v>5000</v>
      </c>
      <c r="T1781" s="739">
        <v>1100121</v>
      </c>
      <c r="U1781" s="754">
        <v>5000</v>
      </c>
      <c r="V1781" s="741">
        <v>1100122</v>
      </c>
    </row>
    <row r="1782" spans="1:22" ht="15" x14ac:dyDescent="0.2">
      <c r="A1782" s="734">
        <v>2491</v>
      </c>
      <c r="B1782" s="735" t="s">
        <v>41</v>
      </c>
      <c r="C1782" s="736">
        <v>40000</v>
      </c>
      <c r="D1782" s="736">
        <v>41600</v>
      </c>
      <c r="E1782" s="749">
        <v>141339</v>
      </c>
      <c r="F1782" s="736">
        <v>138899.78</v>
      </c>
      <c r="G1782" s="752">
        <v>55000</v>
      </c>
      <c r="H1782" s="752"/>
      <c r="I1782" s="752"/>
      <c r="J1782" s="736">
        <f t="shared" si="622"/>
        <v>55000</v>
      </c>
      <c r="K1782" s="752">
        <v>208216.66</v>
      </c>
      <c r="L1782" s="752"/>
      <c r="M1782" s="736">
        <f t="shared" si="620"/>
        <v>263216.66000000003</v>
      </c>
      <c r="N1782" s="736"/>
      <c r="O1782" s="736"/>
      <c r="P1782" s="736">
        <f t="shared" si="621"/>
        <v>263216.66000000003</v>
      </c>
      <c r="Q1782" s="753">
        <v>593216.66</v>
      </c>
      <c r="R1782" s="738">
        <v>189042.24</v>
      </c>
      <c r="S1782" s="753">
        <v>140462</v>
      </c>
      <c r="T1782" s="739">
        <v>1100121</v>
      </c>
      <c r="U1782" s="754">
        <v>140462</v>
      </c>
      <c r="V1782" s="741">
        <v>1100122</v>
      </c>
    </row>
    <row r="1783" spans="1:22" ht="30" x14ac:dyDescent="0.2">
      <c r="A1783" s="734">
        <v>2612</v>
      </c>
      <c r="B1783" s="735" t="s">
        <v>26</v>
      </c>
      <c r="C1783" s="736">
        <v>54886.58</v>
      </c>
      <c r="D1783" s="736">
        <v>55000</v>
      </c>
      <c r="E1783" s="749">
        <v>60000</v>
      </c>
      <c r="F1783" s="736">
        <v>47721.8</v>
      </c>
      <c r="G1783" s="752">
        <v>55000</v>
      </c>
      <c r="H1783" s="752"/>
      <c r="I1783" s="752"/>
      <c r="J1783" s="736">
        <f t="shared" si="622"/>
        <v>55000</v>
      </c>
      <c r="K1783" s="749"/>
      <c r="L1783" s="752"/>
      <c r="M1783" s="736">
        <f t="shared" si="620"/>
        <v>55000</v>
      </c>
      <c r="N1783" s="736">
        <v>5000</v>
      </c>
      <c r="O1783" s="736"/>
      <c r="P1783" s="736">
        <f t="shared" si="621"/>
        <v>60000</v>
      </c>
      <c r="Q1783" s="753">
        <v>65000</v>
      </c>
      <c r="R1783" s="738">
        <v>45253.43</v>
      </c>
      <c r="S1783" s="738">
        <f>Q1783</f>
        <v>65000</v>
      </c>
      <c r="T1783" s="739">
        <v>1100121</v>
      </c>
      <c r="U1783" s="746">
        <v>65000</v>
      </c>
      <c r="V1783" s="741">
        <v>1100122</v>
      </c>
    </row>
    <row r="1784" spans="1:22" ht="15" x14ac:dyDescent="0.2">
      <c r="A1784" s="734">
        <v>2722</v>
      </c>
      <c r="B1784" s="735" t="s">
        <v>1779</v>
      </c>
      <c r="C1784" s="736"/>
      <c r="D1784" s="736"/>
      <c r="E1784" s="749"/>
      <c r="F1784" s="736"/>
      <c r="G1784" s="752"/>
      <c r="H1784" s="752"/>
      <c r="I1784" s="752"/>
      <c r="J1784" s="736"/>
      <c r="K1784" s="749"/>
      <c r="L1784" s="752"/>
      <c r="M1784" s="736"/>
      <c r="N1784" s="736"/>
      <c r="O1784" s="736"/>
      <c r="P1784" s="736"/>
      <c r="Q1784" s="753"/>
      <c r="R1784" s="738"/>
      <c r="S1784" s="753">
        <v>6800</v>
      </c>
      <c r="T1784" s="739"/>
      <c r="U1784" s="754">
        <v>6800</v>
      </c>
      <c r="V1784" s="741">
        <v>1100122</v>
      </c>
    </row>
    <row r="1785" spans="1:22" ht="15" x14ac:dyDescent="0.2">
      <c r="A1785" s="734">
        <v>3111</v>
      </c>
      <c r="B1785" s="735" t="s">
        <v>47</v>
      </c>
      <c r="C1785" s="736">
        <v>13760</v>
      </c>
      <c r="D1785" s="736">
        <v>25000</v>
      </c>
      <c r="E1785" s="749">
        <v>25000</v>
      </c>
      <c r="F1785" s="736">
        <v>9389</v>
      </c>
      <c r="G1785" s="752">
        <v>20000</v>
      </c>
      <c r="H1785" s="752"/>
      <c r="I1785" s="752"/>
      <c r="J1785" s="736">
        <f t="shared" ref="J1785:J1798" si="623">G1785+H1785-I1785</f>
        <v>20000</v>
      </c>
      <c r="K1785" s="752"/>
      <c r="L1785" s="752"/>
      <c r="M1785" s="736">
        <f t="shared" ref="M1785:M1798" si="624">J1785+K1785-L1785</f>
        <v>20000</v>
      </c>
      <c r="N1785" s="736"/>
      <c r="O1785" s="736"/>
      <c r="P1785" s="736">
        <f t="shared" ref="P1785:P1798" si="625">M1785+N1785-O1785</f>
        <v>20000</v>
      </c>
      <c r="Q1785" s="753">
        <v>20000</v>
      </c>
      <c r="R1785" s="738">
        <v>5058</v>
      </c>
      <c r="S1785" s="753"/>
      <c r="T1785" s="739">
        <v>1100121</v>
      </c>
      <c r="U1785" s="746">
        <v>20000</v>
      </c>
      <c r="V1785" s="741">
        <v>1100122</v>
      </c>
    </row>
    <row r="1786" spans="1:22" ht="15" x14ac:dyDescent="0.2">
      <c r="A1786" s="734">
        <v>3181</v>
      </c>
      <c r="B1786" s="735" t="s">
        <v>62</v>
      </c>
      <c r="C1786" s="736">
        <v>280525.75</v>
      </c>
      <c r="D1786" s="736">
        <v>0</v>
      </c>
      <c r="E1786" s="749">
        <v>415230.97</v>
      </c>
      <c r="F1786" s="736">
        <v>346152.65</v>
      </c>
      <c r="G1786" s="752">
        <v>915000</v>
      </c>
      <c r="H1786" s="752"/>
      <c r="I1786" s="752"/>
      <c r="J1786" s="736">
        <f t="shared" si="623"/>
        <v>915000</v>
      </c>
      <c r="K1786" s="752"/>
      <c r="L1786" s="752"/>
      <c r="M1786" s="736">
        <f t="shared" si="624"/>
        <v>915000</v>
      </c>
      <c r="N1786" s="736"/>
      <c r="O1786" s="736"/>
      <c r="P1786" s="736">
        <f t="shared" si="625"/>
        <v>915000</v>
      </c>
      <c r="Q1786" s="753">
        <v>375967.95</v>
      </c>
      <c r="R1786" s="738">
        <v>435509.95</v>
      </c>
      <c r="S1786" s="753"/>
      <c r="T1786" s="739">
        <v>1100121</v>
      </c>
      <c r="U1786" s="754">
        <v>1067500</v>
      </c>
      <c r="V1786" s="741">
        <v>1100122</v>
      </c>
    </row>
    <row r="1787" spans="1:22" ht="15" x14ac:dyDescent="0.2">
      <c r="A1787" s="739">
        <v>3181</v>
      </c>
      <c r="B1787" s="743" t="s">
        <v>62</v>
      </c>
      <c r="C1787" s="736">
        <v>261112.61</v>
      </c>
      <c r="D1787" s="736">
        <v>1035450</v>
      </c>
      <c r="E1787" s="749">
        <v>450259</v>
      </c>
      <c r="F1787" s="736">
        <v>9495</v>
      </c>
      <c r="G1787" s="752"/>
      <c r="H1787" s="752">
        <v>379041.59</v>
      </c>
      <c r="I1787" s="752"/>
      <c r="J1787" s="736">
        <f t="shared" si="623"/>
        <v>379041.59</v>
      </c>
      <c r="K1787" s="752"/>
      <c r="L1787" s="752"/>
      <c r="M1787" s="736">
        <f t="shared" si="624"/>
        <v>379041.59</v>
      </c>
      <c r="N1787" s="736"/>
      <c r="O1787" s="736"/>
      <c r="P1787" s="736">
        <f t="shared" si="625"/>
        <v>379041.59</v>
      </c>
      <c r="Q1787" s="753">
        <v>915000</v>
      </c>
      <c r="R1787" s="738"/>
      <c r="S1787" s="753">
        <v>1067500</v>
      </c>
      <c r="T1787" s="739">
        <v>1100120</v>
      </c>
      <c r="U1787" s="841"/>
      <c r="V1787" s="739">
        <v>1100120</v>
      </c>
    </row>
    <row r="1788" spans="1:22" ht="15" x14ac:dyDescent="0.2">
      <c r="A1788" s="739">
        <v>3192</v>
      </c>
      <c r="B1788" s="806" t="s">
        <v>1780</v>
      </c>
      <c r="C1788" s="736"/>
      <c r="D1788" s="736"/>
      <c r="E1788" s="749"/>
      <c r="F1788" s="736"/>
      <c r="G1788" s="752">
        <v>80000</v>
      </c>
      <c r="H1788" s="752"/>
      <c r="I1788" s="752"/>
      <c r="J1788" s="736">
        <f t="shared" si="623"/>
        <v>80000</v>
      </c>
      <c r="K1788" s="752"/>
      <c r="L1788" s="752"/>
      <c r="M1788" s="736">
        <f t="shared" si="624"/>
        <v>80000</v>
      </c>
      <c r="N1788" s="736"/>
      <c r="O1788" s="736"/>
      <c r="P1788" s="736">
        <f t="shared" si="625"/>
        <v>80000</v>
      </c>
      <c r="Q1788" s="753">
        <v>80000</v>
      </c>
      <c r="R1788" s="738">
        <v>79808</v>
      </c>
      <c r="S1788" s="753"/>
      <c r="T1788" s="739">
        <v>1100121</v>
      </c>
      <c r="U1788" s="745"/>
      <c r="V1788" s="739">
        <v>1100122</v>
      </c>
    </row>
    <row r="1789" spans="1:22" ht="30" x14ac:dyDescent="0.2">
      <c r="A1789" s="734">
        <v>3361</v>
      </c>
      <c r="B1789" s="735" t="s">
        <v>29</v>
      </c>
      <c r="C1789" s="736">
        <v>315810</v>
      </c>
      <c r="D1789" s="736">
        <v>415000</v>
      </c>
      <c r="E1789" s="749">
        <v>415000</v>
      </c>
      <c r="F1789" s="736">
        <v>185370</v>
      </c>
      <c r="G1789" s="909">
        <v>539500</v>
      </c>
      <c r="H1789" s="909"/>
      <c r="I1789" s="909"/>
      <c r="J1789" s="736">
        <f t="shared" si="623"/>
        <v>539500</v>
      </c>
      <c r="K1789" s="909"/>
      <c r="L1789" s="909"/>
      <c r="M1789" s="736">
        <f t="shared" si="624"/>
        <v>539500</v>
      </c>
      <c r="N1789" s="736"/>
      <c r="O1789" s="736"/>
      <c r="P1789" s="736">
        <f t="shared" si="625"/>
        <v>539500</v>
      </c>
      <c r="Q1789" s="910">
        <v>539500</v>
      </c>
      <c r="R1789" s="738"/>
      <c r="S1789" s="910">
        <v>539500</v>
      </c>
      <c r="T1789" s="739">
        <v>1100121</v>
      </c>
      <c r="U1789" s="746">
        <v>620000</v>
      </c>
      <c r="V1789" s="741">
        <v>1100122</v>
      </c>
    </row>
    <row r="1790" spans="1:22" ht="15" x14ac:dyDescent="0.2">
      <c r="A1790" s="739">
        <v>3511</v>
      </c>
      <c r="B1790" s="743" t="s">
        <v>49</v>
      </c>
      <c r="C1790" s="736">
        <v>19853.599999999999</v>
      </c>
      <c r="D1790" s="736">
        <v>230000</v>
      </c>
      <c r="E1790" s="749">
        <v>60000</v>
      </c>
      <c r="F1790" s="736">
        <v>14181.05</v>
      </c>
      <c r="G1790" s="752"/>
      <c r="H1790" s="752"/>
      <c r="I1790" s="752"/>
      <c r="J1790" s="736">
        <f t="shared" si="623"/>
        <v>0</v>
      </c>
      <c r="K1790" s="752"/>
      <c r="L1790" s="752"/>
      <c r="M1790" s="736">
        <f t="shared" si="624"/>
        <v>0</v>
      </c>
      <c r="N1790" s="736"/>
      <c r="O1790" s="736"/>
      <c r="P1790" s="738">
        <f t="shared" si="625"/>
        <v>0</v>
      </c>
      <c r="Q1790" s="753"/>
      <c r="R1790" s="738"/>
      <c r="S1790" s="753"/>
      <c r="T1790" s="739">
        <v>1100121</v>
      </c>
      <c r="U1790" s="745"/>
      <c r="V1790" s="739">
        <v>1100122</v>
      </c>
    </row>
    <row r="1791" spans="1:22" ht="15" x14ac:dyDescent="0.2">
      <c r="A1791" s="734">
        <v>3551</v>
      </c>
      <c r="B1791" s="735" t="s">
        <v>30</v>
      </c>
      <c r="C1791" s="736">
        <v>1972</v>
      </c>
      <c r="D1791" s="736">
        <v>20000</v>
      </c>
      <c r="E1791" s="749">
        <v>45000</v>
      </c>
      <c r="F1791" s="736">
        <v>29222.720000000001</v>
      </c>
      <c r="G1791" s="752">
        <v>45000</v>
      </c>
      <c r="H1791" s="752"/>
      <c r="I1791" s="752"/>
      <c r="J1791" s="736">
        <f t="shared" si="623"/>
        <v>45000</v>
      </c>
      <c r="K1791" s="752"/>
      <c r="L1791" s="752"/>
      <c r="M1791" s="736">
        <f t="shared" si="624"/>
        <v>45000</v>
      </c>
      <c r="N1791" s="736"/>
      <c r="O1791" s="736">
        <v>10000</v>
      </c>
      <c r="P1791" s="736">
        <f t="shared" si="625"/>
        <v>35000</v>
      </c>
      <c r="Q1791" s="783">
        <v>40000</v>
      </c>
      <c r="R1791" s="738">
        <v>27234</v>
      </c>
      <c r="S1791" s="738">
        <f>Q1791</f>
        <v>40000</v>
      </c>
      <c r="T1791" s="739">
        <v>1100121</v>
      </c>
      <c r="U1791" s="746">
        <v>70000</v>
      </c>
      <c r="V1791" s="741">
        <v>1100122</v>
      </c>
    </row>
    <row r="1792" spans="1:22" ht="15" x14ac:dyDescent="0.2">
      <c r="A1792" s="734">
        <v>3571</v>
      </c>
      <c r="B1792" s="735" t="s">
        <v>65</v>
      </c>
      <c r="C1792" s="736">
        <v>329886.94</v>
      </c>
      <c r="D1792" s="736">
        <v>5200</v>
      </c>
      <c r="E1792" s="749">
        <v>5200</v>
      </c>
      <c r="F1792" s="736">
        <v>3237.56</v>
      </c>
      <c r="G1792" s="749">
        <v>5200</v>
      </c>
      <c r="H1792" s="749"/>
      <c r="I1792" s="749"/>
      <c r="J1792" s="736">
        <f t="shared" si="623"/>
        <v>5200</v>
      </c>
      <c r="K1792" s="749"/>
      <c r="L1792" s="749"/>
      <c r="M1792" s="736">
        <f t="shared" si="624"/>
        <v>5200</v>
      </c>
      <c r="N1792" s="736"/>
      <c r="O1792" s="736"/>
      <c r="P1792" s="736">
        <f t="shared" si="625"/>
        <v>5200</v>
      </c>
      <c r="Q1792" s="783">
        <v>5200</v>
      </c>
      <c r="R1792" s="738"/>
      <c r="S1792" s="784">
        <v>5200</v>
      </c>
      <c r="T1792" s="739">
        <v>1100121</v>
      </c>
      <c r="U1792" s="742">
        <v>5200</v>
      </c>
      <c r="V1792" s="741">
        <v>1100122</v>
      </c>
    </row>
    <row r="1793" spans="1:22" ht="15" x14ac:dyDescent="0.2">
      <c r="A1793" s="739">
        <v>3611</v>
      </c>
      <c r="B1793" s="743" t="s">
        <v>66</v>
      </c>
      <c r="C1793" s="736"/>
      <c r="D1793" s="736"/>
      <c r="E1793" s="749"/>
      <c r="F1793" s="736"/>
      <c r="G1793" s="749"/>
      <c r="H1793" s="749">
        <v>3990.04</v>
      </c>
      <c r="I1793" s="749"/>
      <c r="J1793" s="736">
        <f t="shared" si="623"/>
        <v>3990.04</v>
      </c>
      <c r="K1793" s="749"/>
      <c r="L1793" s="749"/>
      <c r="M1793" s="736">
        <f t="shared" si="624"/>
        <v>3990.04</v>
      </c>
      <c r="N1793" s="736"/>
      <c r="O1793" s="736"/>
      <c r="P1793" s="736">
        <f t="shared" si="625"/>
        <v>3990.04</v>
      </c>
      <c r="Q1793" s="783">
        <v>3990.04</v>
      </c>
      <c r="R1793" s="738"/>
      <c r="S1793" s="784"/>
      <c r="T1793" s="739">
        <v>1100120</v>
      </c>
      <c r="U1793" s="745"/>
      <c r="V1793" s="739">
        <v>1100120</v>
      </c>
    </row>
    <row r="1794" spans="1:22" ht="15" x14ac:dyDescent="0.2">
      <c r="A1794" s="734">
        <v>3611</v>
      </c>
      <c r="B1794" s="735" t="s">
        <v>66</v>
      </c>
      <c r="C1794" s="736">
        <v>180000.02</v>
      </c>
      <c r="D1794" s="736">
        <v>624000</v>
      </c>
      <c r="E1794" s="749">
        <v>624000</v>
      </c>
      <c r="F1794" s="736">
        <v>15620</v>
      </c>
      <c r="G1794" s="752">
        <v>600000</v>
      </c>
      <c r="H1794" s="752"/>
      <c r="I1794" s="896"/>
      <c r="J1794" s="736">
        <f t="shared" si="623"/>
        <v>600000</v>
      </c>
      <c r="K1794" s="752"/>
      <c r="L1794" s="896">
        <v>334550.40000000002</v>
      </c>
      <c r="M1794" s="736">
        <f t="shared" si="624"/>
        <v>265449.59999999998</v>
      </c>
      <c r="N1794" s="736"/>
      <c r="O1794" s="736"/>
      <c r="P1794" s="736">
        <f t="shared" si="625"/>
        <v>265449.59999999998</v>
      </c>
      <c r="Q1794" s="753">
        <v>265449.59999999998</v>
      </c>
      <c r="R1794" s="738">
        <v>265952.84000000003</v>
      </c>
      <c r="S1794" s="753"/>
      <c r="T1794" s="739">
        <v>1100121</v>
      </c>
      <c r="U1794" s="754">
        <v>265449.59999999998</v>
      </c>
      <c r="V1794" s="741">
        <v>1100122</v>
      </c>
    </row>
    <row r="1795" spans="1:22" ht="15" x14ac:dyDescent="0.2">
      <c r="A1795" s="734">
        <v>3661</v>
      </c>
      <c r="B1795" s="735" t="s">
        <v>178</v>
      </c>
      <c r="C1795" s="736"/>
      <c r="D1795" s="736"/>
      <c r="E1795" s="749"/>
      <c r="F1795" s="736"/>
      <c r="G1795" s="752"/>
      <c r="H1795" s="896"/>
      <c r="I1795" s="752"/>
      <c r="J1795" s="736">
        <f t="shared" si="623"/>
        <v>0</v>
      </c>
      <c r="K1795" s="896">
        <v>334550.40000000002</v>
      </c>
      <c r="L1795" s="752"/>
      <c r="M1795" s="736">
        <f t="shared" si="624"/>
        <v>334550.40000000002</v>
      </c>
      <c r="N1795" s="736"/>
      <c r="O1795" s="736"/>
      <c r="P1795" s="736">
        <f t="shared" si="625"/>
        <v>334550.40000000002</v>
      </c>
      <c r="Q1795" s="753">
        <v>334550.40000000002</v>
      </c>
      <c r="R1795" s="738">
        <v>334550.40000000002</v>
      </c>
      <c r="S1795" s="753"/>
      <c r="T1795" s="739">
        <v>1100121</v>
      </c>
      <c r="U1795" s="754">
        <v>334550.40000000002</v>
      </c>
      <c r="V1795" s="741">
        <v>1100122</v>
      </c>
    </row>
    <row r="1796" spans="1:22" ht="15" x14ac:dyDescent="0.2">
      <c r="A1796" s="734">
        <v>3852</v>
      </c>
      <c r="B1796" s="735" t="s">
        <v>32</v>
      </c>
      <c r="C1796" s="736">
        <v>18344.46</v>
      </c>
      <c r="D1796" s="736">
        <v>15000</v>
      </c>
      <c r="E1796" s="749">
        <v>15000</v>
      </c>
      <c r="F1796" s="736">
        <v>13781.85</v>
      </c>
      <c r="G1796" s="752">
        <v>15000</v>
      </c>
      <c r="H1796" s="752"/>
      <c r="I1796" s="752"/>
      <c r="J1796" s="736">
        <f t="shared" si="623"/>
        <v>15000</v>
      </c>
      <c r="K1796" s="752"/>
      <c r="L1796" s="752"/>
      <c r="M1796" s="736">
        <f t="shared" si="624"/>
        <v>15000</v>
      </c>
      <c r="N1796" s="736"/>
      <c r="O1796" s="736"/>
      <c r="P1796" s="736">
        <f t="shared" si="625"/>
        <v>15000</v>
      </c>
      <c r="Q1796" s="753">
        <v>15000</v>
      </c>
      <c r="R1796" s="738">
        <v>8270.42</v>
      </c>
      <c r="S1796" s="753">
        <v>15000</v>
      </c>
      <c r="T1796" s="739">
        <v>1100121</v>
      </c>
      <c r="U1796" s="754">
        <v>15000</v>
      </c>
      <c r="V1796" s="741">
        <v>1100122</v>
      </c>
    </row>
    <row r="1797" spans="1:22" ht="15" x14ac:dyDescent="0.2">
      <c r="A1797" s="734">
        <v>3921</v>
      </c>
      <c r="B1797" s="735" t="s">
        <v>33</v>
      </c>
      <c r="C1797" s="736">
        <v>940.02</v>
      </c>
      <c r="D1797" s="736">
        <v>1560</v>
      </c>
      <c r="E1797" s="749">
        <v>1560</v>
      </c>
      <c r="F1797" s="736">
        <v>1315.99</v>
      </c>
      <c r="G1797" s="752">
        <v>1735.8</v>
      </c>
      <c r="H1797" s="752"/>
      <c r="I1797" s="752"/>
      <c r="J1797" s="736">
        <f t="shared" si="623"/>
        <v>1735.8</v>
      </c>
      <c r="K1797" s="752"/>
      <c r="L1797" s="752"/>
      <c r="M1797" s="736">
        <f t="shared" si="624"/>
        <v>1735.8</v>
      </c>
      <c r="N1797" s="736"/>
      <c r="O1797" s="736"/>
      <c r="P1797" s="736">
        <f t="shared" si="625"/>
        <v>1735.8</v>
      </c>
      <c r="Q1797" s="753">
        <v>1735.8</v>
      </c>
      <c r="R1797" s="738">
        <v>1051.99</v>
      </c>
      <c r="S1797" s="753">
        <v>2020.44</v>
      </c>
      <c r="T1797" s="739">
        <v>1100121</v>
      </c>
      <c r="U1797" s="746">
        <v>2021</v>
      </c>
      <c r="V1797" s="741">
        <v>1100122</v>
      </c>
    </row>
    <row r="1798" spans="1:22" ht="15" x14ac:dyDescent="0.2">
      <c r="A1798" s="734">
        <v>3961</v>
      </c>
      <c r="B1798" s="735" t="s">
        <v>122</v>
      </c>
      <c r="C1798" s="736">
        <v>1415740.02</v>
      </c>
      <c r="D1798" s="736">
        <v>2650000</v>
      </c>
      <c r="E1798" s="749">
        <v>2650000</v>
      </c>
      <c r="F1798" s="736">
        <v>1044281.58</v>
      </c>
      <c r="G1798" s="752">
        <v>5000000</v>
      </c>
      <c r="H1798" s="752"/>
      <c r="I1798" s="752"/>
      <c r="J1798" s="736">
        <f t="shared" si="623"/>
        <v>5000000</v>
      </c>
      <c r="K1798" s="752">
        <v>3000000</v>
      </c>
      <c r="L1798" s="752"/>
      <c r="M1798" s="736">
        <f t="shared" si="624"/>
        <v>8000000</v>
      </c>
      <c r="N1798" s="736"/>
      <c r="O1798" s="736"/>
      <c r="P1798" s="736">
        <f t="shared" si="625"/>
        <v>8000000</v>
      </c>
      <c r="Q1798" s="753">
        <v>8550000</v>
      </c>
      <c r="R1798" s="738">
        <v>7071074.7300000004</v>
      </c>
      <c r="S1798" s="753">
        <v>5500000</v>
      </c>
      <c r="T1798" s="739">
        <v>1100121</v>
      </c>
      <c r="U1798" s="746">
        <v>5500000</v>
      </c>
      <c r="V1798" s="741">
        <v>1100122</v>
      </c>
    </row>
    <row r="1799" spans="1:22" ht="15" x14ac:dyDescent="0.2">
      <c r="A1799" s="724" t="s">
        <v>267</v>
      </c>
      <c r="B1799" s="725" t="s">
        <v>268</v>
      </c>
      <c r="C1799" s="721">
        <f t="shared" ref="C1799:S1799" si="626">SUM(C1800)</f>
        <v>11440456.469999999</v>
      </c>
      <c r="D1799" s="721">
        <f t="shared" si="626"/>
        <v>13678490.490000002</v>
      </c>
      <c r="E1799" s="721">
        <f t="shared" si="626"/>
        <v>10916659.439999999</v>
      </c>
      <c r="F1799" s="721">
        <f t="shared" si="626"/>
        <v>9735040.9800000023</v>
      </c>
      <c r="G1799" s="721">
        <f t="shared" si="626"/>
        <v>13437034.300000001</v>
      </c>
      <c r="H1799" s="721">
        <f t="shared" si="626"/>
        <v>549299.5</v>
      </c>
      <c r="I1799" s="721">
        <f t="shared" si="626"/>
        <v>0</v>
      </c>
      <c r="J1799" s="721">
        <f t="shared" si="626"/>
        <v>13986333.799999999</v>
      </c>
      <c r="K1799" s="721">
        <f t="shared" si="626"/>
        <v>1498996.33</v>
      </c>
      <c r="L1799" s="721">
        <f t="shared" si="626"/>
        <v>455633.69999999995</v>
      </c>
      <c r="M1799" s="721">
        <f t="shared" si="626"/>
        <v>15029696.43</v>
      </c>
      <c r="N1799" s="721">
        <f t="shared" si="626"/>
        <v>1000</v>
      </c>
      <c r="O1799" s="721">
        <f t="shared" si="626"/>
        <v>122377.60000000001</v>
      </c>
      <c r="P1799" s="721">
        <f t="shared" si="626"/>
        <v>14908318.83</v>
      </c>
      <c r="Q1799" s="756">
        <f t="shared" si="626"/>
        <v>14512385.059999999</v>
      </c>
      <c r="R1799" s="756">
        <f t="shared" si="626"/>
        <v>1984725.21</v>
      </c>
      <c r="S1799" s="756">
        <f t="shared" si="626"/>
        <v>13893847.659999998</v>
      </c>
      <c r="T1799" s="724"/>
      <c r="U1799" s="726">
        <f t="shared" ref="U1799" si="627">SUM(U1800)</f>
        <v>13623602.24</v>
      </c>
      <c r="V1799" s="727"/>
    </row>
    <row r="1800" spans="1:22" ht="15" x14ac:dyDescent="0.2">
      <c r="A1800" s="728" t="s">
        <v>269</v>
      </c>
      <c r="B1800" s="729" t="s">
        <v>1627</v>
      </c>
      <c r="C1800" s="730">
        <f t="shared" ref="C1800:S1800" si="628">SUM(C1801:C1846)</f>
        <v>11440456.469999999</v>
      </c>
      <c r="D1800" s="730">
        <f t="shared" si="628"/>
        <v>13678490.490000002</v>
      </c>
      <c r="E1800" s="730">
        <f t="shared" si="628"/>
        <v>10916659.439999999</v>
      </c>
      <c r="F1800" s="730">
        <f t="shared" si="628"/>
        <v>9735040.9800000023</v>
      </c>
      <c r="G1800" s="730">
        <f t="shared" si="628"/>
        <v>13437034.300000001</v>
      </c>
      <c r="H1800" s="730">
        <f t="shared" si="628"/>
        <v>549299.5</v>
      </c>
      <c r="I1800" s="730">
        <f t="shared" si="628"/>
        <v>0</v>
      </c>
      <c r="J1800" s="730">
        <f t="shared" si="628"/>
        <v>13986333.799999999</v>
      </c>
      <c r="K1800" s="730">
        <f t="shared" si="628"/>
        <v>1498996.33</v>
      </c>
      <c r="L1800" s="730">
        <f t="shared" si="628"/>
        <v>455633.69999999995</v>
      </c>
      <c r="M1800" s="730">
        <f t="shared" si="628"/>
        <v>15029696.43</v>
      </c>
      <c r="N1800" s="730">
        <f t="shared" si="628"/>
        <v>1000</v>
      </c>
      <c r="O1800" s="730">
        <f t="shared" si="628"/>
        <v>122377.60000000001</v>
      </c>
      <c r="P1800" s="730">
        <f t="shared" si="628"/>
        <v>14908318.83</v>
      </c>
      <c r="Q1800" s="748">
        <f t="shared" si="628"/>
        <v>14512385.059999999</v>
      </c>
      <c r="R1800" s="748">
        <f t="shared" si="628"/>
        <v>1984725.21</v>
      </c>
      <c r="S1800" s="748">
        <f t="shared" si="628"/>
        <v>13893847.659999998</v>
      </c>
      <c r="T1800" s="731"/>
      <c r="U1800" s="732">
        <f>SUM(U1801:U1846)</f>
        <v>13623602.24</v>
      </c>
      <c r="V1800" s="733"/>
    </row>
    <row r="1801" spans="1:22" ht="15" x14ac:dyDescent="0.25">
      <c r="A1801" s="734">
        <v>1131</v>
      </c>
      <c r="B1801" s="735" t="s">
        <v>6</v>
      </c>
      <c r="C1801" s="736">
        <v>1688076.87</v>
      </c>
      <c r="D1801" s="736">
        <v>1812541.64</v>
      </c>
      <c r="E1801" s="749">
        <v>1746582.43</v>
      </c>
      <c r="F1801" s="736">
        <v>1789770.88</v>
      </c>
      <c r="G1801" s="736">
        <v>1808975.7000000002</v>
      </c>
      <c r="H1801" s="736"/>
      <c r="I1801" s="736"/>
      <c r="J1801" s="736">
        <f t="shared" ref="J1801:J1818" si="629">G1801+H1801-I1801</f>
        <v>1808975.7000000002</v>
      </c>
      <c r="K1801" s="736">
        <v>8131.29</v>
      </c>
      <c r="L1801" s="736"/>
      <c r="M1801" s="736">
        <f t="shared" ref="M1801:M1846" si="630">J1801+K1801-L1801</f>
        <v>1817106.9900000002</v>
      </c>
      <c r="N1801" s="736"/>
      <c r="O1801" s="736"/>
      <c r="P1801" s="736">
        <f t="shared" ref="P1801:P1846" si="631">M1801+N1801-O1801</f>
        <v>1817106.9900000002</v>
      </c>
      <c r="Q1801" s="738">
        <v>1789485.52</v>
      </c>
      <c r="R1801" s="738"/>
      <c r="S1801" s="751">
        <v>1879095.4</v>
      </c>
      <c r="T1801" s="739">
        <v>1500521</v>
      </c>
      <c r="U1801" s="779">
        <v>1814364.1599999999</v>
      </c>
      <c r="V1801" s="741">
        <v>1500522</v>
      </c>
    </row>
    <row r="1802" spans="1:22" ht="15" x14ac:dyDescent="0.25">
      <c r="A1802" s="734">
        <v>1132</v>
      </c>
      <c r="B1802" s="735" t="s">
        <v>8</v>
      </c>
      <c r="C1802" s="736">
        <v>199060</v>
      </c>
      <c r="D1802" s="736">
        <v>213416.84</v>
      </c>
      <c r="E1802" s="749">
        <v>213416.84</v>
      </c>
      <c r="F1802" s="736">
        <v>221780.61</v>
      </c>
      <c r="G1802" s="736">
        <v>224202.2</v>
      </c>
      <c r="H1802" s="736"/>
      <c r="I1802" s="736"/>
      <c r="J1802" s="736">
        <f t="shared" si="629"/>
        <v>224202.2</v>
      </c>
      <c r="K1802" s="736">
        <v>7903.09</v>
      </c>
      <c r="L1802" s="736"/>
      <c r="M1802" s="736">
        <f t="shared" si="630"/>
        <v>232105.29</v>
      </c>
      <c r="N1802" s="736"/>
      <c r="O1802" s="736"/>
      <c r="P1802" s="736">
        <f t="shared" si="631"/>
        <v>232105.29</v>
      </c>
      <c r="Q1802" s="738">
        <v>232105.29</v>
      </c>
      <c r="R1802" s="738"/>
      <c r="S1802" s="751">
        <v>241211.88</v>
      </c>
      <c r="T1802" s="739">
        <v>1500521</v>
      </c>
      <c r="U1802" s="779">
        <v>226141.09</v>
      </c>
      <c r="V1802" s="741">
        <v>1500522</v>
      </c>
    </row>
    <row r="1803" spans="1:22" ht="15" x14ac:dyDescent="0.25">
      <c r="A1803" s="734">
        <v>1212</v>
      </c>
      <c r="B1803" s="735" t="s">
        <v>53</v>
      </c>
      <c r="C1803" s="736">
        <v>1724560.75</v>
      </c>
      <c r="D1803" s="736">
        <v>2152900.7999999998</v>
      </c>
      <c r="E1803" s="749">
        <v>2130200.7999999998</v>
      </c>
      <c r="F1803" s="736">
        <v>2098898.4300000002</v>
      </c>
      <c r="G1803" s="736">
        <v>2252646</v>
      </c>
      <c r="H1803" s="736"/>
      <c r="I1803" s="736"/>
      <c r="J1803" s="736">
        <f t="shared" si="629"/>
        <v>2252646</v>
      </c>
      <c r="K1803" s="736"/>
      <c r="L1803" s="736">
        <v>96073.47</v>
      </c>
      <c r="M1803" s="736">
        <f t="shared" si="630"/>
        <v>2156572.5299999998</v>
      </c>
      <c r="N1803" s="736"/>
      <c r="O1803" s="736"/>
      <c r="P1803" s="736">
        <f t="shared" si="631"/>
        <v>2156572.5299999998</v>
      </c>
      <c r="Q1803" s="738">
        <v>2279454.06</v>
      </c>
      <c r="R1803" s="738"/>
      <c r="S1803" s="751">
        <v>2363396.4</v>
      </c>
      <c r="T1803" s="739">
        <v>1500521</v>
      </c>
      <c r="U1803" s="779">
        <v>2263112.1</v>
      </c>
      <c r="V1803" s="741">
        <v>1500522</v>
      </c>
    </row>
    <row r="1804" spans="1:22" ht="15" x14ac:dyDescent="0.25">
      <c r="A1804" s="734">
        <v>1321</v>
      </c>
      <c r="B1804" s="735" t="s">
        <v>9</v>
      </c>
      <c r="C1804" s="736">
        <v>145248.85</v>
      </c>
      <c r="D1804" s="736">
        <v>156693.65</v>
      </c>
      <c r="E1804" s="749">
        <v>156459.65</v>
      </c>
      <c r="F1804" s="736">
        <v>147727.6</v>
      </c>
      <c r="G1804" s="736">
        <v>155729.60000000001</v>
      </c>
      <c r="H1804" s="736"/>
      <c r="I1804" s="736"/>
      <c r="J1804" s="736">
        <f t="shared" si="629"/>
        <v>155729.60000000001</v>
      </c>
      <c r="K1804" s="736">
        <v>2872</v>
      </c>
      <c r="L1804" s="736"/>
      <c r="M1804" s="736">
        <f t="shared" si="630"/>
        <v>158601.60000000001</v>
      </c>
      <c r="N1804" s="736"/>
      <c r="O1804" s="736"/>
      <c r="P1804" s="736">
        <f t="shared" si="631"/>
        <v>158601.60000000001</v>
      </c>
      <c r="Q1804" s="738">
        <v>158601.60000000001</v>
      </c>
      <c r="R1804" s="738"/>
      <c r="S1804" s="751">
        <v>167797.53</v>
      </c>
      <c r="T1804" s="739">
        <v>1500521</v>
      </c>
      <c r="U1804" s="779">
        <v>168095.7</v>
      </c>
      <c r="V1804" s="741">
        <v>1500522</v>
      </c>
    </row>
    <row r="1805" spans="1:22" ht="15" x14ac:dyDescent="0.25">
      <c r="A1805" s="734">
        <v>1323</v>
      </c>
      <c r="B1805" s="735" t="s">
        <v>11</v>
      </c>
      <c r="C1805" s="736">
        <v>414086.31</v>
      </c>
      <c r="D1805" s="736">
        <v>444249.2</v>
      </c>
      <c r="E1805" s="749">
        <v>423885.87</v>
      </c>
      <c r="F1805" s="736">
        <v>422477.92</v>
      </c>
      <c r="G1805" s="736">
        <v>439172.8</v>
      </c>
      <c r="H1805" s="736"/>
      <c r="I1805" s="736"/>
      <c r="J1805" s="736">
        <f t="shared" si="629"/>
        <v>439172.8</v>
      </c>
      <c r="K1805" s="736">
        <v>8310.16</v>
      </c>
      <c r="L1805" s="736"/>
      <c r="M1805" s="736">
        <f t="shared" si="630"/>
        <v>447482.95999999996</v>
      </c>
      <c r="N1805" s="736"/>
      <c r="O1805" s="736"/>
      <c r="P1805" s="736">
        <f t="shared" si="631"/>
        <v>447482.95999999996</v>
      </c>
      <c r="Q1805" s="738">
        <v>447482.96</v>
      </c>
      <c r="R1805" s="738"/>
      <c r="S1805" s="751">
        <v>469991.35</v>
      </c>
      <c r="T1805" s="739">
        <v>1500521</v>
      </c>
      <c r="U1805" s="779">
        <v>462843.38</v>
      </c>
      <c r="V1805" s="741">
        <v>1500522</v>
      </c>
    </row>
    <row r="1806" spans="1:22" ht="15" x14ac:dyDescent="0.25">
      <c r="A1806" s="739">
        <v>1331</v>
      </c>
      <c r="B1806" s="743" t="s">
        <v>183</v>
      </c>
      <c r="C1806" s="736"/>
      <c r="D1806" s="736">
        <v>4000</v>
      </c>
      <c r="E1806" s="749">
        <v>0</v>
      </c>
      <c r="F1806" s="736">
        <v>0</v>
      </c>
      <c r="G1806" s="736"/>
      <c r="H1806" s="736"/>
      <c r="I1806" s="736"/>
      <c r="J1806" s="736">
        <f t="shared" si="629"/>
        <v>0</v>
      </c>
      <c r="K1806" s="736"/>
      <c r="L1806" s="736"/>
      <c r="M1806" s="736">
        <f t="shared" si="630"/>
        <v>0</v>
      </c>
      <c r="N1806" s="736"/>
      <c r="O1806" s="736"/>
      <c r="P1806" s="738">
        <f t="shared" si="631"/>
        <v>0</v>
      </c>
      <c r="Q1806" s="738"/>
      <c r="R1806" s="738"/>
      <c r="S1806" s="751">
        <v>1076547.72</v>
      </c>
      <c r="T1806" s="739">
        <v>1500521</v>
      </c>
      <c r="U1806" s="780"/>
      <c r="V1806" s="739">
        <v>1500522</v>
      </c>
    </row>
    <row r="1807" spans="1:22" ht="15" x14ac:dyDescent="0.25">
      <c r="A1807" s="734">
        <v>1413</v>
      </c>
      <c r="B1807" s="735" t="s">
        <v>13</v>
      </c>
      <c r="C1807" s="736">
        <v>748558.2</v>
      </c>
      <c r="D1807" s="736">
        <v>900008.24</v>
      </c>
      <c r="E1807" s="749">
        <v>840812.99</v>
      </c>
      <c r="F1807" s="736">
        <v>818679.76</v>
      </c>
      <c r="G1807" s="736">
        <v>967662.79999999993</v>
      </c>
      <c r="H1807" s="736"/>
      <c r="I1807" s="736"/>
      <c r="J1807" s="736">
        <f t="shared" si="629"/>
        <v>967662.79999999993</v>
      </c>
      <c r="K1807" s="736">
        <v>2366.67</v>
      </c>
      <c r="L1807" s="736"/>
      <c r="M1807" s="736">
        <f t="shared" si="630"/>
        <v>970029.47</v>
      </c>
      <c r="N1807" s="736"/>
      <c r="O1807" s="736"/>
      <c r="P1807" s="736">
        <f t="shared" si="631"/>
        <v>970029.47</v>
      </c>
      <c r="Q1807" s="738">
        <v>970029.47</v>
      </c>
      <c r="R1807" s="738"/>
      <c r="S1807" s="751">
        <v>293008.68</v>
      </c>
      <c r="T1807" s="739">
        <v>1500521</v>
      </c>
      <c r="U1807" s="779">
        <v>911322.7</v>
      </c>
      <c r="V1807" s="741">
        <v>1500522</v>
      </c>
    </row>
    <row r="1808" spans="1:22" ht="15" x14ac:dyDescent="0.25">
      <c r="A1808" s="734">
        <v>1421</v>
      </c>
      <c r="B1808" s="735" t="s">
        <v>15</v>
      </c>
      <c r="C1808" s="736">
        <v>257549.79</v>
      </c>
      <c r="D1808" s="736">
        <v>272458.82</v>
      </c>
      <c r="E1808" s="749">
        <v>232521.62</v>
      </c>
      <c r="F1808" s="736">
        <v>248903.74</v>
      </c>
      <c r="G1808" s="736">
        <v>275417</v>
      </c>
      <c r="H1808" s="736"/>
      <c r="I1808" s="736"/>
      <c r="J1808" s="736">
        <f t="shared" si="629"/>
        <v>275417</v>
      </c>
      <c r="K1808" s="736">
        <v>601.85</v>
      </c>
      <c r="L1808" s="736"/>
      <c r="M1808" s="736">
        <f t="shared" si="630"/>
        <v>276018.84999999998</v>
      </c>
      <c r="N1808" s="736"/>
      <c r="O1808" s="736"/>
      <c r="P1808" s="736">
        <f t="shared" si="631"/>
        <v>276018.84999999998</v>
      </c>
      <c r="Q1808" s="738">
        <v>276018.84999999998</v>
      </c>
      <c r="R1808" s="738"/>
      <c r="S1808" s="751">
        <v>301798.8</v>
      </c>
      <c r="T1808" s="739">
        <v>1500521</v>
      </c>
      <c r="U1808" s="779">
        <v>321876.15000000002</v>
      </c>
      <c r="V1808" s="741">
        <v>1500522</v>
      </c>
    </row>
    <row r="1809" spans="1:22" ht="15" x14ac:dyDescent="0.25">
      <c r="A1809" s="734">
        <v>1431</v>
      </c>
      <c r="B1809" s="735" t="s">
        <v>16</v>
      </c>
      <c r="C1809" s="736">
        <v>275012.52</v>
      </c>
      <c r="D1809" s="736">
        <v>280633.08</v>
      </c>
      <c r="E1809" s="749">
        <v>243157.78</v>
      </c>
      <c r="F1809" s="736">
        <v>261546.05</v>
      </c>
      <c r="G1809" s="736">
        <v>283679.69999999995</v>
      </c>
      <c r="H1809" s="736"/>
      <c r="I1809" s="736"/>
      <c r="J1809" s="736">
        <f t="shared" si="629"/>
        <v>283679.69999999995</v>
      </c>
      <c r="K1809" s="736">
        <v>563.29999999999995</v>
      </c>
      <c r="L1809" s="736"/>
      <c r="M1809" s="736">
        <f t="shared" si="630"/>
        <v>284242.99999999994</v>
      </c>
      <c r="N1809" s="736"/>
      <c r="O1809" s="736"/>
      <c r="P1809" s="736">
        <f t="shared" si="631"/>
        <v>284242.99999999994</v>
      </c>
      <c r="Q1809" s="738">
        <v>284243</v>
      </c>
      <c r="R1809" s="738"/>
      <c r="S1809" s="751">
        <v>54097.68</v>
      </c>
      <c r="T1809" s="739">
        <v>1500521</v>
      </c>
      <c r="U1809" s="779">
        <v>323082.43</v>
      </c>
      <c r="V1809" s="741">
        <v>1500522</v>
      </c>
    </row>
    <row r="1810" spans="1:22" ht="15" x14ac:dyDescent="0.25">
      <c r="A1810" s="734">
        <v>1511</v>
      </c>
      <c r="B1810" s="735" t="s">
        <v>18</v>
      </c>
      <c r="C1810" s="736">
        <v>46725.01</v>
      </c>
      <c r="D1810" s="736">
        <v>51626.12</v>
      </c>
      <c r="E1810" s="749">
        <v>47877.52</v>
      </c>
      <c r="F1810" s="736">
        <v>49576.99</v>
      </c>
      <c r="G1810" s="736">
        <v>50279.4</v>
      </c>
      <c r="H1810" s="736"/>
      <c r="I1810" s="736"/>
      <c r="J1810" s="736">
        <f t="shared" si="629"/>
        <v>50279.4</v>
      </c>
      <c r="K1810" s="736">
        <v>1684.65</v>
      </c>
      <c r="L1810" s="736"/>
      <c r="M1810" s="736">
        <f t="shared" si="630"/>
        <v>51964.05</v>
      </c>
      <c r="N1810" s="736"/>
      <c r="O1810" s="736"/>
      <c r="P1810" s="736">
        <f t="shared" si="631"/>
        <v>51964.05</v>
      </c>
      <c r="Q1810" s="738">
        <v>51964.05</v>
      </c>
      <c r="R1810" s="738"/>
      <c r="S1810" s="751">
        <v>739022.7</v>
      </c>
      <c r="T1810" s="739">
        <v>1500521</v>
      </c>
      <c r="U1810" s="779">
        <v>51167.94</v>
      </c>
      <c r="V1810" s="741">
        <v>1500522</v>
      </c>
    </row>
    <row r="1811" spans="1:22" ht="15" x14ac:dyDescent="0.25">
      <c r="A1811" s="734">
        <v>1541</v>
      </c>
      <c r="B1811" s="735" t="s">
        <v>19</v>
      </c>
      <c r="C1811" s="736">
        <v>500568.31</v>
      </c>
      <c r="D1811" s="736">
        <v>580690.5</v>
      </c>
      <c r="E1811" s="749">
        <v>543793.99</v>
      </c>
      <c r="F1811" s="736">
        <v>560844.18999999994</v>
      </c>
      <c r="G1811" s="736">
        <v>719985.5</v>
      </c>
      <c r="H1811" s="736"/>
      <c r="I1811" s="736"/>
      <c r="J1811" s="736">
        <f t="shared" si="629"/>
        <v>719985.5</v>
      </c>
      <c r="K1811" s="736">
        <v>27405.07</v>
      </c>
      <c r="L1811" s="736"/>
      <c r="M1811" s="736">
        <f t="shared" si="630"/>
        <v>747390.57</v>
      </c>
      <c r="N1811" s="736"/>
      <c r="O1811" s="736"/>
      <c r="P1811" s="736">
        <f t="shared" si="631"/>
        <v>747390.57</v>
      </c>
      <c r="Q1811" s="738">
        <v>707708.14</v>
      </c>
      <c r="R1811" s="738"/>
      <c r="S1811" s="751">
        <v>584332.84</v>
      </c>
      <c r="T1811" s="739">
        <v>1500521</v>
      </c>
      <c r="U1811" s="779">
        <v>739022.7</v>
      </c>
      <c r="V1811" s="741">
        <v>1500522</v>
      </c>
    </row>
    <row r="1812" spans="1:22" ht="15" x14ac:dyDescent="0.25">
      <c r="A1812" s="734">
        <v>1592</v>
      </c>
      <c r="B1812" s="735" t="s">
        <v>20</v>
      </c>
      <c r="C1812" s="736">
        <v>501685.62</v>
      </c>
      <c r="D1812" s="736">
        <v>555129.12</v>
      </c>
      <c r="E1812" s="749">
        <v>516804.76</v>
      </c>
      <c r="F1812" s="736">
        <v>535151.96</v>
      </c>
      <c r="G1812" s="736">
        <v>543051.6</v>
      </c>
      <c r="H1812" s="736"/>
      <c r="I1812" s="736"/>
      <c r="J1812" s="736">
        <f t="shared" si="629"/>
        <v>543051.6</v>
      </c>
      <c r="K1812" s="736">
        <v>18207.59</v>
      </c>
      <c r="L1812" s="736"/>
      <c r="M1812" s="736">
        <f t="shared" si="630"/>
        <v>561259.18999999994</v>
      </c>
      <c r="N1812" s="736"/>
      <c r="O1812" s="736"/>
      <c r="P1812" s="736">
        <f t="shared" si="631"/>
        <v>561259.18999999994</v>
      </c>
      <c r="Q1812" s="738">
        <v>589747.79</v>
      </c>
      <c r="R1812" s="738"/>
      <c r="S1812" s="751">
        <v>110880</v>
      </c>
      <c r="T1812" s="739">
        <v>1500521</v>
      </c>
      <c r="U1812" s="779">
        <v>553907.65</v>
      </c>
      <c r="V1812" s="741">
        <v>1500522</v>
      </c>
    </row>
    <row r="1813" spans="1:22" ht="15" x14ac:dyDescent="0.25">
      <c r="A1813" s="734">
        <v>1711</v>
      </c>
      <c r="B1813" s="735" t="s">
        <v>218</v>
      </c>
      <c r="C1813" s="736">
        <v>53220</v>
      </c>
      <c r="D1813" s="736">
        <v>110880</v>
      </c>
      <c r="E1813" s="749">
        <v>110880</v>
      </c>
      <c r="F1813" s="736">
        <v>97280</v>
      </c>
      <c r="G1813" s="736">
        <v>110880</v>
      </c>
      <c r="H1813" s="736"/>
      <c r="I1813" s="736"/>
      <c r="J1813" s="736">
        <f t="shared" si="629"/>
        <v>110880</v>
      </c>
      <c r="K1813" s="736"/>
      <c r="L1813" s="736"/>
      <c r="M1813" s="736">
        <f t="shared" si="630"/>
        <v>110880</v>
      </c>
      <c r="N1813" s="736"/>
      <c r="O1813" s="736"/>
      <c r="P1813" s="736">
        <f t="shared" si="631"/>
        <v>110880</v>
      </c>
      <c r="Q1813" s="738">
        <v>110880</v>
      </c>
      <c r="R1813" s="738"/>
      <c r="S1813" s="751">
        <v>110880</v>
      </c>
      <c r="T1813" s="739">
        <v>1500521</v>
      </c>
      <c r="U1813" s="779">
        <v>110880</v>
      </c>
      <c r="V1813" s="741">
        <v>1500522</v>
      </c>
    </row>
    <row r="1814" spans="1:22" ht="15" x14ac:dyDescent="0.2">
      <c r="A1814" s="734">
        <v>2111</v>
      </c>
      <c r="B1814" s="735" t="s">
        <v>22</v>
      </c>
      <c r="C1814" s="736">
        <v>102879</v>
      </c>
      <c r="D1814" s="736">
        <v>119600</v>
      </c>
      <c r="E1814" s="749">
        <v>83720</v>
      </c>
      <c r="F1814" s="736">
        <v>77971.490000000005</v>
      </c>
      <c r="G1814" s="752">
        <v>119000</v>
      </c>
      <c r="H1814" s="752"/>
      <c r="I1814" s="752"/>
      <c r="J1814" s="736">
        <f t="shared" si="629"/>
        <v>119000</v>
      </c>
      <c r="K1814" s="752"/>
      <c r="L1814" s="752"/>
      <c r="M1814" s="736">
        <f t="shared" si="630"/>
        <v>119000</v>
      </c>
      <c r="N1814" s="736"/>
      <c r="O1814" s="736"/>
      <c r="P1814" s="736">
        <f t="shared" si="631"/>
        <v>119000</v>
      </c>
      <c r="Q1814" s="753">
        <v>119000</v>
      </c>
      <c r="R1814" s="738">
        <v>74879.899999999994</v>
      </c>
      <c r="S1814" s="753">
        <v>120000</v>
      </c>
      <c r="T1814" s="739">
        <v>1100121</v>
      </c>
      <c r="U1814" s="754">
        <v>120000</v>
      </c>
      <c r="V1814" s="741">
        <v>1100122</v>
      </c>
    </row>
    <row r="1815" spans="1:22" ht="15" x14ac:dyDescent="0.2">
      <c r="A1815" s="739">
        <v>2112</v>
      </c>
      <c r="B1815" s="743" t="s">
        <v>39</v>
      </c>
      <c r="C1815" s="736">
        <v>131818</v>
      </c>
      <c r="D1815" s="736">
        <v>0</v>
      </c>
      <c r="E1815" s="749">
        <v>46080</v>
      </c>
      <c r="F1815" s="736">
        <v>46080</v>
      </c>
      <c r="G1815" s="736"/>
      <c r="H1815" s="736"/>
      <c r="I1815" s="736"/>
      <c r="J1815" s="736">
        <f t="shared" si="629"/>
        <v>0</v>
      </c>
      <c r="K1815" s="736"/>
      <c r="L1815" s="736"/>
      <c r="M1815" s="736">
        <f t="shared" si="630"/>
        <v>0</v>
      </c>
      <c r="N1815" s="736"/>
      <c r="O1815" s="736"/>
      <c r="P1815" s="738">
        <f t="shared" si="631"/>
        <v>0</v>
      </c>
      <c r="Q1815" s="738">
        <v>6600.01</v>
      </c>
      <c r="R1815" s="738">
        <v>1500</v>
      </c>
      <c r="S1815" s="738"/>
      <c r="T1815" s="739">
        <v>1100119</v>
      </c>
      <c r="U1815" s="745"/>
      <c r="V1815" s="739">
        <v>1100119</v>
      </c>
    </row>
    <row r="1816" spans="1:22" ht="15" x14ac:dyDescent="0.2">
      <c r="A1816" s="739">
        <v>2112</v>
      </c>
      <c r="B1816" s="743" t="s">
        <v>39</v>
      </c>
      <c r="C1816" s="736"/>
      <c r="D1816" s="736"/>
      <c r="E1816" s="749"/>
      <c r="F1816" s="736"/>
      <c r="G1816" s="736"/>
      <c r="H1816" s="736">
        <f>5100.01+1500</f>
        <v>6600.01</v>
      </c>
      <c r="I1816" s="736"/>
      <c r="J1816" s="736">
        <f t="shared" si="629"/>
        <v>6600.01</v>
      </c>
      <c r="K1816" s="736"/>
      <c r="L1816" s="736"/>
      <c r="M1816" s="736">
        <f t="shared" si="630"/>
        <v>6600.01</v>
      </c>
      <c r="N1816" s="736"/>
      <c r="O1816" s="736"/>
      <c r="P1816" s="736">
        <f t="shared" si="631"/>
        <v>6600.01</v>
      </c>
      <c r="Q1816" s="738"/>
      <c r="R1816" s="738"/>
      <c r="S1816" s="738"/>
      <c r="T1816" s="739">
        <v>1100120</v>
      </c>
      <c r="U1816" s="745"/>
      <c r="V1816" s="739">
        <v>1100120</v>
      </c>
    </row>
    <row r="1817" spans="1:22" ht="15" x14ac:dyDescent="0.2">
      <c r="A1817" s="739">
        <v>2112</v>
      </c>
      <c r="B1817" s="743" t="s">
        <v>39</v>
      </c>
      <c r="C1817" s="736"/>
      <c r="D1817" s="736">
        <v>35000</v>
      </c>
      <c r="E1817" s="749">
        <v>35000</v>
      </c>
      <c r="F1817" s="736">
        <v>27196.9</v>
      </c>
      <c r="G1817" s="736"/>
      <c r="H1817" s="736"/>
      <c r="I1817" s="736"/>
      <c r="J1817" s="736">
        <f t="shared" si="629"/>
        <v>0</v>
      </c>
      <c r="K1817" s="736"/>
      <c r="L1817" s="736"/>
      <c r="M1817" s="736">
        <f t="shared" si="630"/>
        <v>0</v>
      </c>
      <c r="N1817" s="736"/>
      <c r="O1817" s="736"/>
      <c r="P1817" s="738">
        <f t="shared" si="631"/>
        <v>0</v>
      </c>
      <c r="Q1817" s="738"/>
      <c r="R1817" s="738"/>
      <c r="S1817" s="738"/>
      <c r="T1817" s="739">
        <v>1100121</v>
      </c>
      <c r="U1817" s="745"/>
      <c r="V1817" s="739">
        <v>1100122</v>
      </c>
    </row>
    <row r="1818" spans="1:22" ht="15" x14ac:dyDescent="0.2">
      <c r="A1818" s="734">
        <v>2121</v>
      </c>
      <c r="B1818" s="735" t="s">
        <v>24</v>
      </c>
      <c r="C1818" s="736">
        <v>212390</v>
      </c>
      <c r="D1818" s="736">
        <v>208000</v>
      </c>
      <c r="E1818" s="749">
        <v>145600</v>
      </c>
      <c r="F1818" s="736">
        <v>134908.19</v>
      </c>
      <c r="G1818" s="752">
        <v>150000</v>
      </c>
      <c r="H1818" s="752"/>
      <c r="I1818" s="752"/>
      <c r="J1818" s="736">
        <f t="shared" si="629"/>
        <v>150000</v>
      </c>
      <c r="K1818" s="752">
        <v>87247.92</v>
      </c>
      <c r="L1818" s="752"/>
      <c r="M1818" s="736">
        <f t="shared" si="630"/>
        <v>237247.91999999998</v>
      </c>
      <c r="N1818" s="736"/>
      <c r="O1818" s="736"/>
      <c r="P1818" s="736">
        <f t="shared" si="631"/>
        <v>237247.91999999998</v>
      </c>
      <c r="Q1818" s="753">
        <v>237247.92</v>
      </c>
      <c r="R1818" s="738">
        <v>95017.4</v>
      </c>
      <c r="S1818" s="753">
        <v>240000</v>
      </c>
      <c r="T1818" s="739">
        <v>1100121</v>
      </c>
      <c r="U1818" s="754">
        <v>200000</v>
      </c>
      <c r="V1818" s="741">
        <v>1100122</v>
      </c>
    </row>
    <row r="1819" spans="1:22" ht="15" x14ac:dyDescent="0.2">
      <c r="A1819" s="739">
        <v>2182</v>
      </c>
      <c r="B1819" s="743" t="s">
        <v>1781</v>
      </c>
      <c r="C1819" s="736"/>
      <c r="D1819" s="736"/>
      <c r="E1819" s="749"/>
      <c r="F1819" s="736"/>
      <c r="G1819" s="752"/>
      <c r="H1819" s="752"/>
      <c r="I1819" s="752"/>
      <c r="J1819" s="736"/>
      <c r="K1819" s="752">
        <v>200000</v>
      </c>
      <c r="L1819" s="752"/>
      <c r="M1819" s="736">
        <f t="shared" si="630"/>
        <v>200000</v>
      </c>
      <c r="N1819" s="736"/>
      <c r="O1819" s="736"/>
      <c r="P1819" s="736">
        <f t="shared" si="631"/>
        <v>200000</v>
      </c>
      <c r="Q1819" s="753">
        <v>200000</v>
      </c>
      <c r="R1819" s="738"/>
      <c r="S1819" s="753"/>
      <c r="T1819" s="739">
        <v>1100121</v>
      </c>
      <c r="U1819" s="745">
        <v>0</v>
      </c>
      <c r="V1819" s="739">
        <v>1100122</v>
      </c>
    </row>
    <row r="1820" spans="1:22" ht="15" x14ac:dyDescent="0.2">
      <c r="A1820" s="739">
        <v>2212</v>
      </c>
      <c r="B1820" s="743" t="s">
        <v>40</v>
      </c>
      <c r="C1820" s="736">
        <v>1371.51</v>
      </c>
      <c r="D1820" s="736">
        <v>3000</v>
      </c>
      <c r="E1820" s="749">
        <v>3000</v>
      </c>
      <c r="F1820" s="736">
        <v>0</v>
      </c>
      <c r="G1820" s="752">
        <v>3000</v>
      </c>
      <c r="H1820" s="752"/>
      <c r="I1820" s="752"/>
      <c r="J1820" s="736">
        <f t="shared" ref="J1820:J1823" si="632">G1820+H1820-I1820</f>
        <v>3000</v>
      </c>
      <c r="K1820" s="752"/>
      <c r="L1820" s="752"/>
      <c r="M1820" s="736">
        <f t="shared" si="630"/>
        <v>3000</v>
      </c>
      <c r="N1820" s="736"/>
      <c r="O1820" s="736"/>
      <c r="P1820" s="736">
        <f t="shared" si="631"/>
        <v>3000</v>
      </c>
      <c r="Q1820" s="753">
        <v>3000</v>
      </c>
      <c r="R1820" s="738"/>
      <c r="S1820" s="753">
        <v>3000</v>
      </c>
      <c r="T1820" s="739">
        <v>1100121</v>
      </c>
      <c r="U1820" s="745"/>
      <c r="V1820" s="739">
        <v>1100122</v>
      </c>
    </row>
    <row r="1821" spans="1:22" ht="15" x14ac:dyDescent="0.2">
      <c r="A1821" s="739">
        <v>2421</v>
      </c>
      <c r="B1821" s="743" t="s">
        <v>41</v>
      </c>
      <c r="C1821" s="789"/>
      <c r="D1821" s="736"/>
      <c r="E1821" s="749"/>
      <c r="F1821" s="736"/>
      <c r="G1821" s="736"/>
      <c r="H1821" s="736"/>
      <c r="I1821" s="736"/>
      <c r="J1821" s="736">
        <f t="shared" si="632"/>
        <v>0</v>
      </c>
      <c r="K1821" s="736"/>
      <c r="L1821" s="736"/>
      <c r="M1821" s="736">
        <f t="shared" si="630"/>
        <v>0</v>
      </c>
      <c r="N1821" s="736"/>
      <c r="O1821" s="736"/>
      <c r="P1821" s="738">
        <f t="shared" si="631"/>
        <v>0</v>
      </c>
      <c r="Q1821" s="738"/>
      <c r="R1821" s="738"/>
      <c r="S1821" s="738"/>
      <c r="T1821" s="739"/>
      <c r="U1821" s="745"/>
      <c r="V1821" s="739"/>
    </row>
    <row r="1822" spans="1:22" ht="15" x14ac:dyDescent="0.2">
      <c r="A1822" s="739">
        <v>2491</v>
      </c>
      <c r="B1822" s="743" t="s">
        <v>41</v>
      </c>
      <c r="C1822" s="736">
        <v>2744</v>
      </c>
      <c r="D1822" s="736"/>
      <c r="E1822" s="749"/>
      <c r="F1822" s="736"/>
      <c r="G1822" s="736"/>
      <c r="H1822" s="736"/>
      <c r="I1822" s="736"/>
      <c r="J1822" s="736">
        <f t="shared" si="632"/>
        <v>0</v>
      </c>
      <c r="K1822" s="736"/>
      <c r="L1822" s="736"/>
      <c r="M1822" s="736">
        <f t="shared" si="630"/>
        <v>0</v>
      </c>
      <c r="N1822" s="736"/>
      <c r="O1822" s="736"/>
      <c r="P1822" s="738">
        <f t="shared" si="631"/>
        <v>0</v>
      </c>
      <c r="Q1822" s="738"/>
      <c r="R1822" s="738"/>
      <c r="S1822" s="738"/>
      <c r="T1822" s="739"/>
      <c r="U1822" s="745"/>
      <c r="V1822" s="739"/>
    </row>
    <row r="1823" spans="1:22" ht="30" x14ac:dyDescent="0.2">
      <c r="A1823" s="739">
        <v>2612</v>
      </c>
      <c r="B1823" s="743" t="s">
        <v>26</v>
      </c>
      <c r="C1823" s="736">
        <v>505.99</v>
      </c>
      <c r="D1823" s="736">
        <v>35000</v>
      </c>
      <c r="E1823" s="749">
        <v>15000</v>
      </c>
      <c r="F1823" s="736">
        <v>0</v>
      </c>
      <c r="G1823" s="736"/>
      <c r="H1823" s="736"/>
      <c r="I1823" s="736"/>
      <c r="J1823" s="736">
        <f t="shared" si="632"/>
        <v>0</v>
      </c>
      <c r="K1823" s="736"/>
      <c r="L1823" s="736"/>
      <c r="M1823" s="736">
        <f t="shared" si="630"/>
        <v>0</v>
      </c>
      <c r="N1823" s="736"/>
      <c r="O1823" s="736"/>
      <c r="P1823" s="738">
        <f t="shared" si="631"/>
        <v>0</v>
      </c>
      <c r="Q1823" s="738"/>
      <c r="R1823" s="738"/>
      <c r="S1823" s="738">
        <f>Q1823</f>
        <v>0</v>
      </c>
      <c r="T1823" s="739">
        <v>1100121</v>
      </c>
      <c r="U1823" s="745"/>
      <c r="V1823" s="739">
        <v>1100122</v>
      </c>
    </row>
    <row r="1824" spans="1:22" ht="15" x14ac:dyDescent="0.2">
      <c r="A1824" s="739">
        <v>2721</v>
      </c>
      <c r="B1824" s="743" t="s">
        <v>1782</v>
      </c>
      <c r="C1824" s="736"/>
      <c r="D1824" s="736"/>
      <c r="E1824" s="749"/>
      <c r="F1824" s="736"/>
      <c r="G1824" s="736"/>
      <c r="H1824" s="736"/>
      <c r="I1824" s="736"/>
      <c r="J1824" s="736"/>
      <c r="K1824" s="736">
        <v>12870</v>
      </c>
      <c r="L1824" s="736"/>
      <c r="M1824" s="736">
        <f t="shared" si="630"/>
        <v>12870</v>
      </c>
      <c r="N1824" s="736"/>
      <c r="O1824" s="736"/>
      <c r="P1824" s="736">
        <f t="shared" si="631"/>
        <v>12870</v>
      </c>
      <c r="Q1824" s="738">
        <v>12870</v>
      </c>
      <c r="R1824" s="738"/>
      <c r="S1824" s="738"/>
      <c r="T1824" s="739">
        <v>1100121</v>
      </c>
      <c r="U1824" s="745"/>
      <c r="V1824" s="739">
        <v>1100122</v>
      </c>
    </row>
    <row r="1825" spans="1:22" ht="15" x14ac:dyDescent="0.2">
      <c r="A1825" s="739">
        <v>2911</v>
      </c>
      <c r="B1825" s="743" t="s">
        <v>1783</v>
      </c>
      <c r="C1825" s="736"/>
      <c r="D1825" s="736"/>
      <c r="E1825" s="749"/>
      <c r="F1825" s="736"/>
      <c r="G1825" s="736"/>
      <c r="H1825" s="736"/>
      <c r="I1825" s="736"/>
      <c r="J1825" s="736"/>
      <c r="K1825" s="736">
        <v>3800</v>
      </c>
      <c r="L1825" s="736"/>
      <c r="M1825" s="736">
        <f t="shared" si="630"/>
        <v>3800</v>
      </c>
      <c r="N1825" s="736"/>
      <c r="O1825" s="736"/>
      <c r="P1825" s="736">
        <f t="shared" si="631"/>
        <v>3800</v>
      </c>
      <c r="Q1825" s="738">
        <v>3800</v>
      </c>
      <c r="R1825" s="738"/>
      <c r="S1825" s="738"/>
      <c r="T1825" s="739">
        <v>1100121</v>
      </c>
      <c r="U1825" s="745"/>
      <c r="V1825" s="739">
        <v>1100122</v>
      </c>
    </row>
    <row r="1826" spans="1:22" ht="15" x14ac:dyDescent="0.2">
      <c r="A1826" s="739">
        <v>2921</v>
      </c>
      <c r="B1826" s="743" t="s">
        <v>1784</v>
      </c>
      <c r="C1826" s="736">
        <v>6250</v>
      </c>
      <c r="D1826" s="736"/>
      <c r="E1826" s="749"/>
      <c r="F1826" s="736"/>
      <c r="G1826" s="736"/>
      <c r="H1826" s="736"/>
      <c r="I1826" s="736"/>
      <c r="J1826" s="736">
        <f t="shared" ref="J1826:J1840" si="633">G1826+H1826-I1826</f>
        <v>0</v>
      </c>
      <c r="K1826" s="736"/>
      <c r="L1826" s="736"/>
      <c r="M1826" s="736">
        <f t="shared" si="630"/>
        <v>0</v>
      </c>
      <c r="N1826" s="736"/>
      <c r="O1826" s="736"/>
      <c r="P1826" s="738">
        <f t="shared" si="631"/>
        <v>0</v>
      </c>
      <c r="Q1826" s="738"/>
      <c r="R1826" s="738"/>
      <c r="S1826" s="738"/>
      <c r="T1826" s="739"/>
      <c r="U1826" s="745"/>
      <c r="V1826" s="739"/>
    </row>
    <row r="1827" spans="1:22" ht="15" x14ac:dyDescent="0.2">
      <c r="A1827" s="739">
        <v>2941</v>
      </c>
      <c r="B1827" s="743" t="s">
        <v>79</v>
      </c>
      <c r="C1827" s="736">
        <v>522</v>
      </c>
      <c r="D1827" s="736"/>
      <c r="E1827" s="736"/>
      <c r="F1827" s="736"/>
      <c r="G1827" s="736"/>
      <c r="H1827" s="736"/>
      <c r="I1827" s="736"/>
      <c r="J1827" s="736">
        <f t="shared" si="633"/>
        <v>0</v>
      </c>
      <c r="K1827" s="736"/>
      <c r="L1827" s="736"/>
      <c r="M1827" s="736">
        <f t="shared" si="630"/>
        <v>0</v>
      </c>
      <c r="N1827" s="736"/>
      <c r="O1827" s="736"/>
      <c r="P1827" s="738">
        <f t="shared" si="631"/>
        <v>0</v>
      </c>
      <c r="Q1827" s="738"/>
      <c r="R1827" s="738"/>
      <c r="S1827" s="738"/>
      <c r="T1827" s="739"/>
      <c r="U1827" s="745"/>
      <c r="V1827" s="739"/>
    </row>
    <row r="1828" spans="1:22" ht="15" x14ac:dyDescent="0.2">
      <c r="A1828" s="734">
        <v>3173</v>
      </c>
      <c r="B1828" s="735" t="s">
        <v>257</v>
      </c>
      <c r="C1828" s="736"/>
      <c r="D1828" s="736">
        <v>170000</v>
      </c>
      <c r="E1828" s="749">
        <v>170000</v>
      </c>
      <c r="F1828" s="736">
        <v>91516.11</v>
      </c>
      <c r="G1828" s="752">
        <v>150000</v>
      </c>
      <c r="H1828" s="752"/>
      <c r="I1828" s="752"/>
      <c r="J1828" s="736">
        <f t="shared" si="633"/>
        <v>150000</v>
      </c>
      <c r="K1828" s="752"/>
      <c r="L1828" s="752"/>
      <c r="M1828" s="736">
        <f t="shared" si="630"/>
        <v>150000</v>
      </c>
      <c r="N1828" s="736"/>
      <c r="O1828" s="736"/>
      <c r="P1828" s="736">
        <f t="shared" si="631"/>
        <v>150000</v>
      </c>
      <c r="Q1828" s="753">
        <v>150000</v>
      </c>
      <c r="R1828" s="738">
        <v>93218.66</v>
      </c>
      <c r="S1828" s="753">
        <v>120000</v>
      </c>
      <c r="T1828" s="739">
        <v>1100121</v>
      </c>
      <c r="U1828" s="754">
        <v>320000</v>
      </c>
      <c r="V1828" s="741">
        <v>1100122</v>
      </c>
    </row>
    <row r="1829" spans="1:22" ht="30" x14ac:dyDescent="0.2">
      <c r="A1829" s="734">
        <v>3361</v>
      </c>
      <c r="B1829" s="735" t="s">
        <v>29</v>
      </c>
      <c r="C1829" s="736">
        <v>9918</v>
      </c>
      <c r="D1829" s="736">
        <v>20000</v>
      </c>
      <c r="E1829" s="749">
        <v>20000</v>
      </c>
      <c r="F1829" s="736">
        <v>796.23</v>
      </c>
      <c r="G1829" s="909">
        <v>20000</v>
      </c>
      <c r="H1829" s="909"/>
      <c r="I1829" s="909"/>
      <c r="J1829" s="736">
        <f t="shared" si="633"/>
        <v>20000</v>
      </c>
      <c r="K1829" s="909"/>
      <c r="L1829" s="909"/>
      <c r="M1829" s="736">
        <f t="shared" si="630"/>
        <v>20000</v>
      </c>
      <c r="N1829" s="736"/>
      <c r="O1829" s="736"/>
      <c r="P1829" s="736">
        <f t="shared" si="631"/>
        <v>20000</v>
      </c>
      <c r="Q1829" s="910">
        <v>20000</v>
      </c>
      <c r="R1829" s="738"/>
      <c r="S1829" s="910">
        <v>20000</v>
      </c>
      <c r="T1829" s="739">
        <v>1100121</v>
      </c>
      <c r="U1829" s="754">
        <v>20000</v>
      </c>
      <c r="V1829" s="741">
        <v>1100122</v>
      </c>
    </row>
    <row r="1830" spans="1:22" ht="15" x14ac:dyDescent="0.2">
      <c r="A1830" s="734">
        <v>3391</v>
      </c>
      <c r="B1830" s="735" t="s">
        <v>118</v>
      </c>
      <c r="C1830" s="736">
        <v>3055896.76</v>
      </c>
      <c r="D1830" s="736">
        <v>4773352.4800000004</v>
      </c>
      <c r="E1830" s="749">
        <v>2340948</v>
      </c>
      <c r="F1830" s="736">
        <v>1290198.24</v>
      </c>
      <c r="G1830" s="752">
        <v>4773352</v>
      </c>
      <c r="H1830" s="752"/>
      <c r="I1830" s="752"/>
      <c r="J1830" s="736">
        <f t="shared" si="633"/>
        <v>4773352</v>
      </c>
      <c r="K1830" s="752"/>
      <c r="L1830" s="752"/>
      <c r="M1830" s="736">
        <f t="shared" si="630"/>
        <v>4773352</v>
      </c>
      <c r="N1830" s="736"/>
      <c r="O1830" s="736"/>
      <c r="P1830" s="736">
        <f t="shared" si="631"/>
        <v>4773352</v>
      </c>
      <c r="Q1830" s="753">
        <v>4173352</v>
      </c>
      <c r="R1830" s="738">
        <v>1558330.39</v>
      </c>
      <c r="S1830" s="753">
        <v>4000000</v>
      </c>
      <c r="T1830" s="739">
        <v>1100121</v>
      </c>
      <c r="U1830" s="754">
        <v>4000000</v>
      </c>
      <c r="V1830" s="741">
        <v>1100122</v>
      </c>
    </row>
    <row r="1831" spans="1:22" ht="15" x14ac:dyDescent="0.2">
      <c r="A1831" s="739">
        <v>3391</v>
      </c>
      <c r="B1831" s="743" t="s">
        <v>118</v>
      </c>
      <c r="C1831" s="736"/>
      <c r="D1831" s="736"/>
      <c r="E1831" s="749"/>
      <c r="F1831" s="736"/>
      <c r="G1831" s="752"/>
      <c r="H1831" s="749">
        <f>600000-250000+148000-0.15-0.36</f>
        <v>497999.49</v>
      </c>
      <c r="I1831" s="752"/>
      <c r="J1831" s="736">
        <f t="shared" si="633"/>
        <v>497999.49</v>
      </c>
      <c r="K1831" s="749"/>
      <c r="L1831" s="752">
        <v>207999.49</v>
      </c>
      <c r="M1831" s="736">
        <f t="shared" si="630"/>
        <v>290000</v>
      </c>
      <c r="N1831" s="736"/>
      <c r="O1831" s="736"/>
      <c r="P1831" s="736">
        <f t="shared" si="631"/>
        <v>290000</v>
      </c>
      <c r="Q1831" s="753">
        <v>290000</v>
      </c>
      <c r="R1831" s="738"/>
      <c r="S1831" s="753"/>
      <c r="T1831" s="739">
        <v>1100120</v>
      </c>
      <c r="U1831" s="745"/>
      <c r="V1831" s="739">
        <v>1100120</v>
      </c>
    </row>
    <row r="1832" spans="1:22" ht="15" x14ac:dyDescent="0.2">
      <c r="A1832" s="739">
        <v>3511</v>
      </c>
      <c r="B1832" s="743" t="s">
        <v>49</v>
      </c>
      <c r="C1832" s="736"/>
      <c r="D1832" s="736">
        <v>0</v>
      </c>
      <c r="E1832" s="749">
        <v>104517.19</v>
      </c>
      <c r="F1832" s="736">
        <v>93589.46</v>
      </c>
      <c r="G1832" s="752"/>
      <c r="H1832" s="752"/>
      <c r="I1832" s="752"/>
      <c r="J1832" s="736">
        <f t="shared" si="633"/>
        <v>0</v>
      </c>
      <c r="K1832" s="752"/>
      <c r="L1832" s="752"/>
      <c r="M1832" s="736">
        <f t="shared" si="630"/>
        <v>0</v>
      </c>
      <c r="N1832" s="736"/>
      <c r="O1832" s="736"/>
      <c r="P1832" s="738">
        <f t="shared" si="631"/>
        <v>0</v>
      </c>
      <c r="Q1832" s="753"/>
      <c r="R1832" s="738"/>
      <c r="S1832" s="753"/>
      <c r="T1832" s="739">
        <v>1100119</v>
      </c>
      <c r="U1832" s="745"/>
      <c r="V1832" s="739">
        <v>1100119</v>
      </c>
    </row>
    <row r="1833" spans="1:22" ht="15" x14ac:dyDescent="0.2">
      <c r="A1833" s="739">
        <v>3551</v>
      </c>
      <c r="B1833" s="743" t="s">
        <v>30</v>
      </c>
      <c r="C1833" s="736">
        <v>10000</v>
      </c>
      <c r="D1833" s="736">
        <v>25000</v>
      </c>
      <c r="E1833" s="749">
        <v>15000</v>
      </c>
      <c r="F1833" s="736">
        <v>7028.65</v>
      </c>
      <c r="G1833" s="752">
        <v>20000</v>
      </c>
      <c r="H1833" s="752"/>
      <c r="I1833" s="752"/>
      <c r="J1833" s="736">
        <f t="shared" si="633"/>
        <v>20000</v>
      </c>
      <c r="K1833" s="752"/>
      <c r="L1833" s="752"/>
      <c r="M1833" s="736">
        <f t="shared" si="630"/>
        <v>20000</v>
      </c>
      <c r="N1833" s="736"/>
      <c r="O1833" s="736">
        <v>20000</v>
      </c>
      <c r="P1833" s="738">
        <f t="shared" si="631"/>
        <v>0</v>
      </c>
      <c r="Q1833" s="753"/>
      <c r="R1833" s="738"/>
      <c r="S1833" s="738">
        <f>Q1833</f>
        <v>0</v>
      </c>
      <c r="T1833" s="739">
        <v>1100121</v>
      </c>
      <c r="U1833" s="745"/>
      <c r="V1833" s="739">
        <v>1100122</v>
      </c>
    </row>
    <row r="1834" spans="1:22" ht="15" x14ac:dyDescent="0.2">
      <c r="A1834" s="734">
        <v>3571</v>
      </c>
      <c r="B1834" s="735" t="s">
        <v>65</v>
      </c>
      <c r="C1834" s="736">
        <v>1189</v>
      </c>
      <c r="D1834" s="736">
        <v>50000</v>
      </c>
      <c r="E1834" s="749">
        <v>50000</v>
      </c>
      <c r="F1834" s="736">
        <v>38990</v>
      </c>
      <c r="G1834" s="752">
        <v>170000</v>
      </c>
      <c r="H1834" s="752"/>
      <c r="I1834" s="752"/>
      <c r="J1834" s="736">
        <f t="shared" si="633"/>
        <v>170000</v>
      </c>
      <c r="K1834" s="752">
        <v>71700</v>
      </c>
      <c r="L1834" s="752"/>
      <c r="M1834" s="736">
        <f t="shared" si="630"/>
        <v>241700</v>
      </c>
      <c r="N1834" s="736"/>
      <c r="O1834" s="736"/>
      <c r="P1834" s="736">
        <f t="shared" si="631"/>
        <v>241700</v>
      </c>
      <c r="Q1834" s="753">
        <v>241700</v>
      </c>
      <c r="R1834" s="738">
        <v>68408.009999999995</v>
      </c>
      <c r="S1834" s="753">
        <v>242000</v>
      </c>
      <c r="T1834" s="739">
        <v>1100121</v>
      </c>
      <c r="U1834" s="754">
        <v>242000</v>
      </c>
      <c r="V1834" s="741">
        <v>1100122</v>
      </c>
    </row>
    <row r="1835" spans="1:22" ht="15" x14ac:dyDescent="0.2">
      <c r="A1835" s="734">
        <v>3751</v>
      </c>
      <c r="B1835" s="735" t="s">
        <v>44</v>
      </c>
      <c r="C1835" s="736"/>
      <c r="D1835" s="736">
        <v>5000</v>
      </c>
      <c r="E1835" s="749">
        <v>5000</v>
      </c>
      <c r="F1835" s="736">
        <v>0</v>
      </c>
      <c r="G1835" s="752">
        <v>5000</v>
      </c>
      <c r="H1835" s="752"/>
      <c r="I1835" s="752"/>
      <c r="J1835" s="736">
        <f t="shared" si="633"/>
        <v>5000</v>
      </c>
      <c r="K1835" s="752"/>
      <c r="L1835" s="752"/>
      <c r="M1835" s="736">
        <f t="shared" si="630"/>
        <v>5000</v>
      </c>
      <c r="N1835" s="736"/>
      <c r="O1835" s="736"/>
      <c r="P1835" s="736">
        <f t="shared" si="631"/>
        <v>5000</v>
      </c>
      <c r="Q1835" s="753">
        <v>5000</v>
      </c>
      <c r="R1835" s="738"/>
      <c r="S1835" s="753">
        <v>5000</v>
      </c>
      <c r="T1835" s="739">
        <v>1100121</v>
      </c>
      <c r="U1835" s="754">
        <v>5000</v>
      </c>
      <c r="V1835" s="741">
        <v>1100122</v>
      </c>
    </row>
    <row r="1836" spans="1:22" ht="15" x14ac:dyDescent="0.2">
      <c r="A1836" s="734">
        <v>3791</v>
      </c>
      <c r="B1836" s="735" t="s">
        <v>45</v>
      </c>
      <c r="C1836" s="736">
        <v>615.70000000000005</v>
      </c>
      <c r="D1836" s="736">
        <v>5000</v>
      </c>
      <c r="E1836" s="749">
        <v>5000</v>
      </c>
      <c r="F1836" s="736">
        <v>266</v>
      </c>
      <c r="G1836" s="752">
        <v>5000</v>
      </c>
      <c r="H1836" s="752"/>
      <c r="I1836" s="752"/>
      <c r="J1836" s="736">
        <f t="shared" si="633"/>
        <v>5000</v>
      </c>
      <c r="K1836" s="752"/>
      <c r="L1836" s="752"/>
      <c r="M1836" s="736">
        <f t="shared" si="630"/>
        <v>5000</v>
      </c>
      <c r="N1836" s="736"/>
      <c r="O1836" s="736"/>
      <c r="P1836" s="736">
        <f t="shared" si="631"/>
        <v>5000</v>
      </c>
      <c r="Q1836" s="753">
        <v>5000</v>
      </c>
      <c r="R1836" s="738">
        <v>66</v>
      </c>
      <c r="S1836" s="753">
        <v>5000</v>
      </c>
      <c r="T1836" s="739">
        <v>1100121</v>
      </c>
      <c r="U1836" s="754">
        <v>5000</v>
      </c>
      <c r="V1836" s="741">
        <v>1100122</v>
      </c>
    </row>
    <row r="1837" spans="1:22" ht="15" x14ac:dyDescent="0.2">
      <c r="A1837" s="734">
        <v>3852</v>
      </c>
      <c r="B1837" s="735" t="s">
        <v>32</v>
      </c>
      <c r="C1837" s="736">
        <v>6990.15</v>
      </c>
      <c r="D1837" s="736">
        <v>10000</v>
      </c>
      <c r="E1837" s="749">
        <v>10000</v>
      </c>
      <c r="F1837" s="736">
        <v>9023.39</v>
      </c>
      <c r="G1837" s="752">
        <v>10000</v>
      </c>
      <c r="H1837" s="752"/>
      <c r="I1837" s="752"/>
      <c r="J1837" s="736">
        <f t="shared" si="633"/>
        <v>10000</v>
      </c>
      <c r="K1837" s="752"/>
      <c r="L1837" s="752"/>
      <c r="M1837" s="736">
        <f t="shared" si="630"/>
        <v>10000</v>
      </c>
      <c r="N1837" s="736"/>
      <c r="O1837" s="736"/>
      <c r="P1837" s="736">
        <f t="shared" si="631"/>
        <v>10000</v>
      </c>
      <c r="Q1837" s="753">
        <v>10000</v>
      </c>
      <c r="R1837" s="738">
        <v>7323.25</v>
      </c>
      <c r="S1837" s="753">
        <v>10000</v>
      </c>
      <c r="T1837" s="739">
        <v>1100121</v>
      </c>
      <c r="U1837" s="754">
        <v>10000</v>
      </c>
      <c r="V1837" s="741">
        <v>1100122</v>
      </c>
    </row>
    <row r="1838" spans="1:22" ht="15" x14ac:dyDescent="0.2">
      <c r="A1838" s="739">
        <v>5111</v>
      </c>
      <c r="B1838" s="743" t="s">
        <v>35</v>
      </c>
      <c r="C1838" s="736"/>
      <c r="D1838" s="736"/>
      <c r="E1838" s="749"/>
      <c r="F1838" s="736"/>
      <c r="G1838" s="752"/>
      <c r="H1838" s="752">
        <f>32000+12700</f>
        <v>44700</v>
      </c>
      <c r="I1838" s="752"/>
      <c r="J1838" s="736">
        <f t="shared" si="633"/>
        <v>44700</v>
      </c>
      <c r="K1838" s="752"/>
      <c r="L1838" s="752"/>
      <c r="M1838" s="736">
        <f t="shared" si="630"/>
        <v>44700</v>
      </c>
      <c r="N1838" s="736"/>
      <c r="O1838" s="736"/>
      <c r="P1838" s="736">
        <f t="shared" si="631"/>
        <v>44700</v>
      </c>
      <c r="Q1838" s="753">
        <v>44700</v>
      </c>
      <c r="R1838" s="738">
        <v>32000</v>
      </c>
      <c r="S1838" s="753"/>
      <c r="T1838" s="739">
        <v>1100120</v>
      </c>
      <c r="U1838" s="745"/>
      <c r="V1838" s="739">
        <v>1100120</v>
      </c>
    </row>
    <row r="1839" spans="1:22" ht="15" x14ac:dyDescent="0.2">
      <c r="A1839" s="739">
        <v>5111</v>
      </c>
      <c r="B1839" s="743" t="s">
        <v>35</v>
      </c>
      <c r="C1839" s="736"/>
      <c r="D1839" s="736">
        <v>0</v>
      </c>
      <c r="E1839" s="749"/>
      <c r="F1839" s="736">
        <v>12700</v>
      </c>
      <c r="G1839" s="752"/>
      <c r="H1839" s="752"/>
      <c r="I1839" s="752"/>
      <c r="J1839" s="736">
        <f t="shared" si="633"/>
        <v>0</v>
      </c>
      <c r="K1839" s="752"/>
      <c r="L1839" s="752"/>
      <c r="M1839" s="736">
        <f t="shared" si="630"/>
        <v>0</v>
      </c>
      <c r="N1839" s="736"/>
      <c r="O1839" s="736"/>
      <c r="P1839" s="738">
        <f t="shared" si="631"/>
        <v>0</v>
      </c>
      <c r="Q1839" s="753"/>
      <c r="R1839" s="738"/>
      <c r="S1839" s="753"/>
      <c r="T1839" s="739">
        <v>1100121</v>
      </c>
      <c r="U1839" s="745"/>
      <c r="V1839" s="739">
        <v>1100122</v>
      </c>
    </row>
    <row r="1840" spans="1:22" ht="15" x14ac:dyDescent="0.2">
      <c r="A1840" s="734">
        <v>5151</v>
      </c>
      <c r="B1840" s="735" t="s">
        <v>36</v>
      </c>
      <c r="C1840" s="736">
        <v>601067.77</v>
      </c>
      <c r="D1840" s="736">
        <v>310200</v>
      </c>
      <c r="E1840" s="749">
        <v>310200</v>
      </c>
      <c r="F1840" s="736">
        <v>300938.19</v>
      </c>
      <c r="G1840" s="752">
        <v>180000</v>
      </c>
      <c r="H1840" s="752"/>
      <c r="I1840" s="752"/>
      <c r="J1840" s="736">
        <f t="shared" si="633"/>
        <v>180000</v>
      </c>
      <c r="K1840" s="752"/>
      <c r="L1840" s="752">
        <f>131560.74+20000</f>
        <v>151560.74</v>
      </c>
      <c r="M1840" s="736">
        <f t="shared" si="630"/>
        <v>28439.260000000009</v>
      </c>
      <c r="N1840" s="736"/>
      <c r="O1840" s="736"/>
      <c r="P1840" s="736">
        <f t="shared" si="631"/>
        <v>28439.260000000009</v>
      </c>
      <c r="Q1840" s="753">
        <v>57622.400000000001</v>
      </c>
      <c r="R1840" s="738">
        <v>53981.599999999999</v>
      </c>
      <c r="S1840" s="753">
        <v>690786.68</v>
      </c>
      <c r="T1840" s="739">
        <v>1100121</v>
      </c>
      <c r="U1840" s="754">
        <f>690786.68-0.44</f>
        <v>690786.24000000011</v>
      </c>
      <c r="V1840" s="741">
        <v>1100122</v>
      </c>
    </row>
    <row r="1841" spans="1:22" ht="15" x14ac:dyDescent="0.2">
      <c r="A1841" s="739">
        <v>5151</v>
      </c>
      <c r="B1841" s="743" t="s">
        <v>36</v>
      </c>
      <c r="C1841" s="736"/>
      <c r="D1841" s="736"/>
      <c r="E1841" s="749"/>
      <c r="F1841" s="736"/>
      <c r="G1841" s="752"/>
      <c r="H1841" s="752"/>
      <c r="I1841" s="752"/>
      <c r="J1841" s="736"/>
      <c r="K1841" s="752">
        <v>20000</v>
      </c>
      <c r="L1841" s="752"/>
      <c r="M1841" s="736">
        <f t="shared" si="630"/>
        <v>20000</v>
      </c>
      <c r="N1841" s="736"/>
      <c r="O1841" s="736"/>
      <c r="P1841" s="736">
        <f t="shared" si="631"/>
        <v>20000</v>
      </c>
      <c r="Q1841" s="753">
        <v>20000</v>
      </c>
      <c r="R1841" s="738"/>
      <c r="S1841" s="753"/>
      <c r="T1841" s="739">
        <v>1500721</v>
      </c>
      <c r="U1841" s="745"/>
      <c r="V1841" s="739">
        <v>1500722</v>
      </c>
    </row>
    <row r="1842" spans="1:22" ht="15" x14ac:dyDescent="0.2">
      <c r="A1842" s="739">
        <v>5151</v>
      </c>
      <c r="B1842" s="743" t="s">
        <v>36</v>
      </c>
      <c r="C1842" s="736"/>
      <c r="D1842" s="736"/>
      <c r="E1842" s="749"/>
      <c r="F1842" s="736"/>
      <c r="G1842" s="752"/>
      <c r="H1842" s="752"/>
      <c r="I1842" s="752"/>
      <c r="J1842" s="736"/>
      <c r="K1842" s="752">
        <v>131560.74</v>
      </c>
      <c r="L1842" s="752"/>
      <c r="M1842" s="736">
        <f t="shared" si="630"/>
        <v>131560.74</v>
      </c>
      <c r="N1842" s="736">
        <v>0</v>
      </c>
      <c r="O1842" s="736">
        <v>102377.60000000001</v>
      </c>
      <c r="P1842" s="736">
        <f t="shared" si="631"/>
        <v>29183.139999999985</v>
      </c>
      <c r="Q1842" s="753"/>
      <c r="R1842" s="738"/>
      <c r="S1842" s="753"/>
      <c r="T1842" s="739">
        <v>1100121</v>
      </c>
      <c r="U1842" s="745"/>
      <c r="V1842" s="739">
        <v>1100122</v>
      </c>
    </row>
    <row r="1843" spans="1:22" ht="15" x14ac:dyDescent="0.2">
      <c r="A1843" s="739">
        <v>5411</v>
      </c>
      <c r="B1843" s="743" t="s">
        <v>123</v>
      </c>
      <c r="C1843" s="736">
        <v>288762.36</v>
      </c>
      <c r="D1843" s="736"/>
      <c r="E1843" s="749"/>
      <c r="F1843" s="736"/>
      <c r="G1843" s="736"/>
      <c r="H1843" s="736"/>
      <c r="I1843" s="736"/>
      <c r="J1843" s="736">
        <f>G1843+H1843-I1843</f>
        <v>0</v>
      </c>
      <c r="K1843" s="736"/>
      <c r="L1843" s="736"/>
      <c r="M1843" s="736">
        <f t="shared" si="630"/>
        <v>0</v>
      </c>
      <c r="N1843" s="736"/>
      <c r="O1843" s="736"/>
      <c r="P1843" s="738">
        <f t="shared" si="631"/>
        <v>0</v>
      </c>
      <c r="Q1843" s="738"/>
      <c r="R1843" s="738"/>
      <c r="S1843" s="738"/>
      <c r="T1843" s="739"/>
      <c r="U1843" s="745"/>
      <c r="V1843" s="739"/>
    </row>
    <row r="1844" spans="1:22" ht="15" x14ac:dyDescent="0.2">
      <c r="A1844" s="734">
        <v>5651</v>
      </c>
      <c r="B1844" s="735" t="s">
        <v>1785</v>
      </c>
      <c r="C1844" s="736"/>
      <c r="D1844" s="736"/>
      <c r="E1844" s="749"/>
      <c r="F1844" s="736"/>
      <c r="G1844" s="736"/>
      <c r="H1844" s="736"/>
      <c r="I1844" s="736"/>
      <c r="J1844" s="736"/>
      <c r="K1844" s="736">
        <v>6272</v>
      </c>
      <c r="L1844" s="736"/>
      <c r="M1844" s="736">
        <f t="shared" si="630"/>
        <v>6272</v>
      </c>
      <c r="N1844" s="736"/>
      <c r="O1844" s="736"/>
      <c r="P1844" s="736">
        <f t="shared" si="631"/>
        <v>6272</v>
      </c>
      <c r="Q1844" s="738">
        <v>6272</v>
      </c>
      <c r="R1844" s="738"/>
      <c r="S1844" s="738"/>
      <c r="T1844" s="739">
        <v>1100121</v>
      </c>
      <c r="U1844" s="746">
        <v>19000</v>
      </c>
      <c r="V1844" s="741">
        <v>1100122</v>
      </c>
    </row>
    <row r="1845" spans="1:22" ht="15" x14ac:dyDescent="0.2">
      <c r="A1845" s="734">
        <v>5691</v>
      </c>
      <c r="B1845" s="735" t="s">
        <v>112</v>
      </c>
      <c r="C1845" s="736"/>
      <c r="D1845" s="736"/>
      <c r="E1845" s="749"/>
      <c r="F1845" s="736"/>
      <c r="G1845" s="736"/>
      <c r="H1845" s="736"/>
      <c r="I1845" s="736"/>
      <c r="J1845" s="736"/>
      <c r="K1845" s="736">
        <v>887500</v>
      </c>
      <c r="L1845" s="736"/>
      <c r="M1845" s="736">
        <f t="shared" si="630"/>
        <v>887500</v>
      </c>
      <c r="N1845" s="736">
        <v>1000</v>
      </c>
      <c r="O1845" s="736"/>
      <c r="P1845" s="736">
        <f t="shared" si="631"/>
        <v>888500</v>
      </c>
      <c r="Q1845" s="738">
        <v>1008500</v>
      </c>
      <c r="R1845" s="738"/>
      <c r="S1845" s="738">
        <v>46000</v>
      </c>
      <c r="T1845" s="739">
        <v>1100121</v>
      </c>
      <c r="U1845" s="742">
        <v>46000</v>
      </c>
      <c r="V1845" s="741">
        <v>1100122</v>
      </c>
    </row>
    <row r="1846" spans="1:22" ht="15" x14ac:dyDescent="0.2">
      <c r="A1846" s="739">
        <v>5691</v>
      </c>
      <c r="B1846" s="743" t="s">
        <v>112</v>
      </c>
      <c r="C1846" s="736">
        <v>453184</v>
      </c>
      <c r="D1846" s="736">
        <v>374110</v>
      </c>
      <c r="E1846" s="749">
        <v>351200</v>
      </c>
      <c r="F1846" s="736">
        <v>351200</v>
      </c>
      <c r="G1846" s="736"/>
      <c r="H1846" s="736"/>
      <c r="I1846" s="736"/>
      <c r="J1846" s="736">
        <f>G1846+H1846-I1846</f>
        <v>0</v>
      </c>
      <c r="K1846" s="736"/>
      <c r="L1846" s="736"/>
      <c r="M1846" s="736">
        <f t="shared" si="630"/>
        <v>0</v>
      </c>
      <c r="N1846" s="736"/>
      <c r="O1846" s="736"/>
      <c r="P1846" s="738">
        <f t="shared" si="631"/>
        <v>0</v>
      </c>
      <c r="Q1846" s="738"/>
      <c r="R1846" s="738"/>
      <c r="S1846" s="738"/>
      <c r="T1846" s="739">
        <v>1500521</v>
      </c>
      <c r="U1846" s="745"/>
      <c r="V1846" s="739">
        <v>1500522</v>
      </c>
    </row>
    <row r="1847" spans="1:22" ht="15" x14ac:dyDescent="0.2">
      <c r="A1847" s="724" t="s">
        <v>270</v>
      </c>
      <c r="B1847" s="725" t="s">
        <v>271</v>
      </c>
      <c r="C1847" s="721">
        <f t="shared" ref="C1847:S1847" si="634">SUM(C1848)</f>
        <v>2691956.3800000013</v>
      </c>
      <c r="D1847" s="721">
        <f t="shared" si="634"/>
        <v>3310564.17</v>
      </c>
      <c r="E1847" s="721">
        <f t="shared" si="634"/>
        <v>3269355.9000000004</v>
      </c>
      <c r="F1847" s="721">
        <f t="shared" si="634"/>
        <v>3296058.98</v>
      </c>
      <c r="G1847" s="721">
        <f t="shared" si="634"/>
        <v>4510801.45</v>
      </c>
      <c r="H1847" s="721">
        <f t="shared" si="634"/>
        <v>0</v>
      </c>
      <c r="I1847" s="721">
        <f t="shared" si="634"/>
        <v>0</v>
      </c>
      <c r="J1847" s="721">
        <f t="shared" si="634"/>
        <v>4510801.45</v>
      </c>
      <c r="K1847" s="721">
        <f t="shared" si="634"/>
        <v>64749.350000000006</v>
      </c>
      <c r="L1847" s="721">
        <f t="shared" si="634"/>
        <v>766735.87</v>
      </c>
      <c r="M1847" s="721">
        <f t="shared" si="634"/>
        <v>3808814.93</v>
      </c>
      <c r="N1847" s="721">
        <f t="shared" si="634"/>
        <v>305000</v>
      </c>
      <c r="O1847" s="721">
        <f t="shared" si="634"/>
        <v>14290.2</v>
      </c>
      <c r="P1847" s="721">
        <f t="shared" si="634"/>
        <v>4099524.73</v>
      </c>
      <c r="Q1847" s="756">
        <f t="shared" si="634"/>
        <v>4001158.04</v>
      </c>
      <c r="R1847" s="756">
        <f t="shared" si="634"/>
        <v>350884.27</v>
      </c>
      <c r="S1847" s="756">
        <f t="shared" si="634"/>
        <v>4003772.7699999996</v>
      </c>
      <c r="T1847" s="724"/>
      <c r="U1847" s="726">
        <f t="shared" ref="U1847" si="635">SUM(U1848)</f>
        <v>3752608.3099999991</v>
      </c>
      <c r="V1847" s="727"/>
    </row>
    <row r="1848" spans="1:22" ht="15" x14ac:dyDescent="0.2">
      <c r="A1848" s="728" t="s">
        <v>272</v>
      </c>
      <c r="B1848" s="729" t="s">
        <v>1628</v>
      </c>
      <c r="C1848" s="730">
        <f t="shared" ref="C1848:L1848" si="636">SUM(C1849:C1884)</f>
        <v>2691956.3800000013</v>
      </c>
      <c r="D1848" s="730">
        <f t="shared" si="636"/>
        <v>3310564.17</v>
      </c>
      <c r="E1848" s="730">
        <f t="shared" si="636"/>
        <v>3269355.9000000004</v>
      </c>
      <c r="F1848" s="730">
        <f t="shared" si="636"/>
        <v>3296058.98</v>
      </c>
      <c r="G1848" s="730">
        <f t="shared" si="636"/>
        <v>4510801.45</v>
      </c>
      <c r="H1848" s="730">
        <f t="shared" si="636"/>
        <v>0</v>
      </c>
      <c r="I1848" s="730">
        <f t="shared" si="636"/>
        <v>0</v>
      </c>
      <c r="J1848" s="730">
        <f t="shared" si="636"/>
        <v>4510801.45</v>
      </c>
      <c r="K1848" s="730">
        <f t="shared" si="636"/>
        <v>64749.350000000006</v>
      </c>
      <c r="L1848" s="730">
        <f t="shared" si="636"/>
        <v>766735.87</v>
      </c>
      <c r="M1848" s="730">
        <f t="shared" ref="M1848:P1848" si="637">SUM(M1849:M1885)</f>
        <v>3808814.93</v>
      </c>
      <c r="N1848" s="730">
        <f t="shared" si="637"/>
        <v>305000</v>
      </c>
      <c r="O1848" s="730">
        <f t="shared" si="637"/>
        <v>14290.2</v>
      </c>
      <c r="P1848" s="730">
        <f t="shared" si="637"/>
        <v>4099524.73</v>
      </c>
      <c r="Q1848" s="748">
        <f>SUM(Q1849:Q1886)</f>
        <v>4001158.04</v>
      </c>
      <c r="R1848" s="748">
        <f>SUM(R1849:R1884)</f>
        <v>350884.27</v>
      </c>
      <c r="S1848" s="748">
        <f>SUM(S1849:S1886)</f>
        <v>4003772.7699999996</v>
      </c>
      <c r="T1848" s="731"/>
      <c r="U1848" s="732">
        <f>SUM(U1849:U1886)</f>
        <v>3752608.3099999991</v>
      </c>
      <c r="V1848" s="733"/>
    </row>
    <row r="1849" spans="1:22" ht="15" x14ac:dyDescent="0.25">
      <c r="A1849" s="734">
        <v>1131</v>
      </c>
      <c r="B1849" s="735" t="s">
        <v>6</v>
      </c>
      <c r="C1849" s="736">
        <v>342105.13</v>
      </c>
      <c r="D1849" s="736">
        <v>354900</v>
      </c>
      <c r="E1849" s="749">
        <v>355594</v>
      </c>
      <c r="F1849" s="736">
        <v>384782.44</v>
      </c>
      <c r="G1849" s="736">
        <v>386152.1</v>
      </c>
      <c r="H1849" s="736"/>
      <c r="I1849" s="736"/>
      <c r="J1849" s="736">
        <f t="shared" ref="J1849:J1884" si="638">G1849+H1849-I1849</f>
        <v>386152.1</v>
      </c>
      <c r="K1849" s="736">
        <v>1735.36</v>
      </c>
      <c r="L1849" s="736"/>
      <c r="M1849" s="736">
        <f t="shared" ref="M1849:M1885" si="639">J1849+K1849-L1849</f>
        <v>387887.45999999996</v>
      </c>
      <c r="N1849" s="736"/>
      <c r="O1849" s="736"/>
      <c r="P1849" s="736">
        <f t="shared" ref="P1849:P1885" si="640">M1849+N1849-O1849</f>
        <v>387887.45999999996</v>
      </c>
      <c r="Q1849" s="738">
        <v>387887.46</v>
      </c>
      <c r="R1849" s="738"/>
      <c r="S1849" s="751">
        <v>401117.08</v>
      </c>
      <c r="T1849" s="739">
        <v>1500521</v>
      </c>
      <c r="U1849" s="779">
        <v>398732.11</v>
      </c>
      <c r="V1849" s="741">
        <v>1500522</v>
      </c>
    </row>
    <row r="1850" spans="1:22" ht="15" x14ac:dyDescent="0.25">
      <c r="A1850" s="734">
        <v>1132</v>
      </c>
      <c r="B1850" s="735" t="s">
        <v>8</v>
      </c>
      <c r="C1850" s="736">
        <v>673618.45</v>
      </c>
      <c r="D1850" s="736">
        <v>785322.72</v>
      </c>
      <c r="E1850" s="749">
        <v>787522.72</v>
      </c>
      <c r="F1850" s="736">
        <v>816092.84</v>
      </c>
      <c r="G1850" s="736">
        <v>825009.7</v>
      </c>
      <c r="H1850" s="736"/>
      <c r="I1850" s="736"/>
      <c r="J1850" s="736">
        <f t="shared" si="638"/>
        <v>825009.7</v>
      </c>
      <c r="K1850" s="736">
        <v>17497.740000000002</v>
      </c>
      <c r="L1850" s="736"/>
      <c r="M1850" s="736">
        <f t="shared" si="639"/>
        <v>842507.44</v>
      </c>
      <c r="N1850" s="736"/>
      <c r="O1850" s="736"/>
      <c r="P1850" s="736">
        <f t="shared" si="640"/>
        <v>842507.44</v>
      </c>
      <c r="Q1850" s="738">
        <v>835919.61</v>
      </c>
      <c r="R1850" s="738"/>
      <c r="S1850" s="751">
        <v>870502.36</v>
      </c>
      <c r="T1850" s="739">
        <v>1500521</v>
      </c>
      <c r="U1850" s="779">
        <v>870227.23</v>
      </c>
      <c r="V1850" s="741">
        <v>1500522</v>
      </c>
    </row>
    <row r="1851" spans="1:22" ht="15" x14ac:dyDescent="0.25">
      <c r="A1851" s="734">
        <v>1212</v>
      </c>
      <c r="B1851" s="735" t="s">
        <v>53</v>
      </c>
      <c r="C1851" s="736">
        <v>389800.52</v>
      </c>
      <c r="D1851" s="736">
        <v>518896.8</v>
      </c>
      <c r="E1851" s="749">
        <v>519435.8</v>
      </c>
      <c r="F1851" s="736">
        <v>511004.06</v>
      </c>
      <c r="G1851" s="736">
        <v>537069.6</v>
      </c>
      <c r="H1851" s="736"/>
      <c r="I1851" s="736"/>
      <c r="J1851" s="736">
        <f t="shared" si="638"/>
        <v>537069.6</v>
      </c>
      <c r="K1851" s="736">
        <v>8091</v>
      </c>
      <c r="L1851" s="736"/>
      <c r="M1851" s="736">
        <f t="shared" si="639"/>
        <v>545160.6</v>
      </c>
      <c r="N1851" s="736"/>
      <c r="O1851" s="736"/>
      <c r="P1851" s="736">
        <f t="shared" si="640"/>
        <v>545160.6</v>
      </c>
      <c r="Q1851" s="738">
        <v>545160.6</v>
      </c>
      <c r="R1851" s="738"/>
      <c r="S1851" s="751">
        <v>572230.80000000005</v>
      </c>
      <c r="T1851" s="739">
        <v>1500521</v>
      </c>
      <c r="U1851" s="779">
        <v>537838.31000000006</v>
      </c>
      <c r="V1851" s="741">
        <v>1500522</v>
      </c>
    </row>
    <row r="1852" spans="1:22" ht="15" x14ac:dyDescent="0.25">
      <c r="A1852" s="734">
        <v>1321</v>
      </c>
      <c r="B1852" s="735" t="s">
        <v>9</v>
      </c>
      <c r="C1852" s="736">
        <v>52649.02</v>
      </c>
      <c r="D1852" s="736">
        <v>60748.05</v>
      </c>
      <c r="E1852" s="749">
        <v>60954.05</v>
      </c>
      <c r="F1852" s="736">
        <v>60140.51</v>
      </c>
      <c r="G1852" s="736">
        <v>66971.3</v>
      </c>
      <c r="H1852" s="736"/>
      <c r="I1852" s="736"/>
      <c r="J1852" s="736">
        <f t="shared" si="638"/>
        <v>66971.3</v>
      </c>
      <c r="K1852" s="736">
        <v>1962.47</v>
      </c>
      <c r="L1852" s="736"/>
      <c r="M1852" s="736">
        <f t="shared" si="639"/>
        <v>68933.77</v>
      </c>
      <c r="N1852" s="736"/>
      <c r="O1852" s="736"/>
      <c r="P1852" s="736">
        <f t="shared" si="640"/>
        <v>68933.77</v>
      </c>
      <c r="Q1852" s="738">
        <v>68933.77</v>
      </c>
      <c r="R1852" s="738"/>
      <c r="S1852" s="751">
        <v>71780.899999999994</v>
      </c>
      <c r="T1852" s="739">
        <v>1500521</v>
      </c>
      <c r="U1852" s="779">
        <v>69256.639999999999</v>
      </c>
      <c r="V1852" s="741">
        <v>1500522</v>
      </c>
    </row>
    <row r="1853" spans="1:22" ht="15" x14ac:dyDescent="0.25">
      <c r="A1853" s="734">
        <v>1323</v>
      </c>
      <c r="B1853" s="735" t="s">
        <v>11</v>
      </c>
      <c r="C1853" s="736">
        <v>198676.02</v>
      </c>
      <c r="D1853" s="736">
        <v>217133.2</v>
      </c>
      <c r="E1853" s="749">
        <v>217133.2</v>
      </c>
      <c r="F1853" s="736">
        <v>219744.23</v>
      </c>
      <c r="G1853" s="736">
        <v>227767.9</v>
      </c>
      <c r="H1853" s="736"/>
      <c r="I1853" s="736"/>
      <c r="J1853" s="736">
        <f t="shared" si="638"/>
        <v>227767.9</v>
      </c>
      <c r="K1853" s="736">
        <v>5504.56</v>
      </c>
      <c r="L1853" s="736"/>
      <c r="M1853" s="736">
        <f t="shared" si="639"/>
        <v>233272.46</v>
      </c>
      <c r="N1853" s="736"/>
      <c r="O1853" s="736"/>
      <c r="P1853" s="736">
        <f t="shared" si="640"/>
        <v>233272.46</v>
      </c>
      <c r="Q1853" s="738">
        <v>233272.46</v>
      </c>
      <c r="R1853" s="738"/>
      <c r="S1853" s="751">
        <v>242002.95</v>
      </c>
      <c r="T1853" s="739">
        <v>1500521</v>
      </c>
      <c r="U1853" s="779">
        <v>230520.31</v>
      </c>
      <c r="V1853" s="741">
        <v>1500522</v>
      </c>
    </row>
    <row r="1854" spans="1:22" ht="15" x14ac:dyDescent="0.25">
      <c r="A1854" s="734">
        <v>1413</v>
      </c>
      <c r="B1854" s="735" t="s">
        <v>13</v>
      </c>
      <c r="C1854" s="736">
        <v>226864.57</v>
      </c>
      <c r="D1854" s="736">
        <v>353726.88</v>
      </c>
      <c r="E1854" s="749">
        <v>347590.69</v>
      </c>
      <c r="F1854" s="736">
        <v>341893.94</v>
      </c>
      <c r="G1854" s="736">
        <v>402326.69999999995</v>
      </c>
      <c r="H1854" s="736"/>
      <c r="I1854" s="736"/>
      <c r="J1854" s="736">
        <f t="shared" si="638"/>
        <v>402326.69999999995</v>
      </c>
      <c r="K1854" s="736">
        <v>11168.03</v>
      </c>
      <c r="L1854" s="736"/>
      <c r="M1854" s="736">
        <f t="shared" si="639"/>
        <v>413494.73</v>
      </c>
      <c r="N1854" s="736"/>
      <c r="O1854" s="736"/>
      <c r="P1854" s="736">
        <f t="shared" si="640"/>
        <v>413494.73</v>
      </c>
      <c r="Q1854" s="738">
        <v>403442.47</v>
      </c>
      <c r="R1854" s="738"/>
      <c r="S1854" s="751">
        <v>451740.36</v>
      </c>
      <c r="T1854" s="739">
        <v>1500521</v>
      </c>
      <c r="U1854" s="779">
        <v>365947.01</v>
      </c>
      <c r="V1854" s="741">
        <v>1500522</v>
      </c>
    </row>
    <row r="1855" spans="1:22" ht="15" x14ac:dyDescent="0.25">
      <c r="A1855" s="734">
        <v>1421</v>
      </c>
      <c r="B1855" s="735" t="s">
        <v>15</v>
      </c>
      <c r="C1855" s="736">
        <v>59814.07</v>
      </c>
      <c r="D1855" s="736">
        <v>111336.08</v>
      </c>
      <c r="E1855" s="749">
        <v>100147</v>
      </c>
      <c r="F1855" s="736">
        <v>107358.92</v>
      </c>
      <c r="G1855" s="736">
        <v>119106.3</v>
      </c>
      <c r="H1855" s="736"/>
      <c r="I1855" s="736"/>
      <c r="J1855" s="736">
        <f t="shared" si="638"/>
        <v>119106.3</v>
      </c>
      <c r="K1855" s="736">
        <v>3133.47</v>
      </c>
      <c r="L1855" s="736"/>
      <c r="M1855" s="736">
        <f t="shared" si="639"/>
        <v>122239.77</v>
      </c>
      <c r="N1855" s="736"/>
      <c r="O1855" s="736"/>
      <c r="P1855" s="736">
        <f t="shared" si="640"/>
        <v>122239.77</v>
      </c>
      <c r="Q1855" s="738">
        <v>122239.77</v>
      </c>
      <c r="R1855" s="738"/>
      <c r="S1855" s="751">
        <v>126801.60000000001</v>
      </c>
      <c r="T1855" s="739">
        <v>1500521</v>
      </c>
      <c r="U1855" s="779">
        <v>139772.5</v>
      </c>
      <c r="V1855" s="741">
        <v>1500522</v>
      </c>
    </row>
    <row r="1856" spans="1:22" ht="15" x14ac:dyDescent="0.25">
      <c r="A1856" s="734">
        <v>1431</v>
      </c>
      <c r="B1856" s="735" t="s">
        <v>16</v>
      </c>
      <c r="C1856" s="736">
        <v>61608.37</v>
      </c>
      <c r="D1856" s="736">
        <v>114676.08</v>
      </c>
      <c r="E1856" s="749">
        <v>105075.08</v>
      </c>
      <c r="F1856" s="736">
        <v>113591.1</v>
      </c>
      <c r="G1856" s="736">
        <v>122679.3</v>
      </c>
      <c r="H1856" s="736"/>
      <c r="I1856" s="736"/>
      <c r="J1856" s="736">
        <f t="shared" si="638"/>
        <v>122679.3</v>
      </c>
      <c r="K1856" s="736">
        <v>3202.66</v>
      </c>
      <c r="L1856" s="736"/>
      <c r="M1856" s="736">
        <f t="shared" si="639"/>
        <v>125881.96</v>
      </c>
      <c r="N1856" s="736"/>
      <c r="O1856" s="736"/>
      <c r="P1856" s="736">
        <f t="shared" si="640"/>
        <v>125881.96</v>
      </c>
      <c r="Q1856" s="738">
        <v>125881.96</v>
      </c>
      <c r="R1856" s="738"/>
      <c r="S1856" s="751">
        <v>130605.6</v>
      </c>
      <c r="T1856" s="739">
        <v>1500521</v>
      </c>
      <c r="U1856" s="779">
        <v>137295.4</v>
      </c>
      <c r="V1856" s="741">
        <v>1500522</v>
      </c>
    </row>
    <row r="1857" spans="1:22" ht="15" x14ac:dyDescent="0.25">
      <c r="A1857" s="734">
        <v>1511</v>
      </c>
      <c r="B1857" s="735" t="s">
        <v>18</v>
      </c>
      <c r="C1857" s="736">
        <v>24641.31</v>
      </c>
      <c r="D1857" s="736">
        <v>28468.44</v>
      </c>
      <c r="E1857" s="749">
        <v>28468.44</v>
      </c>
      <c r="F1857" s="736">
        <v>29498.87</v>
      </c>
      <c r="G1857" s="736">
        <v>29902.6</v>
      </c>
      <c r="H1857" s="736"/>
      <c r="I1857" s="736"/>
      <c r="J1857" s="736">
        <f t="shared" si="638"/>
        <v>29902.6</v>
      </c>
      <c r="K1857" s="736">
        <v>723.58</v>
      </c>
      <c r="L1857" s="736"/>
      <c r="M1857" s="736">
        <f t="shared" si="639"/>
        <v>30626.18</v>
      </c>
      <c r="N1857" s="736"/>
      <c r="O1857" s="736"/>
      <c r="P1857" s="736">
        <f t="shared" si="640"/>
        <v>30626.18</v>
      </c>
      <c r="Q1857" s="738">
        <v>30626.18</v>
      </c>
      <c r="R1857" s="738"/>
      <c r="S1857" s="751">
        <v>31759</v>
      </c>
      <c r="T1857" s="739">
        <v>1500521</v>
      </c>
      <c r="U1857" s="779">
        <v>31006.7</v>
      </c>
      <c r="V1857" s="741">
        <v>1500522</v>
      </c>
    </row>
    <row r="1858" spans="1:22" ht="15" x14ac:dyDescent="0.25">
      <c r="A1858" s="734">
        <v>1541</v>
      </c>
      <c r="B1858" s="735" t="s">
        <v>19</v>
      </c>
      <c r="C1858" s="736">
        <v>67368.23</v>
      </c>
      <c r="D1858" s="736">
        <v>80707.64</v>
      </c>
      <c r="E1858" s="749">
        <v>78386.64</v>
      </c>
      <c r="F1858" s="736">
        <v>80503.27</v>
      </c>
      <c r="G1858" s="736">
        <v>106375.3</v>
      </c>
      <c r="H1858" s="736"/>
      <c r="I1858" s="736"/>
      <c r="J1858" s="736">
        <f t="shared" si="638"/>
        <v>106375.3</v>
      </c>
      <c r="K1858" s="736">
        <v>4049.27</v>
      </c>
      <c r="L1858" s="736"/>
      <c r="M1858" s="736">
        <f t="shared" si="639"/>
        <v>110424.57</v>
      </c>
      <c r="N1858" s="736"/>
      <c r="O1858" s="736"/>
      <c r="P1858" s="736">
        <f t="shared" si="640"/>
        <v>110424.57</v>
      </c>
      <c r="Q1858" s="738">
        <v>102787.4</v>
      </c>
      <c r="R1858" s="738"/>
      <c r="S1858" s="751">
        <v>111626.32</v>
      </c>
      <c r="T1858" s="739">
        <v>1500521</v>
      </c>
      <c r="U1858" s="779">
        <v>111626.3</v>
      </c>
      <c r="V1858" s="741">
        <v>1500522</v>
      </c>
    </row>
    <row r="1859" spans="1:22" ht="15" x14ac:dyDescent="0.25">
      <c r="A1859" s="734">
        <v>1592</v>
      </c>
      <c r="B1859" s="735" t="s">
        <v>20</v>
      </c>
      <c r="C1859" s="736">
        <v>245851.22</v>
      </c>
      <c r="D1859" s="736">
        <v>283108.28000000003</v>
      </c>
      <c r="E1859" s="749">
        <v>283108.28000000003</v>
      </c>
      <c r="F1859" s="736">
        <v>293353.57</v>
      </c>
      <c r="G1859" s="736">
        <v>297388</v>
      </c>
      <c r="H1859" s="736"/>
      <c r="I1859" s="736"/>
      <c r="J1859" s="736">
        <f t="shared" si="638"/>
        <v>297388</v>
      </c>
      <c r="K1859" s="736">
        <v>7681.21</v>
      </c>
      <c r="L1859" s="736"/>
      <c r="M1859" s="736">
        <f t="shared" si="639"/>
        <v>305069.21000000002</v>
      </c>
      <c r="N1859" s="736"/>
      <c r="O1859" s="736"/>
      <c r="P1859" s="736">
        <f t="shared" si="640"/>
        <v>305069.21000000002</v>
      </c>
      <c r="Q1859" s="738">
        <v>327567.88</v>
      </c>
      <c r="R1859" s="738"/>
      <c r="S1859" s="751">
        <v>316585.36</v>
      </c>
      <c r="T1859" s="739">
        <v>1500521</v>
      </c>
      <c r="U1859" s="779">
        <v>309038.8</v>
      </c>
      <c r="V1859" s="741">
        <v>1500522</v>
      </c>
    </row>
    <row r="1860" spans="1:22" ht="15" x14ac:dyDescent="0.25">
      <c r="A1860" s="739">
        <v>2111</v>
      </c>
      <c r="B1860" s="743" t="s">
        <v>22</v>
      </c>
      <c r="C1860" s="736">
        <v>11617.74</v>
      </c>
      <c r="D1860" s="736">
        <v>47000</v>
      </c>
      <c r="E1860" s="749">
        <v>32900</v>
      </c>
      <c r="F1860" s="736">
        <v>27550</v>
      </c>
      <c r="G1860" s="759">
        <v>616572.04</v>
      </c>
      <c r="H1860" s="759"/>
      <c r="I1860" s="759"/>
      <c r="J1860" s="736">
        <f t="shared" si="638"/>
        <v>616572.04</v>
      </c>
      <c r="K1860" s="759"/>
      <c r="L1860" s="759">
        <f>350612.46+60000+35000</f>
        <v>445612.46</v>
      </c>
      <c r="M1860" s="736">
        <f t="shared" si="639"/>
        <v>170959.58000000002</v>
      </c>
      <c r="N1860" s="736"/>
      <c r="O1860" s="736">
        <f>0.2+4290+10000</f>
        <v>14290.2</v>
      </c>
      <c r="P1860" s="736">
        <f t="shared" si="640"/>
        <v>156669.38</v>
      </c>
      <c r="Q1860" s="760">
        <v>53825.38</v>
      </c>
      <c r="R1860" s="738"/>
      <c r="S1860" s="911"/>
      <c r="T1860" s="808">
        <v>1100120</v>
      </c>
      <c r="U1860" s="745"/>
      <c r="V1860" s="808">
        <v>1100120</v>
      </c>
    </row>
    <row r="1861" spans="1:22" ht="15" x14ac:dyDescent="0.2">
      <c r="A1861" s="739">
        <v>2111</v>
      </c>
      <c r="B1861" s="743" t="s">
        <v>22</v>
      </c>
      <c r="C1861" s="736"/>
      <c r="D1861" s="736"/>
      <c r="E1861" s="749"/>
      <c r="F1861" s="736"/>
      <c r="G1861" s="752">
        <v>32900</v>
      </c>
      <c r="H1861" s="752"/>
      <c r="I1861" s="752"/>
      <c r="J1861" s="736">
        <f t="shared" si="638"/>
        <v>32900</v>
      </c>
      <c r="K1861" s="752"/>
      <c r="L1861" s="752"/>
      <c r="M1861" s="736">
        <f t="shared" si="639"/>
        <v>32900</v>
      </c>
      <c r="N1861" s="736"/>
      <c r="O1861" s="736"/>
      <c r="P1861" s="736">
        <f t="shared" si="640"/>
        <v>32900</v>
      </c>
      <c r="Q1861" s="753">
        <v>27642.53</v>
      </c>
      <c r="R1861" s="738">
        <v>22241.11</v>
      </c>
      <c r="S1861" s="753"/>
      <c r="T1861" s="808">
        <v>1100121</v>
      </c>
      <c r="U1861" s="745"/>
      <c r="V1861" s="808">
        <v>1100122</v>
      </c>
    </row>
    <row r="1862" spans="1:22" ht="15" x14ac:dyDescent="0.2">
      <c r="A1862" s="912">
        <v>2111</v>
      </c>
      <c r="B1862" s="762" t="s">
        <v>22</v>
      </c>
      <c r="C1862" s="736">
        <v>30266.1</v>
      </c>
      <c r="D1862" s="736"/>
      <c r="E1862" s="749"/>
      <c r="F1862" s="736"/>
      <c r="G1862" s="752"/>
      <c r="H1862" s="752"/>
      <c r="I1862" s="752"/>
      <c r="J1862" s="736">
        <f t="shared" si="638"/>
        <v>0</v>
      </c>
      <c r="K1862" s="752"/>
      <c r="L1862" s="752"/>
      <c r="M1862" s="736">
        <f t="shared" si="639"/>
        <v>0</v>
      </c>
      <c r="N1862" s="736"/>
      <c r="O1862" s="736"/>
      <c r="P1862" s="738">
        <f t="shared" si="640"/>
        <v>0</v>
      </c>
      <c r="Q1862" s="753"/>
      <c r="R1862" s="738"/>
      <c r="S1862" s="753">
        <v>60000</v>
      </c>
      <c r="T1862" s="808">
        <v>1100121</v>
      </c>
      <c r="U1862" s="740">
        <v>30000</v>
      </c>
      <c r="V1862" s="870">
        <v>1100122</v>
      </c>
    </row>
    <row r="1863" spans="1:22" ht="15" x14ac:dyDescent="0.2">
      <c r="A1863" s="734">
        <v>2112</v>
      </c>
      <c r="B1863" s="735" t="s">
        <v>39</v>
      </c>
      <c r="C1863" s="736">
        <v>8331.2999999999993</v>
      </c>
      <c r="D1863" s="736">
        <v>7000</v>
      </c>
      <c r="E1863" s="749">
        <v>7000</v>
      </c>
      <c r="F1863" s="736">
        <v>7000</v>
      </c>
      <c r="G1863" s="752">
        <v>7000</v>
      </c>
      <c r="H1863" s="752"/>
      <c r="I1863" s="752"/>
      <c r="J1863" s="736">
        <f t="shared" si="638"/>
        <v>7000</v>
      </c>
      <c r="K1863" s="752"/>
      <c r="L1863" s="752"/>
      <c r="M1863" s="736">
        <f t="shared" si="639"/>
        <v>7000</v>
      </c>
      <c r="N1863" s="736"/>
      <c r="O1863" s="736"/>
      <c r="P1863" s="736">
        <f t="shared" si="640"/>
        <v>7000</v>
      </c>
      <c r="Q1863" s="753">
        <v>7000</v>
      </c>
      <c r="R1863" s="738">
        <v>6136.8</v>
      </c>
      <c r="S1863" s="753">
        <v>30000</v>
      </c>
      <c r="T1863" s="739">
        <v>1100121</v>
      </c>
      <c r="U1863" s="740">
        <v>10000</v>
      </c>
      <c r="V1863" s="741">
        <v>1100122</v>
      </c>
    </row>
    <row r="1864" spans="1:22" ht="15" x14ac:dyDescent="0.2">
      <c r="A1864" s="734">
        <v>2121</v>
      </c>
      <c r="B1864" s="735" t="s">
        <v>24</v>
      </c>
      <c r="C1864" s="736">
        <v>10073.67</v>
      </c>
      <c r="D1864" s="736"/>
      <c r="E1864" s="749"/>
      <c r="F1864" s="736">
        <v>9254.16</v>
      </c>
      <c r="G1864" s="752">
        <v>10500</v>
      </c>
      <c r="H1864" s="752"/>
      <c r="I1864" s="752"/>
      <c r="J1864" s="736">
        <f t="shared" si="638"/>
        <v>10500</v>
      </c>
      <c r="K1864" s="752"/>
      <c r="L1864" s="752"/>
      <c r="M1864" s="736">
        <f t="shared" si="639"/>
        <v>10500</v>
      </c>
      <c r="N1864" s="736"/>
      <c r="O1864" s="736"/>
      <c r="P1864" s="736">
        <f t="shared" si="640"/>
        <v>10500</v>
      </c>
      <c r="Q1864" s="753">
        <v>8013.37</v>
      </c>
      <c r="R1864" s="738">
        <v>7488.37</v>
      </c>
      <c r="S1864" s="753">
        <v>15000</v>
      </c>
      <c r="T1864" s="808">
        <v>1100121</v>
      </c>
      <c r="U1864" s="740">
        <v>13000</v>
      </c>
      <c r="V1864" s="870">
        <v>1100122</v>
      </c>
    </row>
    <row r="1865" spans="1:22" ht="15" x14ac:dyDescent="0.2">
      <c r="A1865" s="739">
        <v>2121</v>
      </c>
      <c r="B1865" s="743" t="s">
        <v>24</v>
      </c>
      <c r="C1865" s="736">
        <v>14250</v>
      </c>
      <c r="D1865" s="736">
        <v>15000</v>
      </c>
      <c r="E1865" s="749">
        <v>10500</v>
      </c>
      <c r="F1865" s="736"/>
      <c r="G1865" s="752">
        <v>321123.40999999997</v>
      </c>
      <c r="H1865" s="752"/>
      <c r="I1865" s="752"/>
      <c r="J1865" s="736">
        <f t="shared" si="638"/>
        <v>321123.40999999997</v>
      </c>
      <c r="K1865" s="752"/>
      <c r="L1865" s="752">
        <v>321123.40999999997</v>
      </c>
      <c r="M1865" s="736">
        <f t="shared" si="639"/>
        <v>0</v>
      </c>
      <c r="N1865" s="736"/>
      <c r="O1865" s="736"/>
      <c r="P1865" s="738">
        <f t="shared" si="640"/>
        <v>0</v>
      </c>
      <c r="Q1865" s="753"/>
      <c r="R1865" s="738"/>
      <c r="S1865" s="753"/>
      <c r="T1865" s="808">
        <v>1100120</v>
      </c>
      <c r="U1865" s="745"/>
      <c r="V1865" s="808">
        <v>1100120</v>
      </c>
    </row>
    <row r="1866" spans="1:22" ht="15" x14ac:dyDescent="0.2">
      <c r="A1866" s="734">
        <v>2161</v>
      </c>
      <c r="B1866" s="735" t="s">
        <v>59</v>
      </c>
      <c r="C1866" s="736">
        <v>4377.84</v>
      </c>
      <c r="D1866" s="736">
        <v>4500</v>
      </c>
      <c r="E1866" s="749">
        <v>4500</v>
      </c>
      <c r="F1866" s="736">
        <v>4496.28</v>
      </c>
      <c r="G1866" s="752">
        <v>6000</v>
      </c>
      <c r="H1866" s="752"/>
      <c r="I1866" s="752"/>
      <c r="J1866" s="736">
        <f t="shared" si="638"/>
        <v>6000</v>
      </c>
      <c r="K1866" s="752"/>
      <c r="L1866" s="752"/>
      <c r="M1866" s="736">
        <f t="shared" si="639"/>
        <v>6000</v>
      </c>
      <c r="N1866" s="736"/>
      <c r="O1866" s="736"/>
      <c r="P1866" s="736">
        <f t="shared" si="640"/>
        <v>6000</v>
      </c>
      <c r="Q1866" s="753">
        <v>6000</v>
      </c>
      <c r="R1866" s="738">
        <v>4281.6499999999996</v>
      </c>
      <c r="S1866" s="753">
        <v>10000</v>
      </c>
      <c r="T1866" s="739">
        <v>1100121</v>
      </c>
      <c r="U1866" s="754">
        <v>8000</v>
      </c>
      <c r="V1866" s="741">
        <v>1100122</v>
      </c>
    </row>
    <row r="1867" spans="1:22" ht="15" x14ac:dyDescent="0.2">
      <c r="A1867" s="734">
        <v>2212</v>
      </c>
      <c r="B1867" s="735" t="s">
        <v>40</v>
      </c>
      <c r="C1867" s="736">
        <v>6543.33</v>
      </c>
      <c r="D1867" s="736">
        <v>15000</v>
      </c>
      <c r="E1867" s="749">
        <v>35000</v>
      </c>
      <c r="F1867" s="736">
        <v>18693.400000000001</v>
      </c>
      <c r="G1867" s="752">
        <v>20000</v>
      </c>
      <c r="H1867" s="752"/>
      <c r="I1867" s="752"/>
      <c r="J1867" s="736">
        <f t="shared" si="638"/>
        <v>20000</v>
      </c>
      <c r="K1867" s="752"/>
      <c r="L1867" s="752"/>
      <c r="M1867" s="736">
        <f t="shared" si="639"/>
        <v>20000</v>
      </c>
      <c r="N1867" s="736">
        <v>15000</v>
      </c>
      <c r="O1867" s="736"/>
      <c r="P1867" s="736">
        <f t="shared" si="640"/>
        <v>35000</v>
      </c>
      <c r="Q1867" s="753">
        <v>35000</v>
      </c>
      <c r="R1867" s="738">
        <v>31066.400000000001</v>
      </c>
      <c r="S1867" s="753">
        <v>22000</v>
      </c>
      <c r="T1867" s="739">
        <v>1100121</v>
      </c>
      <c r="U1867" s="740">
        <v>40000</v>
      </c>
      <c r="V1867" s="741">
        <v>1100122</v>
      </c>
    </row>
    <row r="1868" spans="1:22" ht="15" x14ac:dyDescent="0.2">
      <c r="A1868" s="734">
        <v>2491</v>
      </c>
      <c r="B1868" s="735" t="s">
        <v>41</v>
      </c>
      <c r="C1868" s="736">
        <v>9959.2000000000007</v>
      </c>
      <c r="D1868" s="736">
        <v>5000</v>
      </c>
      <c r="E1868" s="749">
        <v>5000</v>
      </c>
      <c r="F1868" s="736">
        <v>4944.96</v>
      </c>
      <c r="G1868" s="752">
        <v>10000</v>
      </c>
      <c r="H1868" s="752"/>
      <c r="I1868" s="752"/>
      <c r="J1868" s="736">
        <f t="shared" si="638"/>
        <v>10000</v>
      </c>
      <c r="K1868" s="752"/>
      <c r="L1868" s="752"/>
      <c r="M1868" s="736">
        <f t="shared" si="639"/>
        <v>10000</v>
      </c>
      <c r="N1868" s="736"/>
      <c r="O1868" s="736"/>
      <c r="P1868" s="736">
        <f t="shared" si="640"/>
        <v>10000</v>
      </c>
      <c r="Q1868" s="753">
        <v>10000</v>
      </c>
      <c r="R1868" s="738">
        <v>9970.7999999999993</v>
      </c>
      <c r="S1868" s="753">
        <v>15000</v>
      </c>
      <c r="T1868" s="739">
        <v>1100121</v>
      </c>
      <c r="U1868" s="754">
        <v>15000</v>
      </c>
      <c r="V1868" s="741">
        <v>1100122</v>
      </c>
    </row>
    <row r="1869" spans="1:22" ht="30" x14ac:dyDescent="0.2">
      <c r="A1869" s="734">
        <v>2612</v>
      </c>
      <c r="B1869" s="735" t="s">
        <v>26</v>
      </c>
      <c r="C1869" s="736">
        <v>35365.4</v>
      </c>
      <c r="D1869" s="736">
        <v>36000</v>
      </c>
      <c r="E1869" s="749">
        <v>36000</v>
      </c>
      <c r="F1869" s="736">
        <v>31117.64</v>
      </c>
      <c r="G1869" s="752">
        <v>30000</v>
      </c>
      <c r="H1869" s="752"/>
      <c r="I1869" s="752"/>
      <c r="J1869" s="736">
        <f t="shared" si="638"/>
        <v>30000</v>
      </c>
      <c r="K1869" s="752"/>
      <c r="L1869" s="752"/>
      <c r="M1869" s="736">
        <f t="shared" si="639"/>
        <v>30000</v>
      </c>
      <c r="N1869" s="736">
        <v>15000</v>
      </c>
      <c r="O1869" s="736"/>
      <c r="P1869" s="736">
        <f t="shared" si="640"/>
        <v>45000</v>
      </c>
      <c r="Q1869" s="753">
        <v>49000</v>
      </c>
      <c r="R1869" s="738">
        <v>36550.44</v>
      </c>
      <c r="S1869" s="738">
        <f>Q1869</f>
        <v>49000</v>
      </c>
      <c r="T1869" s="739">
        <v>1100121</v>
      </c>
      <c r="U1869" s="746">
        <v>50000</v>
      </c>
      <c r="V1869" s="741">
        <v>1100122</v>
      </c>
    </row>
    <row r="1870" spans="1:22" ht="15" x14ac:dyDescent="0.2">
      <c r="A1870" s="739">
        <v>2711</v>
      </c>
      <c r="B1870" s="743" t="s">
        <v>27</v>
      </c>
      <c r="C1870" s="736">
        <v>8000</v>
      </c>
      <c r="D1870" s="736"/>
      <c r="E1870" s="749"/>
      <c r="F1870" s="736"/>
      <c r="G1870" s="752">
        <v>0</v>
      </c>
      <c r="H1870" s="752"/>
      <c r="I1870" s="752"/>
      <c r="J1870" s="736">
        <f t="shared" si="638"/>
        <v>0</v>
      </c>
      <c r="K1870" s="752"/>
      <c r="L1870" s="752"/>
      <c r="M1870" s="736">
        <f t="shared" si="639"/>
        <v>0</v>
      </c>
      <c r="N1870" s="736"/>
      <c r="O1870" s="736"/>
      <c r="P1870" s="738">
        <f t="shared" si="640"/>
        <v>0</v>
      </c>
      <c r="Q1870" s="753">
        <v>0</v>
      </c>
      <c r="R1870" s="738"/>
      <c r="S1870" s="753">
        <v>15000</v>
      </c>
      <c r="T1870" s="739"/>
      <c r="U1870" s="744"/>
      <c r="V1870" s="739"/>
    </row>
    <row r="1871" spans="1:22" ht="15" x14ac:dyDescent="0.2">
      <c r="A1871" s="734">
        <v>3131</v>
      </c>
      <c r="B1871" s="735" t="s">
        <v>61</v>
      </c>
      <c r="C1871" s="736">
        <v>25000</v>
      </c>
      <c r="D1871" s="736">
        <v>34000</v>
      </c>
      <c r="E1871" s="749">
        <v>34000</v>
      </c>
      <c r="F1871" s="736">
        <v>32772.44</v>
      </c>
      <c r="G1871" s="752">
        <v>40000</v>
      </c>
      <c r="H1871" s="752"/>
      <c r="I1871" s="752"/>
      <c r="J1871" s="736">
        <f t="shared" si="638"/>
        <v>40000</v>
      </c>
      <c r="K1871" s="752"/>
      <c r="L1871" s="752"/>
      <c r="M1871" s="736">
        <f t="shared" si="639"/>
        <v>40000</v>
      </c>
      <c r="N1871" s="736"/>
      <c r="O1871" s="736"/>
      <c r="P1871" s="736">
        <f t="shared" si="640"/>
        <v>40000</v>
      </c>
      <c r="Q1871" s="753">
        <v>40000</v>
      </c>
      <c r="R1871" s="738">
        <v>39342.199999999997</v>
      </c>
      <c r="S1871" s="753">
        <v>55000</v>
      </c>
      <c r="T1871" s="739">
        <v>1100121</v>
      </c>
      <c r="U1871" s="746">
        <v>55000</v>
      </c>
      <c r="V1871" s="741">
        <v>1100122</v>
      </c>
    </row>
    <row r="1872" spans="1:22" ht="15" x14ac:dyDescent="0.2">
      <c r="A1872" s="734">
        <v>3141</v>
      </c>
      <c r="B1872" s="735" t="s">
        <v>48</v>
      </c>
      <c r="C1872" s="736">
        <v>17666.91</v>
      </c>
      <c r="D1872" s="736">
        <v>23000</v>
      </c>
      <c r="E1872" s="749">
        <v>18000</v>
      </c>
      <c r="F1872" s="736">
        <v>13478.01</v>
      </c>
      <c r="G1872" s="752">
        <v>19800</v>
      </c>
      <c r="H1872" s="752"/>
      <c r="I1872" s="752"/>
      <c r="J1872" s="736">
        <f t="shared" si="638"/>
        <v>19800</v>
      </c>
      <c r="K1872" s="752"/>
      <c r="L1872" s="752"/>
      <c r="M1872" s="736">
        <f t="shared" si="639"/>
        <v>19800</v>
      </c>
      <c r="N1872" s="736"/>
      <c r="O1872" s="736"/>
      <c r="P1872" s="736">
        <f t="shared" si="640"/>
        <v>19800</v>
      </c>
      <c r="Q1872" s="753">
        <v>19800</v>
      </c>
      <c r="R1872" s="738">
        <v>9303.8700000000008</v>
      </c>
      <c r="S1872" s="753">
        <v>16000</v>
      </c>
      <c r="T1872" s="739">
        <v>1100121</v>
      </c>
      <c r="U1872" s="746">
        <v>16000</v>
      </c>
      <c r="V1872" s="741">
        <v>1100122</v>
      </c>
    </row>
    <row r="1873" spans="1:22" ht="15" x14ac:dyDescent="0.2">
      <c r="A1873" s="734">
        <v>3151</v>
      </c>
      <c r="B1873" s="735" t="s">
        <v>28</v>
      </c>
      <c r="C1873" s="736">
        <v>6137.95</v>
      </c>
      <c r="D1873" s="736">
        <v>8000</v>
      </c>
      <c r="E1873" s="749">
        <v>6000</v>
      </c>
      <c r="F1873" s="736">
        <v>4216.12</v>
      </c>
      <c r="G1873" s="752">
        <v>6000</v>
      </c>
      <c r="H1873" s="752"/>
      <c r="I1873" s="752"/>
      <c r="J1873" s="736">
        <f t="shared" si="638"/>
        <v>6000</v>
      </c>
      <c r="K1873" s="752"/>
      <c r="L1873" s="752"/>
      <c r="M1873" s="736">
        <f t="shared" si="639"/>
        <v>6000</v>
      </c>
      <c r="N1873" s="736"/>
      <c r="O1873" s="736"/>
      <c r="P1873" s="736">
        <f t="shared" si="640"/>
        <v>6000</v>
      </c>
      <c r="Q1873" s="753">
        <v>6000</v>
      </c>
      <c r="R1873" s="738">
        <v>3432.27</v>
      </c>
      <c r="S1873" s="753">
        <v>7000</v>
      </c>
      <c r="T1873" s="739">
        <v>1100121</v>
      </c>
      <c r="U1873" s="746">
        <v>7000</v>
      </c>
      <c r="V1873" s="741">
        <v>1100122</v>
      </c>
    </row>
    <row r="1874" spans="1:22" ht="30" x14ac:dyDescent="0.2">
      <c r="A1874" s="734">
        <v>3361</v>
      </c>
      <c r="B1874" s="735" t="s">
        <v>29</v>
      </c>
      <c r="C1874" s="736">
        <v>4787.7</v>
      </c>
      <c r="D1874" s="736">
        <v>7000</v>
      </c>
      <c r="E1874" s="749">
        <v>7000</v>
      </c>
      <c r="F1874" s="736">
        <v>4524</v>
      </c>
      <c r="G1874" s="752">
        <v>7000</v>
      </c>
      <c r="H1874" s="752"/>
      <c r="I1874" s="752"/>
      <c r="J1874" s="736">
        <f t="shared" si="638"/>
        <v>7000</v>
      </c>
      <c r="K1874" s="752"/>
      <c r="L1874" s="752"/>
      <c r="M1874" s="736">
        <f t="shared" si="639"/>
        <v>7000</v>
      </c>
      <c r="N1874" s="736"/>
      <c r="O1874" s="736"/>
      <c r="P1874" s="736">
        <f t="shared" si="640"/>
        <v>7000</v>
      </c>
      <c r="Q1874" s="753">
        <v>7000</v>
      </c>
      <c r="R1874" s="738">
        <v>1320</v>
      </c>
      <c r="S1874" s="753">
        <v>9000</v>
      </c>
      <c r="T1874" s="739">
        <v>1100121</v>
      </c>
      <c r="U1874" s="754">
        <v>9000</v>
      </c>
      <c r="V1874" s="741">
        <v>1100122</v>
      </c>
    </row>
    <row r="1875" spans="1:22" ht="15" x14ac:dyDescent="0.2">
      <c r="A1875" s="734">
        <v>3511</v>
      </c>
      <c r="B1875" s="735" t="s">
        <v>49</v>
      </c>
      <c r="C1875" s="736">
        <v>7308</v>
      </c>
      <c r="D1875" s="736">
        <v>30000</v>
      </c>
      <c r="E1875" s="749">
        <v>35000</v>
      </c>
      <c r="F1875" s="736">
        <v>34999.03</v>
      </c>
      <c r="G1875" s="752">
        <v>30000</v>
      </c>
      <c r="H1875" s="752"/>
      <c r="I1875" s="752"/>
      <c r="J1875" s="736">
        <f t="shared" si="638"/>
        <v>30000</v>
      </c>
      <c r="K1875" s="752"/>
      <c r="L1875" s="752"/>
      <c r="M1875" s="736">
        <f t="shared" si="639"/>
        <v>30000</v>
      </c>
      <c r="N1875" s="736"/>
      <c r="O1875" s="736"/>
      <c r="P1875" s="736">
        <f t="shared" si="640"/>
        <v>30000</v>
      </c>
      <c r="Q1875" s="753">
        <v>30000</v>
      </c>
      <c r="R1875" s="738">
        <v>30000</v>
      </c>
      <c r="S1875" s="753">
        <v>30000</v>
      </c>
      <c r="T1875" s="739">
        <v>1100121</v>
      </c>
      <c r="U1875" s="754">
        <v>30000</v>
      </c>
      <c r="V1875" s="741">
        <v>1100122</v>
      </c>
    </row>
    <row r="1876" spans="1:22" ht="15" x14ac:dyDescent="0.2">
      <c r="A1876" s="734">
        <v>3551</v>
      </c>
      <c r="B1876" s="735" t="s">
        <v>30</v>
      </c>
      <c r="C1876" s="736">
        <v>6067.99</v>
      </c>
      <c r="D1876" s="736">
        <v>10000</v>
      </c>
      <c r="E1876" s="749">
        <v>25000</v>
      </c>
      <c r="F1876" s="736">
        <v>14983.2</v>
      </c>
      <c r="G1876" s="752">
        <v>25000</v>
      </c>
      <c r="H1876" s="752"/>
      <c r="I1876" s="752"/>
      <c r="J1876" s="736">
        <f t="shared" si="638"/>
        <v>25000</v>
      </c>
      <c r="K1876" s="752"/>
      <c r="L1876" s="752"/>
      <c r="M1876" s="736">
        <f t="shared" si="639"/>
        <v>25000</v>
      </c>
      <c r="N1876" s="736">
        <v>25000</v>
      </c>
      <c r="O1876" s="736"/>
      <c r="P1876" s="736">
        <f t="shared" si="640"/>
        <v>50000</v>
      </c>
      <c r="Q1876" s="753">
        <v>60000</v>
      </c>
      <c r="R1876" s="738">
        <v>43343.54</v>
      </c>
      <c r="S1876" s="738">
        <f>Q1876</f>
        <v>60000</v>
      </c>
      <c r="T1876" s="739">
        <v>1100121</v>
      </c>
      <c r="U1876" s="746">
        <v>60000</v>
      </c>
      <c r="V1876" s="741">
        <v>1100122</v>
      </c>
    </row>
    <row r="1877" spans="1:22" ht="15" x14ac:dyDescent="0.2">
      <c r="A1877" s="734">
        <v>3571</v>
      </c>
      <c r="B1877" s="735" t="s">
        <v>65</v>
      </c>
      <c r="C1877" s="736">
        <v>5138.28</v>
      </c>
      <c r="D1877" s="736">
        <v>7000</v>
      </c>
      <c r="E1877" s="749">
        <v>7000</v>
      </c>
      <c r="F1877" s="736">
        <v>6924.04</v>
      </c>
      <c r="G1877" s="752">
        <v>7000</v>
      </c>
      <c r="H1877" s="752"/>
      <c r="I1877" s="752"/>
      <c r="J1877" s="736">
        <f t="shared" si="638"/>
        <v>7000</v>
      </c>
      <c r="K1877" s="752"/>
      <c r="L1877" s="752"/>
      <c r="M1877" s="736">
        <f t="shared" si="639"/>
        <v>7000</v>
      </c>
      <c r="N1877" s="736"/>
      <c r="O1877" s="736"/>
      <c r="P1877" s="736">
        <f t="shared" si="640"/>
        <v>7000</v>
      </c>
      <c r="Q1877" s="753">
        <v>7000</v>
      </c>
      <c r="R1877" s="738">
        <v>974.4</v>
      </c>
      <c r="S1877" s="753">
        <v>7000</v>
      </c>
      <c r="T1877" s="739">
        <v>1100121</v>
      </c>
      <c r="U1877" s="754">
        <v>7000</v>
      </c>
      <c r="V1877" s="741">
        <v>1100122</v>
      </c>
    </row>
    <row r="1878" spans="1:22" ht="15" x14ac:dyDescent="0.2">
      <c r="A1878" s="734">
        <v>3612</v>
      </c>
      <c r="B1878" s="735" t="s">
        <v>188</v>
      </c>
      <c r="C1878" s="736">
        <v>96603.15</v>
      </c>
      <c r="D1878" s="736">
        <v>100000</v>
      </c>
      <c r="E1878" s="749">
        <v>100000</v>
      </c>
      <c r="F1878" s="736">
        <v>95774.25</v>
      </c>
      <c r="G1878" s="752">
        <v>100000</v>
      </c>
      <c r="H1878" s="752"/>
      <c r="I1878" s="752"/>
      <c r="J1878" s="736">
        <f t="shared" si="638"/>
        <v>100000</v>
      </c>
      <c r="K1878" s="752"/>
      <c r="L1878" s="752"/>
      <c r="M1878" s="736">
        <f t="shared" si="639"/>
        <v>100000</v>
      </c>
      <c r="N1878" s="736"/>
      <c r="O1878" s="736"/>
      <c r="P1878" s="736">
        <f t="shared" si="640"/>
        <v>100000</v>
      </c>
      <c r="Q1878" s="753">
        <v>100000</v>
      </c>
      <c r="R1878" s="738">
        <v>95950.94</v>
      </c>
      <c r="S1878" s="753">
        <v>150000</v>
      </c>
      <c r="T1878" s="739">
        <v>1100121</v>
      </c>
      <c r="U1878" s="754">
        <v>150000</v>
      </c>
      <c r="V1878" s="741">
        <v>1100122</v>
      </c>
    </row>
    <row r="1879" spans="1:22" ht="15" x14ac:dyDescent="0.2">
      <c r="A1879" s="889">
        <v>3751</v>
      </c>
      <c r="B1879" s="755" t="s">
        <v>44</v>
      </c>
      <c r="C1879" s="736"/>
      <c r="D1879" s="736"/>
      <c r="E1879" s="749"/>
      <c r="F1879" s="736"/>
      <c r="G1879" s="752">
        <v>5000</v>
      </c>
      <c r="H1879" s="752"/>
      <c r="I1879" s="752"/>
      <c r="J1879" s="736">
        <f t="shared" si="638"/>
        <v>5000</v>
      </c>
      <c r="K1879" s="752"/>
      <c r="L1879" s="752"/>
      <c r="M1879" s="736">
        <f t="shared" si="639"/>
        <v>5000</v>
      </c>
      <c r="N1879" s="736"/>
      <c r="O1879" s="736"/>
      <c r="P1879" s="736">
        <f t="shared" si="640"/>
        <v>5000</v>
      </c>
      <c r="Q1879" s="753">
        <v>5000</v>
      </c>
      <c r="R1879" s="738">
        <v>435</v>
      </c>
      <c r="S1879" s="753">
        <v>5000</v>
      </c>
      <c r="T1879" s="739">
        <v>1100121</v>
      </c>
      <c r="U1879" s="754">
        <v>5000</v>
      </c>
      <c r="V1879" s="741">
        <v>1100122</v>
      </c>
    </row>
    <row r="1880" spans="1:22" ht="15" x14ac:dyDescent="0.2">
      <c r="A1880" s="734">
        <v>3791</v>
      </c>
      <c r="B1880" s="735" t="s">
        <v>45</v>
      </c>
      <c r="C1880" s="736">
        <v>403</v>
      </c>
      <c r="D1880" s="736"/>
      <c r="E1880" s="749"/>
      <c r="F1880" s="736"/>
      <c r="G1880" s="752">
        <v>5000</v>
      </c>
      <c r="H1880" s="752"/>
      <c r="I1880" s="752"/>
      <c r="J1880" s="736">
        <f t="shared" si="638"/>
        <v>5000</v>
      </c>
      <c r="K1880" s="752"/>
      <c r="L1880" s="752"/>
      <c r="M1880" s="736">
        <f t="shared" si="639"/>
        <v>5000</v>
      </c>
      <c r="N1880" s="736"/>
      <c r="O1880" s="736"/>
      <c r="P1880" s="736">
        <f t="shared" si="640"/>
        <v>5000</v>
      </c>
      <c r="Q1880" s="753">
        <v>5000</v>
      </c>
      <c r="R1880" s="738">
        <v>53</v>
      </c>
      <c r="S1880" s="753">
        <v>5000</v>
      </c>
      <c r="T1880" s="739">
        <v>1100121</v>
      </c>
      <c r="U1880" s="754">
        <v>5000</v>
      </c>
      <c r="V1880" s="741">
        <v>1100122</v>
      </c>
    </row>
    <row r="1881" spans="1:22" ht="15" x14ac:dyDescent="0.2">
      <c r="A1881" s="734">
        <v>3852</v>
      </c>
      <c r="B1881" s="735" t="s">
        <v>32</v>
      </c>
      <c r="C1881" s="736">
        <v>22361.89</v>
      </c>
      <c r="D1881" s="736">
        <v>22000</v>
      </c>
      <c r="E1881" s="749">
        <v>22000</v>
      </c>
      <c r="F1881" s="736">
        <v>18841.7</v>
      </c>
      <c r="G1881" s="752">
        <v>20000</v>
      </c>
      <c r="H1881" s="752"/>
      <c r="I1881" s="752"/>
      <c r="J1881" s="736">
        <f t="shared" si="638"/>
        <v>20000</v>
      </c>
      <c r="K1881" s="752"/>
      <c r="L1881" s="752"/>
      <c r="M1881" s="736">
        <f t="shared" si="639"/>
        <v>20000</v>
      </c>
      <c r="N1881" s="736"/>
      <c r="O1881" s="736"/>
      <c r="P1881" s="736">
        <f t="shared" si="640"/>
        <v>20000</v>
      </c>
      <c r="Q1881" s="753">
        <v>20000</v>
      </c>
      <c r="R1881" s="738">
        <v>7941.5</v>
      </c>
      <c r="S1881" s="753">
        <v>25000</v>
      </c>
      <c r="T1881" s="739">
        <v>1100121</v>
      </c>
      <c r="U1881" s="740">
        <v>20000</v>
      </c>
      <c r="V1881" s="741">
        <v>1100122</v>
      </c>
    </row>
    <row r="1882" spans="1:22" ht="15" x14ac:dyDescent="0.2">
      <c r="A1882" s="734">
        <v>3921</v>
      </c>
      <c r="B1882" s="735" t="s">
        <v>33</v>
      </c>
      <c r="C1882" s="736">
        <v>940.02</v>
      </c>
      <c r="D1882" s="736">
        <v>1040</v>
      </c>
      <c r="E1882" s="749">
        <v>1040</v>
      </c>
      <c r="F1882" s="736">
        <v>526</v>
      </c>
      <c r="G1882" s="752">
        <v>1157.2</v>
      </c>
      <c r="H1882" s="752"/>
      <c r="I1882" s="752"/>
      <c r="J1882" s="736">
        <f t="shared" si="638"/>
        <v>1157.2</v>
      </c>
      <c r="K1882" s="752"/>
      <c r="L1882" s="752"/>
      <c r="M1882" s="736">
        <f t="shared" si="639"/>
        <v>1157.2</v>
      </c>
      <c r="N1882" s="736"/>
      <c r="O1882" s="736"/>
      <c r="P1882" s="736">
        <f t="shared" si="640"/>
        <v>1157.2</v>
      </c>
      <c r="Q1882" s="753">
        <v>1157.2</v>
      </c>
      <c r="R1882" s="738">
        <v>1051.98</v>
      </c>
      <c r="S1882" s="753">
        <v>2020.44</v>
      </c>
      <c r="T1882" s="739">
        <v>1100121</v>
      </c>
      <c r="U1882" s="746">
        <v>1347</v>
      </c>
      <c r="V1882" s="741">
        <v>1100122</v>
      </c>
    </row>
    <row r="1883" spans="1:22" ht="15" x14ac:dyDescent="0.2">
      <c r="A1883" s="739">
        <v>5111</v>
      </c>
      <c r="B1883" s="743" t="s">
        <v>35</v>
      </c>
      <c r="C1883" s="736"/>
      <c r="D1883" s="736"/>
      <c r="E1883" s="749"/>
      <c r="F1883" s="736"/>
      <c r="G1883" s="752">
        <v>20000</v>
      </c>
      <c r="H1883" s="752"/>
      <c r="I1883" s="752"/>
      <c r="J1883" s="736">
        <f t="shared" si="638"/>
        <v>20000</v>
      </c>
      <c r="K1883" s="752"/>
      <c r="L1883" s="752"/>
      <c r="M1883" s="736">
        <f t="shared" si="639"/>
        <v>20000</v>
      </c>
      <c r="N1883" s="736"/>
      <c r="O1883" s="736"/>
      <c r="P1883" s="736">
        <f t="shared" si="640"/>
        <v>20000</v>
      </c>
      <c r="Q1883" s="753">
        <v>20000</v>
      </c>
      <c r="R1883" s="738"/>
      <c r="S1883" s="753"/>
      <c r="T1883" s="808">
        <v>1500521</v>
      </c>
      <c r="U1883" s="745"/>
      <c r="V1883" s="808">
        <v>1500522</v>
      </c>
    </row>
    <row r="1884" spans="1:22" ht="15" x14ac:dyDescent="0.2">
      <c r="A1884" s="734">
        <v>5111</v>
      </c>
      <c r="B1884" s="735" t="s">
        <v>35</v>
      </c>
      <c r="C1884" s="736">
        <v>17760</v>
      </c>
      <c r="D1884" s="736">
        <v>30000</v>
      </c>
      <c r="E1884" s="736"/>
      <c r="F1884" s="736">
        <v>8000</v>
      </c>
      <c r="G1884" s="752">
        <v>50000</v>
      </c>
      <c r="H1884" s="752"/>
      <c r="I1884" s="752"/>
      <c r="J1884" s="736">
        <f t="shared" si="638"/>
        <v>50000</v>
      </c>
      <c r="K1884" s="752"/>
      <c r="L1884" s="752"/>
      <c r="M1884" s="736">
        <f t="shared" si="639"/>
        <v>50000</v>
      </c>
      <c r="N1884" s="736"/>
      <c r="O1884" s="736"/>
      <c r="P1884" s="736">
        <f t="shared" si="640"/>
        <v>50000</v>
      </c>
      <c r="Q1884" s="753">
        <v>50000</v>
      </c>
      <c r="R1884" s="738"/>
      <c r="S1884" s="753">
        <v>40000</v>
      </c>
      <c r="T1884" s="808">
        <v>1500521</v>
      </c>
      <c r="U1884" s="746">
        <v>20000</v>
      </c>
      <c r="V1884" s="741">
        <v>1100122</v>
      </c>
    </row>
    <row r="1885" spans="1:22" ht="15" x14ac:dyDescent="0.2">
      <c r="A1885" s="739">
        <v>5411</v>
      </c>
      <c r="B1885" s="743" t="s">
        <v>1762</v>
      </c>
      <c r="C1885" s="736"/>
      <c r="D1885" s="736"/>
      <c r="E1885" s="736"/>
      <c r="F1885" s="736"/>
      <c r="G1885" s="752"/>
      <c r="H1885" s="752"/>
      <c r="I1885" s="752"/>
      <c r="J1885" s="736"/>
      <c r="K1885" s="752"/>
      <c r="L1885" s="752"/>
      <c r="M1885" s="736">
        <f t="shared" si="639"/>
        <v>0</v>
      </c>
      <c r="N1885" s="736">
        <v>250000</v>
      </c>
      <c r="O1885" s="736"/>
      <c r="P1885" s="736">
        <f t="shared" si="640"/>
        <v>250000</v>
      </c>
      <c r="Q1885" s="753">
        <v>250000</v>
      </c>
      <c r="R1885" s="738">
        <v>243800</v>
      </c>
      <c r="S1885" s="753"/>
      <c r="T1885" s="739">
        <v>1100121</v>
      </c>
      <c r="U1885" s="745"/>
      <c r="V1885" s="739">
        <v>1100122</v>
      </c>
    </row>
    <row r="1886" spans="1:22" ht="15" x14ac:dyDescent="0.2">
      <c r="A1886" s="739">
        <v>5151</v>
      </c>
      <c r="B1886" s="743" t="s">
        <v>1681</v>
      </c>
      <c r="C1886" s="736"/>
      <c r="D1886" s="736"/>
      <c r="E1886" s="736"/>
      <c r="F1886" s="736"/>
      <c r="G1886" s="752"/>
      <c r="H1886" s="752"/>
      <c r="I1886" s="752"/>
      <c r="J1886" s="736"/>
      <c r="K1886" s="752"/>
      <c r="L1886" s="752"/>
      <c r="M1886" s="736"/>
      <c r="N1886" s="736"/>
      <c r="O1886" s="736"/>
      <c r="P1886" s="736"/>
      <c r="Q1886" s="753"/>
      <c r="R1886" s="738"/>
      <c r="S1886" s="753">
        <v>50000</v>
      </c>
      <c r="T1886" s="739"/>
      <c r="U1886" s="744"/>
      <c r="V1886" s="739"/>
    </row>
    <row r="1887" spans="1:22" ht="15" x14ac:dyDescent="0.2">
      <c r="A1887" s="724" t="s">
        <v>273</v>
      </c>
      <c r="B1887" s="725" t="s">
        <v>274</v>
      </c>
      <c r="C1887" s="721">
        <f t="shared" ref="C1887:S1887" si="641">SUM(C1888+C1927)</f>
        <v>7939326.2300000004</v>
      </c>
      <c r="D1887" s="721">
        <f t="shared" si="641"/>
        <v>17200905.02</v>
      </c>
      <c r="E1887" s="721">
        <f t="shared" si="641"/>
        <v>19293573.859999999</v>
      </c>
      <c r="F1887" s="721">
        <f t="shared" si="641"/>
        <v>15126605.16</v>
      </c>
      <c r="G1887" s="721">
        <f t="shared" si="641"/>
        <v>15398166.300000001</v>
      </c>
      <c r="H1887" s="721">
        <f t="shared" si="641"/>
        <v>2323339.7399999998</v>
      </c>
      <c r="I1887" s="721">
        <f t="shared" si="641"/>
        <v>2299995</v>
      </c>
      <c r="J1887" s="721">
        <f t="shared" si="641"/>
        <v>15421511.039999999</v>
      </c>
      <c r="K1887" s="721">
        <f t="shared" si="641"/>
        <v>1139788.3800000001</v>
      </c>
      <c r="L1887" s="721">
        <f t="shared" si="641"/>
        <v>500000</v>
      </c>
      <c r="M1887" s="721">
        <f t="shared" si="641"/>
        <v>16061299.42</v>
      </c>
      <c r="N1887" s="721">
        <f t="shared" si="641"/>
        <v>3600672.4</v>
      </c>
      <c r="O1887" s="721">
        <f t="shared" si="641"/>
        <v>2359672.4</v>
      </c>
      <c r="P1887" s="721">
        <f t="shared" si="641"/>
        <v>17302299.420000002</v>
      </c>
      <c r="Q1887" s="756">
        <f t="shared" si="641"/>
        <v>17319570</v>
      </c>
      <c r="R1887" s="756">
        <f t="shared" si="641"/>
        <v>8714755.5700000003</v>
      </c>
      <c r="S1887" s="756">
        <f t="shared" si="641"/>
        <v>23214537.449999999</v>
      </c>
      <c r="T1887" s="724"/>
      <c r="U1887" s="726">
        <f t="shared" ref="U1887" si="642">SUM(U1888+U1927)</f>
        <v>18135817.909999996</v>
      </c>
      <c r="V1887" s="727"/>
    </row>
    <row r="1888" spans="1:22" ht="15" x14ac:dyDescent="0.2">
      <c r="A1888" s="728" t="s">
        <v>275</v>
      </c>
      <c r="B1888" s="729" t="s">
        <v>1629</v>
      </c>
      <c r="C1888" s="730">
        <f t="shared" ref="C1888:S1888" si="643">SUM(C1889:C1926)</f>
        <v>4750023.91</v>
      </c>
      <c r="D1888" s="730">
        <f t="shared" si="643"/>
        <v>4946041.4399999995</v>
      </c>
      <c r="E1888" s="730">
        <f t="shared" si="643"/>
        <v>6479426.870000001</v>
      </c>
      <c r="F1888" s="730">
        <f t="shared" si="643"/>
        <v>6216743.6399999987</v>
      </c>
      <c r="G1888" s="730">
        <f t="shared" si="643"/>
        <v>8121748.7000000002</v>
      </c>
      <c r="H1888" s="730">
        <f t="shared" si="643"/>
        <v>0</v>
      </c>
      <c r="I1888" s="730">
        <f t="shared" si="643"/>
        <v>2299995</v>
      </c>
      <c r="J1888" s="730">
        <f t="shared" si="643"/>
        <v>5821753.7000000002</v>
      </c>
      <c r="K1888" s="730">
        <f t="shared" si="643"/>
        <v>63912.61</v>
      </c>
      <c r="L1888" s="730">
        <f t="shared" si="643"/>
        <v>0</v>
      </c>
      <c r="M1888" s="730">
        <f t="shared" si="643"/>
        <v>5885666.3100000005</v>
      </c>
      <c r="N1888" s="730">
        <f t="shared" si="643"/>
        <v>498000</v>
      </c>
      <c r="O1888" s="730">
        <f t="shared" si="643"/>
        <v>45000</v>
      </c>
      <c r="P1888" s="730">
        <f t="shared" si="643"/>
        <v>6338666.3100000005</v>
      </c>
      <c r="Q1888" s="748">
        <f t="shared" si="643"/>
        <v>6337795.8300000001</v>
      </c>
      <c r="R1888" s="748">
        <f t="shared" si="643"/>
        <v>2431427.48</v>
      </c>
      <c r="S1888" s="748">
        <f t="shared" si="643"/>
        <v>7757778.1200000001</v>
      </c>
      <c r="T1888" s="731"/>
      <c r="U1888" s="732">
        <f>SUM(U1889:U1926)</f>
        <v>6580023.5299999993</v>
      </c>
      <c r="V1888" s="733"/>
    </row>
    <row r="1889" spans="1:22" ht="15" x14ac:dyDescent="0.25">
      <c r="A1889" s="734">
        <v>1131</v>
      </c>
      <c r="B1889" s="735" t="s">
        <v>6</v>
      </c>
      <c r="C1889" s="736">
        <v>887395.12</v>
      </c>
      <c r="D1889" s="736">
        <v>1045451.68</v>
      </c>
      <c r="E1889" s="749">
        <v>982794.07</v>
      </c>
      <c r="F1889" s="736">
        <v>988663.35</v>
      </c>
      <c r="G1889" s="736">
        <v>994810.2</v>
      </c>
      <c r="H1889" s="736"/>
      <c r="I1889" s="736"/>
      <c r="J1889" s="736">
        <f t="shared" ref="J1889:J1904" si="644">G1889+H1889-I1889</f>
        <v>994810.2</v>
      </c>
      <c r="K1889" s="736">
        <v>4490.34</v>
      </c>
      <c r="L1889" s="736"/>
      <c r="M1889" s="736">
        <f t="shared" ref="M1889:M1904" si="645">J1889+K1889-L1889</f>
        <v>999300.53999999992</v>
      </c>
      <c r="N1889" s="736"/>
      <c r="O1889" s="736"/>
      <c r="P1889" s="736">
        <f t="shared" ref="P1889:P1904" si="646">M1889+N1889-O1889</f>
        <v>999300.53999999992</v>
      </c>
      <c r="Q1889" s="738">
        <v>990278.18</v>
      </c>
      <c r="R1889" s="738"/>
      <c r="S1889" s="751">
        <v>1181631.3600000001</v>
      </c>
      <c r="T1889" s="739">
        <v>1500521</v>
      </c>
      <c r="U1889" s="779">
        <v>1026513.52</v>
      </c>
      <c r="V1889" s="741">
        <v>1500522</v>
      </c>
    </row>
    <row r="1890" spans="1:22" ht="15" x14ac:dyDescent="0.25">
      <c r="A1890" s="734">
        <v>1132</v>
      </c>
      <c r="B1890" s="735" t="s">
        <v>8</v>
      </c>
      <c r="C1890" s="736">
        <v>548889.38</v>
      </c>
      <c r="D1890" s="736">
        <v>568575.28</v>
      </c>
      <c r="E1890" s="749">
        <v>570145.28000000003</v>
      </c>
      <c r="F1890" s="736">
        <v>590822.38</v>
      </c>
      <c r="G1890" s="736">
        <v>597305.80000000005</v>
      </c>
      <c r="H1890" s="736"/>
      <c r="I1890" s="736"/>
      <c r="J1890" s="736">
        <f t="shared" si="644"/>
        <v>597305.80000000005</v>
      </c>
      <c r="K1890" s="736">
        <v>9471.24</v>
      </c>
      <c r="L1890" s="736"/>
      <c r="M1890" s="736">
        <f t="shared" si="645"/>
        <v>606777.04</v>
      </c>
      <c r="N1890" s="736"/>
      <c r="O1890" s="736"/>
      <c r="P1890" s="736">
        <f t="shared" si="646"/>
        <v>606777.04</v>
      </c>
      <c r="Q1890" s="738">
        <v>601847.51</v>
      </c>
      <c r="R1890" s="738"/>
      <c r="S1890" s="751">
        <v>811603.52</v>
      </c>
      <c r="T1890" s="739">
        <v>1500521</v>
      </c>
      <c r="U1890" s="779">
        <v>689214.14</v>
      </c>
      <c r="V1890" s="741">
        <v>1500522</v>
      </c>
    </row>
    <row r="1891" spans="1:22" ht="15" x14ac:dyDescent="0.25">
      <c r="A1891" s="734">
        <v>1321</v>
      </c>
      <c r="B1891" s="735" t="s">
        <v>9</v>
      </c>
      <c r="C1891" s="736">
        <v>67875.23</v>
      </c>
      <c r="D1891" s="736">
        <v>75325.78</v>
      </c>
      <c r="E1891" s="749">
        <v>71833.78</v>
      </c>
      <c r="F1891" s="736">
        <v>71268.759999999995</v>
      </c>
      <c r="G1891" s="736">
        <v>74312.700000000012</v>
      </c>
      <c r="H1891" s="736"/>
      <c r="I1891" s="736"/>
      <c r="J1891" s="736">
        <f t="shared" si="644"/>
        <v>74312.700000000012</v>
      </c>
      <c r="K1891" s="736">
        <v>2109.23</v>
      </c>
      <c r="L1891" s="736"/>
      <c r="M1891" s="736">
        <f t="shared" si="645"/>
        <v>76421.930000000008</v>
      </c>
      <c r="N1891" s="736"/>
      <c r="O1891" s="736"/>
      <c r="P1891" s="736">
        <f t="shared" si="646"/>
        <v>76421.930000000008</v>
      </c>
      <c r="Q1891" s="738">
        <v>76421.929999999993</v>
      </c>
      <c r="R1891" s="738"/>
      <c r="S1891" s="751">
        <v>104117.68</v>
      </c>
      <c r="T1891" s="739">
        <v>1500521</v>
      </c>
      <c r="U1891" s="779">
        <v>91586.31</v>
      </c>
      <c r="V1891" s="741">
        <v>1500522</v>
      </c>
    </row>
    <row r="1892" spans="1:22" ht="15" x14ac:dyDescent="0.25">
      <c r="A1892" s="734">
        <v>1323</v>
      </c>
      <c r="B1892" s="735" t="s">
        <v>11</v>
      </c>
      <c r="C1892" s="736">
        <v>244225</v>
      </c>
      <c r="D1892" s="736">
        <v>274109.5</v>
      </c>
      <c r="E1892" s="749">
        <v>267051.90000000002</v>
      </c>
      <c r="F1892" s="736">
        <v>254940</v>
      </c>
      <c r="G1892" s="736">
        <v>263863</v>
      </c>
      <c r="H1892" s="736"/>
      <c r="I1892" s="736"/>
      <c r="J1892" s="736">
        <f t="shared" si="644"/>
        <v>263863</v>
      </c>
      <c r="K1892" s="736">
        <v>6937.67</v>
      </c>
      <c r="L1892" s="736"/>
      <c r="M1892" s="736">
        <f t="shared" si="645"/>
        <v>270800.67</v>
      </c>
      <c r="N1892" s="736"/>
      <c r="O1892" s="736"/>
      <c r="P1892" s="736">
        <f t="shared" si="646"/>
        <v>270800.67</v>
      </c>
      <c r="Q1892" s="738">
        <v>270800.67</v>
      </c>
      <c r="R1892" s="738"/>
      <c r="S1892" s="751">
        <v>338683</v>
      </c>
      <c r="T1892" s="739">
        <v>1500521</v>
      </c>
      <c r="U1892" s="779">
        <v>277174.7</v>
      </c>
      <c r="V1892" s="741">
        <v>1500522</v>
      </c>
    </row>
    <row r="1893" spans="1:22" ht="15" x14ac:dyDescent="0.25">
      <c r="A1893" s="734">
        <v>1413</v>
      </c>
      <c r="B1893" s="735" t="s">
        <v>13</v>
      </c>
      <c r="C1893" s="736">
        <v>301971.87</v>
      </c>
      <c r="D1893" s="736">
        <v>352825.76</v>
      </c>
      <c r="E1893" s="749">
        <v>317648.65999999997</v>
      </c>
      <c r="F1893" s="736">
        <v>314173.52</v>
      </c>
      <c r="G1893" s="736">
        <v>368991</v>
      </c>
      <c r="H1893" s="736"/>
      <c r="I1893" s="736"/>
      <c r="J1893" s="736">
        <f t="shared" si="644"/>
        <v>368991</v>
      </c>
      <c r="K1893" s="736">
        <v>12115.68</v>
      </c>
      <c r="L1893" s="736"/>
      <c r="M1893" s="736">
        <f t="shared" si="645"/>
        <v>381106.68</v>
      </c>
      <c r="N1893" s="736"/>
      <c r="O1893" s="736"/>
      <c r="P1893" s="736">
        <f t="shared" si="646"/>
        <v>381106.68</v>
      </c>
      <c r="Q1893" s="738">
        <v>375108.7</v>
      </c>
      <c r="R1893" s="738"/>
      <c r="S1893" s="751">
        <v>505707.84</v>
      </c>
      <c r="T1893" s="739">
        <v>1500521</v>
      </c>
      <c r="U1893" s="779">
        <v>364689.35</v>
      </c>
      <c r="V1893" s="741">
        <v>1500522</v>
      </c>
    </row>
    <row r="1894" spans="1:22" ht="15" x14ac:dyDescent="0.25">
      <c r="A1894" s="734">
        <v>1421</v>
      </c>
      <c r="B1894" s="735" t="s">
        <v>15</v>
      </c>
      <c r="C1894" s="736">
        <v>117900.36</v>
      </c>
      <c r="D1894" s="736">
        <v>117441.86</v>
      </c>
      <c r="E1894" s="749">
        <v>97346.86</v>
      </c>
      <c r="F1894" s="736">
        <v>104720.98</v>
      </c>
      <c r="G1894" s="736">
        <v>115389.90000000001</v>
      </c>
      <c r="H1894" s="736"/>
      <c r="I1894" s="736"/>
      <c r="J1894" s="736">
        <f t="shared" si="644"/>
        <v>115389.90000000001</v>
      </c>
      <c r="K1894" s="736">
        <v>3757.54</v>
      </c>
      <c r="L1894" s="736"/>
      <c r="M1894" s="736">
        <f t="shared" si="645"/>
        <v>119147.44</v>
      </c>
      <c r="N1894" s="736"/>
      <c r="O1894" s="736"/>
      <c r="P1894" s="736">
        <f t="shared" si="646"/>
        <v>119147.44</v>
      </c>
      <c r="Q1894" s="738">
        <v>119147.44</v>
      </c>
      <c r="R1894" s="738"/>
      <c r="S1894" s="751">
        <v>148307.16</v>
      </c>
      <c r="T1894" s="739">
        <v>1500521</v>
      </c>
      <c r="U1894" s="779">
        <v>142284.5</v>
      </c>
      <c r="V1894" s="741">
        <v>1500522</v>
      </c>
    </row>
    <row r="1895" spans="1:22" ht="15" x14ac:dyDescent="0.25">
      <c r="A1895" s="734">
        <v>1431</v>
      </c>
      <c r="B1895" s="735" t="s">
        <v>16</v>
      </c>
      <c r="C1895" s="736">
        <v>108575.38</v>
      </c>
      <c r="D1895" s="736">
        <v>120965.02</v>
      </c>
      <c r="E1895" s="749">
        <v>102127.02</v>
      </c>
      <c r="F1895" s="736">
        <v>110779.02</v>
      </c>
      <c r="G1895" s="736">
        <v>118851.40000000001</v>
      </c>
      <c r="H1895" s="736"/>
      <c r="I1895" s="736"/>
      <c r="J1895" s="736">
        <f t="shared" si="644"/>
        <v>118851.40000000001</v>
      </c>
      <c r="K1895" s="736">
        <v>3846.07</v>
      </c>
      <c r="L1895" s="736"/>
      <c r="M1895" s="736">
        <f t="shared" si="645"/>
        <v>122697.47000000002</v>
      </c>
      <c r="N1895" s="736"/>
      <c r="O1895" s="736"/>
      <c r="P1895" s="736">
        <f t="shared" si="646"/>
        <v>122697.47000000002</v>
      </c>
      <c r="Q1895" s="738">
        <v>122697.47</v>
      </c>
      <c r="R1895" s="738"/>
      <c r="S1895" s="751">
        <v>152756.4</v>
      </c>
      <c r="T1895" s="739">
        <v>1500521</v>
      </c>
      <c r="U1895" s="779">
        <v>143738.29999999999</v>
      </c>
      <c r="V1895" s="741">
        <v>1500522</v>
      </c>
    </row>
    <row r="1896" spans="1:22" ht="15" x14ac:dyDescent="0.25">
      <c r="A1896" s="734">
        <v>1511</v>
      </c>
      <c r="B1896" s="735" t="s">
        <v>18</v>
      </c>
      <c r="C1896" s="736">
        <v>34014.339999999997</v>
      </c>
      <c r="D1896" s="736">
        <v>39908.959999999999</v>
      </c>
      <c r="E1896" s="749">
        <v>36544.959999999999</v>
      </c>
      <c r="F1896" s="736">
        <v>37850.28</v>
      </c>
      <c r="G1896" s="736">
        <v>38427.5</v>
      </c>
      <c r="H1896" s="736"/>
      <c r="I1896" s="736"/>
      <c r="J1896" s="736">
        <f t="shared" si="644"/>
        <v>38427.5</v>
      </c>
      <c r="K1896" s="736">
        <v>1009.2</v>
      </c>
      <c r="L1896" s="736"/>
      <c r="M1896" s="736">
        <f t="shared" si="645"/>
        <v>39436.699999999997</v>
      </c>
      <c r="N1896" s="736"/>
      <c r="O1896" s="736"/>
      <c r="P1896" s="736">
        <f t="shared" si="646"/>
        <v>39436.699999999997</v>
      </c>
      <c r="Q1896" s="738">
        <v>39436.699999999997</v>
      </c>
      <c r="R1896" s="738"/>
      <c r="S1896" s="751">
        <v>49303.8</v>
      </c>
      <c r="T1896" s="739">
        <v>1500521</v>
      </c>
      <c r="U1896" s="779">
        <v>41235.339999999997</v>
      </c>
      <c r="V1896" s="741">
        <v>1500522</v>
      </c>
    </row>
    <row r="1897" spans="1:22" ht="15" x14ac:dyDescent="0.25">
      <c r="A1897" s="734">
        <v>1541</v>
      </c>
      <c r="B1897" s="735" t="s">
        <v>19</v>
      </c>
      <c r="C1897" s="736">
        <v>178829.13</v>
      </c>
      <c r="D1897" s="736">
        <v>208907.4</v>
      </c>
      <c r="E1897" s="749">
        <v>203766.66</v>
      </c>
      <c r="F1897" s="736">
        <v>210248.68</v>
      </c>
      <c r="G1897" s="736">
        <v>270706.69999999995</v>
      </c>
      <c r="H1897" s="736"/>
      <c r="I1897" s="736"/>
      <c r="J1897" s="736">
        <f t="shared" si="644"/>
        <v>270706.69999999995</v>
      </c>
      <c r="K1897" s="736">
        <v>10303.98</v>
      </c>
      <c r="L1897" s="736"/>
      <c r="M1897" s="736">
        <f t="shared" si="645"/>
        <v>281010.67999999993</v>
      </c>
      <c r="N1897" s="736"/>
      <c r="O1897" s="736"/>
      <c r="P1897" s="736">
        <f t="shared" si="646"/>
        <v>281010.67999999993</v>
      </c>
      <c r="Q1897" s="738">
        <v>268771.65999999997</v>
      </c>
      <c r="R1897" s="738"/>
      <c r="S1897" s="751">
        <v>294322.34000000003</v>
      </c>
      <c r="T1897" s="739">
        <v>1500521</v>
      </c>
      <c r="U1897" s="779">
        <v>288434.12</v>
      </c>
      <c r="V1897" s="741">
        <v>1500522</v>
      </c>
    </row>
    <row r="1898" spans="1:22" ht="15" x14ac:dyDescent="0.25">
      <c r="A1898" s="734">
        <v>1592</v>
      </c>
      <c r="B1898" s="735" t="s">
        <v>20</v>
      </c>
      <c r="C1898" s="736">
        <v>320917.19</v>
      </c>
      <c r="D1898" s="736">
        <v>381490.2</v>
      </c>
      <c r="E1898" s="749">
        <v>345305.2</v>
      </c>
      <c r="F1898" s="736">
        <v>357635.98</v>
      </c>
      <c r="G1898" s="736">
        <v>363097.3</v>
      </c>
      <c r="H1898" s="736"/>
      <c r="I1898" s="736"/>
      <c r="J1898" s="736">
        <f t="shared" si="644"/>
        <v>363097.3</v>
      </c>
      <c r="K1898" s="736">
        <v>9871.66</v>
      </c>
      <c r="L1898" s="736"/>
      <c r="M1898" s="736">
        <f t="shared" si="645"/>
        <v>372968.95999999996</v>
      </c>
      <c r="N1898" s="736"/>
      <c r="O1898" s="736"/>
      <c r="P1898" s="736">
        <f t="shared" si="646"/>
        <v>372968.95999999996</v>
      </c>
      <c r="Q1898" s="738">
        <v>399732.73</v>
      </c>
      <c r="R1898" s="738"/>
      <c r="S1898" s="751">
        <v>472377.36</v>
      </c>
      <c r="T1898" s="739">
        <v>1500521</v>
      </c>
      <c r="U1898" s="779">
        <v>393359.95</v>
      </c>
      <c r="V1898" s="741">
        <v>1500522</v>
      </c>
    </row>
    <row r="1899" spans="1:22" ht="15" x14ac:dyDescent="0.2">
      <c r="A1899" s="734">
        <v>2111</v>
      </c>
      <c r="B1899" s="735" t="s">
        <v>22</v>
      </c>
      <c r="C1899" s="736">
        <v>3601</v>
      </c>
      <c r="D1899" s="736">
        <v>5000</v>
      </c>
      <c r="E1899" s="749">
        <v>3500</v>
      </c>
      <c r="F1899" s="736">
        <v>1717.88</v>
      </c>
      <c r="G1899" s="752">
        <v>3500</v>
      </c>
      <c r="H1899" s="752"/>
      <c r="I1899" s="752"/>
      <c r="J1899" s="736">
        <f t="shared" si="644"/>
        <v>3500</v>
      </c>
      <c r="K1899" s="752"/>
      <c r="L1899" s="752"/>
      <c r="M1899" s="736">
        <f t="shared" si="645"/>
        <v>3500</v>
      </c>
      <c r="N1899" s="736"/>
      <c r="O1899" s="736"/>
      <c r="P1899" s="736">
        <f t="shared" si="646"/>
        <v>3500</v>
      </c>
      <c r="Q1899" s="753">
        <v>3500</v>
      </c>
      <c r="R1899" s="738">
        <v>2699.95</v>
      </c>
      <c r="S1899" s="753">
        <v>7544.8</v>
      </c>
      <c r="T1899" s="739">
        <v>1100121</v>
      </c>
      <c r="U1899" s="754">
        <v>7544.8</v>
      </c>
      <c r="V1899" s="741">
        <v>1100122</v>
      </c>
    </row>
    <row r="1900" spans="1:22" ht="15" x14ac:dyDescent="0.2">
      <c r="A1900" s="734">
        <v>2112</v>
      </c>
      <c r="B1900" s="735" t="s">
        <v>39</v>
      </c>
      <c r="C1900" s="736">
        <v>101068</v>
      </c>
      <c r="D1900" s="736">
        <v>40000</v>
      </c>
      <c r="E1900" s="749">
        <v>20000</v>
      </c>
      <c r="F1900" s="736">
        <v>5743.4</v>
      </c>
      <c r="G1900" s="752">
        <v>30000</v>
      </c>
      <c r="H1900" s="752"/>
      <c r="I1900" s="752"/>
      <c r="J1900" s="736">
        <f t="shared" si="644"/>
        <v>30000</v>
      </c>
      <c r="K1900" s="752"/>
      <c r="L1900" s="752"/>
      <c r="M1900" s="736">
        <f t="shared" si="645"/>
        <v>30000</v>
      </c>
      <c r="N1900" s="736"/>
      <c r="O1900" s="736"/>
      <c r="P1900" s="736">
        <f t="shared" si="646"/>
        <v>30000</v>
      </c>
      <c r="Q1900" s="753">
        <v>30000</v>
      </c>
      <c r="R1900" s="738">
        <v>25316.03</v>
      </c>
      <c r="S1900" s="753">
        <v>14000</v>
      </c>
      <c r="T1900" s="739">
        <v>1100121</v>
      </c>
      <c r="U1900" s="754">
        <v>14000</v>
      </c>
      <c r="V1900" s="741">
        <v>1100122</v>
      </c>
    </row>
    <row r="1901" spans="1:22" ht="15" x14ac:dyDescent="0.2">
      <c r="A1901" s="734">
        <v>2121</v>
      </c>
      <c r="B1901" s="735" t="s">
        <v>24</v>
      </c>
      <c r="C1901" s="736">
        <v>2450</v>
      </c>
      <c r="D1901" s="736">
        <v>4000</v>
      </c>
      <c r="E1901" s="749">
        <v>2800</v>
      </c>
      <c r="F1901" s="736">
        <v>2396</v>
      </c>
      <c r="G1901" s="752">
        <v>2400</v>
      </c>
      <c r="H1901" s="752"/>
      <c r="I1901" s="752"/>
      <c r="J1901" s="736">
        <f t="shared" si="644"/>
        <v>2400</v>
      </c>
      <c r="K1901" s="752"/>
      <c r="L1901" s="752"/>
      <c r="M1901" s="736">
        <f t="shared" si="645"/>
        <v>2400</v>
      </c>
      <c r="N1901" s="736"/>
      <c r="O1901" s="736"/>
      <c r="P1901" s="736">
        <f t="shared" si="646"/>
        <v>2400</v>
      </c>
      <c r="Q1901" s="753">
        <v>1954.64</v>
      </c>
      <c r="R1901" s="738">
        <v>1834.64</v>
      </c>
      <c r="S1901" s="753">
        <v>2880</v>
      </c>
      <c r="T1901" s="739">
        <v>1100121</v>
      </c>
      <c r="U1901" s="754">
        <v>2880</v>
      </c>
      <c r="V1901" s="741">
        <v>1100122</v>
      </c>
    </row>
    <row r="1902" spans="1:22" ht="15" x14ac:dyDescent="0.2">
      <c r="A1902" s="734">
        <v>2491</v>
      </c>
      <c r="B1902" s="735" t="s">
        <v>41</v>
      </c>
      <c r="C1902" s="736">
        <v>12673.2</v>
      </c>
      <c r="D1902" s="736"/>
      <c r="E1902" s="749">
        <v>24000</v>
      </c>
      <c r="F1902" s="736"/>
      <c r="G1902" s="752">
        <v>7000</v>
      </c>
      <c r="H1902" s="752"/>
      <c r="I1902" s="752"/>
      <c r="J1902" s="736">
        <f t="shared" si="644"/>
        <v>7000</v>
      </c>
      <c r="K1902" s="752"/>
      <c r="L1902" s="752"/>
      <c r="M1902" s="736">
        <f t="shared" si="645"/>
        <v>7000</v>
      </c>
      <c r="N1902" s="736"/>
      <c r="O1902" s="736"/>
      <c r="P1902" s="736">
        <f t="shared" si="646"/>
        <v>7000</v>
      </c>
      <c r="Q1902" s="753">
        <v>7000</v>
      </c>
      <c r="R1902" s="738">
        <v>4517.4799999999996</v>
      </c>
      <c r="S1902" s="753">
        <v>7000</v>
      </c>
      <c r="T1902" s="739">
        <v>1100121</v>
      </c>
      <c r="U1902" s="754">
        <v>7000</v>
      </c>
      <c r="V1902" s="741">
        <v>1100122</v>
      </c>
    </row>
    <row r="1903" spans="1:22" ht="30" x14ac:dyDescent="0.2">
      <c r="A1903" s="734">
        <v>2612</v>
      </c>
      <c r="B1903" s="735" t="s">
        <v>26</v>
      </c>
      <c r="C1903" s="736">
        <v>21548.73</v>
      </c>
      <c r="D1903" s="736">
        <v>24000</v>
      </c>
      <c r="E1903" s="749">
        <v>0</v>
      </c>
      <c r="F1903" s="736">
        <v>17878.099999999999</v>
      </c>
      <c r="G1903" s="752">
        <v>20000</v>
      </c>
      <c r="H1903" s="752"/>
      <c r="I1903" s="752"/>
      <c r="J1903" s="736">
        <f t="shared" si="644"/>
        <v>20000</v>
      </c>
      <c r="K1903" s="752"/>
      <c r="L1903" s="752"/>
      <c r="M1903" s="736">
        <f t="shared" si="645"/>
        <v>20000</v>
      </c>
      <c r="N1903" s="736">
        <v>10000</v>
      </c>
      <c r="O1903" s="736"/>
      <c r="P1903" s="736">
        <f t="shared" si="646"/>
        <v>30000</v>
      </c>
      <c r="Q1903" s="753">
        <v>35000</v>
      </c>
      <c r="R1903" s="738">
        <v>24662.240000000002</v>
      </c>
      <c r="S1903" s="738">
        <f>Q1903</f>
        <v>35000</v>
      </c>
      <c r="T1903" s="739">
        <v>1100121</v>
      </c>
      <c r="U1903" s="746">
        <v>40000</v>
      </c>
      <c r="V1903" s="741">
        <v>1100122</v>
      </c>
    </row>
    <row r="1904" spans="1:22" ht="15" x14ac:dyDescent="0.2">
      <c r="A1904" s="734">
        <v>2941</v>
      </c>
      <c r="B1904" s="762" t="s">
        <v>79</v>
      </c>
      <c r="C1904" s="736"/>
      <c r="D1904" s="736"/>
      <c r="E1904" s="749"/>
      <c r="F1904" s="736"/>
      <c r="G1904" s="752">
        <v>11500</v>
      </c>
      <c r="H1904" s="752"/>
      <c r="I1904" s="752"/>
      <c r="J1904" s="736">
        <f t="shared" si="644"/>
        <v>11500</v>
      </c>
      <c r="K1904" s="752"/>
      <c r="L1904" s="752"/>
      <c r="M1904" s="736">
        <f t="shared" si="645"/>
        <v>11500</v>
      </c>
      <c r="N1904" s="736"/>
      <c r="O1904" s="736"/>
      <c r="P1904" s="736">
        <f t="shared" si="646"/>
        <v>11500</v>
      </c>
      <c r="Q1904" s="753">
        <v>11500</v>
      </c>
      <c r="R1904" s="738">
        <v>9581.6</v>
      </c>
      <c r="S1904" s="753">
        <v>17000</v>
      </c>
      <c r="T1904" s="739">
        <v>1100121</v>
      </c>
      <c r="U1904" s="754">
        <v>17000</v>
      </c>
      <c r="V1904" s="741">
        <v>1100122</v>
      </c>
    </row>
    <row r="1905" spans="1:22" ht="15" x14ac:dyDescent="0.2">
      <c r="A1905" s="739">
        <v>3173</v>
      </c>
      <c r="B1905" s="806" t="s">
        <v>257</v>
      </c>
      <c r="C1905" s="736"/>
      <c r="D1905" s="736"/>
      <c r="E1905" s="749"/>
      <c r="F1905" s="736"/>
      <c r="G1905" s="752"/>
      <c r="H1905" s="752"/>
      <c r="I1905" s="752"/>
      <c r="J1905" s="736"/>
      <c r="K1905" s="752"/>
      <c r="L1905" s="752"/>
      <c r="M1905" s="736"/>
      <c r="N1905" s="736"/>
      <c r="O1905" s="736"/>
      <c r="P1905" s="736"/>
      <c r="Q1905" s="753"/>
      <c r="R1905" s="738"/>
      <c r="T1905" s="739"/>
      <c r="U1905" s="745"/>
      <c r="V1905" s="739"/>
    </row>
    <row r="1906" spans="1:22" ht="15" x14ac:dyDescent="0.2">
      <c r="A1906" s="734">
        <v>3271</v>
      </c>
      <c r="B1906" s="762" t="s">
        <v>276</v>
      </c>
      <c r="C1906" s="736"/>
      <c r="D1906" s="736"/>
      <c r="E1906" s="749"/>
      <c r="F1906" s="736"/>
      <c r="G1906" s="752"/>
      <c r="H1906" s="752"/>
      <c r="I1906" s="752"/>
      <c r="J1906" s="736"/>
      <c r="K1906" s="752"/>
      <c r="L1906" s="752"/>
      <c r="M1906" s="736"/>
      <c r="N1906" s="736"/>
      <c r="O1906" s="736"/>
      <c r="P1906" s="736"/>
      <c r="Q1906" s="753"/>
      <c r="R1906" s="738"/>
      <c r="S1906" s="753">
        <v>7500</v>
      </c>
      <c r="T1906" s="739"/>
      <c r="U1906" s="754">
        <v>7500</v>
      </c>
      <c r="V1906" s="741">
        <v>1100122</v>
      </c>
    </row>
    <row r="1907" spans="1:22" ht="15" x14ac:dyDescent="0.2">
      <c r="A1907" s="912">
        <v>3332</v>
      </c>
      <c r="B1907" s="762" t="s">
        <v>63</v>
      </c>
      <c r="C1907" s="736"/>
      <c r="D1907" s="736"/>
      <c r="E1907" s="749"/>
      <c r="F1907" s="736"/>
      <c r="G1907" s="752">
        <f>1914941.2+5000</f>
        <v>1919941.2</v>
      </c>
      <c r="H1907" s="752"/>
      <c r="I1907" s="752"/>
      <c r="J1907" s="736">
        <f t="shared" ref="J1907:J1926" si="647">G1907+H1907-I1907</f>
        <v>1919941.2</v>
      </c>
      <c r="K1907" s="752"/>
      <c r="L1907" s="752"/>
      <c r="M1907" s="736">
        <f t="shared" ref="M1907:M1926" si="648">J1907+K1907-L1907</f>
        <v>1919941.2</v>
      </c>
      <c r="N1907" s="736">
        <v>488000</v>
      </c>
      <c r="O1907" s="736"/>
      <c r="P1907" s="736">
        <f t="shared" ref="P1907:P1926" si="649">M1907+N1907-O1907</f>
        <v>2407941.2000000002</v>
      </c>
      <c r="Q1907" s="753">
        <v>2407941.2000000002</v>
      </c>
      <c r="R1907" s="738"/>
      <c r="S1907" s="753">
        <v>90000</v>
      </c>
      <c r="T1907" s="808">
        <v>1100121</v>
      </c>
      <c r="U1907" s="740">
        <v>12000</v>
      </c>
      <c r="V1907" s="870">
        <v>1100122</v>
      </c>
    </row>
    <row r="1908" spans="1:22" ht="15" x14ac:dyDescent="0.2">
      <c r="A1908" s="734">
        <v>3111</v>
      </c>
      <c r="B1908" s="735" t="s">
        <v>47</v>
      </c>
      <c r="C1908" s="736">
        <v>15159</v>
      </c>
      <c r="D1908" s="736">
        <v>45000</v>
      </c>
      <c r="E1908" s="900"/>
      <c r="F1908" s="736">
        <v>0</v>
      </c>
      <c r="G1908" s="736"/>
      <c r="H1908" s="736"/>
      <c r="I1908" s="736"/>
      <c r="J1908" s="736">
        <f t="shared" si="647"/>
        <v>0</v>
      </c>
      <c r="K1908" s="736"/>
      <c r="L1908" s="736"/>
      <c r="M1908" s="736">
        <f t="shared" si="648"/>
        <v>0</v>
      </c>
      <c r="N1908" s="736"/>
      <c r="O1908" s="736"/>
      <c r="P1908" s="738">
        <f t="shared" si="649"/>
        <v>0</v>
      </c>
      <c r="Q1908" s="738"/>
      <c r="R1908" s="738"/>
      <c r="S1908" s="738"/>
      <c r="T1908" s="739">
        <v>1100121</v>
      </c>
      <c r="U1908" s="740">
        <v>48000</v>
      </c>
      <c r="V1908" s="741">
        <v>1100122</v>
      </c>
    </row>
    <row r="1909" spans="1:22" ht="15" x14ac:dyDescent="0.2">
      <c r="A1909" s="739">
        <v>3221</v>
      </c>
      <c r="B1909" s="743" t="s">
        <v>99</v>
      </c>
      <c r="C1909" s="736">
        <v>32224.7</v>
      </c>
      <c r="D1909" s="736"/>
      <c r="E1909" s="736"/>
      <c r="F1909" s="736"/>
      <c r="G1909" s="736"/>
      <c r="H1909" s="736"/>
      <c r="I1909" s="736"/>
      <c r="J1909" s="736">
        <f t="shared" si="647"/>
        <v>0</v>
      </c>
      <c r="K1909" s="736"/>
      <c r="L1909" s="736"/>
      <c r="M1909" s="736">
        <f t="shared" si="648"/>
        <v>0</v>
      </c>
      <c r="N1909" s="736"/>
      <c r="O1909" s="736"/>
      <c r="P1909" s="738">
        <f t="shared" si="649"/>
        <v>0</v>
      </c>
      <c r="Q1909" s="738"/>
      <c r="R1909" s="738"/>
      <c r="S1909" s="738"/>
      <c r="T1909" s="739"/>
      <c r="U1909" s="745"/>
      <c r="V1909" s="739"/>
    </row>
    <row r="1910" spans="1:22" ht="15" x14ac:dyDescent="0.2">
      <c r="A1910" s="734">
        <v>3332</v>
      </c>
      <c r="B1910" s="735" t="s">
        <v>63</v>
      </c>
      <c r="C1910" s="736"/>
      <c r="D1910" s="736"/>
      <c r="E1910" s="736"/>
      <c r="F1910" s="736"/>
      <c r="G1910" s="752"/>
      <c r="H1910" s="752"/>
      <c r="I1910" s="752"/>
      <c r="J1910" s="736">
        <f t="shared" si="647"/>
        <v>0</v>
      </c>
      <c r="K1910" s="752"/>
      <c r="L1910" s="752"/>
      <c r="M1910" s="736">
        <f t="shared" si="648"/>
        <v>0</v>
      </c>
      <c r="N1910" s="736"/>
      <c r="O1910" s="736"/>
      <c r="P1910" s="738">
        <f t="shared" si="649"/>
        <v>0</v>
      </c>
      <c r="Q1910" s="753"/>
      <c r="R1910" s="738">
        <v>2342117.38</v>
      </c>
      <c r="S1910" s="753">
        <v>2315174.4</v>
      </c>
      <c r="T1910" s="808">
        <v>1100121</v>
      </c>
      <c r="U1910" s="754">
        <v>2400000</v>
      </c>
      <c r="V1910" s="870">
        <v>1100122</v>
      </c>
    </row>
    <row r="1911" spans="1:22" ht="15" x14ac:dyDescent="0.2">
      <c r="A1911" s="739">
        <v>3332</v>
      </c>
      <c r="B1911" s="743" t="s">
        <v>63</v>
      </c>
      <c r="C1911" s="736">
        <v>843900.81</v>
      </c>
      <c r="D1911" s="736">
        <v>880000</v>
      </c>
      <c r="E1911" s="736">
        <v>1616028.55</v>
      </c>
      <c r="F1911" s="736">
        <v>1616028.55</v>
      </c>
      <c r="G1911" s="752">
        <v>2299995</v>
      </c>
      <c r="H1911" s="752"/>
      <c r="I1911" s="752">
        <v>2299995</v>
      </c>
      <c r="J1911" s="736">
        <f t="shared" si="647"/>
        <v>0</v>
      </c>
      <c r="K1911" s="752"/>
      <c r="L1911" s="752"/>
      <c r="M1911" s="736">
        <f t="shared" si="648"/>
        <v>0</v>
      </c>
      <c r="N1911" s="736"/>
      <c r="O1911" s="736"/>
      <c r="P1911" s="738">
        <f t="shared" si="649"/>
        <v>0</v>
      </c>
      <c r="Q1911" s="753"/>
      <c r="R1911" s="738"/>
      <c r="S1911" s="753"/>
      <c r="T1911" s="808">
        <v>1100120</v>
      </c>
      <c r="U1911" s="745"/>
      <c r="V1911" s="808">
        <v>1100120</v>
      </c>
    </row>
    <row r="1912" spans="1:22" ht="15" x14ac:dyDescent="0.2">
      <c r="A1912" s="739">
        <v>3332</v>
      </c>
      <c r="B1912" s="743" t="s">
        <v>63</v>
      </c>
      <c r="C1912" s="736"/>
      <c r="D1912" s="736">
        <v>0</v>
      </c>
      <c r="E1912" s="736"/>
      <c r="F1912" s="736">
        <v>0</v>
      </c>
      <c r="G1912" s="736"/>
      <c r="H1912" s="736"/>
      <c r="I1912" s="736"/>
      <c r="J1912" s="736">
        <f t="shared" si="647"/>
        <v>0</v>
      </c>
      <c r="K1912" s="736"/>
      <c r="L1912" s="736"/>
      <c r="M1912" s="736">
        <f t="shared" si="648"/>
        <v>0</v>
      </c>
      <c r="N1912" s="736"/>
      <c r="O1912" s="736"/>
      <c r="P1912" s="738">
        <f t="shared" si="649"/>
        <v>0</v>
      </c>
      <c r="Q1912" s="738"/>
      <c r="R1912" s="738"/>
      <c r="S1912" s="738"/>
      <c r="T1912" s="739">
        <v>1500521</v>
      </c>
      <c r="U1912" s="745"/>
      <c r="V1912" s="739">
        <v>1500522</v>
      </c>
    </row>
    <row r="1913" spans="1:22" ht="15" x14ac:dyDescent="0.2">
      <c r="A1913" s="739">
        <v>3341</v>
      </c>
      <c r="B1913" s="743" t="s">
        <v>219</v>
      </c>
      <c r="C1913" s="736"/>
      <c r="D1913" s="736">
        <v>85000</v>
      </c>
      <c r="E1913" s="749">
        <v>279471.45</v>
      </c>
      <c r="F1913" s="736">
        <v>257566.4</v>
      </c>
      <c r="G1913" s="736"/>
      <c r="H1913" s="736"/>
      <c r="I1913" s="736"/>
      <c r="J1913" s="736">
        <f t="shared" si="647"/>
        <v>0</v>
      </c>
      <c r="K1913" s="736"/>
      <c r="L1913" s="736"/>
      <c r="M1913" s="736">
        <f t="shared" si="648"/>
        <v>0</v>
      </c>
      <c r="N1913" s="736"/>
      <c r="O1913" s="736"/>
      <c r="P1913" s="738">
        <f t="shared" si="649"/>
        <v>0</v>
      </c>
      <c r="Q1913" s="738"/>
      <c r="R1913" s="738"/>
      <c r="S1913" s="738">
        <v>480000</v>
      </c>
      <c r="T1913" s="739">
        <v>1100121</v>
      </c>
      <c r="U1913" s="750">
        <v>0</v>
      </c>
      <c r="V1913" s="739">
        <v>1100122</v>
      </c>
    </row>
    <row r="1914" spans="1:22" ht="15" x14ac:dyDescent="0.2">
      <c r="A1914" s="734">
        <v>3511</v>
      </c>
      <c r="B1914" s="762" t="s">
        <v>49</v>
      </c>
      <c r="C1914" s="736"/>
      <c r="D1914" s="736"/>
      <c r="E1914" s="749"/>
      <c r="F1914" s="736"/>
      <c r="G1914" s="736">
        <v>10000</v>
      </c>
      <c r="H1914" s="736"/>
      <c r="I1914" s="736"/>
      <c r="J1914" s="736">
        <f t="shared" si="647"/>
        <v>10000</v>
      </c>
      <c r="K1914" s="736"/>
      <c r="L1914" s="736"/>
      <c r="M1914" s="736">
        <f t="shared" si="648"/>
        <v>10000</v>
      </c>
      <c r="N1914" s="736"/>
      <c r="O1914" s="736"/>
      <c r="P1914" s="736">
        <f t="shared" si="649"/>
        <v>10000</v>
      </c>
      <c r="Q1914" s="738">
        <v>10000</v>
      </c>
      <c r="R1914" s="738"/>
      <c r="S1914" s="738">
        <v>25000</v>
      </c>
      <c r="T1914" s="739">
        <v>1100121</v>
      </c>
      <c r="U1914" s="742">
        <v>25000</v>
      </c>
      <c r="V1914" s="741">
        <v>1100122</v>
      </c>
    </row>
    <row r="1915" spans="1:22" ht="15" x14ac:dyDescent="0.2">
      <c r="A1915" s="739">
        <v>3521</v>
      </c>
      <c r="B1915" s="822" t="s">
        <v>63</v>
      </c>
      <c r="C1915" s="736">
        <v>9951.7000000000007</v>
      </c>
      <c r="D1915" s="736"/>
      <c r="E1915" s="736"/>
      <c r="F1915" s="736"/>
      <c r="G1915" s="736"/>
      <c r="H1915" s="736"/>
      <c r="I1915" s="736"/>
      <c r="J1915" s="736">
        <f t="shared" si="647"/>
        <v>0</v>
      </c>
      <c r="K1915" s="736"/>
      <c r="L1915" s="736"/>
      <c r="M1915" s="736">
        <f t="shared" si="648"/>
        <v>0</v>
      </c>
      <c r="N1915" s="736"/>
      <c r="O1915" s="736"/>
      <c r="P1915" s="738">
        <f t="shared" si="649"/>
        <v>0</v>
      </c>
      <c r="Q1915" s="738"/>
      <c r="R1915" s="738"/>
      <c r="S1915" s="738"/>
      <c r="T1915" s="739"/>
      <c r="U1915" s="745"/>
      <c r="V1915" s="739"/>
    </row>
    <row r="1916" spans="1:22" ht="15" x14ac:dyDescent="0.2">
      <c r="A1916" s="739">
        <v>3531</v>
      </c>
      <c r="B1916" s="743" t="s">
        <v>121</v>
      </c>
      <c r="C1916" s="736">
        <v>14929.24</v>
      </c>
      <c r="D1916" s="736">
        <v>70000</v>
      </c>
      <c r="E1916" s="736"/>
      <c r="F1916" s="736">
        <v>0</v>
      </c>
      <c r="G1916" s="736"/>
      <c r="H1916" s="736"/>
      <c r="I1916" s="736"/>
      <c r="J1916" s="736">
        <f t="shared" si="647"/>
        <v>0</v>
      </c>
      <c r="K1916" s="736"/>
      <c r="L1916" s="736"/>
      <c r="M1916" s="736">
        <f t="shared" si="648"/>
        <v>0</v>
      </c>
      <c r="N1916" s="736"/>
      <c r="O1916" s="736"/>
      <c r="P1916" s="738">
        <f t="shared" si="649"/>
        <v>0</v>
      </c>
      <c r="Q1916" s="738"/>
      <c r="R1916" s="738"/>
      <c r="S1916" s="738"/>
      <c r="T1916" s="739">
        <v>1100121</v>
      </c>
      <c r="U1916" s="745"/>
      <c r="V1916" s="739">
        <v>1100122</v>
      </c>
    </row>
    <row r="1917" spans="1:22" ht="15" x14ac:dyDescent="0.2">
      <c r="A1917" s="734">
        <v>3551</v>
      </c>
      <c r="B1917" s="735" t="s">
        <v>30</v>
      </c>
      <c r="C1917" s="736">
        <v>11832.3</v>
      </c>
      <c r="D1917" s="736">
        <v>12000</v>
      </c>
      <c r="E1917" s="749">
        <v>12000</v>
      </c>
      <c r="F1917" s="736">
        <v>2642.01</v>
      </c>
      <c r="G1917" s="752">
        <v>15000</v>
      </c>
      <c r="H1917" s="752"/>
      <c r="I1917" s="752"/>
      <c r="J1917" s="736">
        <f t="shared" si="647"/>
        <v>15000</v>
      </c>
      <c r="K1917" s="752"/>
      <c r="L1917" s="752"/>
      <c r="M1917" s="736">
        <f t="shared" si="648"/>
        <v>15000</v>
      </c>
      <c r="N1917" s="736"/>
      <c r="O1917" s="736"/>
      <c r="P1917" s="736">
        <f t="shared" si="649"/>
        <v>15000</v>
      </c>
      <c r="Q1917" s="753">
        <v>15000</v>
      </c>
      <c r="R1917" s="738">
        <v>10700</v>
      </c>
      <c r="S1917" s="738">
        <f>Q1917</f>
        <v>15000</v>
      </c>
      <c r="T1917" s="739">
        <v>1100121</v>
      </c>
      <c r="U1917" s="746">
        <v>35000</v>
      </c>
      <c r="V1917" s="741">
        <v>1100122</v>
      </c>
    </row>
    <row r="1918" spans="1:22" ht="15" x14ac:dyDescent="0.2">
      <c r="A1918" s="734">
        <v>3852</v>
      </c>
      <c r="B1918" s="735" t="s">
        <v>32</v>
      </c>
      <c r="C1918" s="736">
        <v>13334.71</v>
      </c>
      <c r="D1918" s="736">
        <v>15000</v>
      </c>
      <c r="E1918" s="749">
        <v>15000</v>
      </c>
      <c r="F1918" s="736">
        <v>13904.6</v>
      </c>
      <c r="G1918" s="752">
        <v>15000</v>
      </c>
      <c r="H1918" s="752"/>
      <c r="I1918" s="752"/>
      <c r="J1918" s="736">
        <f t="shared" si="647"/>
        <v>15000</v>
      </c>
      <c r="K1918" s="752"/>
      <c r="L1918" s="752"/>
      <c r="M1918" s="736">
        <f t="shared" si="648"/>
        <v>15000</v>
      </c>
      <c r="N1918" s="736"/>
      <c r="O1918" s="736"/>
      <c r="P1918" s="736">
        <f t="shared" si="649"/>
        <v>15000</v>
      </c>
      <c r="Q1918" s="753">
        <v>15000</v>
      </c>
      <c r="R1918" s="738">
        <v>8666.18</v>
      </c>
      <c r="S1918" s="753">
        <v>12000</v>
      </c>
      <c r="T1918" s="739">
        <v>1100121</v>
      </c>
      <c r="U1918" s="754">
        <v>12000</v>
      </c>
      <c r="V1918" s="741">
        <v>1100122</v>
      </c>
    </row>
    <row r="1919" spans="1:22" ht="15" x14ac:dyDescent="0.2">
      <c r="A1919" s="734">
        <v>3921</v>
      </c>
      <c r="B1919" s="735" t="s">
        <v>33</v>
      </c>
      <c r="C1919" s="736">
        <v>940</v>
      </c>
      <c r="D1919" s="736">
        <v>1040</v>
      </c>
      <c r="E1919" s="749">
        <v>1040</v>
      </c>
      <c r="F1919" s="736">
        <v>705.01</v>
      </c>
      <c r="G1919" s="736">
        <v>6157</v>
      </c>
      <c r="H1919" s="736"/>
      <c r="I1919" s="736"/>
      <c r="J1919" s="736">
        <f t="shared" si="647"/>
        <v>6157</v>
      </c>
      <c r="K1919" s="736"/>
      <c r="L1919" s="736"/>
      <c r="M1919" s="736">
        <f t="shared" si="648"/>
        <v>6157</v>
      </c>
      <c r="N1919" s="736"/>
      <c r="O1919" s="736"/>
      <c r="P1919" s="736">
        <f t="shared" si="649"/>
        <v>6157</v>
      </c>
      <c r="Q1919" s="738">
        <v>6157</v>
      </c>
      <c r="R1919" s="738">
        <v>1051.98</v>
      </c>
      <c r="S1919" s="738">
        <v>1346.96</v>
      </c>
      <c r="T1919" s="739">
        <v>1100121</v>
      </c>
      <c r="U1919" s="746">
        <v>1347</v>
      </c>
      <c r="V1919" s="741">
        <v>1100122</v>
      </c>
    </row>
    <row r="1920" spans="1:22" ht="15" x14ac:dyDescent="0.2">
      <c r="A1920" s="739">
        <v>5151</v>
      </c>
      <c r="B1920" s="743" t="s">
        <v>36</v>
      </c>
      <c r="C1920" s="736">
        <v>779437.53</v>
      </c>
      <c r="D1920" s="736">
        <v>0</v>
      </c>
      <c r="E1920" s="749">
        <v>1136022.48</v>
      </c>
      <c r="F1920" s="736">
        <v>1136022.48</v>
      </c>
      <c r="G1920" s="736"/>
      <c r="H1920" s="736"/>
      <c r="I1920" s="736"/>
      <c r="J1920" s="736">
        <f t="shared" si="647"/>
        <v>0</v>
      </c>
      <c r="K1920" s="736"/>
      <c r="L1920" s="736"/>
      <c r="M1920" s="736">
        <f t="shared" si="648"/>
        <v>0</v>
      </c>
      <c r="N1920" s="736"/>
      <c r="O1920" s="736"/>
      <c r="P1920" s="738">
        <f t="shared" si="649"/>
        <v>0</v>
      </c>
      <c r="Q1920" s="738"/>
      <c r="R1920" s="738"/>
      <c r="S1920" s="738">
        <v>165000</v>
      </c>
      <c r="T1920" s="739">
        <v>1100119</v>
      </c>
      <c r="U1920" s="750">
        <v>0</v>
      </c>
      <c r="V1920" s="739">
        <v>1100119</v>
      </c>
    </row>
    <row r="1921" spans="1:22" ht="15" x14ac:dyDescent="0.2">
      <c r="A1921" s="739">
        <v>5191</v>
      </c>
      <c r="B1921" s="743" t="s">
        <v>69</v>
      </c>
      <c r="C1921" s="736">
        <v>23999.99</v>
      </c>
      <c r="D1921" s="736"/>
      <c r="E1921" s="736"/>
      <c r="F1921" s="736"/>
      <c r="G1921" s="736"/>
      <c r="H1921" s="736"/>
      <c r="I1921" s="736"/>
      <c r="J1921" s="736">
        <f t="shared" si="647"/>
        <v>0</v>
      </c>
      <c r="K1921" s="736"/>
      <c r="L1921" s="736"/>
      <c r="M1921" s="736">
        <f t="shared" si="648"/>
        <v>0</v>
      </c>
      <c r="N1921" s="736"/>
      <c r="O1921" s="736"/>
      <c r="P1921" s="738">
        <f t="shared" si="649"/>
        <v>0</v>
      </c>
      <c r="Q1921" s="738"/>
      <c r="R1921" s="738"/>
      <c r="S1921" s="738"/>
      <c r="T1921" s="739"/>
      <c r="U1921" s="745"/>
      <c r="V1921" s="739"/>
    </row>
    <row r="1922" spans="1:22" ht="15" x14ac:dyDescent="0.2">
      <c r="A1922" s="739">
        <v>5211</v>
      </c>
      <c r="B1922" s="743" t="s">
        <v>71</v>
      </c>
      <c r="C1922" s="736"/>
      <c r="D1922" s="736">
        <v>20000</v>
      </c>
      <c r="E1922" s="736"/>
      <c r="F1922" s="736">
        <v>0</v>
      </c>
      <c r="G1922" s="736"/>
      <c r="H1922" s="736"/>
      <c r="I1922" s="736"/>
      <c r="J1922" s="736">
        <f t="shared" si="647"/>
        <v>0</v>
      </c>
      <c r="K1922" s="736"/>
      <c r="L1922" s="736"/>
      <c r="M1922" s="736">
        <f t="shared" si="648"/>
        <v>0</v>
      </c>
      <c r="N1922" s="736"/>
      <c r="O1922" s="736"/>
      <c r="P1922" s="738">
        <f t="shared" si="649"/>
        <v>0</v>
      </c>
      <c r="Q1922" s="738"/>
      <c r="R1922" s="738"/>
      <c r="S1922" s="738"/>
      <c r="T1922" s="739">
        <v>1100121</v>
      </c>
      <c r="U1922" s="745"/>
      <c r="V1922" s="739">
        <v>1100122</v>
      </c>
    </row>
    <row r="1923" spans="1:22" ht="15" x14ac:dyDescent="0.2">
      <c r="A1923" s="739">
        <v>5231</v>
      </c>
      <c r="B1923" s="743" t="s">
        <v>81</v>
      </c>
      <c r="C1923" s="736">
        <v>13980</v>
      </c>
      <c r="D1923" s="736"/>
      <c r="E1923" s="736"/>
      <c r="F1923" s="736"/>
      <c r="G1923" s="736"/>
      <c r="H1923" s="736"/>
      <c r="I1923" s="736"/>
      <c r="J1923" s="736">
        <f t="shared" si="647"/>
        <v>0</v>
      </c>
      <c r="K1923" s="736"/>
      <c r="L1923" s="736"/>
      <c r="M1923" s="736">
        <f t="shared" si="648"/>
        <v>0</v>
      </c>
      <c r="N1923" s="736"/>
      <c r="O1923" s="736"/>
      <c r="P1923" s="738">
        <f t="shared" si="649"/>
        <v>0</v>
      </c>
      <c r="Q1923" s="738"/>
      <c r="R1923" s="738"/>
      <c r="S1923" s="738"/>
      <c r="T1923" s="739"/>
      <c r="U1923" s="745"/>
      <c r="V1923" s="739"/>
    </row>
    <row r="1924" spans="1:22" ht="15" x14ac:dyDescent="0.2">
      <c r="A1924" s="739">
        <v>5641</v>
      </c>
      <c r="B1924" s="743" t="s">
        <v>124</v>
      </c>
      <c r="C1924" s="736">
        <v>38400</v>
      </c>
      <c r="D1924" s="736">
        <v>50000</v>
      </c>
      <c r="E1924" s="749">
        <v>15000</v>
      </c>
      <c r="F1924" s="736">
        <v>0</v>
      </c>
      <c r="G1924" s="736"/>
      <c r="H1924" s="736"/>
      <c r="I1924" s="736"/>
      <c r="J1924" s="736">
        <f t="shared" si="647"/>
        <v>0</v>
      </c>
      <c r="K1924" s="736"/>
      <c r="L1924" s="736"/>
      <c r="M1924" s="736">
        <f t="shared" si="648"/>
        <v>0</v>
      </c>
      <c r="N1924" s="736"/>
      <c r="O1924" s="736"/>
      <c r="P1924" s="738">
        <f t="shared" si="649"/>
        <v>0</v>
      </c>
      <c r="Q1924" s="738"/>
      <c r="R1924" s="738"/>
      <c r="S1924" s="738"/>
      <c r="T1924" s="739">
        <v>1100121</v>
      </c>
      <c r="U1924" s="745"/>
      <c r="V1924" s="739">
        <v>1100122</v>
      </c>
    </row>
    <row r="1925" spans="1:22" ht="15" x14ac:dyDescent="0.2">
      <c r="A1925" s="739">
        <v>5921</v>
      </c>
      <c r="B1925" s="743" t="s">
        <v>1786</v>
      </c>
      <c r="C1925" s="736"/>
      <c r="D1925" s="736">
        <v>10000</v>
      </c>
      <c r="E1925" s="749">
        <v>10000</v>
      </c>
      <c r="F1925" s="736">
        <v>0</v>
      </c>
      <c r="G1925" s="752">
        <v>5000</v>
      </c>
      <c r="H1925" s="752"/>
      <c r="I1925" s="752"/>
      <c r="J1925" s="736">
        <f t="shared" si="647"/>
        <v>5000</v>
      </c>
      <c r="K1925" s="752"/>
      <c r="L1925" s="752"/>
      <c r="M1925" s="736">
        <f t="shared" si="648"/>
        <v>5000</v>
      </c>
      <c r="N1925" s="736"/>
      <c r="O1925" s="736"/>
      <c r="P1925" s="736">
        <f t="shared" si="649"/>
        <v>5000</v>
      </c>
      <c r="Q1925" s="753">
        <v>5000</v>
      </c>
      <c r="R1925" s="738">
        <v>280</v>
      </c>
      <c r="S1925" s="753">
        <v>12000</v>
      </c>
      <c r="T1925" s="739">
        <v>1500521</v>
      </c>
      <c r="U1925" s="745">
        <v>0</v>
      </c>
      <c r="V1925" s="739">
        <v>1500522</v>
      </c>
    </row>
    <row r="1926" spans="1:22" ht="15" x14ac:dyDescent="0.2">
      <c r="A1926" s="734">
        <v>5971</v>
      </c>
      <c r="B1926" s="735" t="s">
        <v>250</v>
      </c>
      <c r="C1926" s="736"/>
      <c r="D1926" s="736">
        <v>500000</v>
      </c>
      <c r="E1926" s="749">
        <v>350000</v>
      </c>
      <c r="F1926" s="736">
        <v>121036.26</v>
      </c>
      <c r="G1926" s="752">
        <v>570500</v>
      </c>
      <c r="H1926" s="752"/>
      <c r="I1926" s="752"/>
      <c r="J1926" s="736">
        <f t="shared" si="647"/>
        <v>570500</v>
      </c>
      <c r="K1926" s="752"/>
      <c r="L1926" s="752"/>
      <c r="M1926" s="736">
        <f t="shared" si="648"/>
        <v>570500</v>
      </c>
      <c r="N1926" s="736"/>
      <c r="O1926" s="736">
        <v>45000</v>
      </c>
      <c r="P1926" s="736">
        <f t="shared" si="649"/>
        <v>525500</v>
      </c>
      <c r="Q1926" s="753">
        <v>525500</v>
      </c>
      <c r="R1926" s="738"/>
      <c r="S1926" s="753">
        <v>492521.5</v>
      </c>
      <c r="T1926" s="739">
        <v>1500521</v>
      </c>
      <c r="U1926" s="754">
        <v>492521.5</v>
      </c>
      <c r="V1926" s="741">
        <v>1100122</v>
      </c>
    </row>
    <row r="1927" spans="1:22" ht="15" x14ac:dyDescent="0.2">
      <c r="A1927" s="728" t="s">
        <v>277</v>
      </c>
      <c r="B1927" s="729" t="s">
        <v>1630</v>
      </c>
      <c r="C1927" s="730">
        <f t="shared" ref="C1927:S1927" si="650">SUM(C1928:C1980)</f>
        <v>3189302.3200000003</v>
      </c>
      <c r="D1927" s="730">
        <f t="shared" si="650"/>
        <v>12254863.58</v>
      </c>
      <c r="E1927" s="730">
        <f t="shared" si="650"/>
        <v>12814146.99</v>
      </c>
      <c r="F1927" s="730">
        <f t="shared" si="650"/>
        <v>8909861.5200000014</v>
      </c>
      <c r="G1927" s="730">
        <f t="shared" si="650"/>
        <v>7276417.5999999996</v>
      </c>
      <c r="H1927" s="730">
        <f t="shared" si="650"/>
        <v>2323339.7399999998</v>
      </c>
      <c r="I1927" s="730">
        <f t="shared" si="650"/>
        <v>0</v>
      </c>
      <c r="J1927" s="730">
        <f t="shared" si="650"/>
        <v>9599757.3399999999</v>
      </c>
      <c r="K1927" s="730">
        <f t="shared" si="650"/>
        <v>1075875.77</v>
      </c>
      <c r="L1927" s="730">
        <f t="shared" si="650"/>
        <v>500000</v>
      </c>
      <c r="M1927" s="730">
        <f t="shared" si="650"/>
        <v>10175633.109999999</v>
      </c>
      <c r="N1927" s="730">
        <f t="shared" si="650"/>
        <v>3102672.4</v>
      </c>
      <c r="O1927" s="730">
        <f t="shared" si="650"/>
        <v>2314672.4</v>
      </c>
      <c r="P1927" s="730">
        <f t="shared" si="650"/>
        <v>10963633.110000001</v>
      </c>
      <c r="Q1927" s="748">
        <f>SUM(Q1928:Q1980)</f>
        <v>10981774.17</v>
      </c>
      <c r="R1927" s="748">
        <f t="shared" si="650"/>
        <v>6283328.0899999999</v>
      </c>
      <c r="S1927" s="748">
        <f t="shared" si="650"/>
        <v>15456759.329999998</v>
      </c>
      <c r="T1927" s="731"/>
      <c r="U1927" s="732">
        <f>SUM(U1928:U1980)</f>
        <v>11555794.379999999</v>
      </c>
      <c r="V1927" s="733"/>
    </row>
    <row r="1928" spans="1:22" ht="15" x14ac:dyDescent="0.25">
      <c r="A1928" s="734">
        <v>1131</v>
      </c>
      <c r="B1928" s="735" t="s">
        <v>6</v>
      </c>
      <c r="C1928" s="736">
        <v>359432.24</v>
      </c>
      <c r="D1928" s="736">
        <v>374643.36</v>
      </c>
      <c r="E1928" s="749">
        <v>375806.36</v>
      </c>
      <c r="F1928" s="736">
        <v>404332.52</v>
      </c>
      <c r="G1928" s="736">
        <v>407633.19999999995</v>
      </c>
      <c r="H1928" s="736"/>
      <c r="I1928" s="736"/>
      <c r="J1928" s="736">
        <f t="shared" ref="J1928:J1956" si="651">G1928+H1928-I1928</f>
        <v>407633.19999999995</v>
      </c>
      <c r="K1928" s="736">
        <v>1839.96</v>
      </c>
      <c r="L1928" s="736"/>
      <c r="M1928" s="736">
        <f t="shared" ref="M1928:M1956" si="652">J1928+K1928-L1928</f>
        <v>409473.16</v>
      </c>
      <c r="N1928" s="736"/>
      <c r="O1928" s="736"/>
      <c r="P1928" s="736">
        <f t="shared" ref="P1928:P1962" si="653">M1928+N1928-O1928</f>
        <v>409473.16</v>
      </c>
      <c r="Q1928" s="738">
        <v>409473.16</v>
      </c>
      <c r="R1928" s="738"/>
      <c r="S1928" s="751">
        <v>423437.56</v>
      </c>
      <c r="T1928" s="739">
        <v>1500521</v>
      </c>
      <c r="U1928" s="779">
        <v>421426.42</v>
      </c>
      <c r="V1928" s="741">
        <v>1500522</v>
      </c>
    </row>
    <row r="1929" spans="1:22" ht="15" x14ac:dyDescent="0.25">
      <c r="A1929" s="734">
        <v>1132</v>
      </c>
      <c r="B1929" s="735" t="s">
        <v>8</v>
      </c>
      <c r="C1929" s="736">
        <v>252657.52</v>
      </c>
      <c r="D1929" s="736">
        <v>262298.40000000002</v>
      </c>
      <c r="E1929" s="749">
        <v>263053.40000000002</v>
      </c>
      <c r="F1929" s="736">
        <v>272602.71999999997</v>
      </c>
      <c r="G1929" s="736">
        <v>275569.89999999997</v>
      </c>
      <c r="H1929" s="736"/>
      <c r="I1929" s="736"/>
      <c r="J1929" s="736">
        <f t="shared" si="651"/>
        <v>275569.89999999997</v>
      </c>
      <c r="K1929" s="736">
        <v>9721.31</v>
      </c>
      <c r="L1929" s="736"/>
      <c r="M1929" s="736">
        <f t="shared" si="652"/>
        <v>285291.20999999996</v>
      </c>
      <c r="N1929" s="736"/>
      <c r="O1929" s="736"/>
      <c r="P1929" s="736">
        <f t="shared" si="653"/>
        <v>285291.20999999996</v>
      </c>
      <c r="Q1929" s="738">
        <v>285291.21000000002</v>
      </c>
      <c r="R1929" s="738"/>
      <c r="S1929" s="751">
        <v>296492.56</v>
      </c>
      <c r="T1929" s="739">
        <v>1500521</v>
      </c>
      <c r="U1929" s="779">
        <v>288980.19</v>
      </c>
      <c r="V1929" s="741">
        <v>1500522</v>
      </c>
    </row>
    <row r="1930" spans="1:22" ht="15" x14ac:dyDescent="0.25">
      <c r="A1930" s="734">
        <v>1212</v>
      </c>
      <c r="B1930" s="735" t="s">
        <v>53</v>
      </c>
      <c r="C1930" s="736">
        <v>1013296.79</v>
      </c>
      <c r="D1930" s="736">
        <v>1558749.6</v>
      </c>
      <c r="E1930" s="749">
        <v>1478316.19</v>
      </c>
      <c r="F1930" s="736">
        <v>1462903.95</v>
      </c>
      <c r="G1930" s="736">
        <v>1662098.4</v>
      </c>
      <c r="H1930" s="736"/>
      <c r="I1930" s="736"/>
      <c r="J1930" s="736">
        <f t="shared" si="651"/>
        <v>1662098.4</v>
      </c>
      <c r="K1930" s="736">
        <v>25095.06</v>
      </c>
      <c r="L1930" s="736"/>
      <c r="M1930" s="736">
        <f t="shared" si="652"/>
        <v>1687193.46</v>
      </c>
      <c r="N1930" s="736"/>
      <c r="O1930" s="736"/>
      <c r="P1930" s="736">
        <f t="shared" si="653"/>
        <v>1687193.46</v>
      </c>
      <c r="Q1930" s="738">
        <v>1795540.87</v>
      </c>
      <c r="R1930" s="738"/>
      <c r="S1930" s="751">
        <v>1967569.2</v>
      </c>
      <c r="T1930" s="739">
        <v>1500521</v>
      </c>
      <c r="U1930" s="779">
        <v>1791626.71</v>
      </c>
      <c r="V1930" s="741">
        <v>1500522</v>
      </c>
    </row>
    <row r="1931" spans="1:22" ht="15" x14ac:dyDescent="0.25">
      <c r="A1931" s="734">
        <v>1321</v>
      </c>
      <c r="B1931" s="735" t="s">
        <v>9</v>
      </c>
      <c r="C1931" s="736">
        <v>29587.96</v>
      </c>
      <c r="D1931" s="736">
        <v>37684.1</v>
      </c>
      <c r="E1931" s="749">
        <v>45418.1</v>
      </c>
      <c r="F1931" s="736">
        <v>37728.97</v>
      </c>
      <c r="G1931" s="736">
        <v>40237.4</v>
      </c>
      <c r="H1931" s="736"/>
      <c r="I1931" s="736"/>
      <c r="J1931" s="736">
        <f t="shared" si="651"/>
        <v>40237.4</v>
      </c>
      <c r="K1931" s="736">
        <v>700.5</v>
      </c>
      <c r="L1931" s="736"/>
      <c r="M1931" s="736">
        <f t="shared" si="652"/>
        <v>40937.9</v>
      </c>
      <c r="N1931" s="736"/>
      <c r="O1931" s="736"/>
      <c r="P1931" s="736">
        <f t="shared" si="653"/>
        <v>40937.9</v>
      </c>
      <c r="Q1931" s="738">
        <v>49061.27</v>
      </c>
      <c r="R1931" s="738"/>
      <c r="S1931" s="751">
        <v>43436.11</v>
      </c>
      <c r="T1931" s="739">
        <v>1500521</v>
      </c>
      <c r="U1931" s="779">
        <v>59207.67</v>
      </c>
      <c r="V1931" s="741">
        <v>1500522</v>
      </c>
    </row>
    <row r="1932" spans="1:22" ht="15" x14ac:dyDescent="0.25">
      <c r="A1932" s="734">
        <v>1323</v>
      </c>
      <c r="B1932" s="735" t="s">
        <v>11</v>
      </c>
      <c r="C1932" s="736">
        <v>150479.76</v>
      </c>
      <c r="D1932" s="736">
        <v>179069</v>
      </c>
      <c r="E1932" s="749">
        <v>157666.85</v>
      </c>
      <c r="F1932" s="736">
        <v>171742.96</v>
      </c>
      <c r="G1932" s="736">
        <v>184292.1</v>
      </c>
      <c r="H1932" s="736"/>
      <c r="I1932" s="736"/>
      <c r="J1932" s="736">
        <f t="shared" si="651"/>
        <v>184292.1</v>
      </c>
      <c r="K1932" s="759">
        <v>5485.3</v>
      </c>
      <c r="L1932" s="736"/>
      <c r="M1932" s="736">
        <f t="shared" si="652"/>
        <v>189777.4</v>
      </c>
      <c r="N1932" s="736"/>
      <c r="O1932" s="736"/>
      <c r="P1932" s="736">
        <f t="shared" si="653"/>
        <v>189777.4</v>
      </c>
      <c r="Q1932" s="738">
        <v>194105.15</v>
      </c>
      <c r="R1932" s="738"/>
      <c r="S1932" s="751">
        <v>205752.55</v>
      </c>
      <c r="T1932" s="739">
        <v>1500521</v>
      </c>
      <c r="U1932" s="779">
        <v>200467.22</v>
      </c>
      <c r="V1932" s="741">
        <v>1500522</v>
      </c>
    </row>
    <row r="1933" spans="1:22" ht="15" x14ac:dyDescent="0.25">
      <c r="A1933" s="734">
        <v>1413</v>
      </c>
      <c r="B1933" s="735" t="s">
        <v>13</v>
      </c>
      <c r="C1933" s="736">
        <v>269114.03999999998</v>
      </c>
      <c r="D1933" s="736">
        <v>417408.1</v>
      </c>
      <c r="E1933" s="749">
        <v>378302.03</v>
      </c>
      <c r="F1933" s="736">
        <v>358788.6</v>
      </c>
      <c r="G1933" s="736">
        <v>474333.19999999995</v>
      </c>
      <c r="H1933" s="736"/>
      <c r="I1933" s="736"/>
      <c r="J1933" s="736">
        <f t="shared" si="651"/>
        <v>474333.19999999995</v>
      </c>
      <c r="K1933" s="736">
        <v>14924.66</v>
      </c>
      <c r="L1933" s="736"/>
      <c r="M1933" s="736">
        <f t="shared" si="652"/>
        <v>489257.85999999993</v>
      </c>
      <c r="N1933" s="736"/>
      <c r="O1933" s="736"/>
      <c r="P1933" s="736">
        <f t="shared" si="653"/>
        <v>489257.85999999993</v>
      </c>
      <c r="Q1933" s="738">
        <v>479009.32</v>
      </c>
      <c r="R1933" s="738"/>
      <c r="S1933" s="751">
        <v>572791.19999999995</v>
      </c>
      <c r="T1933" s="739">
        <v>1500521</v>
      </c>
      <c r="U1933" s="779">
        <v>405718.6</v>
      </c>
      <c r="V1933" s="741">
        <v>1500522</v>
      </c>
    </row>
    <row r="1934" spans="1:22" ht="15" x14ac:dyDescent="0.25">
      <c r="A1934" s="734">
        <v>1421</v>
      </c>
      <c r="B1934" s="735" t="s">
        <v>15</v>
      </c>
      <c r="C1934" s="736">
        <v>89956.68</v>
      </c>
      <c r="D1934" s="736">
        <v>131328.70000000001</v>
      </c>
      <c r="E1934" s="749">
        <v>107727.8</v>
      </c>
      <c r="F1934" s="736">
        <v>112828.56</v>
      </c>
      <c r="G1934" s="736">
        <v>140360.9</v>
      </c>
      <c r="H1934" s="736"/>
      <c r="I1934" s="736"/>
      <c r="J1934" s="736">
        <f t="shared" si="651"/>
        <v>140360.9</v>
      </c>
      <c r="K1934" s="736">
        <v>4308.28</v>
      </c>
      <c r="L1934" s="736"/>
      <c r="M1934" s="736">
        <f t="shared" si="652"/>
        <v>144669.18</v>
      </c>
      <c r="N1934" s="736"/>
      <c r="O1934" s="736"/>
      <c r="P1934" s="736">
        <f t="shared" si="653"/>
        <v>144669.18</v>
      </c>
      <c r="Q1934" s="738">
        <v>144669.18</v>
      </c>
      <c r="R1934" s="738"/>
      <c r="S1934" s="751">
        <v>160707.48000000001</v>
      </c>
      <c r="T1934" s="739">
        <v>1500521</v>
      </c>
      <c r="U1934" s="779">
        <v>153522.85</v>
      </c>
      <c r="V1934" s="741">
        <v>1500522</v>
      </c>
    </row>
    <row r="1935" spans="1:22" ht="15" x14ac:dyDescent="0.25">
      <c r="A1935" s="734">
        <v>1431</v>
      </c>
      <c r="B1935" s="735" t="s">
        <v>16</v>
      </c>
      <c r="C1935" s="736">
        <v>95015.24</v>
      </c>
      <c r="D1935" s="736">
        <v>135268.48000000001</v>
      </c>
      <c r="E1935" s="749">
        <v>112879.18</v>
      </c>
      <c r="F1935" s="736">
        <v>119342.45</v>
      </c>
      <c r="G1935" s="736">
        <v>144571.1</v>
      </c>
      <c r="H1935" s="736"/>
      <c r="I1935" s="736"/>
      <c r="J1935" s="736">
        <f t="shared" si="651"/>
        <v>144571.1</v>
      </c>
      <c r="K1935" s="736">
        <v>4408.3900000000003</v>
      </c>
      <c r="L1935" s="736"/>
      <c r="M1935" s="736">
        <f t="shared" si="652"/>
        <v>148979.49000000002</v>
      </c>
      <c r="N1935" s="736"/>
      <c r="O1935" s="736"/>
      <c r="P1935" s="736">
        <f t="shared" si="653"/>
        <v>148979.49000000002</v>
      </c>
      <c r="Q1935" s="738">
        <v>144797.16</v>
      </c>
      <c r="R1935" s="738"/>
      <c r="S1935" s="751">
        <v>165529.07999999999</v>
      </c>
      <c r="T1935" s="739">
        <v>1500521</v>
      </c>
      <c r="U1935" s="779">
        <v>152197.84</v>
      </c>
      <c r="V1935" s="741">
        <v>1500522</v>
      </c>
    </row>
    <row r="1936" spans="1:22" ht="15" x14ac:dyDescent="0.25">
      <c r="A1936" s="734">
        <v>1511</v>
      </c>
      <c r="B1936" s="735" t="s">
        <v>18</v>
      </c>
      <c r="C1936" s="736">
        <v>14939.7</v>
      </c>
      <c r="D1936" s="736">
        <v>15946.84</v>
      </c>
      <c r="E1936" s="749">
        <v>15946.84</v>
      </c>
      <c r="F1936" s="736">
        <v>16516.740000000002</v>
      </c>
      <c r="G1936" s="736">
        <v>16751.3</v>
      </c>
      <c r="H1936" s="736"/>
      <c r="I1936" s="736"/>
      <c r="J1936" s="736">
        <f t="shared" si="651"/>
        <v>16751.3</v>
      </c>
      <c r="K1936" s="736">
        <v>561.27</v>
      </c>
      <c r="L1936" s="736"/>
      <c r="M1936" s="736">
        <f t="shared" si="652"/>
        <v>17312.57</v>
      </c>
      <c r="N1936" s="736"/>
      <c r="O1936" s="736"/>
      <c r="P1936" s="736">
        <f t="shared" si="653"/>
        <v>17312.57</v>
      </c>
      <c r="Q1936" s="738">
        <v>17312.57</v>
      </c>
      <c r="R1936" s="738"/>
      <c r="S1936" s="751">
        <v>18018</v>
      </c>
      <c r="T1936" s="739">
        <v>1500521</v>
      </c>
      <c r="U1936" s="779">
        <v>17556.349999999999</v>
      </c>
      <c r="V1936" s="741">
        <v>1500522</v>
      </c>
    </row>
    <row r="1937" spans="1:22" ht="15" x14ac:dyDescent="0.25">
      <c r="A1937" s="734">
        <v>1541</v>
      </c>
      <c r="B1937" s="735" t="s">
        <v>19</v>
      </c>
      <c r="C1937" s="736">
        <v>53224.63</v>
      </c>
      <c r="D1937" s="736">
        <v>63358.36</v>
      </c>
      <c r="E1937" s="749">
        <v>62152.36</v>
      </c>
      <c r="F1937" s="736">
        <v>64050.65</v>
      </c>
      <c r="G1937" s="736">
        <v>83731.5</v>
      </c>
      <c r="H1937" s="736"/>
      <c r="I1937" s="736"/>
      <c r="J1937" s="736">
        <f t="shared" si="651"/>
        <v>83731.5</v>
      </c>
      <c r="K1937" s="736">
        <v>3187.22</v>
      </c>
      <c r="L1937" s="736"/>
      <c r="M1937" s="736">
        <f t="shared" si="652"/>
        <v>86918.720000000001</v>
      </c>
      <c r="N1937" s="736"/>
      <c r="O1937" s="736"/>
      <c r="P1937" s="736">
        <f t="shared" si="653"/>
        <v>86918.720000000001</v>
      </c>
      <c r="Q1937" s="738">
        <v>86918.720000000001</v>
      </c>
      <c r="R1937" s="738"/>
      <c r="S1937" s="751">
        <v>87751.039999999994</v>
      </c>
      <c r="T1937" s="739">
        <v>1500521</v>
      </c>
      <c r="U1937" s="779">
        <v>87751.02</v>
      </c>
      <c r="V1937" s="741">
        <v>1500522</v>
      </c>
    </row>
    <row r="1938" spans="1:22" ht="15" x14ac:dyDescent="0.25">
      <c r="A1938" s="734">
        <v>1592</v>
      </c>
      <c r="B1938" s="735" t="s">
        <v>20</v>
      </c>
      <c r="C1938" s="736">
        <v>149955.5</v>
      </c>
      <c r="D1938" s="736">
        <v>160254.64000000001</v>
      </c>
      <c r="E1938" s="749">
        <v>160254.64000000001</v>
      </c>
      <c r="F1938" s="736">
        <v>165998.76</v>
      </c>
      <c r="G1938" s="736">
        <v>168324.6</v>
      </c>
      <c r="H1938" s="736"/>
      <c r="I1938" s="736"/>
      <c r="J1938" s="736">
        <f t="shared" si="651"/>
        <v>168324.6</v>
      </c>
      <c r="K1938" s="736">
        <v>5643.82</v>
      </c>
      <c r="L1938" s="736"/>
      <c r="M1938" s="736">
        <f t="shared" si="652"/>
        <v>173968.42</v>
      </c>
      <c r="N1938" s="736"/>
      <c r="O1938" s="736"/>
      <c r="P1938" s="736">
        <f t="shared" si="653"/>
        <v>173968.42</v>
      </c>
      <c r="Q1938" s="738">
        <v>186202.06</v>
      </c>
      <c r="R1938" s="738"/>
      <c r="S1938" s="751">
        <v>181119.12</v>
      </c>
      <c r="T1938" s="739">
        <v>1500521</v>
      </c>
      <c r="U1938" s="779">
        <v>176388.08</v>
      </c>
      <c r="V1938" s="741">
        <v>1500522</v>
      </c>
    </row>
    <row r="1939" spans="1:22" ht="15" x14ac:dyDescent="0.2">
      <c r="A1939" s="734">
        <v>2111</v>
      </c>
      <c r="B1939" s="735" t="s">
        <v>22</v>
      </c>
      <c r="C1939" s="736">
        <v>2828</v>
      </c>
      <c r="D1939" s="736">
        <v>2000</v>
      </c>
      <c r="E1939" s="749">
        <v>1400</v>
      </c>
      <c r="F1939" s="736">
        <v>1003.19</v>
      </c>
      <c r="G1939" s="752">
        <v>2210</v>
      </c>
      <c r="H1939" s="752"/>
      <c r="I1939" s="752"/>
      <c r="J1939" s="736">
        <f t="shared" si="651"/>
        <v>2210</v>
      </c>
      <c r="K1939" s="752"/>
      <c r="L1939" s="752"/>
      <c r="M1939" s="736">
        <f t="shared" si="652"/>
        <v>2210</v>
      </c>
      <c r="N1939" s="736"/>
      <c r="O1939" s="736"/>
      <c r="P1939" s="736">
        <f t="shared" si="653"/>
        <v>2210</v>
      </c>
      <c r="Q1939" s="753">
        <v>2210</v>
      </c>
      <c r="R1939" s="738">
        <v>1750.81</v>
      </c>
      <c r="S1939" s="753">
        <v>5002.55</v>
      </c>
      <c r="T1939" s="739">
        <v>1100121</v>
      </c>
      <c r="U1939" s="754">
        <v>5002.55</v>
      </c>
      <c r="V1939" s="741">
        <v>1100122</v>
      </c>
    </row>
    <row r="1940" spans="1:22" ht="15" x14ac:dyDescent="0.2">
      <c r="A1940" s="739">
        <v>2112</v>
      </c>
      <c r="B1940" s="743" t="s">
        <v>39</v>
      </c>
      <c r="C1940" s="736"/>
      <c r="D1940" s="736">
        <v>0</v>
      </c>
      <c r="E1940" s="749">
        <v>6356.8</v>
      </c>
      <c r="F1940" s="736">
        <v>0</v>
      </c>
      <c r="G1940" s="736"/>
      <c r="H1940" s="736"/>
      <c r="I1940" s="736"/>
      <c r="J1940" s="736">
        <f t="shared" si="651"/>
        <v>0</v>
      </c>
      <c r="K1940" s="736"/>
      <c r="L1940" s="736"/>
      <c r="M1940" s="736">
        <f t="shared" si="652"/>
        <v>0</v>
      </c>
      <c r="N1940" s="736"/>
      <c r="O1940" s="736"/>
      <c r="P1940" s="738">
        <f t="shared" si="653"/>
        <v>0</v>
      </c>
      <c r="Q1940" s="738">
        <v>228000</v>
      </c>
      <c r="R1940" s="738"/>
      <c r="S1940" s="738"/>
      <c r="T1940" s="739">
        <v>1100118</v>
      </c>
      <c r="U1940" s="745"/>
      <c r="V1940" s="739">
        <v>1100118</v>
      </c>
    </row>
    <row r="1941" spans="1:22" ht="15" x14ac:dyDescent="0.2">
      <c r="A1941" s="739">
        <v>2112</v>
      </c>
      <c r="B1941" s="743" t="s">
        <v>39</v>
      </c>
      <c r="C1941" s="736"/>
      <c r="D1941" s="736">
        <v>0</v>
      </c>
      <c r="E1941" s="749">
        <v>6356.8</v>
      </c>
      <c r="F1941" s="736">
        <v>0</v>
      </c>
      <c r="G1941" s="736"/>
      <c r="H1941" s="736"/>
      <c r="I1941" s="736"/>
      <c r="J1941" s="736">
        <f t="shared" si="651"/>
        <v>0</v>
      </c>
      <c r="K1941" s="736"/>
      <c r="L1941" s="736"/>
      <c r="M1941" s="736">
        <f t="shared" si="652"/>
        <v>0</v>
      </c>
      <c r="N1941" s="736"/>
      <c r="O1941" s="736"/>
      <c r="P1941" s="738">
        <f t="shared" si="653"/>
        <v>0</v>
      </c>
      <c r="Q1941" s="738"/>
      <c r="R1941" s="738"/>
      <c r="S1941" s="738"/>
      <c r="T1941" s="739">
        <v>1100119</v>
      </c>
      <c r="U1941" s="745"/>
      <c r="V1941" s="739">
        <v>1100119</v>
      </c>
    </row>
    <row r="1942" spans="1:22" ht="15" x14ac:dyDescent="0.2">
      <c r="A1942" s="734">
        <v>2112</v>
      </c>
      <c r="B1942" s="735" t="s">
        <v>39</v>
      </c>
      <c r="C1942" s="736">
        <v>53831.07</v>
      </c>
      <c r="D1942" s="736">
        <v>250000</v>
      </c>
      <c r="E1942" s="749">
        <v>152296.79999999999</v>
      </c>
      <c r="F1942" s="736">
        <v>72078.080000000002</v>
      </c>
      <c r="G1942" s="736"/>
      <c r="H1942" s="736"/>
      <c r="I1942" s="736"/>
      <c r="J1942" s="736">
        <f t="shared" si="651"/>
        <v>0</v>
      </c>
      <c r="K1942" s="736"/>
      <c r="L1942" s="736"/>
      <c r="M1942" s="736">
        <f t="shared" si="652"/>
        <v>0</v>
      </c>
      <c r="N1942" s="736">
        <v>228000</v>
      </c>
      <c r="O1942" s="736"/>
      <c r="P1942" s="736">
        <f t="shared" si="653"/>
        <v>228000</v>
      </c>
      <c r="Q1942" s="738"/>
      <c r="R1942" s="738">
        <v>87815.11</v>
      </c>
      <c r="S1942" s="738">
        <v>258500</v>
      </c>
      <c r="T1942" s="739">
        <v>1500521</v>
      </c>
      <c r="U1942" s="742">
        <v>258500</v>
      </c>
      <c r="V1942" s="741">
        <v>1100122</v>
      </c>
    </row>
    <row r="1943" spans="1:22" ht="15" x14ac:dyDescent="0.2">
      <c r="A1943" s="734">
        <v>2121</v>
      </c>
      <c r="B1943" s="735" t="s">
        <v>24</v>
      </c>
      <c r="C1943" s="736">
        <v>2375</v>
      </c>
      <c r="D1943" s="736">
        <v>2500</v>
      </c>
      <c r="E1943" s="749">
        <v>2500</v>
      </c>
      <c r="F1943" s="736">
        <v>2375</v>
      </c>
      <c r="G1943" s="752">
        <v>3800</v>
      </c>
      <c r="H1943" s="752"/>
      <c r="I1943" s="752"/>
      <c r="J1943" s="736">
        <f t="shared" si="651"/>
        <v>3800</v>
      </c>
      <c r="K1943" s="752"/>
      <c r="L1943" s="752"/>
      <c r="M1943" s="736">
        <f t="shared" si="652"/>
        <v>3800</v>
      </c>
      <c r="N1943" s="736"/>
      <c r="O1943" s="736"/>
      <c r="P1943" s="736">
        <f t="shared" si="653"/>
        <v>3800</v>
      </c>
      <c r="Q1943" s="753">
        <v>3339.76</v>
      </c>
      <c r="R1943" s="738">
        <v>3149.76</v>
      </c>
      <c r="S1943" s="753">
        <v>8784</v>
      </c>
      <c r="T1943" s="739">
        <v>1100121</v>
      </c>
      <c r="U1943" s="754">
        <v>8784</v>
      </c>
      <c r="V1943" s="741">
        <v>1100122</v>
      </c>
    </row>
    <row r="1944" spans="1:22" ht="15" x14ac:dyDescent="0.2">
      <c r="A1944" s="734">
        <v>2491</v>
      </c>
      <c r="B1944" s="735" t="s">
        <v>41</v>
      </c>
      <c r="C1944" s="736">
        <v>21248.26</v>
      </c>
      <c r="D1944" s="736">
        <v>25000</v>
      </c>
      <c r="E1944" s="749">
        <v>0</v>
      </c>
      <c r="F1944" s="736">
        <v>0</v>
      </c>
      <c r="G1944" s="752">
        <v>7000</v>
      </c>
      <c r="H1944" s="752"/>
      <c r="I1944" s="752"/>
      <c r="J1944" s="736">
        <f t="shared" si="651"/>
        <v>7000</v>
      </c>
      <c r="K1944" s="752"/>
      <c r="L1944" s="752"/>
      <c r="M1944" s="736">
        <f t="shared" si="652"/>
        <v>7000</v>
      </c>
      <c r="N1944" s="736"/>
      <c r="O1944" s="736"/>
      <c r="P1944" s="736">
        <f t="shared" si="653"/>
        <v>7000</v>
      </c>
      <c r="Q1944" s="753">
        <v>7000</v>
      </c>
      <c r="R1944" s="738"/>
      <c r="S1944" s="753">
        <v>7000</v>
      </c>
      <c r="T1944" s="739">
        <v>1100121</v>
      </c>
      <c r="U1944" s="754">
        <v>7000</v>
      </c>
      <c r="V1944" s="741">
        <v>1100122</v>
      </c>
    </row>
    <row r="1945" spans="1:22" ht="15" x14ac:dyDescent="0.2">
      <c r="A1945" s="739">
        <v>2911</v>
      </c>
      <c r="B1945" s="743" t="s">
        <v>60</v>
      </c>
      <c r="C1945" s="736">
        <v>14460.81</v>
      </c>
      <c r="D1945" s="736">
        <v>15000</v>
      </c>
      <c r="E1945" s="749">
        <v>0</v>
      </c>
      <c r="F1945" s="736">
        <v>0</v>
      </c>
      <c r="G1945" s="736"/>
      <c r="H1945" s="736"/>
      <c r="I1945" s="736"/>
      <c r="J1945" s="736">
        <f t="shared" si="651"/>
        <v>0</v>
      </c>
      <c r="K1945" s="736"/>
      <c r="L1945" s="736"/>
      <c r="M1945" s="736">
        <f t="shared" si="652"/>
        <v>0</v>
      </c>
      <c r="N1945" s="736"/>
      <c r="O1945" s="736"/>
      <c r="P1945" s="738">
        <f t="shared" si="653"/>
        <v>0</v>
      </c>
      <c r="Q1945" s="738"/>
      <c r="R1945" s="738"/>
      <c r="S1945" s="738"/>
      <c r="T1945" s="739">
        <v>1100121</v>
      </c>
      <c r="U1945" s="745"/>
      <c r="V1945" s="739">
        <v>1100122</v>
      </c>
    </row>
    <row r="1946" spans="1:22" ht="15" x14ac:dyDescent="0.2">
      <c r="A1946" s="734">
        <v>2941</v>
      </c>
      <c r="B1946" s="735" t="s">
        <v>79</v>
      </c>
      <c r="C1946" s="736">
        <v>71731.73</v>
      </c>
      <c r="D1946" s="736">
        <v>220000</v>
      </c>
      <c r="E1946" s="749">
        <v>520000</v>
      </c>
      <c r="F1946" s="736">
        <v>351929.41</v>
      </c>
      <c r="G1946" s="752">
        <v>100000</v>
      </c>
      <c r="H1946" s="752"/>
      <c r="I1946" s="752"/>
      <c r="J1946" s="736">
        <f t="shared" si="651"/>
        <v>100000</v>
      </c>
      <c r="K1946" s="752"/>
      <c r="L1946" s="752"/>
      <c r="M1946" s="736">
        <f t="shared" si="652"/>
        <v>100000</v>
      </c>
      <c r="N1946" s="736"/>
      <c r="O1946" s="736">
        <v>15000</v>
      </c>
      <c r="P1946" s="736">
        <f t="shared" si="653"/>
        <v>85000</v>
      </c>
      <c r="Q1946" s="753">
        <v>85000</v>
      </c>
      <c r="R1946" s="738">
        <v>81766.62</v>
      </c>
      <c r="S1946" s="753">
        <v>478000</v>
      </c>
      <c r="T1946" s="739">
        <v>1100121</v>
      </c>
      <c r="U1946" s="754">
        <v>478000</v>
      </c>
      <c r="V1946" s="741">
        <v>1100122</v>
      </c>
    </row>
    <row r="1947" spans="1:22" ht="15" x14ac:dyDescent="0.2">
      <c r="A1947" s="734">
        <v>3151</v>
      </c>
      <c r="B1947" s="762" t="s">
        <v>28</v>
      </c>
      <c r="C1947" s="736"/>
      <c r="D1947" s="736"/>
      <c r="E1947" s="749"/>
      <c r="F1947" s="736"/>
      <c r="G1947" s="752">
        <v>38304</v>
      </c>
      <c r="H1947" s="752"/>
      <c r="I1947" s="752"/>
      <c r="J1947" s="736">
        <f t="shared" si="651"/>
        <v>38304</v>
      </c>
      <c r="K1947" s="752"/>
      <c r="L1947" s="752"/>
      <c r="M1947" s="736">
        <f t="shared" si="652"/>
        <v>38304</v>
      </c>
      <c r="N1947" s="736"/>
      <c r="O1947" s="736"/>
      <c r="P1947" s="736">
        <f t="shared" si="653"/>
        <v>38304</v>
      </c>
      <c r="Q1947" s="753">
        <v>38304</v>
      </c>
      <c r="R1947" s="738">
        <v>31537.91</v>
      </c>
      <c r="S1947" s="753">
        <v>38304</v>
      </c>
      <c r="T1947" s="739">
        <v>1100121</v>
      </c>
      <c r="U1947" s="746">
        <v>50000</v>
      </c>
      <c r="V1947" s="741">
        <v>1100122</v>
      </c>
    </row>
    <row r="1948" spans="1:22" ht="15" x14ac:dyDescent="0.2">
      <c r="A1948" s="734">
        <v>3171</v>
      </c>
      <c r="B1948" s="762" t="s">
        <v>278</v>
      </c>
      <c r="C1948" s="736"/>
      <c r="D1948" s="736"/>
      <c r="E1948" s="749"/>
      <c r="F1948" s="736"/>
      <c r="G1948" s="752">
        <v>120000</v>
      </c>
      <c r="H1948" s="752"/>
      <c r="I1948" s="752"/>
      <c r="J1948" s="736">
        <f t="shared" si="651"/>
        <v>120000</v>
      </c>
      <c r="K1948" s="752"/>
      <c r="L1948" s="752"/>
      <c r="M1948" s="736">
        <f t="shared" si="652"/>
        <v>120000</v>
      </c>
      <c r="N1948" s="736"/>
      <c r="O1948" s="736"/>
      <c r="P1948" s="736">
        <f t="shared" si="653"/>
        <v>120000</v>
      </c>
      <c r="Q1948" s="753">
        <v>120000</v>
      </c>
      <c r="R1948" s="738"/>
      <c r="S1948" s="753">
        <v>528960</v>
      </c>
      <c r="T1948" s="739">
        <v>1100121</v>
      </c>
      <c r="U1948" s="754">
        <v>528960</v>
      </c>
      <c r="V1948" s="741">
        <v>1100122</v>
      </c>
    </row>
    <row r="1949" spans="1:22" ht="15" x14ac:dyDescent="0.2">
      <c r="A1949" s="734">
        <v>3172</v>
      </c>
      <c r="B1949" s="735" t="s">
        <v>98</v>
      </c>
      <c r="C1949" s="736">
        <v>30612.95</v>
      </c>
      <c r="D1949" s="736">
        <v>0</v>
      </c>
      <c r="E1949" s="749">
        <v>434346.92</v>
      </c>
      <c r="F1949" s="736">
        <v>434346.92</v>
      </c>
      <c r="G1949" s="752">
        <v>250000</v>
      </c>
      <c r="H1949" s="752"/>
      <c r="I1949" s="752"/>
      <c r="J1949" s="736">
        <f t="shared" si="651"/>
        <v>250000</v>
      </c>
      <c r="K1949" s="752"/>
      <c r="L1949" s="752"/>
      <c r="M1949" s="736">
        <f t="shared" si="652"/>
        <v>250000</v>
      </c>
      <c r="N1949" s="736"/>
      <c r="O1949" s="736"/>
      <c r="P1949" s="736">
        <f t="shared" si="653"/>
        <v>250000</v>
      </c>
      <c r="Q1949" s="753">
        <v>250000</v>
      </c>
      <c r="R1949" s="738">
        <v>125976.54</v>
      </c>
      <c r="S1949" s="753">
        <v>130424.88</v>
      </c>
      <c r="T1949" s="739">
        <v>1100121</v>
      </c>
      <c r="U1949" s="754">
        <v>130424.88</v>
      </c>
      <c r="V1949" s="741">
        <v>1100122</v>
      </c>
    </row>
    <row r="1950" spans="1:22" ht="15" x14ac:dyDescent="0.2">
      <c r="A1950" s="739">
        <v>3172</v>
      </c>
      <c r="B1950" s="743" t="s">
        <v>98</v>
      </c>
      <c r="C1950" s="736"/>
      <c r="D1950" s="736">
        <v>70000</v>
      </c>
      <c r="E1950" s="749">
        <v>28000</v>
      </c>
      <c r="F1950" s="736">
        <v>17041.95</v>
      </c>
      <c r="G1950" s="752"/>
      <c r="H1950" s="913"/>
      <c r="I1950" s="752"/>
      <c r="J1950" s="736">
        <f t="shared" si="651"/>
        <v>0</v>
      </c>
      <c r="K1950" s="913">
        <v>500000</v>
      </c>
      <c r="L1950" s="752"/>
      <c r="M1950" s="736">
        <f t="shared" si="652"/>
        <v>500000</v>
      </c>
      <c r="N1950" s="736"/>
      <c r="O1950" s="736">
        <f>116000+202000-17000</f>
        <v>301000</v>
      </c>
      <c r="P1950" s="736">
        <f t="shared" si="653"/>
        <v>199000</v>
      </c>
      <c r="Q1950" s="753">
        <v>199000</v>
      </c>
      <c r="R1950" s="738">
        <v>199000</v>
      </c>
      <c r="S1950" s="753"/>
      <c r="T1950" s="739">
        <v>1500521</v>
      </c>
      <c r="U1950" s="744"/>
      <c r="V1950" s="739">
        <v>1500522</v>
      </c>
    </row>
    <row r="1951" spans="1:22" ht="15" x14ac:dyDescent="0.2">
      <c r="A1951" s="734">
        <v>3173</v>
      </c>
      <c r="B1951" s="735" t="s">
        <v>257</v>
      </c>
      <c r="C1951" s="736">
        <v>117740</v>
      </c>
      <c r="D1951" s="736">
        <v>590000</v>
      </c>
      <c r="E1951" s="749">
        <v>342000</v>
      </c>
      <c r="F1951" s="736">
        <v>341854.11</v>
      </c>
      <c r="G1951" s="752">
        <v>10000</v>
      </c>
      <c r="H1951" s="752"/>
      <c r="I1951" s="752"/>
      <c r="J1951" s="736">
        <f t="shared" si="651"/>
        <v>10000</v>
      </c>
      <c r="K1951" s="752"/>
      <c r="L1951" s="752"/>
      <c r="M1951" s="736">
        <f t="shared" si="652"/>
        <v>10000</v>
      </c>
      <c r="N1951" s="736"/>
      <c r="O1951" s="736"/>
      <c r="P1951" s="736">
        <f t="shared" si="653"/>
        <v>10000</v>
      </c>
      <c r="Q1951" s="753">
        <v>10000</v>
      </c>
      <c r="R1951" s="738">
        <v>6621</v>
      </c>
      <c r="S1951" s="753">
        <v>460000</v>
      </c>
      <c r="T1951" s="739">
        <v>1100121</v>
      </c>
      <c r="U1951" s="754">
        <v>460000</v>
      </c>
      <c r="V1951" s="741">
        <v>1100122</v>
      </c>
    </row>
    <row r="1952" spans="1:22" ht="15" x14ac:dyDescent="0.2">
      <c r="A1952" s="739">
        <v>3233</v>
      </c>
      <c r="B1952" s="743" t="s">
        <v>1787</v>
      </c>
      <c r="C1952" s="736"/>
      <c r="D1952" s="736">
        <v>600000</v>
      </c>
      <c r="E1952" s="749">
        <v>14500</v>
      </c>
      <c r="F1952" s="736">
        <v>14500</v>
      </c>
      <c r="G1952" s="736"/>
      <c r="H1952" s="736"/>
      <c r="I1952" s="736"/>
      <c r="J1952" s="736">
        <f t="shared" si="651"/>
        <v>0</v>
      </c>
      <c r="K1952" s="736"/>
      <c r="L1952" s="736"/>
      <c r="M1952" s="736">
        <f t="shared" si="652"/>
        <v>0</v>
      </c>
      <c r="N1952" s="736"/>
      <c r="O1952" s="736"/>
      <c r="P1952" s="738">
        <f t="shared" si="653"/>
        <v>0</v>
      </c>
      <c r="Q1952" s="738"/>
      <c r="R1952" s="738"/>
      <c r="S1952" s="738"/>
      <c r="T1952" s="739">
        <v>1100121</v>
      </c>
      <c r="U1952" s="745"/>
      <c r="V1952" s="739">
        <v>1100122</v>
      </c>
    </row>
    <row r="1953" spans="1:22" ht="15" x14ac:dyDescent="0.2">
      <c r="A1953" s="734">
        <v>3271</v>
      </c>
      <c r="B1953" s="735" t="s">
        <v>276</v>
      </c>
      <c r="C1953" s="736"/>
      <c r="D1953" s="736">
        <v>1100000</v>
      </c>
      <c r="E1953" s="749">
        <v>160800</v>
      </c>
      <c r="F1953" s="736">
        <v>155829.76000000001</v>
      </c>
      <c r="G1953" s="736"/>
      <c r="H1953" s="736"/>
      <c r="I1953" s="736"/>
      <c r="J1953" s="736">
        <f t="shared" si="651"/>
        <v>0</v>
      </c>
      <c r="K1953" s="736"/>
      <c r="L1953" s="736"/>
      <c r="M1953" s="736">
        <f t="shared" si="652"/>
        <v>0</v>
      </c>
      <c r="N1953" s="736"/>
      <c r="O1953" s="736"/>
      <c r="P1953" s="738">
        <f t="shared" si="653"/>
        <v>0</v>
      </c>
      <c r="Q1953" s="738"/>
      <c r="R1953" s="738"/>
      <c r="S1953" s="738">
        <v>767280</v>
      </c>
      <c r="T1953" s="739">
        <v>1100121</v>
      </c>
      <c r="U1953" s="742">
        <v>767280</v>
      </c>
      <c r="V1953" s="741">
        <v>1100122</v>
      </c>
    </row>
    <row r="1954" spans="1:22" ht="15" x14ac:dyDescent="0.2">
      <c r="A1954" s="739">
        <v>3271</v>
      </c>
      <c r="B1954" s="743" t="s">
        <v>276</v>
      </c>
      <c r="C1954" s="736"/>
      <c r="D1954" s="736">
        <v>0</v>
      </c>
      <c r="E1954" s="749"/>
      <c r="F1954" s="736">
        <v>64867.199999999997</v>
      </c>
      <c r="G1954" s="736"/>
      <c r="H1954" s="736"/>
      <c r="I1954" s="736"/>
      <c r="J1954" s="736">
        <f t="shared" si="651"/>
        <v>0</v>
      </c>
      <c r="K1954" s="736"/>
      <c r="L1954" s="736"/>
      <c r="M1954" s="736">
        <f t="shared" si="652"/>
        <v>0</v>
      </c>
      <c r="N1954" s="736"/>
      <c r="O1954" s="736"/>
      <c r="P1954" s="738">
        <f t="shared" si="653"/>
        <v>0</v>
      </c>
      <c r="Q1954" s="738"/>
      <c r="R1954" s="738"/>
      <c r="S1954" s="738"/>
      <c r="T1954" s="739">
        <v>1500521</v>
      </c>
      <c r="U1954" s="745"/>
      <c r="V1954" s="739">
        <v>1500522</v>
      </c>
    </row>
    <row r="1955" spans="1:22" ht="15" x14ac:dyDescent="0.2">
      <c r="A1955" s="739">
        <v>3332</v>
      </c>
      <c r="B1955" s="743" t="s">
        <v>63</v>
      </c>
      <c r="C1955" s="736"/>
      <c r="D1955" s="736"/>
      <c r="E1955" s="749"/>
      <c r="F1955" s="736"/>
      <c r="G1955" s="736"/>
      <c r="H1955" s="736">
        <v>2299995</v>
      </c>
      <c r="I1955" s="736"/>
      <c r="J1955" s="736">
        <f t="shared" si="651"/>
        <v>2299995</v>
      </c>
      <c r="K1955" s="736"/>
      <c r="L1955" s="736"/>
      <c r="M1955" s="736">
        <f t="shared" si="652"/>
        <v>2299995</v>
      </c>
      <c r="N1955" s="736"/>
      <c r="O1955" s="736"/>
      <c r="P1955" s="736">
        <f t="shared" si="653"/>
        <v>2299995</v>
      </c>
      <c r="Q1955" s="738">
        <v>2299995</v>
      </c>
      <c r="R1955" s="738">
        <v>2299995</v>
      </c>
      <c r="S1955" s="738"/>
      <c r="T1955" s="739">
        <v>1100120</v>
      </c>
      <c r="U1955" s="745"/>
      <c r="V1955" s="739">
        <v>1100120</v>
      </c>
    </row>
    <row r="1956" spans="1:22" ht="15" x14ac:dyDescent="0.2">
      <c r="A1956" s="739">
        <v>3332</v>
      </c>
      <c r="B1956" s="743" t="s">
        <v>63</v>
      </c>
      <c r="C1956" s="736">
        <v>44660</v>
      </c>
      <c r="D1956" s="736">
        <v>0</v>
      </c>
      <c r="E1956" s="749">
        <v>2307263.16</v>
      </c>
      <c r="F1956" s="736">
        <v>0</v>
      </c>
      <c r="G1956" s="752">
        <v>200000</v>
      </c>
      <c r="H1956" s="752"/>
      <c r="I1956" s="752"/>
      <c r="J1956" s="736">
        <f t="shared" si="651"/>
        <v>200000</v>
      </c>
      <c r="K1956" s="752"/>
      <c r="L1956" s="752"/>
      <c r="M1956" s="736">
        <f t="shared" si="652"/>
        <v>200000</v>
      </c>
      <c r="N1956" s="736">
        <v>1601000</v>
      </c>
      <c r="O1956" s="736">
        <v>212672.4</v>
      </c>
      <c r="P1956" s="736">
        <f t="shared" si="653"/>
        <v>1588327.6</v>
      </c>
      <c r="Q1956" s="753">
        <v>212672.4</v>
      </c>
      <c r="R1956" s="738">
        <v>1588327.6</v>
      </c>
      <c r="S1956" s="753"/>
      <c r="T1956" s="739">
        <v>1500821</v>
      </c>
      <c r="U1956" s="745"/>
      <c r="V1956" s="739">
        <v>1500822</v>
      </c>
    </row>
    <row r="1957" spans="1:22" ht="15" x14ac:dyDescent="0.2">
      <c r="A1957" s="734">
        <v>3332</v>
      </c>
      <c r="B1957" s="735" t="s">
        <v>63</v>
      </c>
      <c r="C1957" s="736"/>
      <c r="D1957" s="736"/>
      <c r="E1957" s="749"/>
      <c r="F1957" s="736"/>
      <c r="G1957" s="752"/>
      <c r="H1957" s="752"/>
      <c r="I1957" s="752"/>
      <c r="J1957" s="736"/>
      <c r="K1957" s="752"/>
      <c r="L1957" s="752"/>
      <c r="M1957" s="736"/>
      <c r="N1957" s="736">
        <v>212672.4</v>
      </c>
      <c r="O1957" s="736"/>
      <c r="P1957" s="736">
        <f t="shared" si="653"/>
        <v>212672.4</v>
      </c>
      <c r="Q1957" s="753">
        <v>1588327.6</v>
      </c>
      <c r="R1957" s="738">
        <v>188212.4</v>
      </c>
      <c r="S1957" s="753">
        <v>3732700</v>
      </c>
      <c r="T1957" s="739">
        <v>1500521</v>
      </c>
      <c r="U1957" s="754">
        <v>1000000</v>
      </c>
      <c r="V1957" s="741">
        <v>1100122</v>
      </c>
    </row>
    <row r="1958" spans="1:22" ht="15" x14ac:dyDescent="0.2">
      <c r="A1958" s="739">
        <v>3341</v>
      </c>
      <c r="B1958" s="743" t="s">
        <v>219</v>
      </c>
      <c r="C1958" s="736">
        <v>74068</v>
      </c>
      <c r="D1958" s="736">
        <v>210000</v>
      </c>
      <c r="E1958" s="749">
        <v>110000</v>
      </c>
      <c r="F1958" s="736">
        <v>80082</v>
      </c>
      <c r="G1958" s="736"/>
      <c r="H1958" s="736"/>
      <c r="I1958" s="736"/>
      <c r="J1958" s="736">
        <f t="shared" ref="J1958:J1962" si="654">G1958+H1958-I1958</f>
        <v>0</v>
      </c>
      <c r="K1958" s="736"/>
      <c r="L1958" s="736"/>
      <c r="M1958" s="736">
        <f t="shared" ref="M1958:M1962" si="655">J1958+K1958-L1958</f>
        <v>0</v>
      </c>
      <c r="N1958" s="736">
        <f>150000+95000</f>
        <v>245000</v>
      </c>
      <c r="O1958" s="736"/>
      <c r="P1958" s="736">
        <f t="shared" si="653"/>
        <v>245000</v>
      </c>
      <c r="Q1958" s="738">
        <v>245000</v>
      </c>
      <c r="R1958" s="738"/>
      <c r="S1958" s="738">
        <v>250000</v>
      </c>
      <c r="T1958" s="739">
        <v>1100121</v>
      </c>
      <c r="U1958" s="750">
        <v>0</v>
      </c>
      <c r="V1958" s="739">
        <v>1100122</v>
      </c>
    </row>
    <row r="1959" spans="1:22" ht="15" x14ac:dyDescent="0.2">
      <c r="A1959" s="739">
        <v>3511</v>
      </c>
      <c r="B1959" s="743" t="s">
        <v>49</v>
      </c>
      <c r="C1959" s="736"/>
      <c r="D1959" s="736">
        <v>0</v>
      </c>
      <c r="E1959" s="749">
        <v>6240.8</v>
      </c>
      <c r="F1959" s="736">
        <v>6240.8</v>
      </c>
      <c r="G1959" s="736"/>
      <c r="H1959" s="736"/>
      <c r="I1959" s="736"/>
      <c r="J1959" s="736">
        <f t="shared" si="654"/>
        <v>0</v>
      </c>
      <c r="K1959" s="736"/>
      <c r="L1959" s="736"/>
      <c r="M1959" s="736">
        <f t="shared" si="655"/>
        <v>0</v>
      </c>
      <c r="N1959" s="736"/>
      <c r="O1959" s="736"/>
      <c r="P1959" s="738">
        <f t="shared" si="653"/>
        <v>0</v>
      </c>
      <c r="Q1959" s="738"/>
      <c r="R1959" s="738"/>
      <c r="S1959" s="738"/>
      <c r="T1959" s="739">
        <v>1100119</v>
      </c>
      <c r="U1959" s="745"/>
      <c r="V1959" s="739">
        <v>1100119</v>
      </c>
    </row>
    <row r="1960" spans="1:22" ht="15" x14ac:dyDescent="0.2">
      <c r="A1960" s="739">
        <v>3511</v>
      </c>
      <c r="B1960" s="743" t="s">
        <v>49</v>
      </c>
      <c r="C1960" s="736"/>
      <c r="D1960" s="736">
        <v>10000</v>
      </c>
      <c r="E1960" s="749">
        <v>10000</v>
      </c>
      <c r="F1960" s="736">
        <v>0</v>
      </c>
      <c r="G1960" s="752">
        <v>10000</v>
      </c>
      <c r="H1960" s="752"/>
      <c r="I1960" s="752"/>
      <c r="J1960" s="736">
        <f t="shared" si="654"/>
        <v>10000</v>
      </c>
      <c r="K1960" s="752"/>
      <c r="L1960" s="752"/>
      <c r="M1960" s="736">
        <f t="shared" si="655"/>
        <v>10000</v>
      </c>
      <c r="N1960" s="736"/>
      <c r="O1960" s="736"/>
      <c r="P1960" s="736">
        <f t="shared" si="653"/>
        <v>10000</v>
      </c>
      <c r="Q1960" s="753">
        <v>10000</v>
      </c>
      <c r="R1960" s="738"/>
      <c r="S1960" s="753">
        <v>25000</v>
      </c>
      <c r="T1960" s="739">
        <v>1100121</v>
      </c>
      <c r="U1960" s="841">
        <v>0</v>
      </c>
      <c r="V1960" s="739">
        <v>1100122</v>
      </c>
    </row>
    <row r="1961" spans="1:22" ht="15" x14ac:dyDescent="0.25">
      <c r="A1961" s="734">
        <v>3531</v>
      </c>
      <c r="B1961" s="735" t="s">
        <v>121</v>
      </c>
      <c r="C1961" s="736"/>
      <c r="D1961" s="736"/>
      <c r="E1961" s="749"/>
      <c r="F1961" s="736"/>
      <c r="G1961" s="752"/>
      <c r="H1961" s="759">
        <v>12323.46</v>
      </c>
      <c r="I1961" s="752"/>
      <c r="J1961" s="736">
        <f t="shared" si="654"/>
        <v>12323.46</v>
      </c>
      <c r="K1961" s="759"/>
      <c r="L1961" s="752"/>
      <c r="M1961" s="736">
        <f t="shared" si="655"/>
        <v>12323.46</v>
      </c>
      <c r="N1961" s="736"/>
      <c r="O1961" s="736"/>
      <c r="P1961" s="736">
        <f t="shared" si="653"/>
        <v>12323.46</v>
      </c>
      <c r="Q1961" s="753">
        <v>12323.46</v>
      </c>
      <c r="R1961" s="738">
        <v>12323.46</v>
      </c>
      <c r="S1961" s="753">
        <v>745000</v>
      </c>
      <c r="T1961" s="739">
        <v>1100120</v>
      </c>
      <c r="U1961" s="746">
        <v>75000</v>
      </c>
      <c r="V1961" s="741">
        <v>1100122</v>
      </c>
    </row>
    <row r="1962" spans="1:22" ht="15" x14ac:dyDescent="0.2">
      <c r="A1962" s="739">
        <v>3531</v>
      </c>
      <c r="B1962" s="743" t="s">
        <v>121</v>
      </c>
      <c r="C1962" s="736"/>
      <c r="D1962" s="736">
        <v>750000</v>
      </c>
      <c r="E1962" s="749">
        <v>263251.46000000002</v>
      </c>
      <c r="F1962" s="736">
        <v>22631.599999999999</v>
      </c>
      <c r="G1962" s="752">
        <v>100000</v>
      </c>
      <c r="H1962" s="752"/>
      <c r="I1962" s="752"/>
      <c r="J1962" s="736">
        <f t="shared" si="654"/>
        <v>100000</v>
      </c>
      <c r="K1962" s="752"/>
      <c r="L1962" s="752"/>
      <c r="M1962" s="736">
        <f t="shared" si="655"/>
        <v>100000</v>
      </c>
      <c r="N1962" s="736"/>
      <c r="O1962" s="736">
        <v>80000</v>
      </c>
      <c r="P1962" s="736">
        <f t="shared" si="653"/>
        <v>20000</v>
      </c>
      <c r="Q1962" s="753">
        <v>20000</v>
      </c>
      <c r="R1962" s="738">
        <v>10464</v>
      </c>
      <c r="S1962" s="753"/>
      <c r="T1962" s="739">
        <v>1100121</v>
      </c>
      <c r="U1962" s="745"/>
      <c r="V1962" s="739">
        <v>1100122</v>
      </c>
    </row>
    <row r="1963" spans="1:22" ht="15" x14ac:dyDescent="0.2">
      <c r="A1963" s="739">
        <v>3551</v>
      </c>
      <c r="B1963" s="743" t="s">
        <v>30</v>
      </c>
      <c r="C1963" s="736"/>
      <c r="D1963" s="736"/>
      <c r="E1963" s="749"/>
      <c r="F1963" s="736"/>
      <c r="G1963" s="752"/>
      <c r="H1963" s="752"/>
      <c r="I1963" s="752"/>
      <c r="J1963" s="736"/>
      <c r="K1963" s="752"/>
      <c r="L1963" s="752"/>
      <c r="M1963" s="736"/>
      <c r="N1963" s="736"/>
      <c r="O1963" s="736"/>
      <c r="P1963" s="736"/>
      <c r="Q1963" s="753"/>
      <c r="R1963" s="738"/>
      <c r="S1963" s="738">
        <f>Q1963</f>
        <v>0</v>
      </c>
      <c r="T1963" s="739"/>
      <c r="U1963" s="745"/>
      <c r="V1963" s="739"/>
    </row>
    <row r="1964" spans="1:22" ht="15" x14ac:dyDescent="0.2">
      <c r="A1964" s="739">
        <v>3571</v>
      </c>
      <c r="B1964" s="743" t="s">
        <v>65</v>
      </c>
      <c r="C1964" s="736">
        <v>10428.4</v>
      </c>
      <c r="D1964" s="736">
        <v>15000</v>
      </c>
      <c r="E1964" s="749">
        <v>0</v>
      </c>
      <c r="F1964" s="736">
        <v>0</v>
      </c>
      <c r="G1964" s="736"/>
      <c r="H1964" s="736"/>
      <c r="I1964" s="736"/>
      <c r="J1964" s="736">
        <f>G1964+H1964-I1964</f>
        <v>0</v>
      </c>
      <c r="K1964" s="736"/>
      <c r="L1964" s="736"/>
      <c r="M1964" s="736">
        <f>J1964+K1964-L1964</f>
        <v>0</v>
      </c>
      <c r="N1964" s="736"/>
      <c r="O1964" s="736"/>
      <c r="P1964" s="738">
        <f>M1964+N1964-O1964</f>
        <v>0</v>
      </c>
      <c r="Q1964" s="738"/>
      <c r="R1964" s="738"/>
      <c r="S1964" s="738"/>
      <c r="T1964" s="739">
        <v>1100121</v>
      </c>
      <c r="U1964" s="745"/>
      <c r="V1964" s="739">
        <v>1100122</v>
      </c>
    </row>
    <row r="1965" spans="1:22" ht="15" x14ac:dyDescent="0.2">
      <c r="A1965" s="739">
        <v>3852</v>
      </c>
      <c r="B1965" s="743" t="s">
        <v>1788</v>
      </c>
      <c r="C1965" s="736"/>
      <c r="D1965" s="736"/>
      <c r="E1965" s="749"/>
      <c r="F1965" s="736"/>
      <c r="G1965" s="736"/>
      <c r="H1965" s="736"/>
      <c r="I1965" s="736"/>
      <c r="J1965" s="736"/>
      <c r="K1965" s="736"/>
      <c r="L1965" s="736"/>
      <c r="M1965" s="736"/>
      <c r="N1965" s="736"/>
      <c r="O1965" s="736"/>
      <c r="P1965" s="738"/>
      <c r="Q1965" s="738"/>
      <c r="R1965" s="738"/>
      <c r="S1965" s="738">
        <v>15000</v>
      </c>
      <c r="T1965" s="739"/>
      <c r="U1965" s="745"/>
      <c r="V1965" s="739"/>
    </row>
    <row r="1966" spans="1:22" ht="15" x14ac:dyDescent="0.2">
      <c r="A1966" s="739">
        <v>3921</v>
      </c>
      <c r="B1966" s="806" t="s">
        <v>33</v>
      </c>
      <c r="C1966" s="736"/>
      <c r="D1966" s="736"/>
      <c r="E1966" s="749"/>
      <c r="F1966" s="736"/>
      <c r="G1966" s="752">
        <v>1200</v>
      </c>
      <c r="H1966" s="752"/>
      <c r="I1966" s="752"/>
      <c r="J1966" s="736">
        <f t="shared" ref="J1966:J1976" si="656">G1966+H1966-I1966</f>
        <v>1200</v>
      </c>
      <c r="K1966" s="752"/>
      <c r="L1966" s="752"/>
      <c r="M1966" s="736">
        <f t="shared" ref="M1966:M1976" si="657">J1966+K1966-L1966</f>
        <v>1200</v>
      </c>
      <c r="N1966" s="736"/>
      <c r="O1966" s="736"/>
      <c r="P1966" s="736">
        <f t="shared" ref="P1966:P1976" si="658">M1966+N1966-O1966</f>
        <v>1200</v>
      </c>
      <c r="Q1966" s="753">
        <v>1200</v>
      </c>
      <c r="R1966" s="738"/>
      <c r="S1966" s="753">
        <v>1200</v>
      </c>
      <c r="T1966" s="739">
        <v>1100121</v>
      </c>
      <c r="U1966" s="744"/>
      <c r="V1966" s="739">
        <v>1100122</v>
      </c>
    </row>
    <row r="1967" spans="1:22" ht="15" x14ac:dyDescent="0.2">
      <c r="A1967" s="739">
        <v>5151</v>
      </c>
      <c r="B1967" s="743" t="s">
        <v>36</v>
      </c>
      <c r="C1967" s="736">
        <v>235380</v>
      </c>
      <c r="D1967" s="736">
        <v>0</v>
      </c>
      <c r="E1967" s="749">
        <v>522165.61</v>
      </c>
      <c r="F1967" s="736">
        <v>0</v>
      </c>
      <c r="G1967" s="736"/>
      <c r="H1967" s="736"/>
      <c r="I1967" s="736"/>
      <c r="J1967" s="736">
        <f t="shared" si="656"/>
        <v>0</v>
      </c>
      <c r="K1967" s="736"/>
      <c r="L1967" s="736"/>
      <c r="M1967" s="736">
        <f t="shared" si="657"/>
        <v>0</v>
      </c>
      <c r="N1967" s="736"/>
      <c r="O1967" s="736"/>
      <c r="P1967" s="738">
        <f t="shared" si="658"/>
        <v>0</v>
      </c>
      <c r="Q1967" s="738"/>
      <c r="R1967" s="738"/>
      <c r="S1967" s="738"/>
      <c r="T1967" s="739">
        <v>1100118</v>
      </c>
      <c r="U1967" s="745"/>
      <c r="V1967" s="739">
        <v>1100118</v>
      </c>
    </row>
    <row r="1968" spans="1:22" ht="15" x14ac:dyDescent="0.2">
      <c r="A1968" s="739">
        <v>5151</v>
      </c>
      <c r="B1968" s="743" t="s">
        <v>36</v>
      </c>
      <c r="C1968" s="736"/>
      <c r="D1968" s="736">
        <v>0</v>
      </c>
      <c r="E1968" s="749">
        <v>460727.15</v>
      </c>
      <c r="F1968" s="736">
        <v>76435.34</v>
      </c>
      <c r="G1968" s="736"/>
      <c r="H1968" s="736"/>
      <c r="I1968" s="736"/>
      <c r="J1968" s="736">
        <f t="shared" si="656"/>
        <v>0</v>
      </c>
      <c r="K1968" s="736"/>
      <c r="L1968" s="736"/>
      <c r="M1968" s="736">
        <f t="shared" si="657"/>
        <v>0</v>
      </c>
      <c r="N1968" s="736"/>
      <c r="O1968" s="736"/>
      <c r="P1968" s="738">
        <f t="shared" si="658"/>
        <v>0</v>
      </c>
      <c r="Q1968" s="738"/>
      <c r="R1968" s="738"/>
      <c r="S1968" s="738"/>
      <c r="T1968" s="739">
        <v>1100119</v>
      </c>
      <c r="U1968" s="745"/>
      <c r="V1968" s="739">
        <v>1100119</v>
      </c>
    </row>
    <row r="1969" spans="1:22" ht="15" x14ac:dyDescent="0.2">
      <c r="A1969" s="734">
        <v>5151</v>
      </c>
      <c r="B1969" s="735" t="s">
        <v>36</v>
      </c>
      <c r="C1969" s="736"/>
      <c r="D1969" s="736">
        <v>1119354</v>
      </c>
      <c r="E1969" s="749">
        <v>1092869.58</v>
      </c>
      <c r="F1969" s="736">
        <v>132316.42000000001</v>
      </c>
      <c r="G1969" s="736"/>
      <c r="H1969" s="736"/>
      <c r="I1969" s="736"/>
      <c r="J1969" s="736">
        <f t="shared" si="656"/>
        <v>0</v>
      </c>
      <c r="K1969" s="736"/>
      <c r="L1969" s="736"/>
      <c r="M1969" s="736">
        <f t="shared" si="657"/>
        <v>0</v>
      </c>
      <c r="N1969" s="736">
        <v>0</v>
      </c>
      <c r="O1969" s="736"/>
      <c r="P1969" s="738">
        <f t="shared" si="658"/>
        <v>0</v>
      </c>
      <c r="Q1969" s="738"/>
      <c r="R1969" s="738"/>
      <c r="S1969" s="807">
        <v>2416000</v>
      </c>
      <c r="T1969" s="739">
        <v>1100121</v>
      </c>
      <c r="U1969" s="742">
        <v>2500000</v>
      </c>
      <c r="V1969" s="741">
        <v>1100122</v>
      </c>
    </row>
    <row r="1970" spans="1:22" ht="15" x14ac:dyDescent="0.2">
      <c r="A1970" s="739">
        <v>5151</v>
      </c>
      <c r="B1970" s="743" t="s">
        <v>36</v>
      </c>
      <c r="C1970" s="736"/>
      <c r="D1970" s="736">
        <v>0</v>
      </c>
      <c r="E1970" s="749">
        <v>450000</v>
      </c>
      <c r="F1970" s="736">
        <v>2049157.92</v>
      </c>
      <c r="G1970" s="752">
        <v>1000000</v>
      </c>
      <c r="H1970" s="752"/>
      <c r="I1970" s="752"/>
      <c r="J1970" s="736">
        <f t="shared" si="656"/>
        <v>1000000</v>
      </c>
      <c r="K1970" s="752"/>
      <c r="L1970" s="752"/>
      <c r="M1970" s="736">
        <f t="shared" si="657"/>
        <v>1000000</v>
      </c>
      <c r="N1970" s="736">
        <f>656000+17000+143000</f>
        <v>816000</v>
      </c>
      <c r="O1970" s="736"/>
      <c r="P1970" s="736">
        <f t="shared" si="658"/>
        <v>1816000</v>
      </c>
      <c r="Q1970" s="753">
        <v>1716000</v>
      </c>
      <c r="R1970" s="738">
        <v>1554867.88</v>
      </c>
      <c r="S1970" s="753"/>
      <c r="T1970" s="739">
        <v>1500521</v>
      </c>
      <c r="U1970" s="745"/>
      <c r="V1970" s="739">
        <v>1500522</v>
      </c>
    </row>
    <row r="1971" spans="1:22" ht="15" x14ac:dyDescent="0.2">
      <c r="A1971" s="734">
        <v>5211</v>
      </c>
      <c r="B1971" s="735" t="s">
        <v>71</v>
      </c>
      <c r="C1971" s="736"/>
      <c r="D1971" s="736">
        <v>210000</v>
      </c>
      <c r="E1971" s="749">
        <v>55000</v>
      </c>
      <c r="F1971" s="736">
        <v>14234.36</v>
      </c>
      <c r="G1971" s="752">
        <v>40000</v>
      </c>
      <c r="H1971" s="752"/>
      <c r="I1971" s="752"/>
      <c r="J1971" s="736">
        <f t="shared" si="656"/>
        <v>40000</v>
      </c>
      <c r="K1971" s="752"/>
      <c r="L1971" s="752"/>
      <c r="M1971" s="736">
        <f t="shared" si="657"/>
        <v>40000</v>
      </c>
      <c r="N1971" s="736"/>
      <c r="O1971" s="736"/>
      <c r="P1971" s="736">
        <f t="shared" si="658"/>
        <v>40000</v>
      </c>
      <c r="Q1971" s="753">
        <v>40000</v>
      </c>
      <c r="R1971" s="738"/>
      <c r="S1971" s="753">
        <v>15000</v>
      </c>
      <c r="T1971" s="739">
        <v>1500521</v>
      </c>
      <c r="U1971" s="746">
        <v>150000</v>
      </c>
      <c r="V1971" s="741">
        <v>1100122</v>
      </c>
    </row>
    <row r="1972" spans="1:22" ht="15" x14ac:dyDescent="0.2">
      <c r="A1972" s="739">
        <v>5211</v>
      </c>
      <c r="B1972" s="743" t="s">
        <v>71</v>
      </c>
      <c r="C1972" s="736"/>
      <c r="D1972" s="736">
        <v>0</v>
      </c>
      <c r="E1972" s="736"/>
      <c r="F1972" s="736">
        <v>45999.98</v>
      </c>
      <c r="G1972" s="736"/>
      <c r="H1972" s="736"/>
      <c r="I1972" s="736"/>
      <c r="J1972" s="736">
        <f t="shared" si="656"/>
        <v>0</v>
      </c>
      <c r="K1972" s="736"/>
      <c r="L1972" s="736"/>
      <c r="M1972" s="736">
        <f t="shared" si="657"/>
        <v>0</v>
      </c>
      <c r="N1972" s="736"/>
      <c r="O1972" s="736"/>
      <c r="P1972" s="738">
        <f t="shared" si="658"/>
        <v>0</v>
      </c>
      <c r="Q1972" s="738"/>
      <c r="R1972" s="738"/>
      <c r="S1972" s="738"/>
      <c r="T1972" s="739">
        <v>1500521</v>
      </c>
      <c r="U1972" s="745"/>
      <c r="V1972" s="739">
        <v>1500522</v>
      </c>
    </row>
    <row r="1973" spans="1:22" ht="15" x14ac:dyDescent="0.25">
      <c r="A1973" s="739">
        <v>5651</v>
      </c>
      <c r="B1973" s="743" t="s">
        <v>105</v>
      </c>
      <c r="C1973" s="736"/>
      <c r="D1973" s="736"/>
      <c r="E1973" s="736"/>
      <c r="F1973" s="736"/>
      <c r="G1973" s="736"/>
      <c r="H1973" s="759">
        <v>11021.28</v>
      </c>
      <c r="I1973" s="736"/>
      <c r="J1973" s="736">
        <f t="shared" si="656"/>
        <v>11021.28</v>
      </c>
      <c r="K1973" s="759"/>
      <c r="L1973" s="736"/>
      <c r="M1973" s="736">
        <f t="shared" si="657"/>
        <v>11021.28</v>
      </c>
      <c r="N1973" s="736"/>
      <c r="O1973" s="736"/>
      <c r="P1973" s="736">
        <f t="shared" si="658"/>
        <v>11021.28</v>
      </c>
      <c r="Q1973" s="738">
        <v>11021.28</v>
      </c>
      <c r="R1973" s="738">
        <v>11021.28</v>
      </c>
      <c r="S1973" s="738"/>
      <c r="T1973" s="739">
        <v>1100120</v>
      </c>
      <c r="U1973" s="745"/>
      <c r="V1973" s="739">
        <v>1100120</v>
      </c>
    </row>
    <row r="1974" spans="1:22" ht="15" x14ac:dyDescent="0.2">
      <c r="A1974" s="739">
        <v>5651</v>
      </c>
      <c r="B1974" s="743" t="s">
        <v>105</v>
      </c>
      <c r="C1974" s="736">
        <v>32278.04</v>
      </c>
      <c r="D1974" s="736">
        <v>0</v>
      </c>
      <c r="E1974" s="749">
        <v>462424</v>
      </c>
      <c r="F1974" s="736">
        <v>462424</v>
      </c>
      <c r="G1974" s="736"/>
      <c r="H1974" s="736"/>
      <c r="I1974" s="736"/>
      <c r="J1974" s="736">
        <f t="shared" si="656"/>
        <v>0</v>
      </c>
      <c r="K1974" s="736"/>
      <c r="L1974" s="736"/>
      <c r="M1974" s="736">
        <f t="shared" si="657"/>
        <v>0</v>
      </c>
      <c r="N1974" s="736"/>
      <c r="O1974" s="736"/>
      <c r="P1974" s="738">
        <f t="shared" si="658"/>
        <v>0</v>
      </c>
      <c r="Q1974" s="738"/>
      <c r="R1974" s="738"/>
      <c r="S1974" s="738"/>
      <c r="T1974" s="739">
        <v>1100119</v>
      </c>
      <c r="U1974" s="745"/>
      <c r="V1974" s="739">
        <v>1100119</v>
      </c>
    </row>
    <row r="1975" spans="1:22" ht="15" x14ac:dyDescent="0.2">
      <c r="A1975" s="734">
        <v>5651</v>
      </c>
      <c r="B1975" s="735" t="s">
        <v>105</v>
      </c>
      <c r="C1975" s="736"/>
      <c r="D1975" s="736">
        <v>185000</v>
      </c>
      <c r="E1975" s="749">
        <v>135000</v>
      </c>
      <c r="F1975" s="736">
        <v>43041.599999999999</v>
      </c>
      <c r="G1975" s="752">
        <v>90000</v>
      </c>
      <c r="H1975" s="752"/>
      <c r="I1975" s="752"/>
      <c r="J1975" s="736">
        <f t="shared" si="656"/>
        <v>90000</v>
      </c>
      <c r="K1975" s="752"/>
      <c r="L1975" s="752"/>
      <c r="M1975" s="736">
        <f t="shared" si="657"/>
        <v>90000</v>
      </c>
      <c r="N1975" s="736"/>
      <c r="O1975" s="736"/>
      <c r="P1975" s="736">
        <f t="shared" si="658"/>
        <v>90000</v>
      </c>
      <c r="Q1975" s="753">
        <v>90000</v>
      </c>
      <c r="R1975" s="738">
        <v>80498.720000000001</v>
      </c>
      <c r="S1975" s="753">
        <v>282000</v>
      </c>
      <c r="T1975" s="739">
        <v>1500521</v>
      </c>
      <c r="U1975" s="754">
        <v>212000</v>
      </c>
      <c r="V1975" s="741">
        <v>1100122</v>
      </c>
    </row>
    <row r="1976" spans="1:22" ht="15" x14ac:dyDescent="0.2">
      <c r="A1976" s="739">
        <v>5661</v>
      </c>
      <c r="B1976" s="743" t="s">
        <v>1789</v>
      </c>
      <c r="C1976" s="736"/>
      <c r="D1976" s="736">
        <v>300000</v>
      </c>
      <c r="E1976" s="749">
        <v>280000</v>
      </c>
      <c r="F1976" s="736">
        <v>222386.4</v>
      </c>
      <c r="G1976" s="736"/>
      <c r="H1976" s="736"/>
      <c r="I1976" s="736"/>
      <c r="J1976" s="736">
        <f t="shared" si="656"/>
        <v>0</v>
      </c>
      <c r="K1976" s="736"/>
      <c r="L1976" s="736"/>
      <c r="M1976" s="736">
        <f t="shared" si="657"/>
        <v>0</v>
      </c>
      <c r="N1976" s="736"/>
      <c r="O1976" s="736"/>
      <c r="P1976" s="738">
        <f t="shared" si="658"/>
        <v>0</v>
      </c>
      <c r="Q1976" s="738"/>
      <c r="R1976" s="738"/>
      <c r="S1976" s="738"/>
      <c r="T1976" s="739">
        <v>1100121</v>
      </c>
      <c r="U1976" s="745"/>
      <c r="V1976" s="739">
        <v>1100122</v>
      </c>
    </row>
    <row r="1977" spans="1:22" ht="15" x14ac:dyDescent="0.2">
      <c r="A1977" s="734">
        <v>5663</v>
      </c>
      <c r="B1977" s="735" t="s">
        <v>279</v>
      </c>
      <c r="C1977" s="736"/>
      <c r="D1977" s="736"/>
      <c r="E1977" s="749"/>
      <c r="F1977" s="736"/>
      <c r="G1977" s="736"/>
      <c r="H1977" s="736"/>
      <c r="I1977" s="736"/>
      <c r="J1977" s="736"/>
      <c r="K1977" s="736"/>
      <c r="L1977" s="736"/>
      <c r="M1977" s="736"/>
      <c r="N1977" s="736"/>
      <c r="O1977" s="736"/>
      <c r="P1977" s="738"/>
      <c r="Q1977" s="738"/>
      <c r="R1977" s="738"/>
      <c r="S1977" s="738">
        <v>850000</v>
      </c>
      <c r="T1977" s="739"/>
      <c r="U1977" s="742">
        <v>850000</v>
      </c>
      <c r="V1977" s="741">
        <v>1100122</v>
      </c>
    </row>
    <row r="1978" spans="1:22" ht="15" x14ac:dyDescent="0.2">
      <c r="A1978" s="739">
        <v>5971</v>
      </c>
      <c r="B1978" s="743" t="s">
        <v>250</v>
      </c>
      <c r="C1978" s="736"/>
      <c r="D1978" s="736">
        <v>0</v>
      </c>
      <c r="E1978" s="749">
        <v>48924.160000000003</v>
      </c>
      <c r="F1978" s="736">
        <v>48924.160000000003</v>
      </c>
      <c r="G1978" s="736"/>
      <c r="H1978" s="736"/>
      <c r="I1978" s="736"/>
      <c r="J1978" s="736">
        <f t="shared" ref="J1978:J1980" si="659">G1978+H1978-I1978</f>
        <v>0</v>
      </c>
      <c r="K1978" s="736"/>
      <c r="L1978" s="736"/>
      <c r="M1978" s="736">
        <f t="shared" ref="M1978:M1980" si="660">J1978+K1978-L1978</f>
        <v>0</v>
      </c>
      <c r="N1978" s="736"/>
      <c r="O1978" s="736"/>
      <c r="P1978" s="738">
        <f t="shared" ref="P1978:P1980" si="661">M1978+N1978-O1978</f>
        <v>0</v>
      </c>
      <c r="Q1978" s="738"/>
      <c r="R1978" s="738"/>
      <c r="S1978" s="738"/>
      <c r="T1978" s="739">
        <v>1100119</v>
      </c>
      <c r="U1978" s="745"/>
      <c r="V1978" s="739">
        <v>1100119</v>
      </c>
    </row>
    <row r="1979" spans="1:22" ht="15" x14ac:dyDescent="0.2">
      <c r="A1979" s="734">
        <v>5971</v>
      </c>
      <c r="B1979" s="735" t="s">
        <v>250</v>
      </c>
      <c r="C1979" s="736"/>
      <c r="D1979" s="736">
        <v>0</v>
      </c>
      <c r="E1979" s="749">
        <v>1784200</v>
      </c>
      <c r="F1979" s="736">
        <v>154817.07999999999</v>
      </c>
      <c r="G1979" s="736"/>
      <c r="H1979" s="736"/>
      <c r="I1979" s="736"/>
      <c r="J1979" s="736">
        <f t="shared" si="659"/>
        <v>0</v>
      </c>
      <c r="K1979" s="736"/>
      <c r="L1979" s="736"/>
      <c r="M1979" s="736">
        <f t="shared" si="660"/>
        <v>0</v>
      </c>
      <c r="N1979" s="736"/>
      <c r="O1979" s="736"/>
      <c r="P1979" s="738">
        <f t="shared" si="661"/>
        <v>0</v>
      </c>
      <c r="Q1979" s="738"/>
      <c r="R1979" s="738"/>
      <c r="S1979" s="738">
        <v>320000</v>
      </c>
      <c r="T1979" s="739">
        <v>1100121</v>
      </c>
      <c r="U1979" s="742">
        <v>320000</v>
      </c>
      <c r="V1979" s="741">
        <v>1100122</v>
      </c>
    </row>
    <row r="1980" spans="1:22" ht="15" x14ac:dyDescent="0.2">
      <c r="A1980" s="739">
        <v>5971</v>
      </c>
      <c r="B1980" s="743" t="s">
        <v>250</v>
      </c>
      <c r="C1980" s="736"/>
      <c r="D1980" s="736">
        <v>3245000</v>
      </c>
      <c r="E1980" s="736"/>
      <c r="F1980" s="736">
        <v>908507.36</v>
      </c>
      <c r="G1980" s="752">
        <v>1706000</v>
      </c>
      <c r="H1980" s="896"/>
      <c r="I1980" s="752"/>
      <c r="J1980" s="736">
        <f t="shared" si="659"/>
        <v>1706000</v>
      </c>
      <c r="K1980" s="896">
        <v>500000</v>
      </c>
      <c r="L1980" s="752">
        <v>500000</v>
      </c>
      <c r="M1980" s="736">
        <f t="shared" si="660"/>
        <v>1706000</v>
      </c>
      <c r="N1980" s="736"/>
      <c r="O1980" s="736">
        <v>1706000</v>
      </c>
      <c r="P1980" s="738">
        <f t="shared" si="661"/>
        <v>0</v>
      </c>
      <c r="Q1980" s="753"/>
      <c r="R1980" s="738"/>
      <c r="S1980" s="753"/>
      <c r="T1980" s="739">
        <v>1500521</v>
      </c>
      <c r="U1980" s="745"/>
      <c r="V1980" s="739">
        <v>1500522</v>
      </c>
    </row>
    <row r="1981" spans="1:22" ht="15" x14ac:dyDescent="0.2">
      <c r="A1981" s="724" t="s">
        <v>280</v>
      </c>
      <c r="B1981" s="725" t="s">
        <v>281</v>
      </c>
      <c r="C1981" s="721">
        <f t="shared" ref="C1981:S1981" si="662">SUM(C1982+C2015)</f>
        <v>6554633.089999998</v>
      </c>
      <c r="D1981" s="721">
        <f t="shared" si="662"/>
        <v>7540828.3399999999</v>
      </c>
      <c r="E1981" s="721">
        <f t="shared" si="662"/>
        <v>6922854.8499999996</v>
      </c>
      <c r="F1981" s="721">
        <f t="shared" si="662"/>
        <v>6854719.040000001</v>
      </c>
      <c r="G1981" s="721">
        <f t="shared" si="662"/>
        <v>7688721.3999999994</v>
      </c>
      <c r="H1981" s="721">
        <f t="shared" si="662"/>
        <v>0</v>
      </c>
      <c r="I1981" s="721">
        <f t="shared" si="662"/>
        <v>0</v>
      </c>
      <c r="J1981" s="721">
        <f t="shared" si="662"/>
        <v>7688721.3999999994</v>
      </c>
      <c r="K1981" s="721">
        <f t="shared" si="662"/>
        <v>127264.35</v>
      </c>
      <c r="L1981" s="721">
        <f t="shared" si="662"/>
        <v>129376.41999999998</v>
      </c>
      <c r="M1981" s="721">
        <f t="shared" si="662"/>
        <v>7686609.3299999991</v>
      </c>
      <c r="N1981" s="721">
        <f t="shared" si="662"/>
        <v>143000</v>
      </c>
      <c r="O1981" s="721">
        <f t="shared" si="662"/>
        <v>43000</v>
      </c>
      <c r="P1981" s="721">
        <f t="shared" si="662"/>
        <v>7786609.3299999991</v>
      </c>
      <c r="Q1981" s="756">
        <f>SUM(Q1982+Q2015)</f>
        <v>7776725.0200000005</v>
      </c>
      <c r="R1981" s="756">
        <f t="shared" si="662"/>
        <v>411661.1</v>
      </c>
      <c r="S1981" s="756">
        <f t="shared" si="662"/>
        <v>9266162.9400000013</v>
      </c>
      <c r="T1981" s="724"/>
      <c r="U1981" s="726">
        <f t="shared" ref="U1981" si="663">SUM(U1982+U2015)</f>
        <v>8294208.0200000005</v>
      </c>
      <c r="V1981" s="727"/>
    </row>
    <row r="1982" spans="1:22" ht="15" x14ac:dyDescent="0.2">
      <c r="A1982" s="728" t="s">
        <v>282</v>
      </c>
      <c r="B1982" s="729" t="s">
        <v>1632</v>
      </c>
      <c r="C1982" s="730">
        <f t="shared" ref="C1982:S1982" si="664">SUM(C1983:C2013)</f>
        <v>4260092.6499999985</v>
      </c>
      <c r="D1982" s="730">
        <f t="shared" si="664"/>
        <v>4931583.5999999996</v>
      </c>
      <c r="E1982" s="730">
        <f t="shared" si="664"/>
        <v>4643727.1899999995</v>
      </c>
      <c r="F1982" s="730">
        <f t="shared" si="664"/>
        <v>4827818.28</v>
      </c>
      <c r="G1982" s="730">
        <f t="shared" si="664"/>
        <v>5865708.8999999994</v>
      </c>
      <c r="H1982" s="730">
        <f t="shared" si="664"/>
        <v>0</v>
      </c>
      <c r="I1982" s="730">
        <f t="shared" si="664"/>
        <v>0</v>
      </c>
      <c r="J1982" s="730">
        <f t="shared" si="664"/>
        <v>5865708.8999999994</v>
      </c>
      <c r="K1982" s="730">
        <f t="shared" si="664"/>
        <v>93954.25</v>
      </c>
      <c r="L1982" s="730">
        <f t="shared" si="664"/>
        <v>129376.41999999998</v>
      </c>
      <c r="M1982" s="730">
        <f t="shared" si="664"/>
        <v>5830286.7299999995</v>
      </c>
      <c r="N1982" s="730">
        <f t="shared" si="664"/>
        <v>118000</v>
      </c>
      <c r="O1982" s="730">
        <f t="shared" si="664"/>
        <v>33000</v>
      </c>
      <c r="P1982" s="730">
        <f t="shared" si="664"/>
        <v>5915286.7299999995</v>
      </c>
      <c r="Q1982" s="748">
        <f>SUM(Q1983:Q2013)</f>
        <v>5907363.3400000008</v>
      </c>
      <c r="R1982" s="748">
        <f t="shared" si="664"/>
        <v>251179.03</v>
      </c>
      <c r="S1982" s="748">
        <f t="shared" si="664"/>
        <v>6390159.120000001</v>
      </c>
      <c r="T1982" s="731"/>
      <c r="U1982" s="732">
        <f>SUM(U1983:U2014)</f>
        <v>5853562.7000000002</v>
      </c>
      <c r="V1982" s="733"/>
    </row>
    <row r="1983" spans="1:22" ht="15" x14ac:dyDescent="0.25">
      <c r="A1983" s="734">
        <v>1131</v>
      </c>
      <c r="B1983" s="735" t="s">
        <v>6</v>
      </c>
      <c r="C1983" s="736">
        <v>1263289.08</v>
      </c>
      <c r="D1983" s="736">
        <v>1330820.3999999999</v>
      </c>
      <c r="E1983" s="749">
        <v>1372002.8</v>
      </c>
      <c r="F1983" s="736">
        <v>1523223.96</v>
      </c>
      <c r="G1983" s="736">
        <v>1573708.3</v>
      </c>
      <c r="H1983" s="736"/>
      <c r="I1983" s="736"/>
      <c r="J1983" s="736">
        <f t="shared" ref="J1983:J2013" si="665">G1983+H1983-I1983</f>
        <v>1573708.3</v>
      </c>
      <c r="K1983" s="736">
        <v>7111.01</v>
      </c>
      <c r="L1983" s="736"/>
      <c r="M1983" s="736">
        <f t="shared" ref="M1983:M2013" si="666">J1983+K1983-L1983</f>
        <v>1580819.31</v>
      </c>
      <c r="N1983" s="736"/>
      <c r="O1983" s="736"/>
      <c r="P1983" s="736">
        <f t="shared" ref="P1983:P2013" si="667">M1983+N1983-O1983</f>
        <v>1580819.31</v>
      </c>
      <c r="Q1983" s="738">
        <v>1563877.03</v>
      </c>
      <c r="R1983" s="738"/>
      <c r="S1983" s="751">
        <v>1577747.08</v>
      </c>
      <c r="T1983" s="739">
        <v>1500521</v>
      </c>
      <c r="U1983" s="779">
        <v>1585894.33</v>
      </c>
      <c r="V1983" s="741">
        <v>1500522</v>
      </c>
    </row>
    <row r="1984" spans="1:22" ht="15" x14ac:dyDescent="0.25">
      <c r="A1984" s="734">
        <v>1132</v>
      </c>
      <c r="B1984" s="735" t="s">
        <v>8</v>
      </c>
      <c r="C1984" s="736">
        <v>231422.52</v>
      </c>
      <c r="D1984" s="736">
        <v>296860.2</v>
      </c>
      <c r="E1984" s="749">
        <v>247300.3</v>
      </c>
      <c r="F1984" s="736">
        <v>256271.13</v>
      </c>
      <c r="G1984" s="736">
        <v>259077</v>
      </c>
      <c r="H1984" s="736"/>
      <c r="I1984" s="736"/>
      <c r="J1984" s="736">
        <f t="shared" si="665"/>
        <v>259077</v>
      </c>
      <c r="K1984" s="736">
        <v>9128.7000000000007</v>
      </c>
      <c r="L1984" s="736"/>
      <c r="M1984" s="736">
        <f t="shared" si="666"/>
        <v>268205.7</v>
      </c>
      <c r="N1984" s="736"/>
      <c r="O1984" s="736"/>
      <c r="P1984" s="736">
        <f t="shared" si="667"/>
        <v>268205.7</v>
      </c>
      <c r="Q1984" s="738">
        <v>268205.7</v>
      </c>
      <c r="R1984" s="738"/>
      <c r="S1984" s="751">
        <v>278740.28000000003</v>
      </c>
      <c r="T1984" s="739">
        <v>1500521</v>
      </c>
      <c r="U1984" s="779">
        <v>288936.28000000003</v>
      </c>
      <c r="V1984" s="741">
        <v>1500522</v>
      </c>
    </row>
    <row r="1985" spans="1:22" ht="15" x14ac:dyDescent="0.25">
      <c r="A1985" s="734">
        <v>1212</v>
      </c>
      <c r="B1985" s="735" t="s">
        <v>53</v>
      </c>
      <c r="C1985" s="736">
        <v>419156.75</v>
      </c>
      <c r="D1985" s="736">
        <v>443145.6</v>
      </c>
      <c r="E1985" s="749">
        <v>389847.1</v>
      </c>
      <c r="F1985" s="736">
        <v>430506.63</v>
      </c>
      <c r="G1985" s="736">
        <v>615823.19999999995</v>
      </c>
      <c r="H1985" s="736"/>
      <c r="I1985" s="736"/>
      <c r="J1985" s="736">
        <f t="shared" si="665"/>
        <v>615823.19999999995</v>
      </c>
      <c r="K1985" s="736"/>
      <c r="L1985" s="736">
        <v>107068.14</v>
      </c>
      <c r="M1985" s="736">
        <f t="shared" si="666"/>
        <v>508755.05999999994</v>
      </c>
      <c r="N1985" s="736"/>
      <c r="O1985" s="736"/>
      <c r="P1985" s="736">
        <f t="shared" si="667"/>
        <v>508755.05999999994</v>
      </c>
      <c r="Q1985" s="738">
        <v>508755.06</v>
      </c>
      <c r="R1985" s="738"/>
      <c r="S1985" s="751">
        <v>607874.4</v>
      </c>
      <c r="T1985" s="739">
        <v>1500521</v>
      </c>
      <c r="U1985" s="779">
        <v>494782.06</v>
      </c>
      <c r="V1985" s="741">
        <v>1500522</v>
      </c>
    </row>
    <row r="1986" spans="1:22" ht="15" x14ac:dyDescent="0.25">
      <c r="A1986" s="734">
        <v>1321</v>
      </c>
      <c r="B1986" s="735" t="s">
        <v>9</v>
      </c>
      <c r="C1986" s="736">
        <v>104461.38</v>
      </c>
      <c r="D1986" s="736">
        <v>117166.14</v>
      </c>
      <c r="E1986" s="749">
        <v>123785.14</v>
      </c>
      <c r="F1986" s="736">
        <v>122309.69</v>
      </c>
      <c r="G1986" s="736">
        <v>130378.6</v>
      </c>
      <c r="H1986" s="736"/>
      <c r="I1986" s="736"/>
      <c r="J1986" s="736">
        <f t="shared" si="665"/>
        <v>130378.6</v>
      </c>
      <c r="K1986" s="736">
        <v>4696.84</v>
      </c>
      <c r="L1986" s="736"/>
      <c r="M1986" s="736">
        <f t="shared" si="666"/>
        <v>135075.44</v>
      </c>
      <c r="N1986" s="736"/>
      <c r="O1986" s="736"/>
      <c r="P1986" s="736">
        <f t="shared" si="667"/>
        <v>135075.44</v>
      </c>
      <c r="Q1986" s="738">
        <v>135075.44</v>
      </c>
      <c r="R1986" s="738"/>
      <c r="S1986" s="751">
        <v>141408.13</v>
      </c>
      <c r="T1986" s="739">
        <v>1500521</v>
      </c>
      <c r="U1986" s="779">
        <v>133341</v>
      </c>
      <c r="V1986" s="741">
        <v>1500522</v>
      </c>
    </row>
    <row r="1987" spans="1:22" ht="15" x14ac:dyDescent="0.25">
      <c r="A1987" s="734">
        <v>1322</v>
      </c>
      <c r="B1987" s="735" t="s">
        <v>182</v>
      </c>
      <c r="C1987" s="736">
        <v>16940.43</v>
      </c>
      <c r="D1987" s="736">
        <v>22325</v>
      </c>
      <c r="E1987" s="749">
        <v>21381.59</v>
      </c>
      <c r="F1987" s="736">
        <v>20816.990000000002</v>
      </c>
      <c r="G1987" s="736">
        <v>21381.599999999999</v>
      </c>
      <c r="H1987" s="736"/>
      <c r="I1987" s="736"/>
      <c r="J1987" s="736">
        <f t="shared" si="665"/>
        <v>21381.599999999999</v>
      </c>
      <c r="K1987" s="736"/>
      <c r="L1987" s="736">
        <v>0.01</v>
      </c>
      <c r="M1987" s="736">
        <f t="shared" si="666"/>
        <v>21381.59</v>
      </c>
      <c r="N1987" s="736"/>
      <c r="O1987" s="736"/>
      <c r="P1987" s="736">
        <f t="shared" si="667"/>
        <v>21381.59</v>
      </c>
      <c r="Q1987" s="738">
        <v>21381.59</v>
      </c>
      <c r="R1987" s="738"/>
      <c r="S1987" s="751">
        <v>21381.59</v>
      </c>
      <c r="T1987" s="739">
        <v>1500521</v>
      </c>
      <c r="U1987" s="779">
        <v>21381.54</v>
      </c>
      <c r="V1987" s="741">
        <v>1500522</v>
      </c>
    </row>
    <row r="1988" spans="1:22" ht="15" x14ac:dyDescent="0.25">
      <c r="A1988" s="734">
        <v>1323</v>
      </c>
      <c r="B1988" s="735" t="s">
        <v>11</v>
      </c>
      <c r="C1988" s="736">
        <v>299230.28999999998</v>
      </c>
      <c r="D1988" s="736">
        <v>322044.90000000002</v>
      </c>
      <c r="E1988" s="749">
        <v>312443.40000000002</v>
      </c>
      <c r="F1988" s="736">
        <v>326132.61</v>
      </c>
      <c r="G1988" s="736">
        <v>358896.8</v>
      </c>
      <c r="H1988" s="736"/>
      <c r="I1988" s="736"/>
      <c r="J1988" s="736">
        <f t="shared" si="665"/>
        <v>358896.8</v>
      </c>
      <c r="K1988" s="736">
        <v>6883.83</v>
      </c>
      <c r="L1988" s="736"/>
      <c r="M1988" s="736">
        <f t="shared" si="666"/>
        <v>365780.63</v>
      </c>
      <c r="N1988" s="736"/>
      <c r="O1988" s="736"/>
      <c r="P1988" s="736">
        <f t="shared" si="667"/>
        <v>365780.63</v>
      </c>
      <c r="Q1988" s="738">
        <v>365780.63</v>
      </c>
      <c r="R1988" s="738"/>
      <c r="S1988" s="751">
        <v>370765.1</v>
      </c>
      <c r="T1988" s="739">
        <v>1500521</v>
      </c>
      <c r="U1988" s="779">
        <v>357336.33</v>
      </c>
      <c r="V1988" s="741">
        <v>1500522</v>
      </c>
    </row>
    <row r="1989" spans="1:22" ht="15" x14ac:dyDescent="0.25">
      <c r="A1989" s="734">
        <v>1413</v>
      </c>
      <c r="B1989" s="735" t="s">
        <v>13</v>
      </c>
      <c r="C1989" s="736">
        <v>443714.3</v>
      </c>
      <c r="D1989" s="736">
        <v>524613.34</v>
      </c>
      <c r="E1989" s="749">
        <v>502304.27</v>
      </c>
      <c r="F1989" s="736">
        <v>497377.54</v>
      </c>
      <c r="G1989" s="736">
        <v>653284.80000000005</v>
      </c>
      <c r="H1989" s="736"/>
      <c r="I1989" s="736"/>
      <c r="J1989" s="736">
        <f t="shared" si="665"/>
        <v>653284.80000000005</v>
      </c>
      <c r="K1989" s="736"/>
      <c r="L1989" s="736">
        <v>4617.42</v>
      </c>
      <c r="M1989" s="736">
        <f t="shared" si="666"/>
        <v>648667.38</v>
      </c>
      <c r="N1989" s="736"/>
      <c r="O1989" s="736"/>
      <c r="P1989" s="736">
        <f t="shared" si="667"/>
        <v>648667.38</v>
      </c>
      <c r="Q1989" s="738">
        <v>639794.75</v>
      </c>
      <c r="R1989" s="738"/>
      <c r="S1989" s="751">
        <v>704057.04</v>
      </c>
      <c r="T1989" s="739">
        <v>1500521</v>
      </c>
      <c r="U1989" s="779">
        <v>584920.43000000005</v>
      </c>
      <c r="V1989" s="741">
        <v>1500522</v>
      </c>
    </row>
    <row r="1990" spans="1:22" ht="15" x14ac:dyDescent="0.25">
      <c r="A1990" s="734">
        <v>1421</v>
      </c>
      <c r="B1990" s="735" t="s">
        <v>15</v>
      </c>
      <c r="C1990" s="736">
        <v>144834.32</v>
      </c>
      <c r="D1990" s="736">
        <v>157129.74</v>
      </c>
      <c r="E1990" s="749">
        <v>138294.74</v>
      </c>
      <c r="F1990" s="736">
        <v>148604.66</v>
      </c>
      <c r="G1990" s="736">
        <v>180731.80000000002</v>
      </c>
      <c r="H1990" s="736"/>
      <c r="I1990" s="736"/>
      <c r="J1990" s="736">
        <f t="shared" si="665"/>
        <v>180731.80000000002</v>
      </c>
      <c r="K1990" s="736"/>
      <c r="L1990" s="736">
        <v>1307.68</v>
      </c>
      <c r="M1990" s="736">
        <f t="shared" si="666"/>
        <v>179424.12000000002</v>
      </c>
      <c r="N1990" s="736"/>
      <c r="O1990" s="736"/>
      <c r="P1990" s="736">
        <f t="shared" si="667"/>
        <v>179424.12000000002</v>
      </c>
      <c r="Q1990" s="738">
        <v>179424.12</v>
      </c>
      <c r="R1990" s="738"/>
      <c r="S1990" s="751">
        <v>185892.72</v>
      </c>
      <c r="T1990" s="739">
        <v>1500521</v>
      </c>
      <c r="U1990" s="779">
        <v>204096.43</v>
      </c>
      <c r="V1990" s="741">
        <v>1500522</v>
      </c>
    </row>
    <row r="1991" spans="1:22" ht="15" x14ac:dyDescent="0.25">
      <c r="A1991" s="734">
        <v>1431</v>
      </c>
      <c r="B1991" s="735" t="s">
        <v>16</v>
      </c>
      <c r="C1991" s="736">
        <v>152824.44</v>
      </c>
      <c r="D1991" s="736">
        <v>161843.4</v>
      </c>
      <c r="E1991" s="749">
        <v>144532.4</v>
      </c>
      <c r="F1991" s="736">
        <v>156539.48000000001</v>
      </c>
      <c r="G1991" s="736">
        <v>186153.60000000001</v>
      </c>
      <c r="H1991" s="736"/>
      <c r="I1991" s="736"/>
      <c r="J1991" s="736">
        <f t="shared" si="665"/>
        <v>186153.60000000001</v>
      </c>
      <c r="K1991" s="736"/>
      <c r="L1991" s="736">
        <v>1383.17</v>
      </c>
      <c r="M1991" s="736">
        <f t="shared" si="666"/>
        <v>184770.43</v>
      </c>
      <c r="N1991" s="736"/>
      <c r="O1991" s="736"/>
      <c r="P1991" s="736">
        <f t="shared" si="667"/>
        <v>184770.43</v>
      </c>
      <c r="Q1991" s="738">
        <v>184770.43</v>
      </c>
      <c r="R1991" s="738"/>
      <c r="S1991" s="751">
        <v>191469.48</v>
      </c>
      <c r="T1991" s="739">
        <v>1500521</v>
      </c>
      <c r="U1991" s="779">
        <v>204482.59</v>
      </c>
      <c r="V1991" s="741">
        <v>1500522</v>
      </c>
    </row>
    <row r="1992" spans="1:22" ht="15" x14ac:dyDescent="0.25">
      <c r="A1992" s="734">
        <v>1511</v>
      </c>
      <c r="B1992" s="735" t="s">
        <v>18</v>
      </c>
      <c r="C1992" s="736">
        <v>38590.32</v>
      </c>
      <c r="D1992" s="736">
        <v>44204.160000000003</v>
      </c>
      <c r="E1992" s="749">
        <v>43737.16</v>
      </c>
      <c r="F1992" s="736">
        <v>45308.59</v>
      </c>
      <c r="G1992" s="736">
        <v>48517.599999999999</v>
      </c>
      <c r="H1992" s="736"/>
      <c r="I1992" s="736"/>
      <c r="J1992" s="736">
        <f t="shared" si="665"/>
        <v>48517.599999999999</v>
      </c>
      <c r="K1992" s="736">
        <v>1629.42</v>
      </c>
      <c r="L1992" s="736"/>
      <c r="M1992" s="736">
        <f t="shared" si="666"/>
        <v>50147.02</v>
      </c>
      <c r="N1992" s="736"/>
      <c r="O1992" s="736"/>
      <c r="P1992" s="736">
        <f t="shared" si="667"/>
        <v>50147.02</v>
      </c>
      <c r="Q1992" s="738">
        <v>50147.02</v>
      </c>
      <c r="R1992" s="738"/>
      <c r="S1992" s="751">
        <v>50297.52</v>
      </c>
      <c r="T1992" s="739">
        <v>1500521</v>
      </c>
      <c r="U1992" s="779">
        <v>49537.71</v>
      </c>
      <c r="V1992" s="741">
        <v>1500522</v>
      </c>
    </row>
    <row r="1993" spans="1:22" ht="15" x14ac:dyDescent="0.25">
      <c r="A1993" s="734">
        <v>1541</v>
      </c>
      <c r="B1993" s="735" t="s">
        <v>19</v>
      </c>
      <c r="C1993" s="736">
        <v>449012.47999999998</v>
      </c>
      <c r="D1993" s="736">
        <v>512285.28</v>
      </c>
      <c r="E1993" s="749">
        <v>540290.03</v>
      </c>
      <c r="F1993" s="736">
        <v>556564.06999999995</v>
      </c>
      <c r="G1993" s="736">
        <v>730127</v>
      </c>
      <c r="H1993" s="736"/>
      <c r="I1993" s="736"/>
      <c r="J1993" s="736">
        <f t="shared" si="665"/>
        <v>730127</v>
      </c>
      <c r="K1993" s="736">
        <v>27791.93</v>
      </c>
      <c r="L1993" s="736"/>
      <c r="M1993" s="736">
        <f t="shared" si="666"/>
        <v>757918.93</v>
      </c>
      <c r="N1993" s="736"/>
      <c r="O1993" s="736"/>
      <c r="P1993" s="736">
        <f t="shared" si="667"/>
        <v>757918.93</v>
      </c>
      <c r="Q1993" s="738">
        <v>757918.93</v>
      </c>
      <c r="R1993" s="738"/>
      <c r="S1993" s="751">
        <v>737011.34</v>
      </c>
      <c r="T1993" s="739">
        <v>1500521</v>
      </c>
      <c r="U1993" s="779">
        <v>737011.34</v>
      </c>
      <c r="V1993" s="741">
        <v>1500522</v>
      </c>
    </row>
    <row r="1994" spans="1:22" ht="15" x14ac:dyDescent="0.25">
      <c r="A1994" s="734">
        <v>1591</v>
      </c>
      <c r="B1994" s="735" t="s">
        <v>184</v>
      </c>
      <c r="C1994" s="736"/>
      <c r="D1994" s="736">
        <v>10000</v>
      </c>
      <c r="E1994" s="749">
        <v>5000</v>
      </c>
      <c r="F1994" s="736">
        <v>0</v>
      </c>
      <c r="G1994" s="736">
        <v>5000</v>
      </c>
      <c r="H1994" s="736"/>
      <c r="I1994" s="736"/>
      <c r="J1994" s="736">
        <f t="shared" si="665"/>
        <v>5000</v>
      </c>
      <c r="K1994" s="736"/>
      <c r="L1994" s="736"/>
      <c r="M1994" s="736">
        <f t="shared" si="666"/>
        <v>5000</v>
      </c>
      <c r="N1994" s="736"/>
      <c r="O1994" s="736"/>
      <c r="P1994" s="736">
        <f t="shared" si="667"/>
        <v>5000</v>
      </c>
      <c r="Q1994" s="738">
        <v>5000</v>
      </c>
      <c r="R1994" s="738"/>
      <c r="S1994" s="751">
        <v>5000</v>
      </c>
      <c r="T1994" s="739">
        <v>1500521</v>
      </c>
      <c r="U1994" s="779">
        <v>5000</v>
      </c>
      <c r="V1994" s="741">
        <v>1500522</v>
      </c>
    </row>
    <row r="1995" spans="1:22" ht="15" x14ac:dyDescent="0.25">
      <c r="A1995" s="734">
        <v>1592</v>
      </c>
      <c r="B1995" s="735" t="s">
        <v>20</v>
      </c>
      <c r="C1995" s="736">
        <v>506316.77</v>
      </c>
      <c r="D1995" s="736">
        <v>582385.43999999994</v>
      </c>
      <c r="E1995" s="749">
        <v>573848.26</v>
      </c>
      <c r="F1995" s="736">
        <v>594528.49</v>
      </c>
      <c r="G1995" s="736">
        <v>647428.6</v>
      </c>
      <c r="H1995" s="736"/>
      <c r="I1995" s="736"/>
      <c r="J1995" s="736">
        <f t="shared" si="665"/>
        <v>647428.6</v>
      </c>
      <c r="K1995" s="736">
        <v>21712.52</v>
      </c>
      <c r="L1995" s="736"/>
      <c r="M1995" s="736">
        <f t="shared" si="666"/>
        <v>669141.12</v>
      </c>
      <c r="N1995" s="736"/>
      <c r="O1995" s="736"/>
      <c r="P1995" s="736">
        <f t="shared" si="667"/>
        <v>669141.12</v>
      </c>
      <c r="Q1995" s="738">
        <v>690924.2</v>
      </c>
      <c r="R1995" s="738"/>
      <c r="S1995" s="751">
        <v>658294</v>
      </c>
      <c r="T1995" s="739">
        <v>1500521</v>
      </c>
      <c r="U1995" s="779">
        <v>651621.66</v>
      </c>
      <c r="V1995" s="741">
        <v>1500522</v>
      </c>
    </row>
    <row r="1996" spans="1:22" ht="15" x14ac:dyDescent="0.2">
      <c r="A1996" s="734">
        <v>2111</v>
      </c>
      <c r="B1996" s="735" t="s">
        <v>22</v>
      </c>
      <c r="C1996" s="736">
        <v>18501</v>
      </c>
      <c r="D1996" s="736">
        <v>21000</v>
      </c>
      <c r="E1996" s="749">
        <v>14700</v>
      </c>
      <c r="F1996" s="736">
        <v>13464.91</v>
      </c>
      <c r="G1996" s="749">
        <v>21000</v>
      </c>
      <c r="H1996" s="749"/>
      <c r="I1996" s="749"/>
      <c r="J1996" s="736">
        <f t="shared" si="665"/>
        <v>21000</v>
      </c>
      <c r="K1996" s="749"/>
      <c r="L1996" s="749"/>
      <c r="M1996" s="736">
        <f t="shared" si="666"/>
        <v>21000</v>
      </c>
      <c r="N1996" s="736"/>
      <c r="O1996" s="736"/>
      <c r="P1996" s="736">
        <f t="shared" si="667"/>
        <v>21000</v>
      </c>
      <c r="Q1996" s="783">
        <v>18183.939999999999</v>
      </c>
      <c r="R1996" s="738">
        <v>15405.77</v>
      </c>
      <c r="S1996" s="784">
        <v>36000</v>
      </c>
      <c r="T1996" s="739">
        <v>1100121</v>
      </c>
      <c r="U1996" s="740">
        <v>25000</v>
      </c>
      <c r="V1996" s="741">
        <v>1100122</v>
      </c>
    </row>
    <row r="1997" spans="1:22" ht="15" x14ac:dyDescent="0.2">
      <c r="A1997" s="734">
        <v>2112</v>
      </c>
      <c r="B1997" s="735" t="s">
        <v>39</v>
      </c>
      <c r="C1997" s="736">
        <v>55938.63</v>
      </c>
      <c r="D1997" s="736">
        <v>40000</v>
      </c>
      <c r="E1997" s="749">
        <v>34000</v>
      </c>
      <c r="F1997" s="736">
        <v>30550.01</v>
      </c>
      <c r="G1997" s="736"/>
      <c r="H1997" s="736"/>
      <c r="I1997" s="736"/>
      <c r="J1997" s="736">
        <f t="shared" si="665"/>
        <v>0</v>
      </c>
      <c r="K1997" s="736"/>
      <c r="L1997" s="736"/>
      <c r="M1997" s="736">
        <f t="shared" si="666"/>
        <v>0</v>
      </c>
      <c r="N1997" s="736">
        <v>25000</v>
      </c>
      <c r="O1997" s="736"/>
      <c r="P1997" s="736">
        <f t="shared" si="667"/>
        <v>25000</v>
      </c>
      <c r="Q1997" s="738">
        <v>81000</v>
      </c>
      <c r="R1997" s="738">
        <v>67620.800000000003</v>
      </c>
      <c r="S1997" s="738">
        <v>80000</v>
      </c>
      <c r="T1997" s="739">
        <v>1100121</v>
      </c>
      <c r="U1997" s="746">
        <v>79000</v>
      </c>
      <c r="V1997" s="741">
        <v>1100122</v>
      </c>
    </row>
    <row r="1998" spans="1:22" ht="15" x14ac:dyDescent="0.2">
      <c r="A1998" s="734">
        <v>2121</v>
      </c>
      <c r="B1998" s="735" t="s">
        <v>24</v>
      </c>
      <c r="C1998" s="736">
        <v>12467</v>
      </c>
      <c r="D1998" s="736">
        <v>5000</v>
      </c>
      <c r="E1998" s="749">
        <v>3500</v>
      </c>
      <c r="F1998" s="736">
        <v>3014</v>
      </c>
      <c r="G1998" s="749">
        <v>5000</v>
      </c>
      <c r="H1998" s="749"/>
      <c r="I1998" s="749"/>
      <c r="J1998" s="736">
        <f t="shared" si="665"/>
        <v>5000</v>
      </c>
      <c r="K1998" s="749"/>
      <c r="L1998" s="749"/>
      <c r="M1998" s="736">
        <f t="shared" si="666"/>
        <v>5000</v>
      </c>
      <c r="N1998" s="736"/>
      <c r="O1998" s="736"/>
      <c r="P1998" s="736">
        <f t="shared" si="667"/>
        <v>5000</v>
      </c>
      <c r="Q1998" s="783">
        <v>3924.5</v>
      </c>
      <c r="R1998" s="738">
        <v>3674.5</v>
      </c>
      <c r="S1998" s="784">
        <v>5000</v>
      </c>
      <c r="T1998" s="739">
        <v>1100121</v>
      </c>
      <c r="U1998" s="742">
        <v>5000</v>
      </c>
      <c r="V1998" s="741">
        <v>1100122</v>
      </c>
    </row>
    <row r="1999" spans="1:22" ht="15" x14ac:dyDescent="0.2">
      <c r="A1999" s="734">
        <v>2221</v>
      </c>
      <c r="B1999" s="735" t="s">
        <v>152</v>
      </c>
      <c r="C1999" s="736">
        <v>2675.98</v>
      </c>
      <c r="D1999" s="736">
        <v>5000</v>
      </c>
      <c r="E1999" s="749">
        <v>5000</v>
      </c>
      <c r="F1999" s="736">
        <v>0</v>
      </c>
      <c r="G1999" s="749">
        <v>5000</v>
      </c>
      <c r="H1999" s="749"/>
      <c r="I1999" s="749"/>
      <c r="J1999" s="736">
        <f t="shared" si="665"/>
        <v>5000</v>
      </c>
      <c r="K1999" s="749"/>
      <c r="L1999" s="749"/>
      <c r="M1999" s="736">
        <f t="shared" si="666"/>
        <v>5000</v>
      </c>
      <c r="N1999" s="736"/>
      <c r="O1999" s="736"/>
      <c r="P1999" s="736">
        <f t="shared" si="667"/>
        <v>5000</v>
      </c>
      <c r="Q1999" s="783">
        <v>5000</v>
      </c>
      <c r="R1999" s="738"/>
      <c r="S1999" s="784">
        <v>5000</v>
      </c>
      <c r="T1999" s="739">
        <v>1100121</v>
      </c>
      <c r="U1999" s="742">
        <v>5000</v>
      </c>
      <c r="V1999" s="741">
        <v>1100122</v>
      </c>
    </row>
    <row r="2000" spans="1:22" ht="15" x14ac:dyDescent="0.2">
      <c r="A2000" s="734">
        <v>2491</v>
      </c>
      <c r="B2000" s="735" t="s">
        <v>41</v>
      </c>
      <c r="C2000" s="736">
        <v>34791.67</v>
      </c>
      <c r="D2000" s="736">
        <v>20000</v>
      </c>
      <c r="E2000" s="749">
        <v>15000</v>
      </c>
      <c r="F2000" s="736">
        <v>15000</v>
      </c>
      <c r="G2000" s="749">
        <v>20000</v>
      </c>
      <c r="H2000" s="749"/>
      <c r="I2000" s="749"/>
      <c r="J2000" s="736">
        <f t="shared" si="665"/>
        <v>20000</v>
      </c>
      <c r="K2000" s="749"/>
      <c r="L2000" s="749"/>
      <c r="M2000" s="736">
        <f t="shared" si="666"/>
        <v>20000</v>
      </c>
      <c r="N2000" s="736"/>
      <c r="O2000" s="736"/>
      <c r="P2000" s="736">
        <f t="shared" si="667"/>
        <v>20000</v>
      </c>
      <c r="Q2000" s="783">
        <v>20000</v>
      </c>
      <c r="R2000" s="738">
        <v>19720.849999999999</v>
      </c>
      <c r="S2000" s="784">
        <v>40000</v>
      </c>
      <c r="T2000" s="739">
        <v>1100121</v>
      </c>
      <c r="U2000" s="742">
        <v>40000</v>
      </c>
      <c r="V2000" s="741">
        <v>1100122</v>
      </c>
    </row>
    <row r="2001" spans="1:22" ht="15" x14ac:dyDescent="0.2">
      <c r="A2001" s="734">
        <v>2721</v>
      </c>
      <c r="B2001" s="735" t="s">
        <v>149</v>
      </c>
      <c r="C2001" s="736"/>
      <c r="D2001" s="736">
        <v>0</v>
      </c>
      <c r="E2001" s="749">
        <v>6000</v>
      </c>
      <c r="F2001" s="736">
        <v>0</v>
      </c>
      <c r="G2001" s="749"/>
      <c r="H2001" s="749"/>
      <c r="I2001" s="749"/>
      <c r="J2001" s="736">
        <f t="shared" si="665"/>
        <v>0</v>
      </c>
      <c r="K2001" s="749">
        <v>15000</v>
      </c>
      <c r="L2001" s="749"/>
      <c r="M2001" s="736">
        <f t="shared" si="666"/>
        <v>15000</v>
      </c>
      <c r="N2001" s="736"/>
      <c r="O2001" s="736"/>
      <c r="P2001" s="736">
        <f t="shared" si="667"/>
        <v>15000</v>
      </c>
      <c r="Q2001" s="783">
        <v>15000</v>
      </c>
      <c r="R2001" s="738">
        <v>8515.14</v>
      </c>
      <c r="S2001" s="784">
        <v>15000</v>
      </c>
      <c r="T2001" s="739">
        <v>1100121</v>
      </c>
      <c r="U2001" s="740">
        <v>10000</v>
      </c>
      <c r="V2001" s="741">
        <v>1100122</v>
      </c>
    </row>
    <row r="2002" spans="1:22" ht="15" x14ac:dyDescent="0.2">
      <c r="A2002" s="734">
        <v>2911</v>
      </c>
      <c r="B2002" s="735" t="s">
        <v>60</v>
      </c>
      <c r="C2002" s="736"/>
      <c r="D2002" s="736">
        <v>2200</v>
      </c>
      <c r="E2002" s="749">
        <v>2200</v>
      </c>
      <c r="F2002" s="736">
        <v>0</v>
      </c>
      <c r="G2002" s="749">
        <v>2200</v>
      </c>
      <c r="H2002" s="749"/>
      <c r="I2002" s="749"/>
      <c r="J2002" s="736">
        <f t="shared" si="665"/>
        <v>2200</v>
      </c>
      <c r="K2002" s="749"/>
      <c r="L2002" s="749"/>
      <c r="M2002" s="736">
        <f t="shared" si="666"/>
        <v>2200</v>
      </c>
      <c r="N2002" s="736"/>
      <c r="O2002" s="736"/>
      <c r="P2002" s="736">
        <f t="shared" si="667"/>
        <v>2200</v>
      </c>
      <c r="Q2002" s="783">
        <v>2200</v>
      </c>
      <c r="R2002" s="738"/>
      <c r="S2002" s="784">
        <v>2200</v>
      </c>
      <c r="T2002" s="739">
        <v>1100121</v>
      </c>
      <c r="U2002" s="742">
        <v>2200</v>
      </c>
      <c r="V2002" s="741">
        <v>1100122</v>
      </c>
    </row>
    <row r="2003" spans="1:22" ht="15" x14ac:dyDescent="0.2">
      <c r="A2003" s="734">
        <v>3311</v>
      </c>
      <c r="B2003" s="735" t="s">
        <v>117</v>
      </c>
      <c r="C2003" s="736"/>
      <c r="D2003" s="736">
        <v>160000</v>
      </c>
      <c r="E2003" s="749">
        <v>20000</v>
      </c>
      <c r="F2003" s="736">
        <v>0</v>
      </c>
      <c r="G2003" s="749">
        <v>160000</v>
      </c>
      <c r="H2003" s="749"/>
      <c r="I2003" s="749"/>
      <c r="J2003" s="736">
        <f t="shared" si="665"/>
        <v>160000</v>
      </c>
      <c r="K2003" s="749"/>
      <c r="L2003" s="749"/>
      <c r="M2003" s="736">
        <f t="shared" si="666"/>
        <v>160000</v>
      </c>
      <c r="N2003" s="736"/>
      <c r="O2003" s="736"/>
      <c r="P2003" s="736">
        <f t="shared" si="667"/>
        <v>160000</v>
      </c>
      <c r="Q2003" s="783">
        <v>94000</v>
      </c>
      <c r="R2003" s="738"/>
      <c r="S2003" s="784">
        <v>160000</v>
      </c>
      <c r="T2003" s="739">
        <v>1100121</v>
      </c>
      <c r="U2003" s="740">
        <v>50000</v>
      </c>
      <c r="V2003" s="741">
        <v>1100122</v>
      </c>
    </row>
    <row r="2004" spans="1:22" ht="30" x14ac:dyDescent="0.2">
      <c r="A2004" s="734">
        <v>3361</v>
      </c>
      <c r="B2004" s="735" t="s">
        <v>29</v>
      </c>
      <c r="C2004" s="736"/>
      <c r="D2004" s="736">
        <v>20000</v>
      </c>
      <c r="E2004" s="749">
        <v>20000</v>
      </c>
      <c r="F2004" s="736">
        <v>0</v>
      </c>
      <c r="G2004" s="749">
        <v>20000</v>
      </c>
      <c r="H2004" s="749"/>
      <c r="I2004" s="749"/>
      <c r="J2004" s="736">
        <f t="shared" si="665"/>
        <v>20000</v>
      </c>
      <c r="K2004" s="749"/>
      <c r="L2004" s="749"/>
      <c r="M2004" s="736">
        <f t="shared" si="666"/>
        <v>20000</v>
      </c>
      <c r="N2004" s="736"/>
      <c r="O2004" s="736">
        <f>5000+4000</f>
        <v>9000</v>
      </c>
      <c r="P2004" s="736">
        <f t="shared" si="667"/>
        <v>11000</v>
      </c>
      <c r="Q2004" s="783">
        <v>11000</v>
      </c>
      <c r="R2004" s="738">
        <v>10440</v>
      </c>
      <c r="S2004" s="784">
        <v>20000</v>
      </c>
      <c r="T2004" s="739">
        <v>1100121</v>
      </c>
      <c r="U2004" s="740">
        <v>15000</v>
      </c>
      <c r="V2004" s="741">
        <v>1100122</v>
      </c>
    </row>
    <row r="2005" spans="1:22" ht="15" x14ac:dyDescent="0.2">
      <c r="A2005" s="734">
        <v>3391</v>
      </c>
      <c r="B2005" s="735" t="s">
        <v>118</v>
      </c>
      <c r="C2005" s="736">
        <v>54347.99</v>
      </c>
      <c r="D2005" s="736">
        <v>70000</v>
      </c>
      <c r="E2005" s="749">
        <v>77766.460000000006</v>
      </c>
      <c r="F2005" s="736">
        <v>77766.399999999994</v>
      </c>
      <c r="G2005" s="749">
        <v>70000</v>
      </c>
      <c r="H2005" s="749"/>
      <c r="I2005" s="749"/>
      <c r="J2005" s="736">
        <f t="shared" si="665"/>
        <v>70000</v>
      </c>
      <c r="K2005" s="749"/>
      <c r="L2005" s="749"/>
      <c r="M2005" s="736">
        <f t="shared" si="666"/>
        <v>70000</v>
      </c>
      <c r="N2005" s="736"/>
      <c r="O2005" s="736"/>
      <c r="P2005" s="736">
        <f t="shared" si="667"/>
        <v>70000</v>
      </c>
      <c r="Q2005" s="783">
        <v>70000</v>
      </c>
      <c r="R2005" s="738">
        <v>13920</v>
      </c>
      <c r="S2005" s="784">
        <v>80000</v>
      </c>
      <c r="T2005" s="739">
        <v>1100121</v>
      </c>
      <c r="U2005" s="740">
        <v>50000</v>
      </c>
      <c r="V2005" s="741">
        <v>1100122</v>
      </c>
    </row>
    <row r="2006" spans="1:22" ht="15" x14ac:dyDescent="0.2">
      <c r="A2006" s="734">
        <v>3511</v>
      </c>
      <c r="B2006" s="735" t="s">
        <v>49</v>
      </c>
      <c r="C2006" s="736">
        <v>11069.3</v>
      </c>
      <c r="D2006" s="736">
        <v>15000</v>
      </c>
      <c r="E2006" s="749">
        <v>15000</v>
      </c>
      <c r="F2006" s="736">
        <v>9839.1200000000008</v>
      </c>
      <c r="G2006" s="749">
        <v>35000</v>
      </c>
      <c r="H2006" s="749"/>
      <c r="I2006" s="749"/>
      <c r="J2006" s="736">
        <f t="shared" si="665"/>
        <v>35000</v>
      </c>
      <c r="K2006" s="749"/>
      <c r="L2006" s="749"/>
      <c r="M2006" s="736">
        <f t="shared" si="666"/>
        <v>35000</v>
      </c>
      <c r="N2006" s="736"/>
      <c r="O2006" s="736"/>
      <c r="P2006" s="736">
        <f t="shared" si="667"/>
        <v>35000</v>
      </c>
      <c r="Q2006" s="783">
        <v>35000</v>
      </c>
      <c r="R2006" s="738">
        <v>34998.35</v>
      </c>
      <c r="S2006" s="784">
        <v>200000</v>
      </c>
      <c r="T2006" s="739">
        <v>1100121</v>
      </c>
      <c r="U2006" s="742">
        <v>200000</v>
      </c>
      <c r="V2006" s="741">
        <v>1100122</v>
      </c>
    </row>
    <row r="2007" spans="1:22" ht="15" x14ac:dyDescent="0.2">
      <c r="A2007" s="734">
        <v>3791</v>
      </c>
      <c r="B2007" s="735" t="s">
        <v>45</v>
      </c>
      <c r="C2007" s="736">
        <v>508</v>
      </c>
      <c r="D2007" s="736">
        <v>2000</v>
      </c>
      <c r="E2007" s="749">
        <v>2000</v>
      </c>
      <c r="F2007" s="736">
        <v>0</v>
      </c>
      <c r="G2007" s="749">
        <v>2000</v>
      </c>
      <c r="H2007" s="749"/>
      <c r="I2007" s="749"/>
      <c r="J2007" s="736">
        <f t="shared" si="665"/>
        <v>2000</v>
      </c>
      <c r="K2007" s="749"/>
      <c r="L2007" s="749"/>
      <c r="M2007" s="736">
        <f t="shared" si="666"/>
        <v>2000</v>
      </c>
      <c r="N2007" s="736"/>
      <c r="O2007" s="736"/>
      <c r="P2007" s="736">
        <f t="shared" si="667"/>
        <v>2000</v>
      </c>
      <c r="Q2007" s="783">
        <v>2000</v>
      </c>
      <c r="R2007" s="738"/>
      <c r="S2007" s="784">
        <v>2000</v>
      </c>
      <c r="T2007" s="739">
        <v>1100121</v>
      </c>
      <c r="U2007" s="742">
        <v>2000</v>
      </c>
      <c r="V2007" s="741">
        <v>1100122</v>
      </c>
    </row>
    <row r="2008" spans="1:22" ht="15" x14ac:dyDescent="0.2">
      <c r="A2008" s="734">
        <v>3921</v>
      </c>
      <c r="B2008" s="735" t="s">
        <v>33</v>
      </c>
      <c r="C2008" s="736"/>
      <c r="D2008" s="736">
        <v>1560</v>
      </c>
      <c r="E2008" s="749">
        <v>1560</v>
      </c>
      <c r="F2008" s="736">
        <v>0</v>
      </c>
      <c r="G2008" s="736"/>
      <c r="H2008" s="736"/>
      <c r="I2008" s="736"/>
      <c r="J2008" s="736">
        <f t="shared" si="665"/>
        <v>0</v>
      </c>
      <c r="K2008" s="736"/>
      <c r="L2008" s="736"/>
      <c r="M2008" s="736">
        <f t="shared" si="666"/>
        <v>0</v>
      </c>
      <c r="N2008" s="736"/>
      <c r="O2008" s="736"/>
      <c r="P2008" s="738">
        <f t="shared" si="667"/>
        <v>0</v>
      </c>
      <c r="Q2008" s="738"/>
      <c r="R2008" s="738"/>
      <c r="S2008" s="738">
        <v>2020.44</v>
      </c>
      <c r="T2008" s="739">
        <v>1100121</v>
      </c>
      <c r="U2008" s="746">
        <v>2021</v>
      </c>
      <c r="V2008" s="741">
        <v>1100122</v>
      </c>
    </row>
    <row r="2009" spans="1:22" ht="15" x14ac:dyDescent="0.2">
      <c r="A2009" s="734">
        <v>3951</v>
      </c>
      <c r="B2009" s="762" t="s">
        <v>198</v>
      </c>
      <c r="C2009" s="736"/>
      <c r="D2009" s="736"/>
      <c r="E2009" s="749"/>
      <c r="F2009" s="736"/>
      <c r="G2009" s="749">
        <v>70000</v>
      </c>
      <c r="H2009" s="749"/>
      <c r="I2009" s="749"/>
      <c r="J2009" s="736">
        <f t="shared" si="665"/>
        <v>70000</v>
      </c>
      <c r="K2009" s="749"/>
      <c r="L2009" s="749"/>
      <c r="M2009" s="736">
        <f t="shared" si="666"/>
        <v>70000</v>
      </c>
      <c r="N2009" s="736"/>
      <c r="O2009" s="736"/>
      <c r="P2009" s="736">
        <f t="shared" si="667"/>
        <v>70000</v>
      </c>
      <c r="Q2009" s="783">
        <v>70000</v>
      </c>
      <c r="R2009" s="738"/>
      <c r="S2009" s="784">
        <v>70000</v>
      </c>
      <c r="T2009" s="739">
        <v>1100121</v>
      </c>
      <c r="U2009" s="746">
        <v>50000</v>
      </c>
      <c r="V2009" s="741">
        <v>1100122</v>
      </c>
    </row>
    <row r="2010" spans="1:22" ht="15" x14ac:dyDescent="0.2">
      <c r="A2010" s="739">
        <v>5111</v>
      </c>
      <c r="B2010" s="743" t="s">
        <v>35</v>
      </c>
      <c r="C2010" s="736"/>
      <c r="D2010" s="736">
        <v>20000</v>
      </c>
      <c r="E2010" s="749">
        <v>12233.54</v>
      </c>
      <c r="F2010" s="736">
        <v>0</v>
      </c>
      <c r="G2010" s="749">
        <v>20000</v>
      </c>
      <c r="H2010" s="749"/>
      <c r="I2010" s="749"/>
      <c r="J2010" s="736">
        <f t="shared" si="665"/>
        <v>20000</v>
      </c>
      <c r="K2010" s="749"/>
      <c r="L2010" s="749">
        <v>15000</v>
      </c>
      <c r="M2010" s="736">
        <f t="shared" si="666"/>
        <v>5000</v>
      </c>
      <c r="N2010" s="736"/>
      <c r="O2010" s="736">
        <v>4000</v>
      </c>
      <c r="P2010" s="736">
        <f t="shared" si="667"/>
        <v>1000</v>
      </c>
      <c r="Q2010" s="783">
        <v>11000</v>
      </c>
      <c r="R2010" s="738"/>
      <c r="S2010" s="784">
        <v>20000</v>
      </c>
      <c r="T2010" s="739">
        <v>1500521</v>
      </c>
      <c r="U2010" s="744"/>
      <c r="V2010" s="739">
        <v>1500522</v>
      </c>
    </row>
    <row r="2011" spans="1:22" ht="15" x14ac:dyDescent="0.2">
      <c r="A2011" s="739">
        <v>5151</v>
      </c>
      <c r="B2011" s="743" t="s">
        <v>1790</v>
      </c>
      <c r="C2011" s="736"/>
      <c r="D2011" s="736"/>
      <c r="E2011" s="749"/>
      <c r="F2011" s="736"/>
      <c r="G2011" s="749"/>
      <c r="H2011" s="749"/>
      <c r="I2011" s="749"/>
      <c r="J2011" s="736"/>
      <c r="K2011" s="749"/>
      <c r="L2011" s="749"/>
      <c r="M2011" s="736"/>
      <c r="N2011" s="736"/>
      <c r="O2011" s="736"/>
      <c r="P2011" s="736"/>
      <c r="Q2011" s="783"/>
      <c r="R2011" s="738"/>
      <c r="S2011" s="784"/>
      <c r="T2011" s="739"/>
      <c r="U2011" s="744"/>
      <c r="V2011" s="739"/>
    </row>
    <row r="2012" spans="1:22" ht="15" x14ac:dyDescent="0.2">
      <c r="A2012" s="739">
        <v>5491</v>
      </c>
      <c r="B2012" s="743" t="s">
        <v>1735</v>
      </c>
      <c r="C2012" s="736"/>
      <c r="D2012" s="736">
        <v>25000</v>
      </c>
      <c r="E2012" s="736"/>
      <c r="F2012" s="736">
        <v>0</v>
      </c>
      <c r="G2012" s="749">
        <v>25000</v>
      </c>
      <c r="H2012" s="749"/>
      <c r="I2012" s="749"/>
      <c r="J2012" s="736">
        <f t="shared" si="665"/>
        <v>25000</v>
      </c>
      <c r="K2012" s="749"/>
      <c r="L2012" s="749"/>
      <c r="M2012" s="736">
        <f t="shared" si="666"/>
        <v>25000</v>
      </c>
      <c r="N2012" s="736">
        <v>85000</v>
      </c>
      <c r="O2012" s="736">
        <v>20000</v>
      </c>
      <c r="P2012" s="736">
        <f t="shared" si="667"/>
        <v>90000</v>
      </c>
      <c r="Q2012" s="783">
        <v>90000</v>
      </c>
      <c r="R2012" s="738">
        <v>69980</v>
      </c>
      <c r="S2012" s="784">
        <v>38000</v>
      </c>
      <c r="T2012" s="739">
        <v>1500521</v>
      </c>
      <c r="U2012" s="744"/>
      <c r="V2012" s="739">
        <v>1500522</v>
      </c>
    </row>
    <row r="2013" spans="1:22" ht="15" x14ac:dyDescent="0.2">
      <c r="A2013" s="739">
        <v>5691</v>
      </c>
      <c r="B2013" s="743" t="s">
        <v>1713</v>
      </c>
      <c r="C2013" s="736"/>
      <c r="D2013" s="736"/>
      <c r="E2013" s="736"/>
      <c r="F2013" s="736">
        <v>0</v>
      </c>
      <c r="G2013" s="749"/>
      <c r="H2013" s="749"/>
      <c r="I2013" s="749"/>
      <c r="J2013" s="736">
        <f t="shared" si="665"/>
        <v>0</v>
      </c>
      <c r="K2013" s="749"/>
      <c r="L2013" s="749"/>
      <c r="M2013" s="736">
        <f t="shared" si="666"/>
        <v>0</v>
      </c>
      <c r="N2013" s="736">
        <v>8000</v>
      </c>
      <c r="O2013" s="736"/>
      <c r="P2013" s="736">
        <f t="shared" si="667"/>
        <v>8000</v>
      </c>
      <c r="Q2013" s="783">
        <v>8000</v>
      </c>
      <c r="R2013" s="738">
        <v>6903.62</v>
      </c>
      <c r="S2013" s="784">
        <v>85000</v>
      </c>
      <c r="T2013" s="739">
        <v>1500521</v>
      </c>
      <c r="U2013" s="744"/>
      <c r="V2013" s="739">
        <v>1500522</v>
      </c>
    </row>
    <row r="2014" spans="1:22" ht="15" x14ac:dyDescent="0.2">
      <c r="A2014" s="739">
        <v>5411</v>
      </c>
      <c r="B2014" s="743" t="s">
        <v>1762</v>
      </c>
      <c r="C2014" s="736"/>
      <c r="D2014" s="736"/>
      <c r="E2014" s="736"/>
      <c r="F2014" s="736"/>
      <c r="G2014" s="749"/>
      <c r="H2014" s="749"/>
      <c r="I2014" s="749"/>
      <c r="J2014" s="736"/>
      <c r="K2014" s="749"/>
      <c r="L2014" s="749"/>
      <c r="M2014" s="736"/>
      <c r="N2014" s="736"/>
      <c r="O2014" s="736"/>
      <c r="P2014" s="736"/>
      <c r="Q2014" s="783"/>
      <c r="R2014" s="738"/>
      <c r="S2014" s="784"/>
      <c r="T2014" s="739"/>
      <c r="U2014" s="744"/>
      <c r="V2014" s="739"/>
    </row>
    <row r="2015" spans="1:22" ht="15" x14ac:dyDescent="0.2">
      <c r="A2015" s="728" t="s">
        <v>283</v>
      </c>
      <c r="B2015" s="729" t="s">
        <v>1631</v>
      </c>
      <c r="C2015" s="730">
        <f>SUM(C2016:C2041)</f>
        <v>2294540.44</v>
      </c>
      <c r="D2015" s="730">
        <f t="shared" ref="D2015:S2015" si="668">SUM(D2016:D2040)</f>
        <v>2609244.7400000002</v>
      </c>
      <c r="E2015" s="730">
        <f t="shared" si="668"/>
        <v>2279127.6599999997</v>
      </c>
      <c r="F2015" s="730">
        <f t="shared" si="668"/>
        <v>2026900.7600000005</v>
      </c>
      <c r="G2015" s="730">
        <f t="shared" si="668"/>
        <v>1823012.5</v>
      </c>
      <c r="H2015" s="730">
        <f t="shared" si="668"/>
        <v>0</v>
      </c>
      <c r="I2015" s="730">
        <f t="shared" si="668"/>
        <v>0</v>
      </c>
      <c r="J2015" s="730">
        <f t="shared" si="668"/>
        <v>1823012.5</v>
      </c>
      <c r="K2015" s="730">
        <f t="shared" si="668"/>
        <v>33310.1</v>
      </c>
      <c r="L2015" s="730">
        <f t="shared" si="668"/>
        <v>0</v>
      </c>
      <c r="M2015" s="730">
        <f t="shared" si="668"/>
        <v>1856322.5999999996</v>
      </c>
      <c r="N2015" s="730">
        <f t="shared" si="668"/>
        <v>25000</v>
      </c>
      <c r="O2015" s="730">
        <f t="shared" si="668"/>
        <v>10000</v>
      </c>
      <c r="P2015" s="730">
        <f t="shared" si="668"/>
        <v>1871322.5999999996</v>
      </c>
      <c r="Q2015" s="748">
        <f t="shared" si="668"/>
        <v>1869361.68</v>
      </c>
      <c r="R2015" s="748">
        <f t="shared" si="668"/>
        <v>160482.07</v>
      </c>
      <c r="S2015" s="748">
        <f t="shared" si="668"/>
        <v>2876003.82</v>
      </c>
      <c r="T2015" s="731"/>
      <c r="U2015" s="732">
        <f>SUM(U2016:U2041)</f>
        <v>2440645.3200000003</v>
      </c>
      <c r="V2015" s="733"/>
    </row>
    <row r="2016" spans="1:22" ht="15" x14ac:dyDescent="0.25">
      <c r="A2016" s="734">
        <v>1131</v>
      </c>
      <c r="B2016" s="735" t="s">
        <v>6</v>
      </c>
      <c r="C2016" s="736">
        <v>633487.64</v>
      </c>
      <c r="D2016" s="736">
        <v>753243.4</v>
      </c>
      <c r="E2016" s="749">
        <v>660263.42000000004</v>
      </c>
      <c r="F2016" s="736">
        <v>627974.82999999996</v>
      </c>
      <c r="G2016" s="736">
        <v>656415.9</v>
      </c>
      <c r="H2016" s="736"/>
      <c r="I2016" s="736"/>
      <c r="J2016" s="736">
        <f t="shared" ref="J2016:J2041" si="669">G2016+H2016-I2016</f>
        <v>656415.9</v>
      </c>
      <c r="K2016" s="737">
        <v>2970.45</v>
      </c>
      <c r="L2016" s="736"/>
      <c r="M2016" s="736">
        <f t="shared" ref="M2016:M2041" si="670">J2016+K2016-L2016</f>
        <v>659386.35</v>
      </c>
      <c r="N2016" s="736"/>
      <c r="O2016" s="736"/>
      <c r="P2016" s="736">
        <f t="shared" ref="P2016:P2041" si="671">M2016+N2016-O2016</f>
        <v>659386.35</v>
      </c>
      <c r="Q2016" s="738">
        <v>659386.35</v>
      </c>
      <c r="R2016" s="738"/>
      <c r="S2016" s="751">
        <v>851348.68</v>
      </c>
      <c r="T2016" s="739">
        <v>1500521</v>
      </c>
      <c r="U2016" s="779">
        <v>680990.71999999997</v>
      </c>
      <c r="V2016" s="741">
        <v>1500522</v>
      </c>
    </row>
    <row r="2017" spans="1:22" ht="15" x14ac:dyDescent="0.25">
      <c r="A2017" s="734">
        <v>1132</v>
      </c>
      <c r="B2017" s="735" t="s">
        <v>8</v>
      </c>
      <c r="C2017" s="736">
        <v>271137.83</v>
      </c>
      <c r="D2017" s="736">
        <v>304034.64</v>
      </c>
      <c r="E2017" s="749">
        <v>304034.64</v>
      </c>
      <c r="F2017" s="736">
        <v>257434.72</v>
      </c>
      <c r="G2017" s="736"/>
      <c r="H2017" s="736"/>
      <c r="I2017" s="736"/>
      <c r="J2017" s="736">
        <f t="shared" si="669"/>
        <v>0</v>
      </c>
      <c r="K2017" s="736"/>
      <c r="L2017" s="736"/>
      <c r="M2017" s="736">
        <f t="shared" si="670"/>
        <v>0</v>
      </c>
      <c r="N2017" s="736"/>
      <c r="O2017" s="736"/>
      <c r="P2017" s="738">
        <f t="shared" si="671"/>
        <v>0</v>
      </c>
      <c r="Q2017" s="738"/>
      <c r="R2017" s="738"/>
      <c r="S2017" s="751">
        <v>327123.15999999997</v>
      </c>
      <c r="T2017" s="739">
        <v>1500521</v>
      </c>
      <c r="U2017" s="779">
        <v>323875.84000000003</v>
      </c>
      <c r="V2017" s="741">
        <v>1500522</v>
      </c>
    </row>
    <row r="2018" spans="1:22" ht="15" x14ac:dyDescent="0.25">
      <c r="A2018" s="734">
        <v>1321</v>
      </c>
      <c r="B2018" s="735" t="s">
        <v>9</v>
      </c>
      <c r="C2018" s="736">
        <v>50332.57</v>
      </c>
      <c r="D2018" s="736">
        <v>57553.84</v>
      </c>
      <c r="E2018" s="749">
        <v>46201.84</v>
      </c>
      <c r="F2018" s="736">
        <v>44324.54</v>
      </c>
      <c r="G2018" s="736">
        <v>39572.1</v>
      </c>
      <c r="H2018" s="736"/>
      <c r="I2018" s="736"/>
      <c r="J2018" s="736">
        <f t="shared" si="669"/>
        <v>39572.1</v>
      </c>
      <c r="K2018" s="736">
        <v>1326.42</v>
      </c>
      <c r="L2018" s="736"/>
      <c r="M2018" s="736">
        <f t="shared" si="670"/>
        <v>40898.519999999997</v>
      </c>
      <c r="N2018" s="736"/>
      <c r="O2018" s="736"/>
      <c r="P2018" s="736">
        <f t="shared" si="671"/>
        <v>40898.519999999997</v>
      </c>
      <c r="Q2018" s="738">
        <v>40898.519999999997</v>
      </c>
      <c r="R2018" s="738"/>
      <c r="S2018" s="751">
        <v>65402.18</v>
      </c>
      <c r="T2018" s="739">
        <v>1500521</v>
      </c>
      <c r="U2018" s="779">
        <v>40879.24</v>
      </c>
      <c r="V2018" s="741">
        <v>1500522</v>
      </c>
    </row>
    <row r="2019" spans="1:22" ht="15" x14ac:dyDescent="0.25">
      <c r="A2019" s="734">
        <v>1323</v>
      </c>
      <c r="B2019" s="735" t="s">
        <v>11</v>
      </c>
      <c r="C2019" s="736">
        <v>160558</v>
      </c>
      <c r="D2019" s="736">
        <v>187298</v>
      </c>
      <c r="E2019" s="749">
        <v>154073.70000000001</v>
      </c>
      <c r="F2019" s="736">
        <v>149311</v>
      </c>
      <c r="G2019" s="736">
        <v>116737.5</v>
      </c>
      <c r="H2019" s="736"/>
      <c r="I2019" s="736"/>
      <c r="J2019" s="736">
        <f t="shared" si="669"/>
        <v>116737.5</v>
      </c>
      <c r="K2019" s="736">
        <v>3913.65</v>
      </c>
      <c r="L2019" s="736"/>
      <c r="M2019" s="736">
        <f t="shared" si="670"/>
        <v>120651.15</v>
      </c>
      <c r="N2019" s="736"/>
      <c r="O2019" s="736"/>
      <c r="P2019" s="736">
        <f t="shared" si="671"/>
        <v>120651.15</v>
      </c>
      <c r="Q2019" s="738">
        <v>120651.15</v>
      </c>
      <c r="R2019" s="738"/>
      <c r="S2019" s="751">
        <v>208963</v>
      </c>
      <c r="T2019" s="739">
        <v>1500521</v>
      </c>
      <c r="U2019" s="779">
        <v>119499.6</v>
      </c>
      <c r="V2019" s="741">
        <v>1500522</v>
      </c>
    </row>
    <row r="2020" spans="1:22" ht="15" x14ac:dyDescent="0.25">
      <c r="A2020" s="734">
        <v>1413</v>
      </c>
      <c r="B2020" s="735" t="s">
        <v>13</v>
      </c>
      <c r="C2020" s="736">
        <v>195442.03</v>
      </c>
      <c r="D2020" s="736">
        <v>256481.8</v>
      </c>
      <c r="E2020" s="749">
        <v>199104.9</v>
      </c>
      <c r="F2020" s="736">
        <v>186890.7</v>
      </c>
      <c r="G2020" s="736">
        <v>180869.7</v>
      </c>
      <c r="H2020" s="736"/>
      <c r="I2020" s="736"/>
      <c r="J2020" s="736">
        <f t="shared" si="669"/>
        <v>180869.7</v>
      </c>
      <c r="K2020" s="736">
        <v>6067.25</v>
      </c>
      <c r="L2020" s="736"/>
      <c r="M2020" s="736">
        <f t="shared" si="670"/>
        <v>186936.95</v>
      </c>
      <c r="N2020" s="736"/>
      <c r="O2020" s="736"/>
      <c r="P2020" s="736">
        <f t="shared" si="671"/>
        <v>186936.95</v>
      </c>
      <c r="Q2020" s="738">
        <v>186936.95</v>
      </c>
      <c r="R2020" s="738"/>
      <c r="S2020" s="751">
        <v>326211.84000000003</v>
      </c>
      <c r="T2020" s="739">
        <v>1500521</v>
      </c>
      <c r="U2020" s="779">
        <v>182217.43</v>
      </c>
      <c r="V2020" s="741">
        <v>1500522</v>
      </c>
    </row>
    <row r="2021" spans="1:22" ht="15" x14ac:dyDescent="0.25">
      <c r="A2021" s="734">
        <v>1421</v>
      </c>
      <c r="B2021" s="735" t="s">
        <v>15</v>
      </c>
      <c r="C2021" s="736">
        <v>71341.429999999993</v>
      </c>
      <c r="D2021" s="736">
        <v>80605.820000000007</v>
      </c>
      <c r="E2021" s="749">
        <v>57090.01</v>
      </c>
      <c r="F2021" s="736">
        <v>57534.239999999998</v>
      </c>
      <c r="G2021" s="736">
        <v>51392.1</v>
      </c>
      <c r="H2021" s="736"/>
      <c r="I2021" s="736"/>
      <c r="J2021" s="736">
        <f t="shared" si="669"/>
        <v>51392.1</v>
      </c>
      <c r="K2021" s="736">
        <v>1705.58</v>
      </c>
      <c r="L2021" s="736"/>
      <c r="M2021" s="736">
        <f t="shared" si="670"/>
        <v>53097.68</v>
      </c>
      <c r="N2021" s="736"/>
      <c r="O2021" s="736"/>
      <c r="P2021" s="736">
        <f t="shared" si="671"/>
        <v>53097.68</v>
      </c>
      <c r="Q2021" s="738">
        <v>53097.68</v>
      </c>
      <c r="R2021" s="738"/>
      <c r="S2021" s="751">
        <v>91402.92</v>
      </c>
      <c r="T2021" s="739">
        <v>1500521</v>
      </c>
      <c r="U2021" s="779">
        <v>67346.7</v>
      </c>
      <c r="V2021" s="741">
        <v>1500522</v>
      </c>
    </row>
    <row r="2022" spans="1:22" ht="15" x14ac:dyDescent="0.25">
      <c r="A2022" s="734">
        <v>1431</v>
      </c>
      <c r="B2022" s="735" t="s">
        <v>16</v>
      </c>
      <c r="C2022" s="736">
        <v>71384.740000000005</v>
      </c>
      <c r="D2022" s="736">
        <v>83023.86</v>
      </c>
      <c r="E2022" s="749">
        <v>59866.22</v>
      </c>
      <c r="F2022" s="736">
        <v>60441.61</v>
      </c>
      <c r="G2022" s="736">
        <v>52933.7</v>
      </c>
      <c r="H2022" s="736"/>
      <c r="I2022" s="736"/>
      <c r="J2022" s="736">
        <f t="shared" si="669"/>
        <v>52933.7</v>
      </c>
      <c r="K2022" s="736">
        <v>1746</v>
      </c>
      <c r="L2022" s="736"/>
      <c r="M2022" s="736">
        <f t="shared" si="670"/>
        <v>54679.7</v>
      </c>
      <c r="N2022" s="736"/>
      <c r="O2022" s="736"/>
      <c r="P2022" s="736">
        <f t="shared" si="671"/>
        <v>54679.7</v>
      </c>
      <c r="Q2022" s="738">
        <v>54679.7</v>
      </c>
      <c r="R2022" s="738"/>
      <c r="S2022" s="751">
        <v>94144.92</v>
      </c>
      <c r="T2022" s="739">
        <v>1500521</v>
      </c>
      <c r="U2022" s="779">
        <v>67923.8</v>
      </c>
      <c r="V2022" s="741">
        <v>1500522</v>
      </c>
    </row>
    <row r="2023" spans="1:22" ht="15" x14ac:dyDescent="0.25">
      <c r="A2023" s="734">
        <v>1511</v>
      </c>
      <c r="B2023" s="735" t="s">
        <v>18</v>
      </c>
      <c r="C2023" s="736">
        <v>22741.52</v>
      </c>
      <c r="D2023" s="736">
        <v>27270.880000000001</v>
      </c>
      <c r="E2023" s="749">
        <v>22636.880000000001</v>
      </c>
      <c r="F2023" s="736">
        <v>22065.09</v>
      </c>
      <c r="G2023" s="736">
        <v>16995.199999999997</v>
      </c>
      <c r="H2023" s="736"/>
      <c r="I2023" s="736"/>
      <c r="J2023" s="736">
        <f t="shared" si="669"/>
        <v>16995.199999999997</v>
      </c>
      <c r="K2023" s="736">
        <v>569.42999999999995</v>
      </c>
      <c r="L2023" s="736"/>
      <c r="M2023" s="736">
        <f t="shared" si="670"/>
        <v>17564.629999999997</v>
      </c>
      <c r="N2023" s="736"/>
      <c r="O2023" s="736"/>
      <c r="P2023" s="736">
        <f t="shared" si="671"/>
        <v>17564.629999999997</v>
      </c>
      <c r="Q2023" s="738">
        <v>17564.63</v>
      </c>
      <c r="R2023" s="738"/>
      <c r="S2023" s="751">
        <v>30423.119999999999</v>
      </c>
      <c r="T2023" s="739">
        <v>1500521</v>
      </c>
      <c r="U2023" s="779">
        <v>18235.34</v>
      </c>
      <c r="V2023" s="741">
        <v>1500522</v>
      </c>
    </row>
    <row r="2024" spans="1:22" ht="15" x14ac:dyDescent="0.25">
      <c r="A2024" s="734">
        <v>1541</v>
      </c>
      <c r="B2024" s="735" t="s">
        <v>19</v>
      </c>
      <c r="C2024" s="736">
        <v>159215.20000000001</v>
      </c>
      <c r="D2024" s="736">
        <v>186481.1</v>
      </c>
      <c r="E2024" s="749">
        <v>146383.15</v>
      </c>
      <c r="F2024" s="736">
        <v>150895.62</v>
      </c>
      <c r="G2024" s="736">
        <v>203963.80000000002</v>
      </c>
      <c r="H2024" s="736"/>
      <c r="I2024" s="736"/>
      <c r="J2024" s="736">
        <f t="shared" si="669"/>
        <v>203963.80000000002</v>
      </c>
      <c r="K2024" s="736">
        <v>7764.2</v>
      </c>
      <c r="L2024" s="736"/>
      <c r="M2024" s="736">
        <f t="shared" si="670"/>
        <v>211728.00000000003</v>
      </c>
      <c r="N2024" s="736"/>
      <c r="O2024" s="736"/>
      <c r="P2024" s="736">
        <f t="shared" si="671"/>
        <v>211728.00000000003</v>
      </c>
      <c r="Q2024" s="738">
        <v>194066.52</v>
      </c>
      <c r="R2024" s="738"/>
      <c r="S2024" s="751">
        <v>226205.2</v>
      </c>
      <c r="T2024" s="739">
        <v>1500521</v>
      </c>
      <c r="U2024" s="779">
        <v>220316.98</v>
      </c>
      <c r="V2024" s="741">
        <v>1500522</v>
      </c>
    </row>
    <row r="2025" spans="1:22" ht="15" x14ac:dyDescent="0.25">
      <c r="A2025" s="734">
        <v>1591</v>
      </c>
      <c r="B2025" s="735" t="s">
        <v>184</v>
      </c>
      <c r="C2025" s="736">
        <v>14356.09</v>
      </c>
      <c r="D2025" s="736">
        <v>25000</v>
      </c>
      <c r="E2025" s="749">
        <v>16073</v>
      </c>
      <c r="F2025" s="736">
        <v>12024.82</v>
      </c>
      <c r="G2025" s="736">
        <v>16073</v>
      </c>
      <c r="H2025" s="736"/>
      <c r="I2025" s="736"/>
      <c r="J2025" s="736">
        <f t="shared" si="669"/>
        <v>16073</v>
      </c>
      <c r="K2025" s="736"/>
      <c r="L2025" s="736"/>
      <c r="M2025" s="736">
        <f t="shared" si="670"/>
        <v>16073</v>
      </c>
      <c r="N2025" s="736"/>
      <c r="O2025" s="736"/>
      <c r="P2025" s="736">
        <f t="shared" si="671"/>
        <v>16073</v>
      </c>
      <c r="Q2025" s="738">
        <v>16073</v>
      </c>
      <c r="R2025" s="738"/>
      <c r="S2025" s="751">
        <v>342778.8</v>
      </c>
      <c r="T2025" s="739">
        <v>1500521</v>
      </c>
      <c r="U2025" s="779">
        <v>16073</v>
      </c>
      <c r="V2025" s="741">
        <v>1500522</v>
      </c>
    </row>
    <row r="2026" spans="1:22" ht="15" x14ac:dyDescent="0.25">
      <c r="A2026" s="734">
        <v>1592</v>
      </c>
      <c r="B2026" s="735" t="s">
        <v>20</v>
      </c>
      <c r="C2026" s="736">
        <v>257956.35</v>
      </c>
      <c r="D2026" s="736">
        <v>306251.40000000002</v>
      </c>
      <c r="E2026" s="749">
        <v>250199.9</v>
      </c>
      <c r="F2026" s="736">
        <v>247757.87</v>
      </c>
      <c r="G2026" s="736">
        <v>216059.5</v>
      </c>
      <c r="H2026" s="736"/>
      <c r="I2026" s="736"/>
      <c r="J2026" s="736">
        <f t="shared" si="669"/>
        <v>216059.5</v>
      </c>
      <c r="K2026" s="736">
        <v>7247.12</v>
      </c>
      <c r="L2026" s="736"/>
      <c r="M2026" s="736">
        <f t="shared" si="670"/>
        <v>223306.62</v>
      </c>
      <c r="N2026" s="736"/>
      <c r="O2026" s="736"/>
      <c r="P2026" s="736">
        <f t="shared" si="671"/>
        <v>223306.62</v>
      </c>
      <c r="Q2026" s="738">
        <v>239934.34</v>
      </c>
      <c r="R2026" s="738"/>
      <c r="S2026" s="751"/>
      <c r="T2026" s="739">
        <v>1500521</v>
      </c>
      <c r="U2026" s="779">
        <v>230286.67</v>
      </c>
      <c r="V2026" s="741">
        <v>1500522</v>
      </c>
    </row>
    <row r="2027" spans="1:22" ht="15" x14ac:dyDescent="0.2">
      <c r="A2027" s="734">
        <v>2111</v>
      </c>
      <c r="B2027" s="735" t="s">
        <v>22</v>
      </c>
      <c r="C2027" s="736">
        <v>17106</v>
      </c>
      <c r="D2027" s="736">
        <v>16000</v>
      </c>
      <c r="E2027" s="749">
        <v>11200</v>
      </c>
      <c r="F2027" s="736">
        <v>9667.81</v>
      </c>
      <c r="G2027" s="749">
        <v>16000</v>
      </c>
      <c r="H2027" s="749"/>
      <c r="I2027" s="749"/>
      <c r="J2027" s="736">
        <f t="shared" si="669"/>
        <v>16000</v>
      </c>
      <c r="K2027" s="749"/>
      <c r="L2027" s="749"/>
      <c r="M2027" s="736">
        <f t="shared" si="670"/>
        <v>16000</v>
      </c>
      <c r="N2027" s="736"/>
      <c r="O2027" s="736"/>
      <c r="P2027" s="736">
        <f t="shared" si="671"/>
        <v>16000</v>
      </c>
      <c r="Q2027" s="783">
        <v>12072.84</v>
      </c>
      <c r="R2027" s="738">
        <v>8959.07</v>
      </c>
      <c r="S2027" s="784">
        <v>25000</v>
      </c>
      <c r="T2027" s="739">
        <v>1100121</v>
      </c>
      <c r="U2027" s="740">
        <v>16000</v>
      </c>
      <c r="V2027" s="741">
        <v>1100122</v>
      </c>
    </row>
    <row r="2028" spans="1:22" ht="15" x14ac:dyDescent="0.2">
      <c r="A2028" s="739">
        <v>2112</v>
      </c>
      <c r="B2028" s="743" t="s">
        <v>39</v>
      </c>
      <c r="C2028" s="736">
        <v>21804.799999999999</v>
      </c>
      <c r="D2028" s="736">
        <v>15000</v>
      </c>
      <c r="E2028" s="749">
        <v>15000</v>
      </c>
      <c r="F2028" s="736">
        <v>8115</v>
      </c>
      <c r="G2028" s="749"/>
      <c r="H2028" s="749"/>
      <c r="I2028" s="749"/>
      <c r="J2028" s="736">
        <f t="shared" si="669"/>
        <v>0</v>
      </c>
      <c r="K2028" s="749"/>
      <c r="L2028" s="749"/>
      <c r="M2028" s="736">
        <f t="shared" si="670"/>
        <v>0</v>
      </c>
      <c r="N2028" s="736"/>
      <c r="O2028" s="736"/>
      <c r="P2028" s="738">
        <f t="shared" si="671"/>
        <v>0</v>
      </c>
      <c r="Q2028" s="783"/>
      <c r="R2028" s="738"/>
      <c r="S2028" s="784"/>
      <c r="T2028" s="739">
        <v>1100121</v>
      </c>
      <c r="U2028" s="745"/>
      <c r="V2028" s="739">
        <v>1100122</v>
      </c>
    </row>
    <row r="2029" spans="1:22" ht="15" x14ac:dyDescent="0.2">
      <c r="A2029" s="734">
        <v>2161</v>
      </c>
      <c r="B2029" s="735" t="s">
        <v>59</v>
      </c>
      <c r="C2029" s="736">
        <v>20466.150000000001</v>
      </c>
      <c r="D2029" s="736">
        <v>25000</v>
      </c>
      <c r="E2029" s="749">
        <v>25000</v>
      </c>
      <c r="F2029" s="736">
        <v>15522.53</v>
      </c>
      <c r="G2029" s="749">
        <v>25000</v>
      </c>
      <c r="H2029" s="749"/>
      <c r="I2029" s="749"/>
      <c r="J2029" s="736">
        <f t="shared" si="669"/>
        <v>25000</v>
      </c>
      <c r="K2029" s="749"/>
      <c r="L2029" s="749"/>
      <c r="M2029" s="736">
        <f t="shared" si="670"/>
        <v>25000</v>
      </c>
      <c r="N2029" s="736"/>
      <c r="O2029" s="736"/>
      <c r="P2029" s="736">
        <f t="shared" si="671"/>
        <v>25000</v>
      </c>
      <c r="Q2029" s="783">
        <v>25000</v>
      </c>
      <c r="R2029" s="738">
        <v>10004.73</v>
      </c>
      <c r="S2029" s="784">
        <v>25000</v>
      </c>
      <c r="T2029" s="739">
        <v>1100121</v>
      </c>
      <c r="U2029" s="742">
        <v>25000</v>
      </c>
      <c r="V2029" s="741">
        <v>1100122</v>
      </c>
    </row>
    <row r="2030" spans="1:22" ht="15" x14ac:dyDescent="0.2">
      <c r="A2030" s="734">
        <v>2491</v>
      </c>
      <c r="B2030" s="735" t="s">
        <v>41</v>
      </c>
      <c r="C2030" s="736">
        <v>14876.51</v>
      </c>
      <c r="D2030" s="736">
        <v>20000</v>
      </c>
      <c r="E2030" s="749">
        <v>15000</v>
      </c>
      <c r="F2030" s="736">
        <v>14981.58</v>
      </c>
      <c r="G2030" s="749">
        <v>20000</v>
      </c>
      <c r="H2030" s="749"/>
      <c r="I2030" s="749"/>
      <c r="J2030" s="736">
        <f t="shared" si="669"/>
        <v>20000</v>
      </c>
      <c r="K2030" s="749"/>
      <c r="L2030" s="749"/>
      <c r="M2030" s="736">
        <f t="shared" si="670"/>
        <v>20000</v>
      </c>
      <c r="N2030" s="736"/>
      <c r="O2030" s="736"/>
      <c r="P2030" s="736">
        <f t="shared" si="671"/>
        <v>20000</v>
      </c>
      <c r="Q2030" s="783">
        <v>20000</v>
      </c>
      <c r="R2030" s="738">
        <v>16172.23</v>
      </c>
      <c r="S2030" s="784">
        <v>30000</v>
      </c>
      <c r="T2030" s="739">
        <v>1100121</v>
      </c>
      <c r="U2030" s="742">
        <v>90000</v>
      </c>
      <c r="V2030" s="741">
        <v>1100122</v>
      </c>
    </row>
    <row r="2031" spans="1:22" ht="30" x14ac:dyDescent="0.2">
      <c r="A2031" s="734">
        <v>2612</v>
      </c>
      <c r="B2031" s="735" t="s">
        <v>26</v>
      </c>
      <c r="C2031" s="736">
        <v>64298.65</v>
      </c>
      <c r="D2031" s="736">
        <v>70000</v>
      </c>
      <c r="E2031" s="749">
        <v>70000</v>
      </c>
      <c r="F2031" s="736">
        <v>47939.03</v>
      </c>
      <c r="G2031" s="749">
        <v>65000</v>
      </c>
      <c r="H2031" s="749"/>
      <c r="I2031" s="749"/>
      <c r="J2031" s="736">
        <f t="shared" si="669"/>
        <v>65000</v>
      </c>
      <c r="K2031" s="752"/>
      <c r="L2031" s="749"/>
      <c r="M2031" s="736">
        <f t="shared" si="670"/>
        <v>65000</v>
      </c>
      <c r="N2031" s="736"/>
      <c r="O2031" s="736">
        <v>10000</v>
      </c>
      <c r="P2031" s="736">
        <f t="shared" si="671"/>
        <v>55000</v>
      </c>
      <c r="Q2031" s="783">
        <v>55000</v>
      </c>
      <c r="R2031" s="738">
        <v>35385.4</v>
      </c>
      <c r="S2031" s="738">
        <f>Q2031</f>
        <v>55000</v>
      </c>
      <c r="T2031" s="739">
        <v>1100121</v>
      </c>
      <c r="U2031" s="740">
        <v>55000</v>
      </c>
      <c r="V2031" s="741">
        <v>1100122</v>
      </c>
    </row>
    <row r="2032" spans="1:22" ht="15" x14ac:dyDescent="0.2">
      <c r="A2032" s="734">
        <v>2911</v>
      </c>
      <c r="B2032" s="735" t="s">
        <v>60</v>
      </c>
      <c r="C2032" s="736">
        <v>5994</v>
      </c>
      <c r="D2032" s="736">
        <v>6000</v>
      </c>
      <c r="E2032" s="749">
        <v>6000</v>
      </c>
      <c r="F2032" s="736">
        <v>1726.32</v>
      </c>
      <c r="G2032" s="749">
        <v>6000</v>
      </c>
      <c r="H2032" s="749"/>
      <c r="I2032" s="749"/>
      <c r="J2032" s="736">
        <f t="shared" si="669"/>
        <v>6000</v>
      </c>
      <c r="K2032" s="749"/>
      <c r="L2032" s="749"/>
      <c r="M2032" s="736">
        <f t="shared" si="670"/>
        <v>6000</v>
      </c>
      <c r="N2032" s="736"/>
      <c r="O2032" s="736"/>
      <c r="P2032" s="736">
        <f t="shared" si="671"/>
        <v>6000</v>
      </c>
      <c r="Q2032" s="783">
        <v>6000</v>
      </c>
      <c r="R2032" s="738">
        <v>3210</v>
      </c>
      <c r="S2032" s="784">
        <v>9000</v>
      </c>
      <c r="T2032" s="739">
        <v>1100121</v>
      </c>
      <c r="U2032" s="742">
        <v>9000</v>
      </c>
      <c r="V2032" s="741">
        <v>1100122</v>
      </c>
    </row>
    <row r="2033" spans="1:22" ht="15" x14ac:dyDescent="0.2">
      <c r="A2033" s="734">
        <v>2941</v>
      </c>
      <c r="B2033" s="735" t="s">
        <v>1791</v>
      </c>
      <c r="C2033" s="736"/>
      <c r="D2033" s="736"/>
      <c r="E2033" s="749"/>
      <c r="F2033" s="736"/>
      <c r="G2033" s="749"/>
      <c r="H2033" s="749"/>
      <c r="I2033" s="749"/>
      <c r="J2033" s="736"/>
      <c r="K2033" s="749"/>
      <c r="L2033" s="749"/>
      <c r="M2033" s="736"/>
      <c r="N2033" s="736"/>
      <c r="O2033" s="736"/>
      <c r="P2033" s="736"/>
      <c r="Q2033" s="783"/>
      <c r="R2033" s="738"/>
      <c r="S2033" s="784"/>
      <c r="T2033" s="739"/>
      <c r="U2033" s="742">
        <v>30000</v>
      </c>
      <c r="V2033" s="741">
        <v>1100122</v>
      </c>
    </row>
    <row r="2034" spans="1:22" ht="15" x14ac:dyDescent="0.2">
      <c r="A2034" s="739">
        <v>3141</v>
      </c>
      <c r="B2034" s="743" t="s">
        <v>48</v>
      </c>
      <c r="C2034" s="736">
        <v>14042.52</v>
      </c>
      <c r="D2034" s="736">
        <v>20000</v>
      </c>
      <c r="E2034" s="749">
        <v>16000</v>
      </c>
      <c r="F2034" s="736">
        <v>14965.26</v>
      </c>
      <c r="G2034" s="749"/>
      <c r="H2034" s="749"/>
      <c r="I2034" s="749"/>
      <c r="J2034" s="736">
        <f t="shared" si="669"/>
        <v>0</v>
      </c>
      <c r="K2034" s="749"/>
      <c r="L2034" s="749"/>
      <c r="M2034" s="736">
        <f t="shared" si="670"/>
        <v>0</v>
      </c>
      <c r="N2034" s="736"/>
      <c r="O2034" s="736"/>
      <c r="P2034" s="738">
        <f t="shared" si="671"/>
        <v>0</v>
      </c>
      <c r="Q2034" s="783"/>
      <c r="R2034" s="738"/>
      <c r="S2034" s="784"/>
      <c r="T2034" s="739">
        <v>1100121</v>
      </c>
      <c r="U2034" s="745"/>
      <c r="V2034" s="739">
        <v>1100122</v>
      </c>
    </row>
    <row r="2035" spans="1:22" ht="30" x14ac:dyDescent="0.2">
      <c r="A2035" s="739">
        <v>3361</v>
      </c>
      <c r="B2035" s="743" t="s">
        <v>29</v>
      </c>
      <c r="C2035" s="736">
        <v>1392</v>
      </c>
      <c r="D2035" s="736">
        <v>5000</v>
      </c>
      <c r="E2035" s="749">
        <v>5000</v>
      </c>
      <c r="F2035" s="736">
        <v>0</v>
      </c>
      <c r="G2035" s="749">
        <v>5000</v>
      </c>
      <c r="H2035" s="749"/>
      <c r="I2035" s="749"/>
      <c r="J2035" s="736">
        <f t="shared" si="669"/>
        <v>5000</v>
      </c>
      <c r="K2035" s="749"/>
      <c r="L2035" s="749"/>
      <c r="M2035" s="736">
        <f t="shared" si="670"/>
        <v>5000</v>
      </c>
      <c r="N2035" s="736"/>
      <c r="O2035" s="736"/>
      <c r="P2035" s="736">
        <f t="shared" si="671"/>
        <v>5000</v>
      </c>
      <c r="Q2035" s="783">
        <v>5000</v>
      </c>
      <c r="R2035" s="738"/>
      <c r="S2035" s="784">
        <v>5000</v>
      </c>
      <c r="T2035" s="739">
        <v>1100121</v>
      </c>
      <c r="U2035" s="745"/>
      <c r="V2035" s="739">
        <v>1100122</v>
      </c>
    </row>
    <row r="2036" spans="1:22" ht="15" x14ac:dyDescent="0.2">
      <c r="A2036" s="739">
        <v>3511</v>
      </c>
      <c r="B2036" s="743" t="s">
        <v>49</v>
      </c>
      <c r="C2036" s="736">
        <v>88797.65</v>
      </c>
      <c r="D2036" s="736"/>
      <c r="E2036" s="736"/>
      <c r="F2036" s="736"/>
      <c r="G2036" s="749"/>
      <c r="H2036" s="749"/>
      <c r="I2036" s="749"/>
      <c r="J2036" s="736">
        <f t="shared" si="669"/>
        <v>0</v>
      </c>
      <c r="K2036" s="749"/>
      <c r="L2036" s="749"/>
      <c r="M2036" s="736">
        <f t="shared" si="670"/>
        <v>0</v>
      </c>
      <c r="N2036" s="736"/>
      <c r="O2036" s="736"/>
      <c r="P2036" s="738">
        <f t="shared" si="671"/>
        <v>0</v>
      </c>
      <c r="Q2036" s="783"/>
      <c r="R2036" s="738"/>
      <c r="S2036" s="784"/>
      <c r="T2036" s="739"/>
      <c r="U2036" s="745"/>
      <c r="V2036" s="739"/>
    </row>
    <row r="2037" spans="1:22" ht="15" x14ac:dyDescent="0.2">
      <c r="A2037" s="734">
        <v>3551</v>
      </c>
      <c r="B2037" s="735" t="s">
        <v>30</v>
      </c>
      <c r="C2037" s="736">
        <v>63969.9</v>
      </c>
      <c r="D2037" s="736">
        <v>70000</v>
      </c>
      <c r="E2037" s="749">
        <v>60000</v>
      </c>
      <c r="F2037" s="736">
        <v>44290.22</v>
      </c>
      <c r="G2037" s="749">
        <v>60000</v>
      </c>
      <c r="H2037" s="749"/>
      <c r="I2037" s="749"/>
      <c r="J2037" s="736">
        <f t="shared" si="669"/>
        <v>60000</v>
      </c>
      <c r="K2037" s="749"/>
      <c r="L2037" s="749"/>
      <c r="M2037" s="736">
        <f t="shared" si="670"/>
        <v>60000</v>
      </c>
      <c r="N2037" s="736">
        <v>25000</v>
      </c>
      <c r="O2037" s="736"/>
      <c r="P2037" s="736">
        <f t="shared" si="671"/>
        <v>85000</v>
      </c>
      <c r="Q2037" s="783">
        <v>88000</v>
      </c>
      <c r="R2037" s="738">
        <v>57832.04</v>
      </c>
      <c r="S2037" s="738">
        <f>Q2037</f>
        <v>88000</v>
      </c>
      <c r="T2037" s="739">
        <v>1100121</v>
      </c>
      <c r="U2037" s="740">
        <v>88000</v>
      </c>
      <c r="V2037" s="741">
        <v>1100122</v>
      </c>
    </row>
    <row r="2038" spans="1:22" ht="15" x14ac:dyDescent="0.2">
      <c r="A2038" s="734">
        <v>3571</v>
      </c>
      <c r="B2038" s="735" t="s">
        <v>65</v>
      </c>
      <c r="C2038" s="736">
        <v>16008</v>
      </c>
      <c r="D2038" s="736">
        <v>20000</v>
      </c>
      <c r="E2038" s="749">
        <v>15000</v>
      </c>
      <c r="F2038" s="736">
        <v>11762.8</v>
      </c>
      <c r="G2038" s="749">
        <v>20000</v>
      </c>
      <c r="H2038" s="749"/>
      <c r="I2038" s="749"/>
      <c r="J2038" s="736">
        <f t="shared" si="669"/>
        <v>20000</v>
      </c>
      <c r="K2038" s="749"/>
      <c r="L2038" s="749"/>
      <c r="M2038" s="736">
        <f t="shared" si="670"/>
        <v>20000</v>
      </c>
      <c r="N2038" s="736"/>
      <c r="O2038" s="736"/>
      <c r="P2038" s="736">
        <f t="shared" si="671"/>
        <v>20000</v>
      </c>
      <c r="Q2038" s="783">
        <v>20000</v>
      </c>
      <c r="R2038" s="738">
        <v>14218.12</v>
      </c>
      <c r="S2038" s="784">
        <v>20000</v>
      </c>
      <c r="T2038" s="739">
        <v>1100121</v>
      </c>
      <c r="U2038" s="742">
        <v>20000</v>
      </c>
      <c r="V2038" s="741">
        <v>1100122</v>
      </c>
    </row>
    <row r="2039" spans="1:22" ht="15" x14ac:dyDescent="0.2">
      <c r="A2039" s="734">
        <v>3852</v>
      </c>
      <c r="B2039" s="735" t="s">
        <v>32</v>
      </c>
      <c r="C2039" s="736">
        <v>20526.84</v>
      </c>
      <c r="D2039" s="736">
        <v>25000</v>
      </c>
      <c r="E2039" s="749">
        <v>25000</v>
      </c>
      <c r="F2039" s="736">
        <v>17728.82</v>
      </c>
      <c r="G2039" s="749">
        <v>25000</v>
      </c>
      <c r="H2039" s="749"/>
      <c r="I2039" s="749"/>
      <c r="J2039" s="736">
        <f t="shared" si="669"/>
        <v>25000</v>
      </c>
      <c r="K2039" s="749"/>
      <c r="L2039" s="749"/>
      <c r="M2039" s="736">
        <f t="shared" si="670"/>
        <v>25000</v>
      </c>
      <c r="N2039" s="736"/>
      <c r="O2039" s="736"/>
      <c r="P2039" s="736">
        <f t="shared" si="671"/>
        <v>25000</v>
      </c>
      <c r="Q2039" s="783">
        <v>25000</v>
      </c>
      <c r="R2039" s="738">
        <v>9490.5</v>
      </c>
      <c r="S2039" s="784">
        <v>25000</v>
      </c>
      <c r="T2039" s="739">
        <v>1100121</v>
      </c>
      <c r="U2039" s="740">
        <v>20000</v>
      </c>
      <c r="V2039" s="741">
        <v>1100122</v>
      </c>
    </row>
    <row r="2040" spans="1:22" ht="15" x14ac:dyDescent="0.2">
      <c r="A2040" s="734">
        <v>3921</v>
      </c>
      <c r="B2040" s="735" t="s">
        <v>33</v>
      </c>
      <c r="C2040" s="736">
        <v>31387.02</v>
      </c>
      <c r="D2040" s="736">
        <v>50000</v>
      </c>
      <c r="E2040" s="749">
        <v>100000</v>
      </c>
      <c r="F2040" s="736">
        <v>23546.35</v>
      </c>
      <c r="G2040" s="752">
        <v>30000</v>
      </c>
      <c r="H2040" s="752"/>
      <c r="I2040" s="752"/>
      <c r="J2040" s="736">
        <f t="shared" si="669"/>
        <v>30000</v>
      </c>
      <c r="K2040" s="752"/>
      <c r="L2040" s="752"/>
      <c r="M2040" s="736">
        <f t="shared" si="670"/>
        <v>30000</v>
      </c>
      <c r="N2040" s="736"/>
      <c r="O2040" s="736"/>
      <c r="P2040" s="736">
        <f t="shared" si="671"/>
        <v>30000</v>
      </c>
      <c r="Q2040" s="753">
        <v>30000</v>
      </c>
      <c r="R2040" s="738">
        <v>5209.9799999999996</v>
      </c>
      <c r="S2040" s="753">
        <v>30000</v>
      </c>
      <c r="T2040" s="739">
        <v>1100121</v>
      </c>
      <c r="U2040" s="754">
        <v>30000</v>
      </c>
      <c r="V2040" s="741">
        <v>1100122</v>
      </c>
    </row>
    <row r="2041" spans="1:22" ht="15" x14ac:dyDescent="0.2">
      <c r="A2041" s="734">
        <v>5691</v>
      </c>
      <c r="B2041" s="735" t="s">
        <v>112</v>
      </c>
      <c r="C2041" s="736">
        <v>5917</v>
      </c>
      <c r="D2041" s="736"/>
      <c r="E2041" s="736"/>
      <c r="F2041" s="736"/>
      <c r="G2041" s="736"/>
      <c r="H2041" s="736"/>
      <c r="I2041" s="736"/>
      <c r="J2041" s="736">
        <f t="shared" si="669"/>
        <v>0</v>
      </c>
      <c r="K2041" s="736"/>
      <c r="L2041" s="736"/>
      <c r="M2041" s="736">
        <f t="shared" si="670"/>
        <v>0</v>
      </c>
      <c r="N2041" s="736"/>
      <c r="O2041" s="736"/>
      <c r="P2041" s="738">
        <f t="shared" si="671"/>
        <v>0</v>
      </c>
      <c r="Q2041" s="738"/>
      <c r="R2041" s="738"/>
      <c r="S2041" s="738"/>
      <c r="T2041" s="739"/>
      <c r="U2041" s="746">
        <v>90000</v>
      </c>
      <c r="V2041" s="741">
        <v>1100122</v>
      </c>
    </row>
    <row r="2042" spans="1:22" ht="15" x14ac:dyDescent="0.2">
      <c r="A2042" s="724" t="s">
        <v>284</v>
      </c>
      <c r="B2042" s="725" t="s">
        <v>1124</v>
      </c>
      <c r="C2042" s="721">
        <f t="shared" ref="C2042:S2042" si="672">SUM(C2043+C2083+C2102)</f>
        <v>12745387.289999999</v>
      </c>
      <c r="D2042" s="721">
        <f t="shared" si="672"/>
        <v>14722506.279999997</v>
      </c>
      <c r="E2042" s="721">
        <f t="shared" si="672"/>
        <v>14062905.909999996</v>
      </c>
      <c r="F2042" s="721">
        <f t="shared" si="672"/>
        <v>14190852.840000002</v>
      </c>
      <c r="G2042" s="721">
        <f t="shared" si="672"/>
        <v>15686114.75</v>
      </c>
      <c r="H2042" s="721">
        <f t="shared" si="672"/>
        <v>15000</v>
      </c>
      <c r="I2042" s="721">
        <f t="shared" si="672"/>
        <v>0</v>
      </c>
      <c r="J2042" s="721">
        <f t="shared" si="672"/>
        <v>15701114.75</v>
      </c>
      <c r="K2042" s="721">
        <f t="shared" si="672"/>
        <v>400376.44</v>
      </c>
      <c r="L2042" s="721">
        <f t="shared" si="672"/>
        <v>66561.05</v>
      </c>
      <c r="M2042" s="721">
        <f t="shared" si="672"/>
        <v>16034930.140000001</v>
      </c>
      <c r="N2042" s="721">
        <f t="shared" si="672"/>
        <v>40008.839999999997</v>
      </c>
      <c r="O2042" s="721">
        <f t="shared" si="672"/>
        <v>70000</v>
      </c>
      <c r="P2042" s="721">
        <f t="shared" si="672"/>
        <v>16004938.98</v>
      </c>
      <c r="Q2042" s="756">
        <f t="shared" si="672"/>
        <v>15989944.940000001</v>
      </c>
      <c r="R2042" s="756">
        <f t="shared" si="672"/>
        <v>602022.05000000005</v>
      </c>
      <c r="S2042" s="756">
        <f t="shared" si="672"/>
        <v>18668867.750000004</v>
      </c>
      <c r="T2042" s="724"/>
      <c r="U2042" s="726">
        <f>SUM(U2043+U2083+U2102)</f>
        <v>16086603.07</v>
      </c>
      <c r="V2042" s="727"/>
    </row>
    <row r="2043" spans="1:22" ht="15" x14ac:dyDescent="0.2">
      <c r="A2043" s="728" t="s">
        <v>285</v>
      </c>
      <c r="B2043" s="729" t="s">
        <v>1578</v>
      </c>
      <c r="C2043" s="730">
        <f t="shared" ref="C2043:S2043" si="673">SUM(C2044:C2082)</f>
        <v>4107237.9999999991</v>
      </c>
      <c r="D2043" s="730">
        <f t="shared" si="673"/>
        <v>5416868.6999999993</v>
      </c>
      <c r="E2043" s="730">
        <f t="shared" si="673"/>
        <v>4826437.6399999987</v>
      </c>
      <c r="F2043" s="730">
        <f t="shared" si="673"/>
        <v>4685354.95</v>
      </c>
      <c r="G2043" s="730">
        <f t="shared" si="673"/>
        <v>5449431.9500000002</v>
      </c>
      <c r="H2043" s="730">
        <f t="shared" si="673"/>
        <v>15000</v>
      </c>
      <c r="I2043" s="730">
        <f t="shared" si="673"/>
        <v>0</v>
      </c>
      <c r="J2043" s="730">
        <f t="shared" si="673"/>
        <v>5464431.9500000002</v>
      </c>
      <c r="K2043" s="730">
        <f t="shared" si="673"/>
        <v>79985.24000000002</v>
      </c>
      <c r="L2043" s="730">
        <f t="shared" si="673"/>
        <v>19958.41</v>
      </c>
      <c r="M2043" s="730">
        <f t="shared" si="673"/>
        <v>5524458.7800000003</v>
      </c>
      <c r="N2043" s="730">
        <f t="shared" si="673"/>
        <v>40008.839999999997</v>
      </c>
      <c r="O2043" s="730">
        <f t="shared" si="673"/>
        <v>30000</v>
      </c>
      <c r="P2043" s="730">
        <f t="shared" si="673"/>
        <v>5534467.6200000001</v>
      </c>
      <c r="Q2043" s="748">
        <f t="shared" si="673"/>
        <v>5510334.2000000011</v>
      </c>
      <c r="R2043" s="748">
        <f t="shared" si="673"/>
        <v>529582.72000000009</v>
      </c>
      <c r="S2043" s="748">
        <f t="shared" si="673"/>
        <v>5879829.2700000005</v>
      </c>
      <c r="T2043" s="731"/>
      <c r="U2043" s="732">
        <f>SUM(U2044:U2082)</f>
        <v>5426343.169999999</v>
      </c>
      <c r="V2043" s="733"/>
    </row>
    <row r="2044" spans="1:22" ht="15" x14ac:dyDescent="0.25">
      <c r="A2044" s="734">
        <v>1132</v>
      </c>
      <c r="B2044" s="735" t="s">
        <v>8</v>
      </c>
      <c r="C2044" s="736">
        <v>570803.57999999996</v>
      </c>
      <c r="D2044" s="736">
        <v>593964.28</v>
      </c>
      <c r="E2044" s="749">
        <v>595541.28</v>
      </c>
      <c r="F2044" s="736">
        <v>615300.99</v>
      </c>
      <c r="G2044" s="736">
        <v>617016.4</v>
      </c>
      <c r="H2044" s="736"/>
      <c r="I2044" s="736"/>
      <c r="J2044" s="736">
        <f t="shared" ref="J2044:J2055" si="674">G2044+H2044-I2044</f>
        <v>617016.4</v>
      </c>
      <c r="K2044" s="736">
        <v>16150.12</v>
      </c>
      <c r="L2044" s="736"/>
      <c r="M2044" s="736">
        <f t="shared" ref="M2044:M2055" si="675">J2044+K2044-L2044</f>
        <v>633166.52</v>
      </c>
      <c r="N2044" s="736"/>
      <c r="O2044" s="736"/>
      <c r="P2044" s="736">
        <f t="shared" ref="P2044:P2055" si="676">M2044+N2044-O2044</f>
        <v>633166.52</v>
      </c>
      <c r="Q2044" s="738">
        <v>633166.52</v>
      </c>
      <c r="R2044" s="738"/>
      <c r="S2044" s="751">
        <v>650737.36</v>
      </c>
      <c r="T2044" s="739">
        <v>1500521</v>
      </c>
      <c r="U2044" s="779">
        <v>641675.98</v>
      </c>
      <c r="V2044" s="741">
        <v>1500522</v>
      </c>
    </row>
    <row r="2045" spans="1:22" ht="15" x14ac:dyDescent="0.25">
      <c r="A2045" s="734">
        <v>1212</v>
      </c>
      <c r="B2045" s="735" t="s">
        <v>53</v>
      </c>
      <c r="C2045" s="736">
        <v>2027778.28</v>
      </c>
      <c r="D2045" s="736">
        <v>2400710.4</v>
      </c>
      <c r="E2045" s="749">
        <v>2222864.4</v>
      </c>
      <c r="F2045" s="736">
        <v>2305460.1800000002</v>
      </c>
      <c r="G2045" s="736">
        <v>2515024.7999999998</v>
      </c>
      <c r="H2045" s="736"/>
      <c r="I2045" s="736"/>
      <c r="J2045" s="736">
        <f t="shared" si="674"/>
        <v>2515024.7999999998</v>
      </c>
      <c r="K2045" s="736">
        <v>37920.15</v>
      </c>
      <c r="L2045" s="736"/>
      <c r="M2045" s="736">
        <f t="shared" si="675"/>
        <v>2552944.9499999997</v>
      </c>
      <c r="N2045" s="736"/>
      <c r="O2045" s="736"/>
      <c r="P2045" s="736">
        <f t="shared" si="676"/>
        <v>2552944.9499999997</v>
      </c>
      <c r="Q2045" s="738">
        <v>2541504.4</v>
      </c>
      <c r="R2045" s="738"/>
      <c r="S2045" s="751">
        <v>2679764.4</v>
      </c>
      <c r="T2045" s="739">
        <v>1500521</v>
      </c>
      <c r="U2045" s="779">
        <v>2461921.3199999998</v>
      </c>
      <c r="V2045" s="741">
        <v>1500522</v>
      </c>
    </row>
    <row r="2046" spans="1:22" ht="15" x14ac:dyDescent="0.25">
      <c r="A2046" s="734">
        <v>1321</v>
      </c>
      <c r="B2046" s="735" t="s">
        <v>9</v>
      </c>
      <c r="C2046" s="736">
        <v>28735.87</v>
      </c>
      <c r="D2046" s="736">
        <v>32006.22</v>
      </c>
      <c r="E2046" s="749">
        <v>37273.22</v>
      </c>
      <c r="F2046" s="736">
        <v>32759.11</v>
      </c>
      <c r="G2046" s="736">
        <v>29162.1</v>
      </c>
      <c r="H2046" s="736"/>
      <c r="I2046" s="736"/>
      <c r="J2046" s="736">
        <f t="shared" si="674"/>
        <v>29162.1</v>
      </c>
      <c r="K2046" s="736">
        <v>2608.15</v>
      </c>
      <c r="L2046" s="736"/>
      <c r="M2046" s="736">
        <f t="shared" si="675"/>
        <v>31770.25</v>
      </c>
      <c r="N2046" s="736"/>
      <c r="O2046" s="736"/>
      <c r="P2046" s="736">
        <f t="shared" si="676"/>
        <v>31770.25</v>
      </c>
      <c r="Q2046" s="738">
        <v>31770.25</v>
      </c>
      <c r="R2046" s="738"/>
      <c r="S2046" s="751">
        <v>32843</v>
      </c>
      <c r="T2046" s="739">
        <v>1500521</v>
      </c>
      <c r="U2046" s="779">
        <v>39468.81</v>
      </c>
      <c r="V2046" s="741">
        <v>1500522</v>
      </c>
    </row>
    <row r="2047" spans="1:22" ht="15" x14ac:dyDescent="0.25">
      <c r="A2047" s="734">
        <v>1323</v>
      </c>
      <c r="B2047" s="735" t="s">
        <v>11</v>
      </c>
      <c r="C2047" s="736">
        <v>180593.34</v>
      </c>
      <c r="D2047" s="736">
        <v>197582.1</v>
      </c>
      <c r="E2047" s="749">
        <v>197676.07</v>
      </c>
      <c r="F2047" s="736">
        <v>188776.59</v>
      </c>
      <c r="G2047" s="736">
        <v>206148.2</v>
      </c>
      <c r="H2047" s="736"/>
      <c r="I2047" s="736"/>
      <c r="J2047" s="736">
        <f t="shared" si="674"/>
        <v>206148.2</v>
      </c>
      <c r="K2047" s="736">
        <v>3236.54</v>
      </c>
      <c r="L2047" s="736"/>
      <c r="M2047" s="736">
        <f t="shared" si="675"/>
        <v>209384.74000000002</v>
      </c>
      <c r="N2047" s="736"/>
      <c r="O2047" s="736"/>
      <c r="P2047" s="736">
        <f t="shared" si="676"/>
        <v>209384.74000000002</v>
      </c>
      <c r="Q2047" s="738">
        <v>209384.74</v>
      </c>
      <c r="R2047" s="738"/>
      <c r="S2047" s="751">
        <v>216822.35</v>
      </c>
      <c r="T2047" s="739">
        <v>1500521</v>
      </c>
      <c r="U2047" s="779">
        <v>201478.45</v>
      </c>
      <c r="V2047" s="741">
        <v>1500522</v>
      </c>
    </row>
    <row r="2048" spans="1:22" ht="15" x14ac:dyDescent="0.25">
      <c r="A2048" s="734">
        <v>1331</v>
      </c>
      <c r="B2048" s="735" t="s">
        <v>183</v>
      </c>
      <c r="C2048" s="736"/>
      <c r="D2048" s="736">
        <v>22500</v>
      </c>
      <c r="E2048" s="749">
        <v>6750</v>
      </c>
      <c r="F2048" s="736">
        <v>0</v>
      </c>
      <c r="G2048" s="736">
        <v>6750</v>
      </c>
      <c r="H2048" s="736"/>
      <c r="I2048" s="736"/>
      <c r="J2048" s="736">
        <f t="shared" si="674"/>
        <v>6750</v>
      </c>
      <c r="K2048" s="736"/>
      <c r="L2048" s="736"/>
      <c r="M2048" s="736">
        <f t="shared" si="675"/>
        <v>6750</v>
      </c>
      <c r="N2048" s="736"/>
      <c r="O2048" s="736"/>
      <c r="P2048" s="736">
        <f t="shared" si="676"/>
        <v>6750</v>
      </c>
      <c r="Q2048" s="738">
        <v>6750</v>
      </c>
      <c r="R2048" s="738"/>
      <c r="S2048" s="751">
        <v>6750</v>
      </c>
      <c r="T2048" s="739">
        <v>1500521</v>
      </c>
      <c r="U2048" s="779">
        <v>6750</v>
      </c>
      <c r="V2048" s="741">
        <v>1500522</v>
      </c>
    </row>
    <row r="2049" spans="1:22" ht="15" x14ac:dyDescent="0.25">
      <c r="A2049" s="734">
        <v>1413</v>
      </c>
      <c r="B2049" s="735" t="s">
        <v>13</v>
      </c>
      <c r="C2049" s="736">
        <v>306409.33</v>
      </c>
      <c r="D2049" s="736">
        <v>505812.98</v>
      </c>
      <c r="E2049" s="749">
        <v>491821.14</v>
      </c>
      <c r="F2049" s="736">
        <v>507726.85</v>
      </c>
      <c r="G2049" s="736">
        <v>590798.9</v>
      </c>
      <c r="H2049" s="736"/>
      <c r="I2049" s="736"/>
      <c r="J2049" s="736">
        <f t="shared" si="674"/>
        <v>590798.9</v>
      </c>
      <c r="K2049" s="736">
        <v>13117.77</v>
      </c>
      <c r="L2049" s="736"/>
      <c r="M2049" s="736">
        <f t="shared" si="675"/>
        <v>603916.67000000004</v>
      </c>
      <c r="N2049" s="736"/>
      <c r="O2049" s="736"/>
      <c r="P2049" s="736">
        <f t="shared" si="676"/>
        <v>603916.67000000004</v>
      </c>
      <c r="Q2049" s="738">
        <v>603916.67000000004</v>
      </c>
      <c r="R2049" s="738"/>
      <c r="S2049" s="751">
        <v>666385.92000000004</v>
      </c>
      <c r="T2049" s="739">
        <v>1500521</v>
      </c>
      <c r="U2049" s="779">
        <v>547535.04</v>
      </c>
      <c r="V2049" s="741">
        <v>1500522</v>
      </c>
    </row>
    <row r="2050" spans="1:22" ht="15" x14ac:dyDescent="0.25">
      <c r="A2050" s="734">
        <v>1421</v>
      </c>
      <c r="B2050" s="735" t="s">
        <v>15</v>
      </c>
      <c r="C2050" s="736">
        <v>81250.16</v>
      </c>
      <c r="D2050" s="736">
        <v>160770.23999999999</v>
      </c>
      <c r="E2050" s="749">
        <v>137048.03</v>
      </c>
      <c r="F2050" s="736">
        <v>156991.51</v>
      </c>
      <c r="G2050" s="736">
        <v>173215</v>
      </c>
      <c r="H2050" s="736"/>
      <c r="I2050" s="736"/>
      <c r="J2050" s="736">
        <f t="shared" si="674"/>
        <v>173215</v>
      </c>
      <c r="K2050" s="736">
        <v>3388.08</v>
      </c>
      <c r="L2050" s="736"/>
      <c r="M2050" s="736">
        <f t="shared" si="675"/>
        <v>176603.08</v>
      </c>
      <c r="N2050" s="736"/>
      <c r="O2050" s="736"/>
      <c r="P2050" s="736">
        <f t="shared" si="676"/>
        <v>176603.08</v>
      </c>
      <c r="Q2050" s="738">
        <v>176603.08</v>
      </c>
      <c r="R2050" s="738"/>
      <c r="S2050" s="751">
        <v>185615.28</v>
      </c>
      <c r="T2050" s="739">
        <v>1500521</v>
      </c>
      <c r="U2050" s="779">
        <v>197339.05</v>
      </c>
      <c r="V2050" s="741">
        <v>1500522</v>
      </c>
    </row>
    <row r="2051" spans="1:22" ht="15" x14ac:dyDescent="0.25">
      <c r="A2051" s="734">
        <v>1431</v>
      </c>
      <c r="B2051" s="735" t="s">
        <v>16</v>
      </c>
      <c r="C2051" s="736">
        <v>83688.44</v>
      </c>
      <c r="D2051" s="736">
        <v>165593.28</v>
      </c>
      <c r="E2051" s="749">
        <v>143855.29999999999</v>
      </c>
      <c r="F2051" s="736">
        <v>165801.63</v>
      </c>
      <c r="G2051" s="736">
        <v>178411.5</v>
      </c>
      <c r="H2051" s="736"/>
      <c r="I2051" s="736"/>
      <c r="J2051" s="736">
        <f t="shared" si="674"/>
        <v>178411.5</v>
      </c>
      <c r="K2051" s="736">
        <v>3453.74</v>
      </c>
      <c r="L2051" s="736"/>
      <c r="M2051" s="736">
        <f t="shared" si="675"/>
        <v>181865.24</v>
      </c>
      <c r="N2051" s="736"/>
      <c r="O2051" s="736"/>
      <c r="P2051" s="736">
        <f t="shared" si="676"/>
        <v>181865.24</v>
      </c>
      <c r="Q2051" s="738">
        <v>181865.24</v>
      </c>
      <c r="R2051" s="738"/>
      <c r="S2051" s="751">
        <v>191183.64</v>
      </c>
      <c r="T2051" s="739">
        <v>1500521</v>
      </c>
      <c r="U2051" s="779">
        <v>199144.29</v>
      </c>
      <c r="V2051" s="741">
        <v>1500522</v>
      </c>
    </row>
    <row r="2052" spans="1:22" ht="15" x14ac:dyDescent="0.25">
      <c r="A2052" s="734">
        <v>1511</v>
      </c>
      <c r="B2052" s="735" t="s">
        <v>18</v>
      </c>
      <c r="C2052" s="736">
        <v>13520.42</v>
      </c>
      <c r="D2052" s="736">
        <v>14203.28</v>
      </c>
      <c r="E2052" s="749">
        <v>14203.28</v>
      </c>
      <c r="F2052" s="736">
        <v>14703.79</v>
      </c>
      <c r="G2052" s="736">
        <v>14756.6</v>
      </c>
      <c r="H2052" s="736"/>
      <c r="I2052" s="736"/>
      <c r="J2052" s="736">
        <f t="shared" si="674"/>
        <v>14756.6</v>
      </c>
      <c r="K2052" s="736">
        <v>110.69</v>
      </c>
      <c r="L2052" s="736"/>
      <c r="M2052" s="736">
        <f t="shared" si="675"/>
        <v>14867.29</v>
      </c>
      <c r="N2052" s="736"/>
      <c r="O2052" s="736"/>
      <c r="P2052" s="736">
        <f t="shared" si="676"/>
        <v>14867.29</v>
      </c>
      <c r="Q2052" s="738">
        <v>14867.29</v>
      </c>
      <c r="R2052" s="738"/>
      <c r="S2052" s="751">
        <v>15309.84</v>
      </c>
      <c r="T2052" s="739">
        <v>1500521</v>
      </c>
      <c r="U2052" s="779">
        <v>14124.13</v>
      </c>
      <c r="V2052" s="741">
        <v>1500522</v>
      </c>
    </row>
    <row r="2053" spans="1:22" ht="15" x14ac:dyDescent="0.25">
      <c r="A2053" s="734">
        <v>1592</v>
      </c>
      <c r="B2053" s="735" t="s">
        <v>20</v>
      </c>
      <c r="C2053" s="736">
        <v>110387.84</v>
      </c>
      <c r="D2053" s="736">
        <v>116217.92</v>
      </c>
      <c r="E2053" s="749">
        <v>116217.92</v>
      </c>
      <c r="F2053" s="736">
        <v>120303</v>
      </c>
      <c r="G2053" s="736">
        <v>120851.70000000001</v>
      </c>
      <c r="H2053" s="736"/>
      <c r="I2053" s="736"/>
      <c r="J2053" s="736">
        <f t="shared" si="674"/>
        <v>120851.70000000001</v>
      </c>
      <c r="K2053" s="736"/>
      <c r="L2053" s="736">
        <v>9452.32</v>
      </c>
      <c r="M2053" s="736">
        <f t="shared" si="675"/>
        <v>111399.38</v>
      </c>
      <c r="N2053" s="736"/>
      <c r="O2053" s="736"/>
      <c r="P2053" s="736">
        <f t="shared" si="676"/>
        <v>111399.38</v>
      </c>
      <c r="Q2053" s="738">
        <v>120708.4</v>
      </c>
      <c r="R2053" s="738"/>
      <c r="S2053" s="751">
        <v>114867.48</v>
      </c>
      <c r="T2053" s="739">
        <v>1500521</v>
      </c>
      <c r="U2053" s="779">
        <v>107768.1</v>
      </c>
      <c r="V2053" s="741">
        <v>1500522</v>
      </c>
    </row>
    <row r="2054" spans="1:22" ht="15" x14ac:dyDescent="0.2">
      <c r="A2054" s="734">
        <v>2111</v>
      </c>
      <c r="B2054" s="735" t="s">
        <v>22</v>
      </c>
      <c r="C2054" s="736">
        <v>40186</v>
      </c>
      <c r="D2054" s="736">
        <v>31170</v>
      </c>
      <c r="E2054" s="749">
        <v>21819</v>
      </c>
      <c r="F2054" s="736">
        <v>18600</v>
      </c>
      <c r="G2054" s="752">
        <v>25000</v>
      </c>
      <c r="H2054" s="752"/>
      <c r="I2054" s="752"/>
      <c r="J2054" s="736">
        <f t="shared" si="674"/>
        <v>25000</v>
      </c>
      <c r="K2054" s="752"/>
      <c r="L2054" s="752"/>
      <c r="M2054" s="736">
        <f t="shared" si="675"/>
        <v>25000</v>
      </c>
      <c r="N2054" s="736"/>
      <c r="O2054" s="736"/>
      <c r="P2054" s="736">
        <f t="shared" si="676"/>
        <v>25000</v>
      </c>
      <c r="Q2054" s="753">
        <v>19998.11</v>
      </c>
      <c r="R2054" s="738">
        <v>14087.45</v>
      </c>
      <c r="S2054" s="753">
        <v>19800</v>
      </c>
      <c r="T2054" s="739">
        <v>1100121</v>
      </c>
      <c r="U2054" s="754">
        <v>19800</v>
      </c>
      <c r="V2054" s="741">
        <v>1100122</v>
      </c>
    </row>
    <row r="2055" spans="1:22" ht="15" x14ac:dyDescent="0.2">
      <c r="A2055" s="734">
        <v>2112</v>
      </c>
      <c r="B2055" s="735" t="s">
        <v>39</v>
      </c>
      <c r="C2055" s="736">
        <v>9282.2199999999993</v>
      </c>
      <c r="D2055" s="736">
        <v>20000</v>
      </c>
      <c r="E2055" s="749">
        <v>20000</v>
      </c>
      <c r="F2055" s="736">
        <v>19918</v>
      </c>
      <c r="G2055" s="752">
        <v>20000</v>
      </c>
      <c r="H2055" s="752"/>
      <c r="I2055" s="752"/>
      <c r="J2055" s="736">
        <f t="shared" si="674"/>
        <v>20000</v>
      </c>
      <c r="K2055" s="752"/>
      <c r="L2055" s="752"/>
      <c r="M2055" s="736">
        <f t="shared" si="675"/>
        <v>20000</v>
      </c>
      <c r="N2055" s="736"/>
      <c r="O2055" s="736"/>
      <c r="P2055" s="736">
        <f t="shared" si="676"/>
        <v>20000</v>
      </c>
      <c r="Q2055" s="753">
        <v>20000</v>
      </c>
      <c r="R2055" s="738"/>
      <c r="S2055" s="753">
        <v>20000</v>
      </c>
      <c r="T2055" s="739">
        <v>1100121</v>
      </c>
      <c r="U2055" s="754">
        <v>20000</v>
      </c>
      <c r="V2055" s="741">
        <v>1100122</v>
      </c>
    </row>
    <row r="2056" spans="1:22" ht="15" x14ac:dyDescent="0.2">
      <c r="A2056" s="734">
        <v>2121</v>
      </c>
      <c r="B2056" s="735" t="s">
        <v>24</v>
      </c>
      <c r="C2056" s="736"/>
      <c r="D2056" s="736"/>
      <c r="E2056" s="749"/>
      <c r="F2056" s="736"/>
      <c r="G2056" s="752"/>
      <c r="H2056" s="752"/>
      <c r="I2056" s="752"/>
      <c r="J2056" s="736"/>
      <c r="K2056" s="752"/>
      <c r="L2056" s="752"/>
      <c r="M2056" s="736"/>
      <c r="N2056" s="736"/>
      <c r="O2056" s="736"/>
      <c r="P2056" s="736"/>
      <c r="Q2056" s="753"/>
      <c r="R2056" s="738"/>
      <c r="S2056" s="753">
        <v>5000</v>
      </c>
      <c r="T2056" s="739"/>
      <c r="U2056" s="754">
        <v>5000</v>
      </c>
      <c r="V2056" s="741">
        <v>1100122</v>
      </c>
    </row>
    <row r="2057" spans="1:22" ht="15" x14ac:dyDescent="0.2">
      <c r="A2057" s="734">
        <v>2161</v>
      </c>
      <c r="B2057" s="735" t="s">
        <v>59</v>
      </c>
      <c r="C2057" s="736">
        <v>14459.35</v>
      </c>
      <c r="D2057" s="736">
        <v>12000</v>
      </c>
      <c r="E2057" s="749">
        <v>12000</v>
      </c>
      <c r="F2057" s="736">
        <v>7912.03</v>
      </c>
      <c r="G2057" s="752">
        <v>13000</v>
      </c>
      <c r="H2057" s="752"/>
      <c r="I2057" s="752"/>
      <c r="J2057" s="736">
        <f t="shared" ref="J2057:J2058" si="677">G2057+H2057-I2057</f>
        <v>13000</v>
      </c>
      <c r="K2057" s="752"/>
      <c r="L2057" s="752"/>
      <c r="M2057" s="736">
        <f t="shared" ref="M2057:M2058" si="678">J2057+K2057-L2057</f>
        <v>13000</v>
      </c>
      <c r="N2057" s="736"/>
      <c r="O2057" s="736"/>
      <c r="P2057" s="736">
        <f t="shared" ref="P2057:P2058" si="679">M2057+N2057-O2057</f>
        <v>13000</v>
      </c>
      <c r="Q2057" s="753">
        <v>13000</v>
      </c>
      <c r="R2057" s="738">
        <v>1868.48</v>
      </c>
      <c r="S2057" s="753">
        <v>13500</v>
      </c>
      <c r="T2057" s="739">
        <v>1100121</v>
      </c>
      <c r="U2057" s="754">
        <v>13500</v>
      </c>
      <c r="V2057" s="741">
        <v>1100122</v>
      </c>
    </row>
    <row r="2058" spans="1:22" ht="15" x14ac:dyDescent="0.2">
      <c r="A2058" s="734">
        <v>2212</v>
      </c>
      <c r="B2058" s="735" t="s">
        <v>40</v>
      </c>
      <c r="C2058" s="736">
        <v>10000</v>
      </c>
      <c r="D2058" s="736">
        <v>15000</v>
      </c>
      <c r="E2058" s="749">
        <v>15000</v>
      </c>
      <c r="F2058" s="736">
        <v>300.24</v>
      </c>
      <c r="G2058" s="752">
        <v>10000</v>
      </c>
      <c r="H2058" s="752"/>
      <c r="I2058" s="752"/>
      <c r="J2058" s="736">
        <f t="shared" si="677"/>
        <v>10000</v>
      </c>
      <c r="K2058" s="752"/>
      <c r="L2058" s="752"/>
      <c r="M2058" s="736">
        <f t="shared" si="678"/>
        <v>10000</v>
      </c>
      <c r="N2058" s="736"/>
      <c r="O2058" s="736"/>
      <c r="P2058" s="736">
        <f t="shared" si="679"/>
        <v>10000</v>
      </c>
      <c r="Q2058" s="753">
        <v>10000</v>
      </c>
      <c r="R2058" s="738"/>
      <c r="S2058" s="753">
        <v>10000</v>
      </c>
      <c r="T2058" s="739">
        <v>1100121</v>
      </c>
      <c r="U2058" s="754">
        <v>10000</v>
      </c>
      <c r="V2058" s="741">
        <v>1100122</v>
      </c>
    </row>
    <row r="2059" spans="1:22" ht="15" x14ac:dyDescent="0.2">
      <c r="A2059" s="734">
        <v>2461</v>
      </c>
      <c r="B2059" s="735" t="s">
        <v>1792</v>
      </c>
      <c r="C2059" s="736"/>
      <c r="D2059" s="736"/>
      <c r="E2059" s="749"/>
      <c r="F2059" s="736"/>
      <c r="G2059" s="752"/>
      <c r="H2059" s="752"/>
      <c r="I2059" s="752"/>
      <c r="J2059" s="736"/>
      <c r="K2059" s="752"/>
      <c r="L2059" s="752"/>
      <c r="M2059" s="736"/>
      <c r="N2059" s="736"/>
      <c r="O2059" s="736"/>
      <c r="P2059" s="736"/>
      <c r="Q2059" s="753"/>
      <c r="R2059" s="738"/>
      <c r="S2059" s="753">
        <v>3500</v>
      </c>
      <c r="T2059" s="739"/>
      <c r="U2059" s="754">
        <v>3500</v>
      </c>
      <c r="V2059" s="741">
        <v>1100122</v>
      </c>
    </row>
    <row r="2060" spans="1:22" ht="15" x14ac:dyDescent="0.2">
      <c r="A2060" s="739">
        <v>2471</v>
      </c>
      <c r="B2060" s="806" t="s">
        <v>1793</v>
      </c>
      <c r="C2060" s="736"/>
      <c r="D2060" s="736"/>
      <c r="E2060" s="749"/>
      <c r="F2060" s="736"/>
      <c r="G2060" s="752">
        <v>3000</v>
      </c>
      <c r="H2060" s="752"/>
      <c r="I2060" s="752"/>
      <c r="J2060" s="736">
        <f t="shared" ref="J2060:J2073" si="680">G2060+H2060-I2060</f>
        <v>3000</v>
      </c>
      <c r="K2060" s="752"/>
      <c r="L2060" s="752"/>
      <c r="M2060" s="736">
        <f t="shared" ref="M2060:M2073" si="681">J2060+K2060-L2060</f>
        <v>3000</v>
      </c>
      <c r="N2060" s="736"/>
      <c r="O2060" s="736"/>
      <c r="P2060" s="736">
        <f t="shared" ref="P2060:P2073" si="682">M2060+N2060-O2060</f>
        <v>3000</v>
      </c>
      <c r="Q2060" s="753">
        <v>3000</v>
      </c>
      <c r="R2060" s="738">
        <v>109.96</v>
      </c>
      <c r="S2060" s="753"/>
      <c r="T2060" s="739">
        <v>1100121</v>
      </c>
      <c r="U2060" s="745"/>
      <c r="V2060" s="739">
        <v>1100122</v>
      </c>
    </row>
    <row r="2061" spans="1:22" ht="15" x14ac:dyDescent="0.2">
      <c r="A2061" s="734">
        <v>2491</v>
      </c>
      <c r="B2061" s="735" t="s">
        <v>41</v>
      </c>
      <c r="C2061" s="736"/>
      <c r="D2061" s="736">
        <v>20000</v>
      </c>
      <c r="E2061" s="749">
        <v>20000</v>
      </c>
      <c r="F2061" s="736">
        <v>15843.35</v>
      </c>
      <c r="G2061" s="752">
        <v>30000</v>
      </c>
      <c r="H2061" s="752"/>
      <c r="I2061" s="752"/>
      <c r="J2061" s="736">
        <f t="shared" si="680"/>
        <v>30000</v>
      </c>
      <c r="K2061" s="752"/>
      <c r="L2061" s="752"/>
      <c r="M2061" s="736">
        <f t="shared" si="681"/>
        <v>30000</v>
      </c>
      <c r="N2061" s="736"/>
      <c r="O2061" s="736"/>
      <c r="P2061" s="736">
        <f t="shared" si="682"/>
        <v>30000</v>
      </c>
      <c r="Q2061" s="753">
        <v>30000</v>
      </c>
      <c r="R2061" s="738">
        <v>6949.97</v>
      </c>
      <c r="S2061" s="753">
        <v>13000</v>
      </c>
      <c r="T2061" s="739">
        <v>1100121</v>
      </c>
      <c r="U2061" s="754">
        <v>13000</v>
      </c>
      <c r="V2061" s="741">
        <v>1100122</v>
      </c>
    </row>
    <row r="2062" spans="1:22" ht="30" x14ac:dyDescent="0.2">
      <c r="A2062" s="734">
        <v>2612</v>
      </c>
      <c r="B2062" s="735" t="s">
        <v>26</v>
      </c>
      <c r="C2062" s="736">
        <v>128599.32</v>
      </c>
      <c r="D2062" s="736">
        <v>140000</v>
      </c>
      <c r="E2062" s="749">
        <v>120000</v>
      </c>
      <c r="F2062" s="736">
        <v>62806.82</v>
      </c>
      <c r="G2062" s="752">
        <v>120000</v>
      </c>
      <c r="H2062" s="752"/>
      <c r="I2062" s="752"/>
      <c r="J2062" s="736">
        <f t="shared" si="680"/>
        <v>120000</v>
      </c>
      <c r="K2062" s="752"/>
      <c r="L2062" s="752"/>
      <c r="M2062" s="736">
        <f t="shared" si="681"/>
        <v>120000</v>
      </c>
      <c r="N2062" s="736"/>
      <c r="O2062" s="736">
        <v>10000</v>
      </c>
      <c r="P2062" s="736">
        <f t="shared" si="682"/>
        <v>110000</v>
      </c>
      <c r="Q2062" s="753">
        <v>110000</v>
      </c>
      <c r="R2062" s="738">
        <v>81161.919999999998</v>
      </c>
      <c r="S2062" s="738">
        <f>Q2062</f>
        <v>110000</v>
      </c>
      <c r="T2062" s="739">
        <v>1100121</v>
      </c>
      <c r="U2062" s="746">
        <v>110000</v>
      </c>
      <c r="V2062" s="741">
        <v>1100122</v>
      </c>
    </row>
    <row r="2063" spans="1:22" ht="15" x14ac:dyDescent="0.2">
      <c r="A2063" s="734">
        <v>3111</v>
      </c>
      <c r="B2063" s="735" t="s">
        <v>47</v>
      </c>
      <c r="C2063" s="736">
        <v>48984</v>
      </c>
      <c r="D2063" s="736">
        <v>55000</v>
      </c>
      <c r="E2063" s="749">
        <v>55000</v>
      </c>
      <c r="F2063" s="736">
        <v>42256</v>
      </c>
      <c r="G2063" s="752">
        <v>66000</v>
      </c>
      <c r="H2063" s="752"/>
      <c r="I2063" s="752"/>
      <c r="J2063" s="736">
        <f t="shared" si="680"/>
        <v>66000</v>
      </c>
      <c r="K2063" s="752"/>
      <c r="L2063" s="752"/>
      <c r="M2063" s="736">
        <f t="shared" si="681"/>
        <v>66000</v>
      </c>
      <c r="N2063" s="736"/>
      <c r="O2063" s="736"/>
      <c r="P2063" s="736">
        <f t="shared" si="682"/>
        <v>66000</v>
      </c>
      <c r="Q2063" s="753">
        <v>66000</v>
      </c>
      <c r="R2063" s="738">
        <v>30396</v>
      </c>
      <c r="S2063" s="753"/>
      <c r="T2063" s="739">
        <v>1100121</v>
      </c>
      <c r="U2063" s="746">
        <v>66000</v>
      </c>
      <c r="V2063" s="741">
        <v>1100122</v>
      </c>
    </row>
    <row r="2064" spans="1:22" ht="15" x14ac:dyDescent="0.2">
      <c r="A2064" s="734">
        <v>3131</v>
      </c>
      <c r="B2064" s="735" t="s">
        <v>61</v>
      </c>
      <c r="C2064" s="736">
        <v>7523.28</v>
      </c>
      <c r="D2064" s="736">
        <v>14500</v>
      </c>
      <c r="E2064" s="749">
        <v>14500</v>
      </c>
      <c r="F2064" s="736">
        <v>12680.16</v>
      </c>
      <c r="G2064" s="752">
        <v>18000</v>
      </c>
      <c r="H2064" s="752"/>
      <c r="I2064" s="752"/>
      <c r="J2064" s="736">
        <f t="shared" si="680"/>
        <v>18000</v>
      </c>
      <c r="K2064" s="752"/>
      <c r="L2064" s="752"/>
      <c r="M2064" s="736">
        <f t="shared" si="681"/>
        <v>18000</v>
      </c>
      <c r="N2064" s="736"/>
      <c r="O2064" s="736"/>
      <c r="P2064" s="736">
        <f t="shared" si="682"/>
        <v>18000</v>
      </c>
      <c r="Q2064" s="753">
        <v>18000</v>
      </c>
      <c r="R2064" s="738">
        <v>8000</v>
      </c>
      <c r="S2064" s="753"/>
      <c r="T2064" s="739">
        <v>1100121</v>
      </c>
      <c r="U2064" s="746">
        <v>19500</v>
      </c>
      <c r="V2064" s="741">
        <v>1100122</v>
      </c>
    </row>
    <row r="2065" spans="1:22" ht="15" x14ac:dyDescent="0.2">
      <c r="A2065" s="734">
        <v>3141</v>
      </c>
      <c r="B2065" s="735" t="s">
        <v>48</v>
      </c>
      <c r="C2065" s="736">
        <v>13244.26</v>
      </c>
      <c r="D2065" s="736">
        <v>20500</v>
      </c>
      <c r="E2065" s="749">
        <v>16500</v>
      </c>
      <c r="F2065" s="736">
        <v>13091.56</v>
      </c>
      <c r="G2065" s="752">
        <v>16500</v>
      </c>
      <c r="H2065" s="752"/>
      <c r="I2065" s="752"/>
      <c r="J2065" s="736">
        <f t="shared" si="680"/>
        <v>16500</v>
      </c>
      <c r="K2065" s="752"/>
      <c r="L2065" s="752"/>
      <c r="M2065" s="736">
        <f t="shared" si="681"/>
        <v>16500</v>
      </c>
      <c r="N2065" s="736"/>
      <c r="O2065" s="736"/>
      <c r="P2065" s="736">
        <f t="shared" si="682"/>
        <v>16500</v>
      </c>
      <c r="Q2065" s="753">
        <v>16500</v>
      </c>
      <c r="R2065" s="738">
        <v>10378.42</v>
      </c>
      <c r="S2065" s="753"/>
      <c r="T2065" s="739">
        <v>1100121</v>
      </c>
      <c r="U2065" s="746">
        <v>16500</v>
      </c>
      <c r="V2065" s="741">
        <v>1100122</v>
      </c>
    </row>
    <row r="2066" spans="1:22" ht="15" x14ac:dyDescent="0.2">
      <c r="A2066" s="734">
        <v>3151</v>
      </c>
      <c r="B2066" s="735" t="s">
        <v>28</v>
      </c>
      <c r="C2066" s="736">
        <v>2363.0300000000002</v>
      </c>
      <c r="D2066" s="736">
        <v>5000</v>
      </c>
      <c r="E2066" s="749">
        <v>0</v>
      </c>
      <c r="F2066" s="736">
        <v>0</v>
      </c>
      <c r="G2066" s="752">
        <v>4200</v>
      </c>
      <c r="H2066" s="752"/>
      <c r="I2066" s="752"/>
      <c r="J2066" s="736">
        <f t="shared" si="680"/>
        <v>4200</v>
      </c>
      <c r="K2066" s="752"/>
      <c r="L2066" s="752"/>
      <c r="M2066" s="736">
        <f t="shared" si="681"/>
        <v>4200</v>
      </c>
      <c r="N2066" s="736"/>
      <c r="O2066" s="736"/>
      <c r="P2066" s="736">
        <f t="shared" si="682"/>
        <v>4200</v>
      </c>
      <c r="Q2066" s="753">
        <v>4200</v>
      </c>
      <c r="R2066" s="738"/>
      <c r="S2066" s="753"/>
      <c r="T2066" s="739">
        <v>1100121</v>
      </c>
      <c r="U2066" s="746">
        <v>6000</v>
      </c>
      <c r="V2066" s="741">
        <v>1100122</v>
      </c>
    </row>
    <row r="2067" spans="1:22" ht="15" x14ac:dyDescent="0.2">
      <c r="A2067" s="734">
        <v>3221</v>
      </c>
      <c r="B2067" s="735" t="s">
        <v>99</v>
      </c>
      <c r="C2067" s="736">
        <v>290022.87</v>
      </c>
      <c r="D2067" s="736">
        <v>335138</v>
      </c>
      <c r="E2067" s="749">
        <v>300168</v>
      </c>
      <c r="F2067" s="736">
        <v>300168</v>
      </c>
      <c r="G2067" s="752">
        <v>310679.75</v>
      </c>
      <c r="H2067" s="752"/>
      <c r="I2067" s="752"/>
      <c r="J2067" s="736">
        <f t="shared" si="680"/>
        <v>310679.75</v>
      </c>
      <c r="K2067" s="752"/>
      <c r="L2067" s="752">
        <v>10506.09</v>
      </c>
      <c r="M2067" s="736">
        <f t="shared" si="681"/>
        <v>300173.65999999997</v>
      </c>
      <c r="N2067" s="738">
        <v>30008.84</v>
      </c>
      <c r="O2067" s="738"/>
      <c r="P2067" s="736">
        <f t="shared" si="682"/>
        <v>330182.5</v>
      </c>
      <c r="Q2067" s="753">
        <v>330182.5</v>
      </c>
      <c r="R2067" s="738">
        <v>237637.37</v>
      </c>
      <c r="S2067" s="753">
        <v>340000</v>
      </c>
      <c r="T2067" s="739">
        <v>1100121</v>
      </c>
      <c r="U2067" s="740">
        <v>372956</v>
      </c>
      <c r="V2067" s="741">
        <v>1100122</v>
      </c>
    </row>
    <row r="2068" spans="1:22" ht="30" x14ac:dyDescent="0.2">
      <c r="A2068" s="734">
        <v>3361</v>
      </c>
      <c r="B2068" s="735" t="s">
        <v>29</v>
      </c>
      <c r="C2068" s="736">
        <v>2804.8</v>
      </c>
      <c r="D2068" s="736">
        <v>15000</v>
      </c>
      <c r="E2068" s="749">
        <v>15000</v>
      </c>
      <c r="F2068" s="736">
        <v>0</v>
      </c>
      <c r="G2068" s="752">
        <v>15000</v>
      </c>
      <c r="H2068" s="752"/>
      <c r="I2068" s="752"/>
      <c r="J2068" s="736">
        <f t="shared" si="680"/>
        <v>15000</v>
      </c>
      <c r="K2068" s="752"/>
      <c r="L2068" s="752"/>
      <c r="M2068" s="736">
        <f t="shared" si="681"/>
        <v>15000</v>
      </c>
      <c r="N2068" s="736"/>
      <c r="O2068" s="736"/>
      <c r="P2068" s="736">
        <f t="shared" si="682"/>
        <v>15000</v>
      </c>
      <c r="Q2068" s="753">
        <v>15000</v>
      </c>
      <c r="R2068" s="738"/>
      <c r="S2068" s="753">
        <v>14000</v>
      </c>
      <c r="T2068" s="739">
        <v>1100121</v>
      </c>
      <c r="U2068" s="754">
        <v>14000</v>
      </c>
      <c r="V2068" s="741">
        <v>1100122</v>
      </c>
    </row>
    <row r="2069" spans="1:22" ht="15" x14ac:dyDescent="0.2">
      <c r="A2069" s="734">
        <v>3461</v>
      </c>
      <c r="B2069" s="735" t="s">
        <v>119</v>
      </c>
      <c r="C2069" s="736">
        <v>23200</v>
      </c>
      <c r="D2069" s="736">
        <v>25000</v>
      </c>
      <c r="E2069" s="749">
        <v>25000</v>
      </c>
      <c r="F2069" s="736">
        <v>22736</v>
      </c>
      <c r="G2069" s="752">
        <v>25000</v>
      </c>
      <c r="H2069" s="752"/>
      <c r="I2069" s="752"/>
      <c r="J2069" s="736">
        <f t="shared" si="680"/>
        <v>25000</v>
      </c>
      <c r="K2069" s="752"/>
      <c r="L2069" s="752"/>
      <c r="M2069" s="736">
        <f t="shared" si="681"/>
        <v>25000</v>
      </c>
      <c r="N2069" s="736"/>
      <c r="O2069" s="736"/>
      <c r="P2069" s="736">
        <f t="shared" si="682"/>
        <v>25000</v>
      </c>
      <c r="Q2069" s="753">
        <v>25000</v>
      </c>
      <c r="R2069" s="738"/>
      <c r="S2069" s="753">
        <v>23000</v>
      </c>
      <c r="T2069" s="739">
        <v>1100121</v>
      </c>
      <c r="U2069" s="754">
        <v>23000</v>
      </c>
      <c r="V2069" s="741">
        <v>1100122</v>
      </c>
    </row>
    <row r="2070" spans="1:22" ht="15" x14ac:dyDescent="0.25">
      <c r="A2070" s="739">
        <v>3511</v>
      </c>
      <c r="B2070" s="743" t="s">
        <v>49</v>
      </c>
      <c r="C2070" s="736"/>
      <c r="D2070" s="736"/>
      <c r="E2070" s="749"/>
      <c r="F2070" s="736"/>
      <c r="G2070" s="752"/>
      <c r="H2070" s="759">
        <v>15000</v>
      </c>
      <c r="I2070" s="752"/>
      <c r="J2070" s="736">
        <f t="shared" si="680"/>
        <v>15000</v>
      </c>
      <c r="K2070" s="759"/>
      <c r="L2070" s="752"/>
      <c r="M2070" s="736">
        <f t="shared" si="681"/>
        <v>15000</v>
      </c>
      <c r="N2070" s="736"/>
      <c r="O2070" s="736"/>
      <c r="P2070" s="736">
        <f t="shared" si="682"/>
        <v>15000</v>
      </c>
      <c r="Q2070" s="753">
        <v>15000</v>
      </c>
      <c r="R2070" s="738">
        <v>15000</v>
      </c>
      <c r="S2070" s="753"/>
      <c r="T2070" s="739">
        <v>1100120</v>
      </c>
      <c r="U2070" s="745"/>
      <c r="V2070" s="739">
        <v>1100120</v>
      </c>
    </row>
    <row r="2071" spans="1:22" ht="15" x14ac:dyDescent="0.2">
      <c r="A2071" s="734">
        <v>3511</v>
      </c>
      <c r="B2071" s="735" t="s">
        <v>49</v>
      </c>
      <c r="C2071" s="736">
        <v>19587.68</v>
      </c>
      <c r="D2071" s="736">
        <v>15000</v>
      </c>
      <c r="E2071" s="749">
        <v>15000</v>
      </c>
      <c r="F2071" s="736">
        <v>0</v>
      </c>
      <c r="G2071" s="752">
        <v>31000</v>
      </c>
      <c r="H2071" s="752"/>
      <c r="I2071" s="752"/>
      <c r="J2071" s="736">
        <f t="shared" si="680"/>
        <v>31000</v>
      </c>
      <c r="K2071" s="752"/>
      <c r="L2071" s="752"/>
      <c r="M2071" s="736">
        <f t="shared" si="681"/>
        <v>31000</v>
      </c>
      <c r="N2071" s="736"/>
      <c r="O2071" s="736"/>
      <c r="P2071" s="736">
        <f t="shared" si="682"/>
        <v>31000</v>
      </c>
      <c r="Q2071" s="753">
        <v>31000</v>
      </c>
      <c r="R2071" s="738"/>
      <c r="S2071" s="753">
        <v>20000</v>
      </c>
      <c r="T2071" s="739">
        <v>1100121</v>
      </c>
      <c r="U2071" s="754">
        <v>20000</v>
      </c>
      <c r="V2071" s="741">
        <v>1100122</v>
      </c>
    </row>
    <row r="2072" spans="1:22" ht="15" x14ac:dyDescent="0.2">
      <c r="A2072" s="734">
        <v>3551</v>
      </c>
      <c r="B2072" s="735" t="s">
        <v>30</v>
      </c>
      <c r="C2072" s="736">
        <v>37541.160000000003</v>
      </c>
      <c r="D2072" s="736">
        <v>65000</v>
      </c>
      <c r="E2072" s="749">
        <v>50000</v>
      </c>
      <c r="F2072" s="736">
        <v>28087.24</v>
      </c>
      <c r="G2072" s="752">
        <v>80000</v>
      </c>
      <c r="H2072" s="752"/>
      <c r="I2072" s="752"/>
      <c r="J2072" s="736">
        <f t="shared" si="680"/>
        <v>80000</v>
      </c>
      <c r="K2072" s="752"/>
      <c r="L2072" s="752"/>
      <c r="M2072" s="736">
        <f t="shared" si="681"/>
        <v>80000</v>
      </c>
      <c r="N2072" s="736"/>
      <c r="O2072" s="736">
        <v>10000</v>
      </c>
      <c r="P2072" s="736">
        <f t="shared" si="682"/>
        <v>70000</v>
      </c>
      <c r="Q2072" s="753">
        <v>53000</v>
      </c>
      <c r="R2072" s="738">
        <v>28645.7</v>
      </c>
      <c r="S2072" s="738">
        <f>Q2072</f>
        <v>53000</v>
      </c>
      <c r="T2072" s="739">
        <v>1100121</v>
      </c>
      <c r="U2072" s="746">
        <v>80000</v>
      </c>
      <c r="V2072" s="741">
        <v>1100122</v>
      </c>
    </row>
    <row r="2073" spans="1:22" ht="15" x14ac:dyDescent="0.2">
      <c r="A2073" s="734">
        <v>3571</v>
      </c>
      <c r="B2073" s="735" t="s">
        <v>65</v>
      </c>
      <c r="C2073" s="736">
        <v>1740</v>
      </c>
      <c r="D2073" s="736">
        <v>3000</v>
      </c>
      <c r="E2073" s="749">
        <v>3000</v>
      </c>
      <c r="F2073" s="736">
        <v>0</v>
      </c>
      <c r="G2073" s="752">
        <v>3050</v>
      </c>
      <c r="H2073" s="752"/>
      <c r="I2073" s="752"/>
      <c r="J2073" s="736">
        <f t="shared" si="680"/>
        <v>3050</v>
      </c>
      <c r="K2073" s="752"/>
      <c r="L2073" s="752"/>
      <c r="M2073" s="736">
        <f t="shared" si="681"/>
        <v>3050</v>
      </c>
      <c r="N2073" s="736">
        <v>10000</v>
      </c>
      <c r="O2073" s="736"/>
      <c r="P2073" s="736">
        <f t="shared" si="682"/>
        <v>13050</v>
      </c>
      <c r="Q2073" s="753">
        <v>13050</v>
      </c>
      <c r="R2073" s="738">
        <v>6960</v>
      </c>
      <c r="S2073" s="753">
        <v>13750</v>
      </c>
      <c r="T2073" s="739">
        <v>1100121</v>
      </c>
      <c r="U2073" s="754">
        <v>13750</v>
      </c>
      <c r="V2073" s="741">
        <v>1100122</v>
      </c>
    </row>
    <row r="2074" spans="1:22" ht="15" x14ac:dyDescent="0.2">
      <c r="A2074" s="739">
        <v>3612</v>
      </c>
      <c r="B2074" s="743" t="s">
        <v>188</v>
      </c>
      <c r="C2074" s="736"/>
      <c r="D2074" s="736"/>
      <c r="E2074" s="749"/>
      <c r="F2074" s="736"/>
      <c r="G2074" s="752"/>
      <c r="H2074" s="752"/>
      <c r="I2074" s="752"/>
      <c r="J2074" s="736"/>
      <c r="K2074" s="752"/>
      <c r="L2074" s="752"/>
      <c r="M2074" s="736"/>
      <c r="N2074" s="736"/>
      <c r="O2074" s="736"/>
      <c r="P2074" s="736"/>
      <c r="Q2074" s="753"/>
      <c r="R2074" s="738"/>
      <c r="S2074" s="753">
        <v>700</v>
      </c>
      <c r="T2074" s="739"/>
      <c r="U2074" s="745"/>
      <c r="V2074" s="739"/>
    </row>
    <row r="2075" spans="1:22" ht="15" x14ac:dyDescent="0.2">
      <c r="A2075" s="734">
        <v>3691</v>
      </c>
      <c r="B2075" s="735" t="s">
        <v>72</v>
      </c>
      <c r="C2075" s="736">
        <v>2200</v>
      </c>
      <c r="D2075" s="736">
        <v>2500</v>
      </c>
      <c r="E2075" s="749">
        <v>2500</v>
      </c>
      <c r="F2075" s="736">
        <v>2300</v>
      </c>
      <c r="G2075" s="752">
        <v>2500</v>
      </c>
      <c r="H2075" s="752"/>
      <c r="I2075" s="752"/>
      <c r="J2075" s="736">
        <f t="shared" ref="J2075:J2082" si="683">G2075+H2075-I2075</f>
        <v>2500</v>
      </c>
      <c r="K2075" s="752"/>
      <c r="L2075" s="752"/>
      <c r="M2075" s="736">
        <f t="shared" ref="M2075:M2082" si="684">J2075+K2075-L2075</f>
        <v>2500</v>
      </c>
      <c r="N2075" s="736"/>
      <c r="O2075" s="736"/>
      <c r="P2075" s="736">
        <f t="shared" ref="P2075:P2082" si="685">M2075+N2075-O2075</f>
        <v>2500</v>
      </c>
      <c r="Q2075" s="753">
        <v>2500</v>
      </c>
      <c r="R2075" s="738">
        <v>2300</v>
      </c>
      <c r="S2075" s="753">
        <v>2550</v>
      </c>
      <c r="T2075" s="739">
        <v>1100121</v>
      </c>
      <c r="U2075" s="754">
        <v>2550</v>
      </c>
      <c r="V2075" s="741">
        <v>1100122</v>
      </c>
    </row>
    <row r="2076" spans="1:22" ht="15" x14ac:dyDescent="0.2">
      <c r="A2076" s="734">
        <v>3751</v>
      </c>
      <c r="B2076" s="735" t="s">
        <v>44</v>
      </c>
      <c r="C2076" s="736">
        <v>1961.01</v>
      </c>
      <c r="D2076" s="736">
        <v>15000</v>
      </c>
      <c r="E2076" s="749">
        <v>15000</v>
      </c>
      <c r="F2076" s="736">
        <v>2959</v>
      </c>
      <c r="G2076" s="752">
        <v>15000</v>
      </c>
      <c r="H2076" s="752"/>
      <c r="I2076" s="752"/>
      <c r="J2076" s="736">
        <f t="shared" si="683"/>
        <v>15000</v>
      </c>
      <c r="K2076" s="752"/>
      <c r="L2076" s="752"/>
      <c r="M2076" s="736">
        <f t="shared" si="684"/>
        <v>15000</v>
      </c>
      <c r="N2076" s="736"/>
      <c r="O2076" s="736"/>
      <c r="P2076" s="736">
        <f t="shared" si="685"/>
        <v>15000</v>
      </c>
      <c r="Q2076" s="753">
        <v>15000</v>
      </c>
      <c r="R2076" s="738">
        <v>1895</v>
      </c>
      <c r="S2076" s="753">
        <v>18000</v>
      </c>
      <c r="T2076" s="739">
        <v>1100121</v>
      </c>
      <c r="U2076" s="740">
        <v>18000</v>
      </c>
      <c r="V2076" s="741">
        <v>1100122</v>
      </c>
    </row>
    <row r="2077" spans="1:22" ht="15" x14ac:dyDescent="0.2">
      <c r="A2077" s="734">
        <v>3791</v>
      </c>
      <c r="B2077" s="735" t="s">
        <v>45</v>
      </c>
      <c r="C2077" s="736">
        <v>1788</v>
      </c>
      <c r="D2077" s="736">
        <v>8500</v>
      </c>
      <c r="E2077" s="749">
        <v>8500</v>
      </c>
      <c r="F2077" s="736">
        <v>1323</v>
      </c>
      <c r="G2077" s="752">
        <v>8500</v>
      </c>
      <c r="H2077" s="752"/>
      <c r="I2077" s="752"/>
      <c r="J2077" s="736">
        <f t="shared" si="683"/>
        <v>8500</v>
      </c>
      <c r="K2077" s="752"/>
      <c r="L2077" s="752"/>
      <c r="M2077" s="736">
        <f t="shared" si="684"/>
        <v>8500</v>
      </c>
      <c r="N2077" s="736"/>
      <c r="O2077" s="736"/>
      <c r="P2077" s="736">
        <f t="shared" si="685"/>
        <v>8500</v>
      </c>
      <c r="Q2077" s="753">
        <v>8500</v>
      </c>
      <c r="R2077" s="738">
        <v>1234</v>
      </c>
      <c r="S2077" s="753">
        <v>8750</v>
      </c>
      <c r="T2077" s="739">
        <v>1100121</v>
      </c>
      <c r="U2077" s="754">
        <v>8750</v>
      </c>
      <c r="V2077" s="741">
        <v>1100122</v>
      </c>
    </row>
    <row r="2078" spans="1:22" ht="15" x14ac:dyDescent="0.2">
      <c r="A2078" s="734">
        <v>3821</v>
      </c>
      <c r="B2078" s="735" t="s">
        <v>31</v>
      </c>
      <c r="C2078" s="736">
        <v>26287.82</v>
      </c>
      <c r="D2078" s="736">
        <v>145000</v>
      </c>
      <c r="E2078" s="749">
        <v>104000</v>
      </c>
      <c r="F2078" s="736">
        <v>12435.2</v>
      </c>
      <c r="G2078" s="752">
        <v>145000</v>
      </c>
      <c r="H2078" s="752"/>
      <c r="I2078" s="752"/>
      <c r="J2078" s="736">
        <f t="shared" si="683"/>
        <v>145000</v>
      </c>
      <c r="K2078" s="752"/>
      <c r="L2078" s="752"/>
      <c r="M2078" s="736">
        <f t="shared" si="684"/>
        <v>145000</v>
      </c>
      <c r="N2078" s="736"/>
      <c r="O2078" s="736">
        <v>10000</v>
      </c>
      <c r="P2078" s="736">
        <f t="shared" si="685"/>
        <v>135000</v>
      </c>
      <c r="Q2078" s="753">
        <v>135000</v>
      </c>
      <c r="R2078" s="738">
        <v>61480</v>
      </c>
      <c r="S2078" s="753">
        <v>75000</v>
      </c>
      <c r="T2078" s="739">
        <v>1100121</v>
      </c>
      <c r="U2078" s="754">
        <v>120000</v>
      </c>
      <c r="V2078" s="741">
        <v>1100122</v>
      </c>
    </row>
    <row r="2079" spans="1:22" ht="15" x14ac:dyDescent="0.2">
      <c r="A2079" s="734">
        <v>3852</v>
      </c>
      <c r="B2079" s="735" t="s">
        <v>32</v>
      </c>
      <c r="C2079" s="736">
        <v>18065.86</v>
      </c>
      <c r="D2079" s="736">
        <v>25000</v>
      </c>
      <c r="E2079" s="749">
        <v>25000</v>
      </c>
      <c r="F2079" s="736">
        <v>11220.740000000002</v>
      </c>
      <c r="G2079" s="752">
        <v>25000</v>
      </c>
      <c r="H2079" s="752"/>
      <c r="I2079" s="752"/>
      <c r="J2079" s="736">
        <f t="shared" si="683"/>
        <v>25000</v>
      </c>
      <c r="K2079" s="752"/>
      <c r="L2079" s="752"/>
      <c r="M2079" s="736">
        <f t="shared" si="684"/>
        <v>25000</v>
      </c>
      <c r="N2079" s="736"/>
      <c r="O2079" s="736"/>
      <c r="P2079" s="736">
        <f t="shared" si="685"/>
        <v>25000</v>
      </c>
      <c r="Q2079" s="753">
        <v>25000</v>
      </c>
      <c r="R2079" s="738">
        <v>15690.53</v>
      </c>
      <c r="S2079" s="753">
        <v>26000</v>
      </c>
      <c r="T2079" s="739">
        <v>1100121</v>
      </c>
      <c r="U2079" s="754">
        <v>26000</v>
      </c>
      <c r="V2079" s="741">
        <v>1100122</v>
      </c>
    </row>
    <row r="2080" spans="1:22" ht="15" x14ac:dyDescent="0.2">
      <c r="A2080" s="734">
        <v>3921</v>
      </c>
      <c r="B2080" s="735" t="s">
        <v>33</v>
      </c>
      <c r="C2080" s="736">
        <v>4230.08</v>
      </c>
      <c r="D2080" s="736">
        <v>5200</v>
      </c>
      <c r="E2080" s="749">
        <v>5200</v>
      </c>
      <c r="F2080" s="736">
        <v>2893.96</v>
      </c>
      <c r="G2080" s="752">
        <v>10867</v>
      </c>
      <c r="H2080" s="752"/>
      <c r="I2080" s="752"/>
      <c r="J2080" s="736">
        <f t="shared" si="683"/>
        <v>10867</v>
      </c>
      <c r="K2080" s="752"/>
      <c r="L2080" s="752"/>
      <c r="M2080" s="736">
        <f t="shared" si="684"/>
        <v>10867</v>
      </c>
      <c r="N2080" s="736"/>
      <c r="O2080" s="736"/>
      <c r="P2080" s="736">
        <f t="shared" si="685"/>
        <v>10867</v>
      </c>
      <c r="Q2080" s="753">
        <v>10867</v>
      </c>
      <c r="R2080" s="738">
        <v>5787.92</v>
      </c>
      <c r="S2080" s="753"/>
      <c r="T2080" s="739">
        <v>1100121</v>
      </c>
      <c r="U2080" s="746">
        <v>7332</v>
      </c>
      <c r="V2080" s="741">
        <v>1100122</v>
      </c>
    </row>
    <row r="2081" spans="1:22" ht="15" x14ac:dyDescent="0.2">
      <c r="A2081" s="739">
        <v>5151</v>
      </c>
      <c r="B2081" s="806" t="s">
        <v>1681</v>
      </c>
      <c r="C2081" s="736"/>
      <c r="D2081" s="736"/>
      <c r="E2081" s="749"/>
      <c r="F2081" s="736"/>
      <c r="G2081" s="752"/>
      <c r="H2081" s="752"/>
      <c r="I2081" s="752"/>
      <c r="J2081" s="736"/>
      <c r="K2081" s="752"/>
      <c r="L2081" s="752"/>
      <c r="M2081" s="736"/>
      <c r="N2081" s="736"/>
      <c r="O2081" s="736"/>
      <c r="P2081" s="736"/>
      <c r="Q2081" s="753"/>
      <c r="R2081" s="738"/>
      <c r="S2081" s="753"/>
      <c r="T2081" s="739"/>
      <c r="U2081" s="744"/>
      <c r="V2081" s="739"/>
    </row>
    <row r="2082" spans="1:22" ht="15" x14ac:dyDescent="0.2">
      <c r="A2082" s="739">
        <v>5411</v>
      </c>
      <c r="B2082" s="743" t="s">
        <v>123</v>
      </c>
      <c r="C2082" s="736"/>
      <c r="D2082" s="736">
        <v>215000</v>
      </c>
      <c r="E2082" s="749">
        <v>0</v>
      </c>
      <c r="F2082" s="736">
        <v>0</v>
      </c>
      <c r="G2082" s="752"/>
      <c r="H2082" s="752"/>
      <c r="I2082" s="752"/>
      <c r="J2082" s="736">
        <f t="shared" si="683"/>
        <v>0</v>
      </c>
      <c r="K2082" s="752"/>
      <c r="L2082" s="752"/>
      <c r="M2082" s="736">
        <f t="shared" si="684"/>
        <v>0</v>
      </c>
      <c r="N2082" s="736"/>
      <c r="O2082" s="736"/>
      <c r="P2082" s="738">
        <f t="shared" si="685"/>
        <v>0</v>
      </c>
      <c r="Q2082" s="753"/>
      <c r="R2082" s="738"/>
      <c r="S2082" s="914">
        <v>330000</v>
      </c>
      <c r="T2082" s="739">
        <v>1100121</v>
      </c>
      <c r="U2082" s="841">
        <v>0</v>
      </c>
      <c r="V2082" s="739">
        <v>1100122</v>
      </c>
    </row>
    <row r="2083" spans="1:22" ht="15" x14ac:dyDescent="0.2">
      <c r="A2083" s="728" t="s">
        <v>286</v>
      </c>
      <c r="B2083" s="729" t="s">
        <v>1633</v>
      </c>
      <c r="C2083" s="730">
        <f t="shared" ref="C2083:S2083" si="686">SUM(C2084:C2101)</f>
        <v>6506035.3600000003</v>
      </c>
      <c r="D2083" s="730">
        <f t="shared" si="686"/>
        <v>6972450.3599999994</v>
      </c>
      <c r="E2083" s="730">
        <f t="shared" si="686"/>
        <v>6934977.5499999998</v>
      </c>
      <c r="F2083" s="730">
        <f t="shared" si="686"/>
        <v>7136081.7400000012</v>
      </c>
      <c r="G2083" s="730">
        <f t="shared" si="686"/>
        <v>7728353.6000000006</v>
      </c>
      <c r="H2083" s="730">
        <f t="shared" si="686"/>
        <v>0</v>
      </c>
      <c r="I2083" s="730">
        <f t="shared" si="686"/>
        <v>0</v>
      </c>
      <c r="J2083" s="730">
        <f t="shared" si="686"/>
        <v>7728353.6000000006</v>
      </c>
      <c r="K2083" s="730">
        <f t="shared" si="686"/>
        <v>248614.00999999998</v>
      </c>
      <c r="L2083" s="730">
        <f t="shared" si="686"/>
        <v>40200.01</v>
      </c>
      <c r="M2083" s="730">
        <f t="shared" si="686"/>
        <v>7936767.6000000006</v>
      </c>
      <c r="N2083" s="730">
        <f t="shared" si="686"/>
        <v>0</v>
      </c>
      <c r="O2083" s="730">
        <f t="shared" si="686"/>
        <v>40000</v>
      </c>
      <c r="P2083" s="730">
        <f t="shared" si="686"/>
        <v>7896767.6000000006</v>
      </c>
      <c r="Q2083" s="748">
        <f t="shared" si="686"/>
        <v>7904521.8300000001</v>
      </c>
      <c r="R2083" s="748">
        <f t="shared" si="686"/>
        <v>41490.369999999995</v>
      </c>
      <c r="S2083" s="748">
        <f t="shared" si="686"/>
        <v>9727842.3400000017</v>
      </c>
      <c r="T2083" s="731"/>
      <c r="U2083" s="732">
        <f>SUM(U2084:U2101)</f>
        <v>7999869.6100000013</v>
      </c>
      <c r="V2083" s="733"/>
    </row>
    <row r="2084" spans="1:22" ht="15" x14ac:dyDescent="0.25">
      <c r="A2084" s="734">
        <v>1132</v>
      </c>
      <c r="B2084" s="735" t="s">
        <v>8</v>
      </c>
      <c r="C2084" s="736">
        <v>3404606.8</v>
      </c>
      <c r="D2084" s="736">
        <v>3676185.24</v>
      </c>
      <c r="E2084" s="749">
        <v>3749511.08</v>
      </c>
      <c r="F2084" s="736">
        <v>3888653.68</v>
      </c>
      <c r="G2084" s="736">
        <v>4015353.2</v>
      </c>
      <c r="H2084" s="736"/>
      <c r="I2084" s="736"/>
      <c r="J2084" s="736">
        <f t="shared" ref="J2084:J2096" si="687">G2084+H2084-I2084</f>
        <v>4015353.2</v>
      </c>
      <c r="K2084" s="736">
        <v>180829.56</v>
      </c>
      <c r="L2084" s="736"/>
      <c r="M2084" s="736">
        <f t="shared" ref="M2084:M2096" si="688">J2084+K2084-L2084</f>
        <v>4196182.76</v>
      </c>
      <c r="N2084" s="736"/>
      <c r="O2084" s="736"/>
      <c r="P2084" s="736">
        <f t="shared" ref="P2084:P2096" si="689">M2084+N2084-O2084</f>
        <v>4196182.76</v>
      </c>
      <c r="Q2084" s="738">
        <v>4161183.72</v>
      </c>
      <c r="R2084" s="738"/>
      <c r="S2084" s="751">
        <v>5145252.84</v>
      </c>
      <c r="T2084" s="739">
        <v>1500521</v>
      </c>
      <c r="U2084" s="779">
        <v>4256450.5199999996</v>
      </c>
      <c r="V2084" s="741">
        <v>1500522</v>
      </c>
    </row>
    <row r="2085" spans="1:22" ht="15" x14ac:dyDescent="0.25">
      <c r="A2085" s="734">
        <v>1321</v>
      </c>
      <c r="B2085" s="735" t="s">
        <v>9</v>
      </c>
      <c r="C2085" s="736">
        <v>199297.04</v>
      </c>
      <c r="D2085" s="736">
        <v>222312.52</v>
      </c>
      <c r="E2085" s="749">
        <v>217301.52</v>
      </c>
      <c r="F2085" s="736">
        <v>217301.33</v>
      </c>
      <c r="G2085" s="736">
        <v>234094.7</v>
      </c>
      <c r="H2085" s="736"/>
      <c r="I2085" s="736"/>
      <c r="J2085" s="736">
        <f t="shared" si="687"/>
        <v>234094.7</v>
      </c>
      <c r="K2085" s="736">
        <v>6339.91</v>
      </c>
      <c r="L2085" s="736"/>
      <c r="M2085" s="736">
        <f t="shared" si="688"/>
        <v>240434.61000000002</v>
      </c>
      <c r="N2085" s="736"/>
      <c r="O2085" s="736"/>
      <c r="P2085" s="736">
        <f t="shared" si="689"/>
        <v>240434.61000000002</v>
      </c>
      <c r="Q2085" s="738">
        <v>240434.61</v>
      </c>
      <c r="R2085" s="738"/>
      <c r="S2085" s="751">
        <v>290259</v>
      </c>
      <c r="T2085" s="739">
        <v>1500521</v>
      </c>
      <c r="U2085" s="779">
        <v>240021.61</v>
      </c>
      <c r="V2085" s="741">
        <v>1500522</v>
      </c>
    </row>
    <row r="2086" spans="1:22" ht="15" x14ac:dyDescent="0.25">
      <c r="A2086" s="734">
        <v>1323</v>
      </c>
      <c r="B2086" s="735" t="s">
        <v>11</v>
      </c>
      <c r="C2086" s="736">
        <v>594565</v>
      </c>
      <c r="D2086" s="736">
        <v>623543</v>
      </c>
      <c r="E2086" s="749">
        <v>621681.63</v>
      </c>
      <c r="F2086" s="736">
        <v>640841.92000000004</v>
      </c>
      <c r="G2086" s="736">
        <v>678854.5</v>
      </c>
      <c r="H2086" s="736"/>
      <c r="I2086" s="736"/>
      <c r="J2086" s="736">
        <f t="shared" si="687"/>
        <v>678854.5</v>
      </c>
      <c r="K2086" s="736">
        <v>18347.080000000002</v>
      </c>
      <c r="L2086" s="736"/>
      <c r="M2086" s="736">
        <f t="shared" si="688"/>
        <v>697201.58</v>
      </c>
      <c r="N2086" s="736"/>
      <c r="O2086" s="736"/>
      <c r="P2086" s="736">
        <f t="shared" si="689"/>
        <v>697201.58</v>
      </c>
      <c r="Q2086" s="738">
        <v>692907.96</v>
      </c>
      <c r="R2086" s="738"/>
      <c r="S2086" s="751">
        <v>856335.5</v>
      </c>
      <c r="T2086" s="739">
        <v>1500521</v>
      </c>
      <c r="U2086" s="779">
        <v>688550.5</v>
      </c>
      <c r="V2086" s="741">
        <v>1500522</v>
      </c>
    </row>
    <row r="2087" spans="1:22" ht="15" x14ac:dyDescent="0.25">
      <c r="A2087" s="734">
        <v>1413</v>
      </c>
      <c r="B2087" s="735" t="s">
        <v>13</v>
      </c>
      <c r="C2087" s="736">
        <v>736114.24</v>
      </c>
      <c r="D2087" s="736">
        <v>796538.92</v>
      </c>
      <c r="E2087" s="749">
        <v>759865.42</v>
      </c>
      <c r="F2087" s="736">
        <v>740709.76</v>
      </c>
      <c r="G2087" s="736">
        <v>945693.4</v>
      </c>
      <c r="H2087" s="736"/>
      <c r="I2087" s="736"/>
      <c r="J2087" s="736">
        <f t="shared" si="687"/>
        <v>945693.4</v>
      </c>
      <c r="K2087" s="736">
        <v>22242.84</v>
      </c>
      <c r="L2087" s="736"/>
      <c r="M2087" s="736">
        <f t="shared" si="688"/>
        <v>967936.24</v>
      </c>
      <c r="N2087" s="736"/>
      <c r="O2087" s="736"/>
      <c r="P2087" s="736">
        <f t="shared" si="689"/>
        <v>967936.24</v>
      </c>
      <c r="Q2087" s="738">
        <v>954587.55</v>
      </c>
      <c r="R2087" s="738"/>
      <c r="S2087" s="751">
        <v>1265356.2</v>
      </c>
      <c r="T2087" s="739">
        <v>1500521</v>
      </c>
      <c r="U2087" s="779">
        <v>903109.86</v>
      </c>
      <c r="V2087" s="741">
        <v>1500522</v>
      </c>
    </row>
    <row r="2088" spans="1:22" ht="15" x14ac:dyDescent="0.25">
      <c r="A2088" s="734">
        <v>1421</v>
      </c>
      <c r="B2088" s="735" t="s">
        <v>15</v>
      </c>
      <c r="C2088" s="736">
        <v>276575.03999999998</v>
      </c>
      <c r="D2088" s="736">
        <v>265258.03999999998</v>
      </c>
      <c r="E2088" s="749">
        <v>233384.88</v>
      </c>
      <c r="F2088" s="736">
        <v>247542.12</v>
      </c>
      <c r="G2088" s="736">
        <v>295615.59999999998</v>
      </c>
      <c r="H2088" s="736"/>
      <c r="I2088" s="736"/>
      <c r="J2088" s="736">
        <f t="shared" si="687"/>
        <v>295615.59999999998</v>
      </c>
      <c r="K2088" s="736">
        <v>6538.65</v>
      </c>
      <c r="L2088" s="736"/>
      <c r="M2088" s="736">
        <f t="shared" si="688"/>
        <v>302154.25</v>
      </c>
      <c r="N2088" s="736"/>
      <c r="O2088" s="736"/>
      <c r="P2088" s="736">
        <f t="shared" si="689"/>
        <v>302154.25</v>
      </c>
      <c r="Q2088" s="738">
        <v>302154.25</v>
      </c>
      <c r="R2088" s="738"/>
      <c r="S2088" s="751">
        <v>374012.4</v>
      </c>
      <c r="T2088" s="739">
        <v>1500521</v>
      </c>
      <c r="U2088" s="779">
        <v>347744.99</v>
      </c>
      <c r="V2088" s="741">
        <v>1500522</v>
      </c>
    </row>
    <row r="2089" spans="1:22" ht="15" x14ac:dyDescent="0.25">
      <c r="A2089" s="734">
        <v>1431</v>
      </c>
      <c r="B2089" s="735" t="s">
        <v>16</v>
      </c>
      <c r="C2089" s="736">
        <v>289371.59999999998</v>
      </c>
      <c r="D2089" s="736">
        <v>273215.58</v>
      </c>
      <c r="E2089" s="749">
        <v>244850.6</v>
      </c>
      <c r="F2089" s="736">
        <v>261970.92</v>
      </c>
      <c r="G2089" s="736">
        <v>304483.5</v>
      </c>
      <c r="H2089" s="736"/>
      <c r="I2089" s="736"/>
      <c r="J2089" s="736">
        <f t="shared" si="687"/>
        <v>304483.5</v>
      </c>
      <c r="K2089" s="736">
        <v>6672.91</v>
      </c>
      <c r="L2089" s="736"/>
      <c r="M2089" s="736">
        <f t="shared" si="688"/>
        <v>311156.40999999997</v>
      </c>
      <c r="N2089" s="736"/>
      <c r="O2089" s="736"/>
      <c r="P2089" s="736">
        <f t="shared" si="689"/>
        <v>311156.40999999997</v>
      </c>
      <c r="Q2089" s="738">
        <v>303880.68</v>
      </c>
      <c r="R2089" s="738"/>
      <c r="S2089" s="751">
        <v>385233</v>
      </c>
      <c r="T2089" s="739">
        <v>1500521</v>
      </c>
      <c r="U2089" s="779">
        <v>351835.86</v>
      </c>
      <c r="V2089" s="741">
        <v>1500522</v>
      </c>
    </row>
    <row r="2090" spans="1:22" ht="15" x14ac:dyDescent="0.25">
      <c r="A2090" s="734">
        <v>1511</v>
      </c>
      <c r="B2090" s="735" t="s">
        <v>18</v>
      </c>
      <c r="C2090" s="736">
        <v>82468.800000000003</v>
      </c>
      <c r="D2090" s="736">
        <v>90770.68</v>
      </c>
      <c r="E2090" s="749">
        <v>91762.59</v>
      </c>
      <c r="F2090" s="736">
        <v>95107.87</v>
      </c>
      <c r="G2090" s="736">
        <v>98862.399999999994</v>
      </c>
      <c r="H2090" s="736"/>
      <c r="I2090" s="736"/>
      <c r="J2090" s="736">
        <f t="shared" si="687"/>
        <v>98862.399999999994</v>
      </c>
      <c r="K2090" s="736">
        <v>2669.34</v>
      </c>
      <c r="L2090" s="736"/>
      <c r="M2090" s="736">
        <f t="shared" si="688"/>
        <v>101531.73999999999</v>
      </c>
      <c r="N2090" s="736"/>
      <c r="O2090" s="736"/>
      <c r="P2090" s="736">
        <f t="shared" si="689"/>
        <v>101531.73999999999</v>
      </c>
      <c r="Q2090" s="738">
        <v>101531.74</v>
      </c>
      <c r="R2090" s="738"/>
      <c r="S2090" s="751">
        <v>124680.92</v>
      </c>
      <c r="T2090" s="739">
        <v>1500521</v>
      </c>
      <c r="U2090" s="779">
        <v>102582.95</v>
      </c>
      <c r="V2090" s="741">
        <v>1500522</v>
      </c>
    </row>
    <row r="2091" spans="1:22" ht="15" x14ac:dyDescent="0.25">
      <c r="A2091" s="734">
        <v>1541</v>
      </c>
      <c r="B2091" s="735" t="s">
        <v>19</v>
      </c>
      <c r="C2091" s="736">
        <v>106198.57</v>
      </c>
      <c r="D2091" s="736">
        <v>111418.58</v>
      </c>
      <c r="E2091" s="749">
        <v>108102.05</v>
      </c>
      <c r="F2091" s="736">
        <v>109928.12</v>
      </c>
      <c r="G2091" s="736">
        <v>130688.70000000001</v>
      </c>
      <c r="H2091" s="736"/>
      <c r="I2091" s="736"/>
      <c r="J2091" s="736">
        <f t="shared" si="687"/>
        <v>130688.70000000001</v>
      </c>
      <c r="K2091" s="736">
        <v>4973.72</v>
      </c>
      <c r="L2091" s="736"/>
      <c r="M2091" s="736">
        <f t="shared" si="688"/>
        <v>135662.42000000001</v>
      </c>
      <c r="N2091" s="736"/>
      <c r="O2091" s="736"/>
      <c r="P2091" s="736">
        <f t="shared" si="689"/>
        <v>135662.42000000001</v>
      </c>
      <c r="Q2091" s="738">
        <v>135662.42000000001</v>
      </c>
      <c r="R2091" s="738"/>
      <c r="S2091" s="751">
        <v>105842.88</v>
      </c>
      <c r="T2091" s="739">
        <v>1500521</v>
      </c>
      <c r="U2091" s="779">
        <v>124943.42</v>
      </c>
      <c r="V2091" s="741">
        <v>1500522</v>
      </c>
    </row>
    <row r="2092" spans="1:22" ht="15" x14ac:dyDescent="0.25">
      <c r="A2092" s="734">
        <v>1592</v>
      </c>
      <c r="B2092" s="735" t="s">
        <v>20</v>
      </c>
      <c r="C2092" s="736">
        <v>783128.57</v>
      </c>
      <c r="D2092" s="736">
        <v>863207.8</v>
      </c>
      <c r="E2092" s="749">
        <v>863017.78</v>
      </c>
      <c r="F2092" s="736">
        <v>894407.13</v>
      </c>
      <c r="G2092" s="736">
        <v>926707.6</v>
      </c>
      <c r="H2092" s="736"/>
      <c r="I2092" s="736"/>
      <c r="J2092" s="736">
        <f t="shared" si="687"/>
        <v>926707.6</v>
      </c>
      <c r="K2092" s="736"/>
      <c r="L2092" s="736">
        <v>40200.01</v>
      </c>
      <c r="M2092" s="736">
        <f t="shared" si="688"/>
        <v>886507.59</v>
      </c>
      <c r="N2092" s="736"/>
      <c r="O2092" s="736"/>
      <c r="P2092" s="736">
        <f t="shared" si="689"/>
        <v>886507.59</v>
      </c>
      <c r="Q2092" s="738">
        <v>957594.82</v>
      </c>
      <c r="R2092" s="738"/>
      <c r="S2092" s="751">
        <v>1088869.6000000001</v>
      </c>
      <c r="T2092" s="739">
        <v>1500521</v>
      </c>
      <c r="U2092" s="779">
        <v>901629.9</v>
      </c>
      <c r="V2092" s="741">
        <v>1500522</v>
      </c>
    </row>
    <row r="2093" spans="1:22" ht="15" x14ac:dyDescent="0.2">
      <c r="A2093" s="734">
        <v>2111</v>
      </c>
      <c r="B2093" s="735" t="s">
        <v>22</v>
      </c>
      <c r="C2093" s="736">
        <v>7804</v>
      </c>
      <c r="D2093" s="736">
        <v>20000</v>
      </c>
      <c r="E2093" s="749">
        <v>14000</v>
      </c>
      <c r="F2093" s="736">
        <v>12486.42</v>
      </c>
      <c r="G2093" s="752">
        <v>18000</v>
      </c>
      <c r="H2093" s="752"/>
      <c r="I2093" s="752"/>
      <c r="J2093" s="736">
        <f t="shared" si="687"/>
        <v>18000</v>
      </c>
      <c r="K2093" s="752"/>
      <c r="L2093" s="752"/>
      <c r="M2093" s="736">
        <f t="shared" si="688"/>
        <v>18000</v>
      </c>
      <c r="N2093" s="736"/>
      <c r="O2093" s="736"/>
      <c r="P2093" s="736">
        <f t="shared" si="689"/>
        <v>18000</v>
      </c>
      <c r="Q2093" s="753">
        <v>15495.3</v>
      </c>
      <c r="R2093" s="738">
        <v>14328.4</v>
      </c>
      <c r="S2093" s="753">
        <v>16000</v>
      </c>
      <c r="T2093" s="739">
        <v>1100121</v>
      </c>
      <c r="U2093" s="754">
        <v>16000</v>
      </c>
      <c r="V2093" s="741">
        <v>1100122</v>
      </c>
    </row>
    <row r="2094" spans="1:22" ht="15" x14ac:dyDescent="0.2">
      <c r="A2094" s="734">
        <v>2112</v>
      </c>
      <c r="B2094" s="735" t="s">
        <v>39</v>
      </c>
      <c r="C2094" s="736"/>
      <c r="D2094" s="736">
        <v>0</v>
      </c>
      <c r="E2094" s="749">
        <v>6000</v>
      </c>
      <c r="F2094" s="736">
        <v>6000</v>
      </c>
      <c r="G2094" s="752">
        <v>10000</v>
      </c>
      <c r="H2094" s="752"/>
      <c r="I2094" s="752"/>
      <c r="J2094" s="736">
        <f t="shared" si="687"/>
        <v>10000</v>
      </c>
      <c r="K2094" s="752"/>
      <c r="L2094" s="752"/>
      <c r="M2094" s="736">
        <f t="shared" si="688"/>
        <v>10000</v>
      </c>
      <c r="N2094" s="736"/>
      <c r="O2094" s="736"/>
      <c r="P2094" s="736">
        <f t="shared" si="689"/>
        <v>10000</v>
      </c>
      <c r="Q2094" s="753">
        <v>10000</v>
      </c>
      <c r="R2094" s="738">
        <v>9999.99</v>
      </c>
      <c r="S2094" s="753"/>
      <c r="T2094" s="739">
        <v>1100121</v>
      </c>
      <c r="U2094" s="746">
        <v>35000</v>
      </c>
      <c r="V2094" s="741">
        <v>1100122</v>
      </c>
    </row>
    <row r="2095" spans="1:22" ht="15" x14ac:dyDescent="0.2">
      <c r="A2095" s="739">
        <v>2112</v>
      </c>
      <c r="B2095" s="743" t="s">
        <v>39</v>
      </c>
      <c r="C2095" s="736"/>
      <c r="D2095" s="736">
        <v>5000</v>
      </c>
      <c r="E2095" s="749">
        <v>5000</v>
      </c>
      <c r="F2095" s="736">
        <v>4900</v>
      </c>
      <c r="G2095" s="736"/>
      <c r="H2095" s="736"/>
      <c r="I2095" s="736"/>
      <c r="J2095" s="736">
        <f t="shared" si="687"/>
        <v>0</v>
      </c>
      <c r="K2095" s="736"/>
      <c r="L2095" s="736"/>
      <c r="M2095" s="736">
        <f t="shared" si="688"/>
        <v>0</v>
      </c>
      <c r="N2095" s="736"/>
      <c r="O2095" s="736"/>
      <c r="P2095" s="738">
        <f t="shared" si="689"/>
        <v>0</v>
      </c>
      <c r="Q2095" s="738"/>
      <c r="R2095" s="738"/>
      <c r="S2095" s="738"/>
      <c r="T2095" s="739">
        <v>1100121</v>
      </c>
      <c r="U2095" s="745"/>
      <c r="V2095" s="739">
        <v>1100122</v>
      </c>
    </row>
    <row r="2096" spans="1:22" ht="15" x14ac:dyDescent="0.2">
      <c r="A2096" s="734">
        <v>2121</v>
      </c>
      <c r="B2096" s="735" t="s">
        <v>24</v>
      </c>
      <c r="C2096" s="736">
        <v>15918</v>
      </c>
      <c r="D2096" s="736">
        <v>15000</v>
      </c>
      <c r="E2096" s="749">
        <v>10500</v>
      </c>
      <c r="F2096" s="736">
        <v>9683.48</v>
      </c>
      <c r="G2096" s="752">
        <v>15000</v>
      </c>
      <c r="H2096" s="752"/>
      <c r="I2096" s="752"/>
      <c r="J2096" s="736">
        <f t="shared" si="687"/>
        <v>15000</v>
      </c>
      <c r="K2096" s="752"/>
      <c r="L2096" s="752"/>
      <c r="M2096" s="736">
        <f t="shared" si="688"/>
        <v>15000</v>
      </c>
      <c r="N2096" s="736"/>
      <c r="O2096" s="736"/>
      <c r="P2096" s="736">
        <f t="shared" si="689"/>
        <v>15000</v>
      </c>
      <c r="Q2096" s="753">
        <v>14088.78</v>
      </c>
      <c r="R2096" s="738">
        <v>12324.34</v>
      </c>
      <c r="S2096" s="753">
        <v>10000</v>
      </c>
      <c r="T2096" s="739">
        <v>1100121</v>
      </c>
      <c r="U2096" s="754">
        <v>10000</v>
      </c>
      <c r="V2096" s="741">
        <v>1100122</v>
      </c>
    </row>
    <row r="2097" spans="1:22" ht="15" x14ac:dyDescent="0.2">
      <c r="A2097" s="739">
        <v>2911</v>
      </c>
      <c r="B2097" s="743" t="s">
        <v>1794</v>
      </c>
      <c r="C2097" s="736"/>
      <c r="D2097" s="736"/>
      <c r="E2097" s="749"/>
      <c r="F2097" s="736"/>
      <c r="G2097" s="752"/>
      <c r="H2097" s="752"/>
      <c r="I2097" s="752"/>
      <c r="J2097" s="736"/>
      <c r="K2097" s="752"/>
      <c r="L2097" s="752"/>
      <c r="M2097" s="736"/>
      <c r="N2097" s="736"/>
      <c r="O2097" s="736"/>
      <c r="P2097" s="736"/>
      <c r="Q2097" s="753"/>
      <c r="R2097" s="738"/>
      <c r="S2097" s="753">
        <v>5000</v>
      </c>
      <c r="T2097" s="739"/>
      <c r="U2097" s="745"/>
      <c r="V2097" s="739"/>
    </row>
    <row r="2098" spans="1:22" ht="15" x14ac:dyDescent="0.2">
      <c r="A2098" s="739">
        <v>2921</v>
      </c>
      <c r="B2098" s="743" t="s">
        <v>1795</v>
      </c>
      <c r="C2098" s="736"/>
      <c r="D2098" s="736"/>
      <c r="E2098" s="749"/>
      <c r="F2098" s="736"/>
      <c r="G2098" s="752"/>
      <c r="H2098" s="752"/>
      <c r="I2098" s="752"/>
      <c r="J2098" s="736"/>
      <c r="K2098" s="752"/>
      <c r="L2098" s="752"/>
      <c r="M2098" s="736"/>
      <c r="N2098" s="736"/>
      <c r="O2098" s="736"/>
      <c r="P2098" s="736"/>
      <c r="Q2098" s="753"/>
      <c r="R2098" s="738"/>
      <c r="S2098" s="753">
        <v>9000</v>
      </c>
      <c r="T2098" s="739"/>
      <c r="U2098" s="745"/>
      <c r="V2098" s="739"/>
    </row>
    <row r="2099" spans="1:22" ht="15" x14ac:dyDescent="0.2">
      <c r="A2099" s="734">
        <v>2941</v>
      </c>
      <c r="B2099" s="735" t="s">
        <v>79</v>
      </c>
      <c r="C2099" s="736">
        <v>9987.7000000000007</v>
      </c>
      <c r="D2099" s="736">
        <v>10000</v>
      </c>
      <c r="E2099" s="749">
        <v>10000</v>
      </c>
      <c r="F2099" s="736">
        <v>6548.99</v>
      </c>
      <c r="G2099" s="752">
        <v>15000</v>
      </c>
      <c r="H2099" s="752"/>
      <c r="I2099" s="752"/>
      <c r="J2099" s="736">
        <f>G2099+H2099-I2099</f>
        <v>15000</v>
      </c>
      <c r="K2099" s="752"/>
      <c r="L2099" s="752"/>
      <c r="M2099" s="736">
        <f>J2099+K2099-L2099</f>
        <v>15000</v>
      </c>
      <c r="N2099" s="736"/>
      <c r="O2099" s="736"/>
      <c r="P2099" s="736">
        <f>M2099+N2099-O2099</f>
        <v>15000</v>
      </c>
      <c r="Q2099" s="753">
        <v>15000</v>
      </c>
      <c r="R2099" s="738">
        <v>4837.6400000000003</v>
      </c>
      <c r="S2099" s="753">
        <v>12000</v>
      </c>
      <c r="T2099" s="739">
        <v>1100121</v>
      </c>
      <c r="U2099" s="754">
        <v>12000</v>
      </c>
      <c r="V2099" s="741">
        <v>1100122</v>
      </c>
    </row>
    <row r="2100" spans="1:22" ht="15" x14ac:dyDescent="0.2">
      <c r="A2100" s="734">
        <v>3521</v>
      </c>
      <c r="B2100" s="735" t="s">
        <v>1796</v>
      </c>
      <c r="C2100" s="736"/>
      <c r="D2100" s="736"/>
      <c r="E2100" s="749"/>
      <c r="F2100" s="736"/>
      <c r="G2100" s="752"/>
      <c r="H2100" s="752"/>
      <c r="I2100" s="752"/>
      <c r="J2100" s="736"/>
      <c r="K2100" s="752"/>
      <c r="L2100" s="752"/>
      <c r="M2100" s="736"/>
      <c r="N2100" s="736"/>
      <c r="O2100" s="736"/>
      <c r="P2100" s="736"/>
      <c r="Q2100" s="753"/>
      <c r="R2100" s="738"/>
      <c r="S2100" s="753">
        <v>10000</v>
      </c>
      <c r="T2100" s="739"/>
      <c r="U2100" s="746">
        <v>10000</v>
      </c>
      <c r="V2100" s="741">
        <v>1100122</v>
      </c>
    </row>
    <row r="2101" spans="1:22" ht="15" x14ac:dyDescent="0.2">
      <c r="A2101" s="739">
        <v>5151</v>
      </c>
      <c r="B2101" s="806" t="s">
        <v>1681</v>
      </c>
      <c r="C2101" s="736"/>
      <c r="D2101" s="736"/>
      <c r="E2101" s="749"/>
      <c r="F2101" s="736"/>
      <c r="G2101" s="752">
        <v>40000</v>
      </c>
      <c r="H2101" s="752"/>
      <c r="I2101" s="752"/>
      <c r="J2101" s="736">
        <f>G2101+H2101-I2101</f>
        <v>40000</v>
      </c>
      <c r="K2101" s="752"/>
      <c r="L2101" s="752"/>
      <c r="M2101" s="736">
        <f>J2101+K2101-L2101</f>
        <v>40000</v>
      </c>
      <c r="N2101" s="736"/>
      <c r="O2101" s="736">
        <v>40000</v>
      </c>
      <c r="P2101" s="738">
        <f>M2101+N2101-O2101</f>
        <v>0</v>
      </c>
      <c r="Q2101" s="753"/>
      <c r="R2101" s="738"/>
      <c r="S2101" s="753">
        <v>30000</v>
      </c>
      <c r="T2101" s="739">
        <v>1500521</v>
      </c>
      <c r="U2101" s="744"/>
      <c r="V2101" s="739">
        <v>1500522</v>
      </c>
    </row>
    <row r="2102" spans="1:22" ht="15" x14ac:dyDescent="0.2">
      <c r="A2102" s="728" t="s">
        <v>287</v>
      </c>
      <c r="B2102" s="729" t="s">
        <v>1634</v>
      </c>
      <c r="C2102" s="730">
        <f t="shared" ref="C2102:R2102" si="690">SUM(C2103:C2118)</f>
        <v>2132113.9300000002</v>
      </c>
      <c r="D2102" s="730">
        <f t="shared" si="690"/>
        <v>2333187.2199999997</v>
      </c>
      <c r="E2102" s="730">
        <f t="shared" si="690"/>
        <v>2301490.7199999997</v>
      </c>
      <c r="F2102" s="730">
        <f t="shared" si="690"/>
        <v>2369416.1500000004</v>
      </c>
      <c r="G2102" s="730">
        <f t="shared" si="690"/>
        <v>2508329.1999999997</v>
      </c>
      <c r="H2102" s="730">
        <f t="shared" si="690"/>
        <v>0</v>
      </c>
      <c r="I2102" s="730">
        <f t="shared" si="690"/>
        <v>0</v>
      </c>
      <c r="J2102" s="730">
        <f t="shared" si="690"/>
        <v>2508329.1999999997</v>
      </c>
      <c r="K2102" s="730">
        <f t="shared" si="690"/>
        <v>71777.189999999988</v>
      </c>
      <c r="L2102" s="730">
        <f t="shared" si="690"/>
        <v>6402.63</v>
      </c>
      <c r="M2102" s="730">
        <f t="shared" si="690"/>
        <v>2573703.7600000002</v>
      </c>
      <c r="N2102" s="730">
        <f t="shared" si="690"/>
        <v>0</v>
      </c>
      <c r="O2102" s="730">
        <f t="shared" si="690"/>
        <v>0</v>
      </c>
      <c r="P2102" s="730">
        <f t="shared" si="690"/>
        <v>2573703.7600000002</v>
      </c>
      <c r="Q2102" s="748">
        <f t="shared" si="690"/>
        <v>2575088.9100000006</v>
      </c>
      <c r="R2102" s="748">
        <f t="shared" si="690"/>
        <v>30948.959999999999</v>
      </c>
      <c r="S2102" s="748">
        <f>SUM(S2103:S2119)</f>
        <v>3061196.1399999997</v>
      </c>
      <c r="T2102" s="731"/>
      <c r="U2102" s="732">
        <f>SUM(U2103:U2120)</f>
        <v>2660390.2899999996</v>
      </c>
      <c r="V2102" s="733"/>
    </row>
    <row r="2103" spans="1:22" ht="15" x14ac:dyDescent="0.25">
      <c r="A2103" s="734">
        <v>1132</v>
      </c>
      <c r="B2103" s="735" t="s">
        <v>8</v>
      </c>
      <c r="C2103" s="736">
        <v>1166229.6200000001</v>
      </c>
      <c r="D2103" s="736">
        <v>1254354.92</v>
      </c>
      <c r="E2103" s="749">
        <v>1257841.92</v>
      </c>
      <c r="F2103" s="736">
        <v>1303504.54</v>
      </c>
      <c r="G2103" s="736">
        <v>1317720.1000000001</v>
      </c>
      <c r="H2103" s="736"/>
      <c r="I2103" s="736"/>
      <c r="J2103" s="736">
        <f t="shared" ref="J2103:J2115" si="691">G2103+H2103-I2103</f>
        <v>1317720.1000000001</v>
      </c>
      <c r="K2103" s="736">
        <v>47798.63</v>
      </c>
      <c r="L2103" s="736"/>
      <c r="M2103" s="736">
        <f t="shared" ref="M2103:M2115" si="692">J2103+K2103-L2103</f>
        <v>1365518.73</v>
      </c>
      <c r="N2103" s="736"/>
      <c r="O2103" s="736"/>
      <c r="P2103" s="736">
        <f t="shared" ref="P2103:P2115" si="693">M2103+N2103-O2103</f>
        <v>1365518.73</v>
      </c>
      <c r="Q2103" s="738">
        <v>1354811.37</v>
      </c>
      <c r="R2103" s="738"/>
      <c r="S2103" s="751">
        <v>1630002.92</v>
      </c>
      <c r="T2103" s="739">
        <v>1500521</v>
      </c>
      <c r="U2103" s="779">
        <v>1473996.01</v>
      </c>
      <c r="V2103" s="741">
        <v>1500522</v>
      </c>
    </row>
    <row r="2104" spans="1:22" ht="15" x14ac:dyDescent="0.25">
      <c r="A2104" s="734">
        <v>1321</v>
      </c>
      <c r="B2104" s="735" t="s">
        <v>9</v>
      </c>
      <c r="C2104" s="736">
        <v>62550.03</v>
      </c>
      <c r="D2104" s="736">
        <v>71561.820000000007</v>
      </c>
      <c r="E2104" s="749">
        <v>69374.820000000007</v>
      </c>
      <c r="F2104" s="736">
        <v>69374.820000000007</v>
      </c>
      <c r="G2104" s="736">
        <v>75369</v>
      </c>
      <c r="H2104" s="736"/>
      <c r="I2104" s="736"/>
      <c r="J2104" s="736">
        <f t="shared" si="691"/>
        <v>75369</v>
      </c>
      <c r="K2104" s="736">
        <v>1765.88</v>
      </c>
      <c r="L2104" s="736"/>
      <c r="M2104" s="736">
        <f t="shared" si="692"/>
        <v>77134.880000000005</v>
      </c>
      <c r="N2104" s="736"/>
      <c r="O2104" s="736"/>
      <c r="P2104" s="736">
        <f t="shared" si="693"/>
        <v>77134.880000000005</v>
      </c>
      <c r="Q2104" s="738">
        <v>77134.880000000005</v>
      </c>
      <c r="R2104" s="738"/>
      <c r="S2104" s="751">
        <v>89863.2</v>
      </c>
      <c r="T2104" s="739">
        <v>1500521</v>
      </c>
      <c r="U2104" s="779">
        <v>75597.11</v>
      </c>
      <c r="V2104" s="741">
        <v>1500522</v>
      </c>
    </row>
    <row r="2105" spans="1:22" ht="15" x14ac:dyDescent="0.25">
      <c r="A2105" s="734">
        <v>1323</v>
      </c>
      <c r="B2105" s="735" t="s">
        <v>11</v>
      </c>
      <c r="C2105" s="736">
        <v>200641</v>
      </c>
      <c r="D2105" s="736">
        <v>209355</v>
      </c>
      <c r="E2105" s="749">
        <v>205048</v>
      </c>
      <c r="F2105" s="736">
        <v>212484</v>
      </c>
      <c r="G2105" s="736">
        <v>219932</v>
      </c>
      <c r="H2105" s="736"/>
      <c r="I2105" s="736"/>
      <c r="J2105" s="736">
        <f t="shared" si="691"/>
        <v>219932</v>
      </c>
      <c r="K2105" s="736">
        <v>5370.57</v>
      </c>
      <c r="L2105" s="736"/>
      <c r="M2105" s="736">
        <f t="shared" si="692"/>
        <v>225302.57</v>
      </c>
      <c r="N2105" s="736"/>
      <c r="O2105" s="736"/>
      <c r="P2105" s="736">
        <f t="shared" si="693"/>
        <v>225302.57</v>
      </c>
      <c r="Q2105" s="738">
        <v>225302.57</v>
      </c>
      <c r="R2105" s="738"/>
      <c r="S2105" s="751">
        <v>269613.5</v>
      </c>
      <c r="T2105" s="739">
        <v>1500521</v>
      </c>
      <c r="U2105" s="779">
        <v>222264.9</v>
      </c>
      <c r="V2105" s="741">
        <v>1500522</v>
      </c>
    </row>
    <row r="2106" spans="1:22" ht="15" x14ac:dyDescent="0.25">
      <c r="A2106" s="734">
        <v>1413</v>
      </c>
      <c r="B2106" s="735" t="s">
        <v>13</v>
      </c>
      <c r="C2106" s="736">
        <v>215146.43</v>
      </c>
      <c r="D2106" s="736">
        <v>260299.32</v>
      </c>
      <c r="E2106" s="749">
        <v>257726.32</v>
      </c>
      <c r="F2106" s="736">
        <v>254973.73</v>
      </c>
      <c r="G2106" s="736">
        <v>307187.8</v>
      </c>
      <c r="H2106" s="736"/>
      <c r="I2106" s="736"/>
      <c r="J2106" s="736">
        <f t="shared" si="691"/>
        <v>307187.8</v>
      </c>
      <c r="K2106" s="736">
        <v>9274.59</v>
      </c>
      <c r="L2106" s="736"/>
      <c r="M2106" s="736">
        <f t="shared" si="692"/>
        <v>316462.39</v>
      </c>
      <c r="N2106" s="736"/>
      <c r="O2106" s="736"/>
      <c r="P2106" s="736">
        <f t="shared" si="693"/>
        <v>316462.39</v>
      </c>
      <c r="Q2106" s="738">
        <v>310805.3</v>
      </c>
      <c r="R2106" s="738"/>
      <c r="S2106" s="751">
        <v>397022.28</v>
      </c>
      <c r="T2106" s="739">
        <v>1500521</v>
      </c>
      <c r="U2106" s="779">
        <v>291212.67</v>
      </c>
      <c r="V2106" s="741">
        <v>1500522</v>
      </c>
    </row>
    <row r="2107" spans="1:22" ht="15" x14ac:dyDescent="0.25">
      <c r="A2107" s="734">
        <v>1421</v>
      </c>
      <c r="B2107" s="735" t="s">
        <v>15</v>
      </c>
      <c r="C2107" s="736">
        <v>79573.11</v>
      </c>
      <c r="D2107" s="736">
        <v>88584.76</v>
      </c>
      <c r="E2107" s="749">
        <v>80250.759999999995</v>
      </c>
      <c r="F2107" s="736">
        <v>86358.57</v>
      </c>
      <c r="G2107" s="736">
        <v>97711.1</v>
      </c>
      <c r="H2107" s="736"/>
      <c r="I2107" s="736"/>
      <c r="J2107" s="736">
        <f t="shared" si="691"/>
        <v>97711.1</v>
      </c>
      <c r="K2107" s="736">
        <v>2904.93</v>
      </c>
      <c r="L2107" s="736"/>
      <c r="M2107" s="736">
        <f t="shared" si="692"/>
        <v>100616.03</v>
      </c>
      <c r="N2107" s="736"/>
      <c r="O2107" s="736"/>
      <c r="P2107" s="736">
        <f t="shared" si="693"/>
        <v>100616.03</v>
      </c>
      <c r="Q2107" s="738">
        <v>100616.03</v>
      </c>
      <c r="R2107" s="738"/>
      <c r="S2107" s="751">
        <v>118485.96</v>
      </c>
      <c r="T2107" s="739">
        <v>1500521</v>
      </c>
      <c r="U2107" s="779">
        <v>114060.75</v>
      </c>
      <c r="V2107" s="741">
        <v>1500522</v>
      </c>
    </row>
    <row r="2108" spans="1:22" ht="15" x14ac:dyDescent="0.25">
      <c r="A2108" s="734">
        <v>1431</v>
      </c>
      <c r="B2108" s="735" t="s">
        <v>16</v>
      </c>
      <c r="C2108" s="736">
        <v>84973.54</v>
      </c>
      <c r="D2108" s="736">
        <v>91242.16</v>
      </c>
      <c r="E2108" s="749">
        <v>84192.16</v>
      </c>
      <c r="F2108" s="736">
        <v>91353.04</v>
      </c>
      <c r="G2108" s="736">
        <v>100642.5</v>
      </c>
      <c r="H2108" s="736"/>
      <c r="I2108" s="736"/>
      <c r="J2108" s="736">
        <f t="shared" si="691"/>
        <v>100642.5</v>
      </c>
      <c r="K2108" s="736">
        <v>2971.26</v>
      </c>
      <c r="L2108" s="736"/>
      <c r="M2108" s="736">
        <f t="shared" si="692"/>
        <v>103613.75999999999</v>
      </c>
      <c r="N2108" s="736"/>
      <c r="O2108" s="736"/>
      <c r="P2108" s="736">
        <f t="shared" si="693"/>
        <v>103613.75999999999</v>
      </c>
      <c r="Q2108" s="738">
        <v>100742.32</v>
      </c>
      <c r="R2108" s="738"/>
      <c r="S2108" s="751">
        <v>122040.6</v>
      </c>
      <c r="T2108" s="739">
        <v>1500521</v>
      </c>
      <c r="U2108" s="779">
        <v>115400.82</v>
      </c>
      <c r="V2108" s="741">
        <v>1500522</v>
      </c>
    </row>
    <row r="2109" spans="1:22" ht="15" x14ac:dyDescent="0.25">
      <c r="A2109" s="734">
        <v>1511</v>
      </c>
      <c r="B2109" s="735" t="s">
        <v>18</v>
      </c>
      <c r="C2109" s="736">
        <v>28041.82</v>
      </c>
      <c r="D2109" s="736">
        <v>30477.72</v>
      </c>
      <c r="E2109" s="749">
        <v>30477.72</v>
      </c>
      <c r="F2109" s="736">
        <v>31587.35</v>
      </c>
      <c r="G2109" s="736">
        <v>32028.399999999998</v>
      </c>
      <c r="H2109" s="736"/>
      <c r="I2109" s="736"/>
      <c r="J2109" s="736">
        <f t="shared" si="691"/>
        <v>32028.399999999998</v>
      </c>
      <c r="K2109" s="736">
        <v>779.72</v>
      </c>
      <c r="L2109" s="736"/>
      <c r="M2109" s="736">
        <f t="shared" si="692"/>
        <v>32808.119999999995</v>
      </c>
      <c r="N2109" s="736"/>
      <c r="O2109" s="736"/>
      <c r="P2109" s="736">
        <f t="shared" si="693"/>
        <v>32808.119999999995</v>
      </c>
      <c r="Q2109" s="738">
        <v>32808.120000000003</v>
      </c>
      <c r="R2109" s="738"/>
      <c r="S2109" s="751">
        <v>39253.760000000002</v>
      </c>
      <c r="T2109" s="739">
        <v>1500521</v>
      </c>
      <c r="U2109" s="779">
        <v>33398.78</v>
      </c>
      <c r="V2109" s="741">
        <v>1500522</v>
      </c>
    </row>
    <row r="2110" spans="1:22" ht="15" x14ac:dyDescent="0.25">
      <c r="A2110" s="734">
        <v>1541</v>
      </c>
      <c r="B2110" s="735" t="s">
        <v>19</v>
      </c>
      <c r="C2110" s="736">
        <v>18965.060000000001</v>
      </c>
      <c r="D2110" s="736">
        <v>19787.04</v>
      </c>
      <c r="E2110" s="749">
        <v>19787.04</v>
      </c>
      <c r="F2110" s="736">
        <v>20091.939999999999</v>
      </c>
      <c r="G2110" s="736">
        <v>23953.3</v>
      </c>
      <c r="H2110" s="736"/>
      <c r="I2110" s="736"/>
      <c r="J2110" s="736">
        <f t="shared" si="691"/>
        <v>23953.3</v>
      </c>
      <c r="K2110" s="736">
        <v>911.61</v>
      </c>
      <c r="L2110" s="736"/>
      <c r="M2110" s="736">
        <f t="shared" si="692"/>
        <v>24864.91</v>
      </c>
      <c r="N2110" s="736"/>
      <c r="O2110" s="736"/>
      <c r="P2110" s="736">
        <f t="shared" si="693"/>
        <v>24864.91</v>
      </c>
      <c r="Q2110" s="738">
        <v>24864.91</v>
      </c>
      <c r="R2110" s="738"/>
      <c r="S2110" s="751">
        <v>19399.12</v>
      </c>
      <c r="T2110" s="739">
        <v>1500521</v>
      </c>
      <c r="U2110" s="779">
        <v>22918.959999999999</v>
      </c>
      <c r="V2110" s="741">
        <v>1500522</v>
      </c>
    </row>
    <row r="2111" spans="1:22" ht="15" x14ac:dyDescent="0.25">
      <c r="A2111" s="734">
        <v>1592</v>
      </c>
      <c r="B2111" s="735" t="s">
        <v>20</v>
      </c>
      <c r="C2111" s="736">
        <v>247739.32</v>
      </c>
      <c r="D2111" s="736">
        <v>269749.48</v>
      </c>
      <c r="E2111" s="749">
        <v>269749.48</v>
      </c>
      <c r="F2111" s="736">
        <v>279566.18</v>
      </c>
      <c r="G2111" s="736">
        <v>283385</v>
      </c>
      <c r="H2111" s="736"/>
      <c r="I2111" s="736"/>
      <c r="J2111" s="736">
        <f t="shared" si="691"/>
        <v>283385</v>
      </c>
      <c r="K2111" s="752"/>
      <c r="L2111" s="736">
        <v>6402.63</v>
      </c>
      <c r="M2111" s="736">
        <f t="shared" si="692"/>
        <v>276982.37</v>
      </c>
      <c r="N2111" s="736"/>
      <c r="O2111" s="736"/>
      <c r="P2111" s="736">
        <f t="shared" si="693"/>
        <v>276982.37</v>
      </c>
      <c r="Q2111" s="738">
        <v>298984.51</v>
      </c>
      <c r="R2111" s="738"/>
      <c r="S2111" s="751">
        <v>332783.35999999999</v>
      </c>
      <c r="T2111" s="739">
        <v>1500521</v>
      </c>
      <c r="U2111" s="779">
        <v>283240.28999999998</v>
      </c>
      <c r="V2111" s="741">
        <v>1500522</v>
      </c>
    </row>
    <row r="2112" spans="1:22" ht="15" x14ac:dyDescent="0.2">
      <c r="A2112" s="734">
        <v>2111</v>
      </c>
      <c r="B2112" s="735" t="s">
        <v>22</v>
      </c>
      <c r="C2112" s="736">
        <v>6038</v>
      </c>
      <c r="D2112" s="736">
        <v>5500</v>
      </c>
      <c r="E2112" s="749">
        <v>3850</v>
      </c>
      <c r="F2112" s="736">
        <v>2726.38</v>
      </c>
      <c r="G2112" s="752">
        <v>5200</v>
      </c>
      <c r="H2112" s="752"/>
      <c r="I2112" s="752"/>
      <c r="J2112" s="736">
        <f t="shared" si="691"/>
        <v>5200</v>
      </c>
      <c r="K2112" s="736"/>
      <c r="L2112" s="752"/>
      <c r="M2112" s="736">
        <f t="shared" si="692"/>
        <v>5200</v>
      </c>
      <c r="N2112" s="736"/>
      <c r="O2112" s="736"/>
      <c r="P2112" s="736">
        <f t="shared" si="693"/>
        <v>5200</v>
      </c>
      <c r="Q2112" s="753">
        <v>3818.9</v>
      </c>
      <c r="R2112" s="738">
        <v>3033.04</v>
      </c>
      <c r="S2112" s="753">
        <v>4500</v>
      </c>
      <c r="T2112" s="739">
        <v>1100121</v>
      </c>
      <c r="U2112" s="754">
        <v>4500</v>
      </c>
      <c r="V2112" s="741">
        <v>1100122</v>
      </c>
    </row>
    <row r="2113" spans="1:22" ht="15" x14ac:dyDescent="0.2">
      <c r="A2113" s="734">
        <v>2121</v>
      </c>
      <c r="B2113" s="735" t="s">
        <v>24</v>
      </c>
      <c r="C2113" s="736">
        <v>19316</v>
      </c>
      <c r="D2113" s="736">
        <v>30275</v>
      </c>
      <c r="E2113" s="749">
        <v>21192.5</v>
      </c>
      <c r="F2113" s="736">
        <v>17395.599999999999</v>
      </c>
      <c r="G2113" s="752">
        <v>30000</v>
      </c>
      <c r="H2113" s="752"/>
      <c r="I2113" s="752"/>
      <c r="J2113" s="736">
        <f t="shared" si="691"/>
        <v>30000</v>
      </c>
      <c r="K2113" s="752"/>
      <c r="L2113" s="752"/>
      <c r="M2113" s="736">
        <f t="shared" si="692"/>
        <v>30000</v>
      </c>
      <c r="N2113" s="736"/>
      <c r="O2113" s="736"/>
      <c r="P2113" s="736">
        <f t="shared" si="693"/>
        <v>30000</v>
      </c>
      <c r="Q2113" s="753">
        <v>30000</v>
      </c>
      <c r="R2113" s="738">
        <v>27915.919999999998</v>
      </c>
      <c r="S2113" s="753">
        <v>10000</v>
      </c>
      <c r="T2113" s="739">
        <v>1100121</v>
      </c>
      <c r="U2113" s="754">
        <v>10000</v>
      </c>
      <c r="V2113" s="741">
        <v>1100122</v>
      </c>
    </row>
    <row r="2114" spans="1:22" ht="15" x14ac:dyDescent="0.2">
      <c r="A2114" s="739">
        <v>2491</v>
      </c>
      <c r="B2114" s="743" t="s">
        <v>41</v>
      </c>
      <c r="C2114" s="736">
        <v>2900</v>
      </c>
      <c r="D2114" s="736"/>
      <c r="E2114" s="749"/>
      <c r="F2114" s="736"/>
      <c r="G2114" s="736"/>
      <c r="H2114" s="736"/>
      <c r="I2114" s="736"/>
      <c r="J2114" s="736">
        <f t="shared" si="691"/>
        <v>0</v>
      </c>
      <c r="K2114" s="736"/>
      <c r="L2114" s="736"/>
      <c r="M2114" s="736">
        <f t="shared" si="692"/>
        <v>0</v>
      </c>
      <c r="N2114" s="736"/>
      <c r="O2114" s="736"/>
      <c r="P2114" s="738">
        <f t="shared" si="693"/>
        <v>0</v>
      </c>
      <c r="Q2114" s="738"/>
      <c r="R2114" s="738"/>
      <c r="S2114" s="738"/>
      <c r="T2114" s="739"/>
      <c r="U2114" s="745"/>
      <c r="V2114" s="739"/>
    </row>
    <row r="2115" spans="1:22" ht="15" x14ac:dyDescent="0.2">
      <c r="A2115" s="739">
        <v>3181</v>
      </c>
      <c r="B2115" s="806" t="s">
        <v>1797</v>
      </c>
      <c r="C2115" s="736"/>
      <c r="D2115" s="736"/>
      <c r="E2115" s="749"/>
      <c r="F2115" s="736"/>
      <c r="G2115" s="736">
        <v>5000</v>
      </c>
      <c r="H2115" s="736"/>
      <c r="I2115" s="736"/>
      <c r="J2115" s="736">
        <f t="shared" si="691"/>
        <v>5000</v>
      </c>
      <c r="K2115" s="736"/>
      <c r="L2115" s="736"/>
      <c r="M2115" s="736">
        <f t="shared" si="692"/>
        <v>5000</v>
      </c>
      <c r="N2115" s="736"/>
      <c r="O2115" s="736"/>
      <c r="P2115" s="736">
        <f t="shared" si="693"/>
        <v>5000</v>
      </c>
      <c r="Q2115" s="738">
        <v>5000</v>
      </c>
      <c r="R2115" s="738"/>
      <c r="S2115" s="738"/>
      <c r="T2115" s="739">
        <v>1100121</v>
      </c>
      <c r="U2115" s="745"/>
      <c r="V2115" s="739">
        <v>1100122</v>
      </c>
    </row>
    <row r="2116" spans="1:22" ht="15" x14ac:dyDescent="0.2">
      <c r="A2116" s="734">
        <v>3181</v>
      </c>
      <c r="B2116" s="762" t="s">
        <v>62</v>
      </c>
      <c r="C2116" s="736"/>
      <c r="D2116" s="736"/>
      <c r="E2116" s="749"/>
      <c r="F2116" s="736"/>
      <c r="G2116" s="736"/>
      <c r="H2116" s="736"/>
      <c r="I2116" s="736"/>
      <c r="J2116" s="736"/>
      <c r="K2116" s="736"/>
      <c r="L2116" s="736"/>
      <c r="M2116" s="736"/>
      <c r="N2116" s="736"/>
      <c r="O2116" s="736"/>
      <c r="P2116" s="736"/>
      <c r="Q2116" s="738"/>
      <c r="R2116" s="738"/>
      <c r="S2116" s="738">
        <v>3500</v>
      </c>
      <c r="T2116" s="739"/>
      <c r="U2116" s="742">
        <v>3500</v>
      </c>
      <c r="V2116" s="741">
        <v>1100122</v>
      </c>
    </row>
    <row r="2117" spans="1:22" ht="30" x14ac:dyDescent="0.2">
      <c r="A2117" s="734">
        <v>3361</v>
      </c>
      <c r="B2117" s="735" t="s">
        <v>29</v>
      </c>
      <c r="C2117" s="736"/>
      <c r="D2117" s="736">
        <v>2000</v>
      </c>
      <c r="E2117" s="749">
        <v>2000</v>
      </c>
      <c r="F2117" s="736">
        <v>0</v>
      </c>
      <c r="G2117" s="736">
        <v>2300</v>
      </c>
      <c r="H2117" s="736"/>
      <c r="I2117" s="736"/>
      <c r="J2117" s="736">
        <f t="shared" ref="J2117:J2118" si="694">G2117+H2117-I2117</f>
        <v>2300</v>
      </c>
      <c r="K2117" s="736"/>
      <c r="L2117" s="736"/>
      <c r="M2117" s="736">
        <f t="shared" ref="M2117:M2118" si="695">J2117+K2117-L2117</f>
        <v>2300</v>
      </c>
      <c r="N2117" s="736"/>
      <c r="O2117" s="736"/>
      <c r="P2117" s="736">
        <f t="shared" ref="P2117:P2118" si="696">M2117+N2117-O2117</f>
        <v>2300</v>
      </c>
      <c r="Q2117" s="738">
        <v>2300</v>
      </c>
      <c r="R2117" s="738"/>
      <c r="S2117" s="738">
        <v>2400</v>
      </c>
      <c r="T2117" s="739">
        <v>1100121</v>
      </c>
      <c r="U2117" s="742">
        <v>2400</v>
      </c>
      <c r="V2117" s="741">
        <v>1100122</v>
      </c>
    </row>
    <row r="2118" spans="1:22" ht="15" x14ac:dyDescent="0.2">
      <c r="A2118" s="734">
        <v>3921</v>
      </c>
      <c r="B2118" s="762" t="s">
        <v>33</v>
      </c>
      <c r="C2118" s="736"/>
      <c r="D2118" s="736"/>
      <c r="E2118" s="749"/>
      <c r="F2118" s="736"/>
      <c r="G2118" s="736">
        <v>7900</v>
      </c>
      <c r="H2118" s="736"/>
      <c r="I2118" s="736"/>
      <c r="J2118" s="736">
        <f t="shared" si="694"/>
        <v>7900</v>
      </c>
      <c r="K2118" s="736"/>
      <c r="L2118" s="736"/>
      <c r="M2118" s="736">
        <f t="shared" si="695"/>
        <v>7900</v>
      </c>
      <c r="N2118" s="736"/>
      <c r="O2118" s="736"/>
      <c r="P2118" s="736">
        <f t="shared" si="696"/>
        <v>7900</v>
      </c>
      <c r="Q2118" s="738">
        <v>7900</v>
      </c>
      <c r="R2118" s="738"/>
      <c r="S2118" s="738">
        <v>7331.44</v>
      </c>
      <c r="T2118" s="739">
        <v>1100121</v>
      </c>
      <c r="U2118" s="742">
        <v>7900</v>
      </c>
      <c r="V2118" s="741">
        <v>1100122</v>
      </c>
    </row>
    <row r="2119" spans="1:22" ht="15" x14ac:dyDescent="0.2">
      <c r="A2119" s="739">
        <v>5151</v>
      </c>
      <c r="B2119" s="806" t="s">
        <v>1681</v>
      </c>
      <c r="C2119" s="736"/>
      <c r="D2119" s="736"/>
      <c r="E2119" s="749"/>
      <c r="F2119" s="736"/>
      <c r="G2119" s="736"/>
      <c r="H2119" s="736"/>
      <c r="I2119" s="736"/>
      <c r="J2119" s="736"/>
      <c r="K2119" s="736"/>
      <c r="L2119" s="736"/>
      <c r="M2119" s="736"/>
      <c r="N2119" s="736"/>
      <c r="O2119" s="736"/>
      <c r="P2119" s="736"/>
      <c r="Q2119" s="738"/>
      <c r="R2119" s="738"/>
      <c r="S2119" s="738">
        <v>15000</v>
      </c>
      <c r="T2119" s="739"/>
      <c r="U2119" s="744"/>
      <c r="V2119" s="739"/>
    </row>
    <row r="2120" spans="1:22" ht="15" x14ac:dyDescent="0.2">
      <c r="A2120" s="739">
        <v>5411</v>
      </c>
      <c r="B2120" s="806" t="s">
        <v>1762</v>
      </c>
      <c r="C2120" s="736"/>
      <c r="D2120" s="736"/>
      <c r="E2120" s="749"/>
      <c r="F2120" s="736"/>
      <c r="G2120" s="736"/>
      <c r="H2120" s="736"/>
      <c r="I2120" s="736"/>
      <c r="J2120" s="736"/>
      <c r="K2120" s="736"/>
      <c r="L2120" s="736"/>
      <c r="M2120" s="736"/>
      <c r="N2120" s="736"/>
      <c r="O2120" s="736"/>
      <c r="P2120" s="736"/>
      <c r="Q2120" s="738"/>
      <c r="R2120" s="738"/>
      <c r="S2120" s="815">
        <v>330000</v>
      </c>
      <c r="T2120" s="739"/>
      <c r="U2120" s="744">
        <v>0</v>
      </c>
      <c r="V2120" s="739"/>
    </row>
    <row r="2121" spans="1:22" ht="15" x14ac:dyDescent="0.2">
      <c r="A2121" s="724" t="s">
        <v>288</v>
      </c>
      <c r="B2121" s="725" t="s">
        <v>289</v>
      </c>
      <c r="C2121" s="721">
        <f t="shared" ref="C2121:S2121" si="697">SUM(C2122+C2181+C2228)</f>
        <v>59690758.100000001</v>
      </c>
      <c r="D2121" s="721">
        <f t="shared" si="697"/>
        <v>53691924.909999996</v>
      </c>
      <c r="E2121" s="721">
        <f t="shared" si="697"/>
        <v>52460698.670000009</v>
      </c>
      <c r="F2121" s="721">
        <f t="shared" si="697"/>
        <v>44086694.730000004</v>
      </c>
      <c r="G2121" s="721">
        <f t="shared" si="697"/>
        <v>62301597.400000006</v>
      </c>
      <c r="H2121" s="721">
        <f t="shared" si="697"/>
        <v>24347072.470000003</v>
      </c>
      <c r="I2121" s="721">
        <f t="shared" si="697"/>
        <v>12418476.9</v>
      </c>
      <c r="J2121" s="721">
        <f t="shared" si="697"/>
        <v>74230192.969999999</v>
      </c>
      <c r="K2121" s="721">
        <f t="shared" si="697"/>
        <v>1086219.6299999999</v>
      </c>
      <c r="L2121" s="721">
        <f t="shared" si="697"/>
        <v>137387.72</v>
      </c>
      <c r="M2121" s="721">
        <f t="shared" si="697"/>
        <v>75179024.88000001</v>
      </c>
      <c r="N2121" s="721">
        <f t="shared" si="697"/>
        <v>2580500</v>
      </c>
      <c r="O2121" s="721">
        <f t="shared" si="697"/>
        <v>972500</v>
      </c>
      <c r="P2121" s="721">
        <f t="shared" si="697"/>
        <v>76787024.88000001</v>
      </c>
      <c r="Q2121" s="756">
        <f t="shared" si="697"/>
        <v>79784245.760000005</v>
      </c>
      <c r="R2121" s="756">
        <f t="shared" si="697"/>
        <v>29816220.380000003</v>
      </c>
      <c r="S2121" s="756">
        <f t="shared" si="697"/>
        <v>77043374.420000002</v>
      </c>
      <c r="T2121" s="724"/>
      <c r="U2121" s="726">
        <f t="shared" ref="U2121" si="698">SUM(U2122+U2181+U2228)</f>
        <v>60943278.889999993</v>
      </c>
      <c r="V2121" s="727"/>
    </row>
    <row r="2122" spans="1:22" ht="15" x14ac:dyDescent="0.2">
      <c r="A2122" s="728" t="s">
        <v>290</v>
      </c>
      <c r="B2122" s="729" t="s">
        <v>1579</v>
      </c>
      <c r="C2122" s="730">
        <f t="shared" ref="C2122:S2122" si="699">SUM(C2123:C2180)</f>
        <v>40652556.840000004</v>
      </c>
      <c r="D2122" s="730">
        <f t="shared" si="699"/>
        <v>32682962.120000001</v>
      </c>
      <c r="E2122" s="730">
        <f t="shared" si="699"/>
        <v>31137374.470000006</v>
      </c>
      <c r="F2122" s="730">
        <f t="shared" si="699"/>
        <v>22794614.630000003</v>
      </c>
      <c r="G2122" s="730">
        <f t="shared" si="699"/>
        <v>39466916.700000003</v>
      </c>
      <c r="H2122" s="730">
        <f t="shared" si="699"/>
        <v>24333976.070000004</v>
      </c>
      <c r="I2122" s="730">
        <f t="shared" si="699"/>
        <v>12418476.9</v>
      </c>
      <c r="J2122" s="730">
        <f t="shared" si="699"/>
        <v>51382415.869999997</v>
      </c>
      <c r="K2122" s="730">
        <f t="shared" si="699"/>
        <v>104785.60000000001</v>
      </c>
      <c r="L2122" s="730">
        <f t="shared" si="699"/>
        <v>134753.72</v>
      </c>
      <c r="M2122" s="730">
        <f t="shared" si="699"/>
        <v>51352447.750000007</v>
      </c>
      <c r="N2122" s="730">
        <f t="shared" si="699"/>
        <v>2207500</v>
      </c>
      <c r="O2122" s="730">
        <f t="shared" si="699"/>
        <v>942500</v>
      </c>
      <c r="P2122" s="730">
        <f t="shared" si="699"/>
        <v>52617447.750000007</v>
      </c>
      <c r="Q2122" s="748">
        <f t="shared" si="699"/>
        <v>55663367.20000001</v>
      </c>
      <c r="R2122" s="748">
        <f t="shared" si="699"/>
        <v>28101206.470000003</v>
      </c>
      <c r="S2122" s="748">
        <f t="shared" si="699"/>
        <v>52155980.219999999</v>
      </c>
      <c r="T2122" s="731"/>
      <c r="U2122" s="732">
        <f>SUM(U2123:U2180)</f>
        <v>36040293.399999999</v>
      </c>
      <c r="V2122" s="733"/>
    </row>
    <row r="2123" spans="1:22" ht="15" x14ac:dyDescent="0.25">
      <c r="A2123" s="734">
        <v>1131</v>
      </c>
      <c r="B2123" s="735" t="s">
        <v>6</v>
      </c>
      <c r="C2123" s="736">
        <v>2395614.12</v>
      </c>
      <c r="D2123" s="736">
        <v>2594377.2400000002</v>
      </c>
      <c r="E2123" s="749">
        <v>2532264.7200000002</v>
      </c>
      <c r="F2123" s="736">
        <v>2744347.02</v>
      </c>
      <c r="G2123" s="736">
        <v>2771379.3000000003</v>
      </c>
      <c r="H2123" s="736"/>
      <c r="I2123" s="736"/>
      <c r="J2123" s="736">
        <f t="shared" ref="J2123:J2133" si="700">G2123+H2123-I2123</f>
        <v>2771379.3000000003</v>
      </c>
      <c r="K2123" s="736"/>
      <c r="L2123" s="736">
        <v>39799.79</v>
      </c>
      <c r="M2123" s="736">
        <f t="shared" ref="M2123:M2135" si="701">J2123+K2123-L2123</f>
        <v>2731579.5100000002</v>
      </c>
      <c r="N2123" s="736"/>
      <c r="O2123" s="736"/>
      <c r="P2123" s="736">
        <f t="shared" ref="P2123:P2135" si="702">M2123+N2123-O2123</f>
        <v>2731579.5100000002</v>
      </c>
      <c r="Q2123" s="738">
        <v>2688566.45</v>
      </c>
      <c r="R2123" s="738"/>
      <c r="S2123" s="751">
        <v>2878919.68</v>
      </c>
      <c r="T2123" s="739">
        <v>1500521</v>
      </c>
      <c r="U2123" s="779">
        <v>2799670</v>
      </c>
      <c r="V2123" s="741">
        <v>1500522</v>
      </c>
    </row>
    <row r="2124" spans="1:22" ht="15" x14ac:dyDescent="0.25">
      <c r="A2124" s="734">
        <v>1132</v>
      </c>
      <c r="B2124" s="735" t="s">
        <v>8</v>
      </c>
      <c r="C2124" s="736">
        <v>268344.67</v>
      </c>
      <c r="D2124" s="736">
        <v>379844.92</v>
      </c>
      <c r="E2124" s="749">
        <v>310576.02</v>
      </c>
      <c r="F2124" s="736">
        <v>321839.2</v>
      </c>
      <c r="G2124" s="736">
        <v>325365.09999999998</v>
      </c>
      <c r="H2124" s="736"/>
      <c r="I2124" s="736"/>
      <c r="J2124" s="736">
        <f t="shared" si="700"/>
        <v>325365.09999999998</v>
      </c>
      <c r="K2124" s="736">
        <v>84.99</v>
      </c>
      <c r="L2124" s="736"/>
      <c r="M2124" s="736">
        <f t="shared" si="701"/>
        <v>325450.08999999997</v>
      </c>
      <c r="N2124" s="736"/>
      <c r="O2124" s="736"/>
      <c r="P2124" s="736">
        <f t="shared" si="702"/>
        <v>325450.08999999997</v>
      </c>
      <c r="Q2124" s="738">
        <v>325450.09000000003</v>
      </c>
      <c r="R2124" s="738"/>
      <c r="S2124" s="751">
        <v>333231.08</v>
      </c>
      <c r="T2124" s="739">
        <v>1500521</v>
      </c>
      <c r="U2124" s="779">
        <v>270194.09000000003</v>
      </c>
      <c r="V2124" s="741">
        <v>1500522</v>
      </c>
    </row>
    <row r="2125" spans="1:22" ht="15" x14ac:dyDescent="0.25">
      <c r="A2125" s="734">
        <v>1321</v>
      </c>
      <c r="B2125" s="735" t="s">
        <v>9</v>
      </c>
      <c r="C2125" s="736">
        <v>188218.14</v>
      </c>
      <c r="D2125" s="736">
        <v>210551.5</v>
      </c>
      <c r="E2125" s="749">
        <v>195328.5</v>
      </c>
      <c r="F2125" s="736">
        <v>194922.52</v>
      </c>
      <c r="G2125" s="736">
        <v>213119.9</v>
      </c>
      <c r="H2125" s="736"/>
      <c r="I2125" s="736"/>
      <c r="J2125" s="736">
        <f t="shared" si="700"/>
        <v>213119.9</v>
      </c>
      <c r="K2125" s="736">
        <v>621.58000000000004</v>
      </c>
      <c r="L2125" s="736"/>
      <c r="M2125" s="736">
        <f t="shared" si="701"/>
        <v>213741.47999999998</v>
      </c>
      <c r="N2125" s="736"/>
      <c r="O2125" s="736"/>
      <c r="P2125" s="736">
        <f t="shared" si="702"/>
        <v>213741.47999999998</v>
      </c>
      <c r="Q2125" s="738">
        <v>213741.48</v>
      </c>
      <c r="R2125" s="738"/>
      <c r="S2125" s="751">
        <v>233528.84</v>
      </c>
      <c r="T2125" s="739">
        <v>1500521</v>
      </c>
      <c r="U2125" s="779">
        <v>206253.2</v>
      </c>
      <c r="V2125" s="741">
        <v>1500522</v>
      </c>
    </row>
    <row r="2126" spans="1:22" ht="15" x14ac:dyDescent="0.25">
      <c r="A2126" s="734">
        <v>1323</v>
      </c>
      <c r="B2126" s="735" t="s">
        <v>11</v>
      </c>
      <c r="C2126" s="736">
        <v>548357</v>
      </c>
      <c r="D2126" s="736">
        <v>613630.5</v>
      </c>
      <c r="E2126" s="749">
        <v>601025.5</v>
      </c>
      <c r="F2126" s="736">
        <v>583411.66</v>
      </c>
      <c r="G2126" s="736">
        <v>622789.1</v>
      </c>
      <c r="H2126" s="736"/>
      <c r="I2126" s="736"/>
      <c r="J2126" s="736">
        <f t="shared" si="700"/>
        <v>622789.1</v>
      </c>
      <c r="K2126" s="736">
        <v>6802.51</v>
      </c>
      <c r="L2126" s="736"/>
      <c r="M2126" s="736">
        <f t="shared" si="701"/>
        <v>629591.61</v>
      </c>
      <c r="N2126" s="736"/>
      <c r="O2126" s="736"/>
      <c r="P2126" s="736">
        <f t="shared" si="702"/>
        <v>629591.61</v>
      </c>
      <c r="Q2126" s="738">
        <v>629591.61</v>
      </c>
      <c r="R2126" s="738"/>
      <c r="S2126" s="751">
        <v>667322.5</v>
      </c>
      <c r="T2126" s="739">
        <v>1500521</v>
      </c>
      <c r="U2126" s="779">
        <v>608710.29</v>
      </c>
      <c r="V2126" s="741">
        <v>1500522</v>
      </c>
    </row>
    <row r="2127" spans="1:22" ht="15" x14ac:dyDescent="0.25">
      <c r="A2127" s="734">
        <v>1413</v>
      </c>
      <c r="B2127" s="735" t="s">
        <v>13</v>
      </c>
      <c r="C2127" s="736">
        <v>749623.47</v>
      </c>
      <c r="D2127" s="736">
        <v>945111</v>
      </c>
      <c r="E2127" s="749">
        <v>864537.9</v>
      </c>
      <c r="F2127" s="736">
        <v>854688.87</v>
      </c>
      <c r="G2127" s="736">
        <v>1022169.2999999999</v>
      </c>
      <c r="H2127" s="736"/>
      <c r="I2127" s="736"/>
      <c r="J2127" s="736">
        <f t="shared" si="700"/>
        <v>1022169.2999999999</v>
      </c>
      <c r="K2127" s="736">
        <v>13208.27</v>
      </c>
      <c r="L2127" s="736"/>
      <c r="M2127" s="736">
        <f t="shared" si="701"/>
        <v>1035377.57</v>
      </c>
      <c r="N2127" s="736"/>
      <c r="O2127" s="736"/>
      <c r="P2127" s="736">
        <f t="shared" si="702"/>
        <v>1035377.57</v>
      </c>
      <c r="Q2127" s="738">
        <v>1009548.53</v>
      </c>
      <c r="R2127" s="738"/>
      <c r="S2127" s="751">
        <v>1144467.24</v>
      </c>
      <c r="T2127" s="739">
        <v>1500521</v>
      </c>
      <c r="U2127" s="779">
        <v>911817.38</v>
      </c>
      <c r="V2127" s="741">
        <v>1500522</v>
      </c>
    </row>
    <row r="2128" spans="1:22" ht="15" x14ac:dyDescent="0.25">
      <c r="A2128" s="734">
        <v>1421</v>
      </c>
      <c r="B2128" s="735" t="s">
        <v>15</v>
      </c>
      <c r="C2128" s="736">
        <v>232623.62</v>
      </c>
      <c r="D2128" s="736">
        <v>267228.48</v>
      </c>
      <c r="E2128" s="749">
        <v>227403.29</v>
      </c>
      <c r="F2128" s="736">
        <v>244201.87</v>
      </c>
      <c r="G2128" s="736">
        <v>274000.39999999997</v>
      </c>
      <c r="H2128" s="736"/>
      <c r="I2128" s="736"/>
      <c r="J2128" s="736">
        <f t="shared" si="700"/>
        <v>274000.39999999997</v>
      </c>
      <c r="K2128" s="736">
        <v>3651.26</v>
      </c>
      <c r="L2128" s="736"/>
      <c r="M2128" s="736">
        <f t="shared" si="701"/>
        <v>277651.65999999997</v>
      </c>
      <c r="N2128" s="736"/>
      <c r="O2128" s="736"/>
      <c r="P2128" s="736">
        <f t="shared" si="702"/>
        <v>277651.65999999997</v>
      </c>
      <c r="Q2128" s="738">
        <v>277651.65999999997</v>
      </c>
      <c r="R2128" s="738"/>
      <c r="S2128" s="751">
        <v>293568.71999999997</v>
      </c>
      <c r="T2128" s="739">
        <v>1500521</v>
      </c>
      <c r="U2128" s="779">
        <v>309659.78000000003</v>
      </c>
      <c r="V2128" s="741">
        <v>1500522</v>
      </c>
    </row>
    <row r="2129" spans="1:22" ht="15" x14ac:dyDescent="0.25">
      <c r="A2129" s="734">
        <v>1431</v>
      </c>
      <c r="B2129" s="735" t="s">
        <v>16</v>
      </c>
      <c r="C2129" s="736">
        <v>245229.8</v>
      </c>
      <c r="D2129" s="736">
        <v>275245.18</v>
      </c>
      <c r="E2129" s="749">
        <v>237374.38</v>
      </c>
      <c r="F2129" s="736">
        <v>256981.25</v>
      </c>
      <c r="G2129" s="736">
        <v>282219.3</v>
      </c>
      <c r="H2129" s="736"/>
      <c r="I2129" s="736"/>
      <c r="J2129" s="736">
        <f t="shared" si="700"/>
        <v>282219.3</v>
      </c>
      <c r="K2129" s="736">
        <v>3704.56</v>
      </c>
      <c r="L2129" s="736"/>
      <c r="M2129" s="736">
        <f t="shared" si="701"/>
        <v>285923.86</v>
      </c>
      <c r="N2129" s="736"/>
      <c r="O2129" s="736"/>
      <c r="P2129" s="736">
        <f t="shared" si="702"/>
        <v>285923.86</v>
      </c>
      <c r="Q2129" s="738">
        <v>285923.86</v>
      </c>
      <c r="R2129" s="738"/>
      <c r="S2129" s="751">
        <v>302375.52</v>
      </c>
      <c r="T2129" s="739">
        <v>1500521</v>
      </c>
      <c r="U2129" s="779">
        <v>309628.94</v>
      </c>
      <c r="V2129" s="741">
        <v>1500522</v>
      </c>
    </row>
    <row r="2130" spans="1:22" ht="15" x14ac:dyDescent="0.25">
      <c r="A2130" s="734">
        <v>1511</v>
      </c>
      <c r="B2130" s="735" t="s">
        <v>18</v>
      </c>
      <c r="C2130" s="736">
        <v>75996.44</v>
      </c>
      <c r="D2130" s="736">
        <v>89358.36</v>
      </c>
      <c r="E2130" s="749">
        <v>83441.460000000006</v>
      </c>
      <c r="F2130" s="736">
        <v>86478.11</v>
      </c>
      <c r="G2130" s="736">
        <v>90679.700000000012</v>
      </c>
      <c r="H2130" s="736"/>
      <c r="I2130" s="736"/>
      <c r="J2130" s="736">
        <f t="shared" si="700"/>
        <v>90679.700000000012</v>
      </c>
      <c r="K2130" s="736">
        <v>991.92</v>
      </c>
      <c r="L2130" s="736"/>
      <c r="M2130" s="736">
        <f t="shared" si="701"/>
        <v>91671.62000000001</v>
      </c>
      <c r="N2130" s="736"/>
      <c r="O2130" s="736"/>
      <c r="P2130" s="736">
        <f t="shared" si="702"/>
        <v>91671.62000000001</v>
      </c>
      <c r="Q2130" s="738">
        <v>91671.62</v>
      </c>
      <c r="R2130" s="738"/>
      <c r="S2130" s="751">
        <v>97162.52</v>
      </c>
      <c r="T2130" s="739">
        <v>1500521</v>
      </c>
      <c r="U2130" s="779">
        <v>90163.66</v>
      </c>
      <c r="V2130" s="741">
        <v>1500522</v>
      </c>
    </row>
    <row r="2131" spans="1:22" ht="15" x14ac:dyDescent="0.25">
      <c r="A2131" s="734">
        <v>1541</v>
      </c>
      <c r="B2131" s="735" t="s">
        <v>19</v>
      </c>
      <c r="C2131" s="736">
        <v>1214926.45</v>
      </c>
      <c r="D2131" s="736">
        <v>1381713.06</v>
      </c>
      <c r="E2131" s="749">
        <v>1297678.53</v>
      </c>
      <c r="F2131" s="736">
        <v>1334381.32</v>
      </c>
      <c r="G2131" s="736">
        <v>1745715.4000000001</v>
      </c>
      <c r="H2131" s="736"/>
      <c r="I2131" s="736"/>
      <c r="J2131" s="736">
        <f t="shared" si="700"/>
        <v>1745715.4000000001</v>
      </c>
      <c r="K2131" s="736"/>
      <c r="L2131" s="736">
        <v>9953.93</v>
      </c>
      <c r="M2131" s="736">
        <f t="shared" si="701"/>
        <v>1735761.4700000002</v>
      </c>
      <c r="N2131" s="736"/>
      <c r="O2131" s="736"/>
      <c r="P2131" s="736">
        <f t="shared" si="702"/>
        <v>1735761.4700000002</v>
      </c>
      <c r="Q2131" s="738">
        <v>1657886.01</v>
      </c>
      <c r="R2131" s="738"/>
      <c r="S2131" s="751">
        <v>1725559.68</v>
      </c>
      <c r="T2131" s="739">
        <v>1500521</v>
      </c>
      <c r="U2131" s="779">
        <v>1725559.68</v>
      </c>
      <c r="V2131" s="741">
        <v>1500522</v>
      </c>
    </row>
    <row r="2132" spans="1:22" ht="15" x14ac:dyDescent="0.25">
      <c r="A2132" s="734">
        <v>1592</v>
      </c>
      <c r="B2132" s="735" t="s">
        <v>20</v>
      </c>
      <c r="C2132" s="736">
        <v>1278139.21</v>
      </c>
      <c r="D2132" s="736">
        <v>1493007.88</v>
      </c>
      <c r="E2132" s="749">
        <v>1395504.41</v>
      </c>
      <c r="F2132" s="736">
        <v>1447840.78</v>
      </c>
      <c r="G2132" s="736">
        <v>1532902.3</v>
      </c>
      <c r="H2132" s="736"/>
      <c r="I2132" s="736"/>
      <c r="J2132" s="736">
        <f t="shared" si="700"/>
        <v>1532902.3</v>
      </c>
      <c r="K2132" s="736">
        <v>12295.67</v>
      </c>
      <c r="L2132" s="736"/>
      <c r="M2132" s="736">
        <f t="shared" si="701"/>
        <v>1545197.97</v>
      </c>
      <c r="N2132" s="736"/>
      <c r="O2132" s="736"/>
      <c r="P2132" s="736">
        <f t="shared" si="702"/>
        <v>1545197.97</v>
      </c>
      <c r="Q2132" s="738">
        <v>1642338.71</v>
      </c>
      <c r="R2132" s="738"/>
      <c r="S2132" s="751">
        <v>1645957.04</v>
      </c>
      <c r="T2132" s="739">
        <v>1500521</v>
      </c>
      <c r="U2132" s="779">
        <v>1544614.38</v>
      </c>
      <c r="V2132" s="741">
        <v>1500522</v>
      </c>
    </row>
    <row r="2133" spans="1:22" ht="15" x14ac:dyDescent="0.2">
      <c r="A2133" s="734">
        <v>2111</v>
      </c>
      <c r="B2133" s="735" t="s">
        <v>22</v>
      </c>
      <c r="C2133" s="736">
        <v>12470</v>
      </c>
      <c r="D2133" s="736">
        <v>12000</v>
      </c>
      <c r="E2133" s="749">
        <v>8400</v>
      </c>
      <c r="F2133" s="736">
        <v>6262.8</v>
      </c>
      <c r="G2133" s="752">
        <v>8400</v>
      </c>
      <c r="H2133" s="752"/>
      <c r="I2133" s="752"/>
      <c r="J2133" s="736">
        <f t="shared" si="700"/>
        <v>8400</v>
      </c>
      <c r="K2133" s="752"/>
      <c r="L2133" s="752"/>
      <c r="M2133" s="736">
        <f t="shared" si="701"/>
        <v>8400</v>
      </c>
      <c r="N2133" s="736"/>
      <c r="O2133" s="736"/>
      <c r="P2133" s="736">
        <f t="shared" si="702"/>
        <v>8400</v>
      </c>
      <c r="Q2133" s="753">
        <v>7260.87</v>
      </c>
      <c r="R2133" s="738">
        <v>6269.05</v>
      </c>
      <c r="S2133" s="753">
        <v>12480</v>
      </c>
      <c r="T2133" s="739">
        <v>1100121</v>
      </c>
      <c r="U2133" s="740">
        <v>9200</v>
      </c>
      <c r="V2133" s="741">
        <v>1100122</v>
      </c>
    </row>
    <row r="2134" spans="1:22" ht="15" x14ac:dyDescent="0.2">
      <c r="A2134" s="739">
        <v>2112</v>
      </c>
      <c r="B2134" s="743" t="s">
        <v>39</v>
      </c>
      <c r="C2134" s="736"/>
      <c r="D2134" s="736"/>
      <c r="E2134" s="749"/>
      <c r="F2134" s="736"/>
      <c r="G2134" s="752"/>
      <c r="H2134" s="752"/>
      <c r="I2134" s="752"/>
      <c r="J2134" s="736"/>
      <c r="K2134" s="752">
        <v>12793</v>
      </c>
      <c r="L2134" s="752"/>
      <c r="M2134" s="736">
        <f t="shared" si="701"/>
        <v>12793</v>
      </c>
      <c r="N2134" s="736"/>
      <c r="O2134" s="736"/>
      <c r="P2134" s="736">
        <f t="shared" si="702"/>
        <v>12793</v>
      </c>
      <c r="Q2134" s="753">
        <v>11209.01</v>
      </c>
      <c r="R2134" s="738">
        <v>11209.01</v>
      </c>
      <c r="S2134" s="753"/>
      <c r="T2134" s="739">
        <v>1100120</v>
      </c>
      <c r="U2134" s="745"/>
      <c r="V2134" s="739">
        <v>1100120</v>
      </c>
    </row>
    <row r="2135" spans="1:22" ht="15" x14ac:dyDescent="0.2">
      <c r="A2135" s="734">
        <v>2121</v>
      </c>
      <c r="B2135" s="735" t="s">
        <v>24</v>
      </c>
      <c r="C2135" s="736">
        <v>14835</v>
      </c>
      <c r="D2135" s="736">
        <v>12000</v>
      </c>
      <c r="E2135" s="749">
        <v>8400</v>
      </c>
      <c r="F2135" s="736">
        <v>7434</v>
      </c>
      <c r="G2135" s="752">
        <v>8400</v>
      </c>
      <c r="H2135" s="752"/>
      <c r="I2135" s="752"/>
      <c r="J2135" s="736">
        <f>G2135+H2135-I2135</f>
        <v>8400</v>
      </c>
      <c r="K2135" s="752"/>
      <c r="L2135" s="752"/>
      <c r="M2135" s="736">
        <f t="shared" si="701"/>
        <v>8400</v>
      </c>
      <c r="N2135" s="736"/>
      <c r="O2135" s="736"/>
      <c r="P2135" s="736">
        <f t="shared" si="702"/>
        <v>8400</v>
      </c>
      <c r="Q2135" s="753">
        <v>8400</v>
      </c>
      <c r="R2135" s="738">
        <v>7878.25</v>
      </c>
      <c r="S2135" s="753">
        <v>12480</v>
      </c>
      <c r="T2135" s="739">
        <v>1100121</v>
      </c>
      <c r="U2135" s="740">
        <v>9200</v>
      </c>
      <c r="V2135" s="741">
        <v>1100122</v>
      </c>
    </row>
    <row r="2136" spans="1:22" ht="15" x14ac:dyDescent="0.2">
      <c r="A2136" s="734">
        <v>2161</v>
      </c>
      <c r="B2136" s="735" t="s">
        <v>1798</v>
      </c>
      <c r="C2136" s="736"/>
      <c r="D2136" s="736"/>
      <c r="E2136" s="749"/>
      <c r="F2136" s="736"/>
      <c r="G2136" s="752"/>
      <c r="H2136" s="752"/>
      <c r="I2136" s="752"/>
      <c r="J2136" s="736"/>
      <c r="K2136" s="752"/>
      <c r="L2136" s="752"/>
      <c r="M2136" s="736"/>
      <c r="N2136" s="736"/>
      <c r="O2136" s="736"/>
      <c r="P2136" s="736"/>
      <c r="Q2136" s="753"/>
      <c r="R2136" s="738"/>
      <c r="S2136" s="753">
        <v>15086</v>
      </c>
      <c r="T2136" s="739"/>
      <c r="U2136" s="754">
        <v>15086</v>
      </c>
      <c r="V2136" s="741">
        <v>1100122</v>
      </c>
    </row>
    <row r="2137" spans="1:22" ht="15" x14ac:dyDescent="0.2">
      <c r="A2137" s="739">
        <v>2421</v>
      </c>
      <c r="B2137" s="743" t="s">
        <v>111</v>
      </c>
      <c r="C2137" s="736">
        <v>681470.4</v>
      </c>
      <c r="D2137" s="736">
        <v>0</v>
      </c>
      <c r="E2137" s="749">
        <v>423074.87</v>
      </c>
      <c r="F2137" s="736">
        <v>363764.98</v>
      </c>
      <c r="G2137" s="752"/>
      <c r="H2137" s="752"/>
      <c r="I2137" s="752"/>
      <c r="J2137" s="736">
        <f t="shared" ref="J2137:J2150" si="703">G2137+H2137-I2137</f>
        <v>0</v>
      </c>
      <c r="K2137" s="752"/>
      <c r="L2137" s="752"/>
      <c r="M2137" s="736">
        <f t="shared" ref="M2137:M2159" si="704">J2137+K2137-L2137</f>
        <v>0</v>
      </c>
      <c r="N2137" s="736"/>
      <c r="O2137" s="736"/>
      <c r="P2137" s="738">
        <f t="shared" ref="P2137:P2164" si="705">M2137+N2137-O2137</f>
        <v>0</v>
      </c>
      <c r="Q2137" s="753"/>
      <c r="R2137" s="738"/>
      <c r="S2137" s="753"/>
      <c r="T2137" s="739">
        <v>1100118</v>
      </c>
      <c r="U2137" s="745"/>
      <c r="V2137" s="739">
        <v>1100118</v>
      </c>
    </row>
    <row r="2138" spans="1:22" ht="15" x14ac:dyDescent="0.2">
      <c r="A2138" s="739">
        <v>2421</v>
      </c>
      <c r="B2138" s="743" t="s">
        <v>111</v>
      </c>
      <c r="C2138" s="736"/>
      <c r="D2138" s="736">
        <v>0</v>
      </c>
      <c r="E2138" s="749">
        <v>830105.55</v>
      </c>
      <c r="F2138" s="736">
        <v>333273.8</v>
      </c>
      <c r="G2138" s="736"/>
      <c r="H2138" s="736"/>
      <c r="I2138" s="736"/>
      <c r="J2138" s="736">
        <f t="shared" si="703"/>
        <v>0</v>
      </c>
      <c r="K2138" s="736"/>
      <c r="L2138" s="736"/>
      <c r="M2138" s="736">
        <f t="shared" si="704"/>
        <v>0</v>
      </c>
      <c r="N2138" s="736"/>
      <c r="O2138" s="736"/>
      <c r="P2138" s="738">
        <f t="shared" si="705"/>
        <v>0</v>
      </c>
      <c r="Q2138" s="738">
        <v>1183858.77</v>
      </c>
      <c r="R2138" s="738"/>
      <c r="S2138" s="738"/>
      <c r="T2138" s="739">
        <v>1100119</v>
      </c>
      <c r="U2138" s="745"/>
      <c r="V2138" s="739">
        <v>1100119</v>
      </c>
    </row>
    <row r="2139" spans="1:22" ht="15" x14ac:dyDescent="0.2">
      <c r="A2139" s="734">
        <v>2421</v>
      </c>
      <c r="B2139" s="735" t="s">
        <v>111</v>
      </c>
      <c r="C2139" s="736"/>
      <c r="D2139" s="736">
        <v>700000</v>
      </c>
      <c r="E2139" s="749"/>
      <c r="F2139" s="736">
        <v>643162.01</v>
      </c>
      <c r="G2139" s="752">
        <v>700000</v>
      </c>
      <c r="H2139" s="752"/>
      <c r="I2139" s="752"/>
      <c r="J2139" s="736">
        <f t="shared" si="703"/>
        <v>700000</v>
      </c>
      <c r="K2139" s="752"/>
      <c r="L2139" s="752"/>
      <c r="M2139" s="736">
        <f t="shared" si="704"/>
        <v>700000</v>
      </c>
      <c r="N2139" s="736">
        <v>1200000</v>
      </c>
      <c r="O2139" s="736"/>
      <c r="P2139" s="736">
        <f t="shared" si="705"/>
        <v>1900000</v>
      </c>
      <c r="Q2139" s="753">
        <v>1600000</v>
      </c>
      <c r="R2139" s="738">
        <v>475920.08</v>
      </c>
      <c r="S2139" s="753">
        <v>166214.5</v>
      </c>
      <c r="T2139" s="739">
        <v>1100121</v>
      </c>
      <c r="U2139" s="754">
        <v>166214</v>
      </c>
      <c r="V2139" s="741">
        <v>1100122</v>
      </c>
    </row>
    <row r="2140" spans="1:22" ht="15" x14ac:dyDescent="0.2">
      <c r="A2140" s="734">
        <v>2441</v>
      </c>
      <c r="B2140" s="735" t="s">
        <v>291</v>
      </c>
      <c r="C2140" s="736">
        <v>39913.81</v>
      </c>
      <c r="D2140" s="736">
        <v>40000</v>
      </c>
      <c r="E2140" s="749">
        <v>40000</v>
      </c>
      <c r="F2140" s="736">
        <v>34915.99</v>
      </c>
      <c r="G2140" s="736"/>
      <c r="H2140" s="736"/>
      <c r="I2140" s="736"/>
      <c r="J2140" s="736">
        <f t="shared" si="703"/>
        <v>0</v>
      </c>
      <c r="K2140" s="736"/>
      <c r="L2140" s="736"/>
      <c r="M2140" s="736">
        <f t="shared" si="704"/>
        <v>0</v>
      </c>
      <c r="N2140" s="736"/>
      <c r="O2140" s="736"/>
      <c r="P2140" s="738">
        <f t="shared" si="705"/>
        <v>0</v>
      </c>
      <c r="Q2140" s="738"/>
      <c r="R2140" s="738"/>
      <c r="S2140" s="738">
        <v>38833.519999999997</v>
      </c>
      <c r="T2140" s="739">
        <v>1100121</v>
      </c>
      <c r="U2140" s="740">
        <v>30000</v>
      </c>
      <c r="V2140" s="741">
        <v>1100122</v>
      </c>
    </row>
    <row r="2141" spans="1:22" ht="15" x14ac:dyDescent="0.2">
      <c r="A2141" s="739">
        <v>2481</v>
      </c>
      <c r="B2141" s="743" t="s">
        <v>292</v>
      </c>
      <c r="C2141" s="736"/>
      <c r="D2141" s="736"/>
      <c r="E2141" s="749"/>
      <c r="F2141" s="736"/>
      <c r="G2141" s="752">
        <v>2600000</v>
      </c>
      <c r="H2141" s="752"/>
      <c r="I2141" s="752">
        <v>2600000</v>
      </c>
      <c r="J2141" s="736">
        <f t="shared" si="703"/>
        <v>0</v>
      </c>
      <c r="K2141" s="752"/>
      <c r="L2141" s="752"/>
      <c r="M2141" s="736">
        <f t="shared" si="704"/>
        <v>0</v>
      </c>
      <c r="N2141" s="736"/>
      <c r="O2141" s="736"/>
      <c r="P2141" s="738">
        <f t="shared" si="705"/>
        <v>0</v>
      </c>
      <c r="Q2141" s="753"/>
      <c r="R2141" s="738">
        <v>2607999.65</v>
      </c>
      <c r="S2141" s="753"/>
      <c r="T2141" s="808">
        <v>1100119</v>
      </c>
      <c r="U2141" s="745"/>
      <c r="V2141" s="808">
        <v>1100119</v>
      </c>
    </row>
    <row r="2142" spans="1:22" ht="15" x14ac:dyDescent="0.2">
      <c r="A2142" s="739">
        <v>2481</v>
      </c>
      <c r="B2142" s="743" t="s">
        <v>292</v>
      </c>
      <c r="C2142" s="736"/>
      <c r="D2142" s="736"/>
      <c r="E2142" s="749"/>
      <c r="F2142" s="736"/>
      <c r="G2142" s="752"/>
      <c r="H2142" s="752">
        <v>6394152</v>
      </c>
      <c r="I2142" s="752"/>
      <c r="J2142" s="736">
        <f t="shared" si="703"/>
        <v>6394152</v>
      </c>
      <c r="K2142" s="752"/>
      <c r="L2142" s="752"/>
      <c r="M2142" s="736">
        <f t="shared" si="704"/>
        <v>6394152</v>
      </c>
      <c r="N2142" s="736"/>
      <c r="O2142" s="736"/>
      <c r="P2142" s="736">
        <f t="shared" si="705"/>
        <v>6394152</v>
      </c>
      <c r="Q2142" s="753"/>
      <c r="R2142" s="738">
        <v>7424896.75</v>
      </c>
      <c r="S2142" s="753"/>
      <c r="T2142" s="808">
        <v>1100120</v>
      </c>
      <c r="U2142" s="745"/>
      <c r="V2142" s="808">
        <v>1100120</v>
      </c>
    </row>
    <row r="2143" spans="1:22" ht="15" x14ac:dyDescent="0.2">
      <c r="A2143" s="739">
        <v>2481</v>
      </c>
      <c r="B2143" s="743" t="s">
        <v>292</v>
      </c>
      <c r="C2143" s="736"/>
      <c r="D2143" s="736"/>
      <c r="E2143" s="749"/>
      <c r="F2143" s="736"/>
      <c r="G2143" s="752"/>
      <c r="H2143" s="752">
        <v>1083846.8999999999</v>
      </c>
      <c r="I2143" s="752"/>
      <c r="J2143" s="736">
        <f t="shared" si="703"/>
        <v>1083846.8999999999</v>
      </c>
      <c r="K2143" s="752"/>
      <c r="L2143" s="752"/>
      <c r="M2143" s="736">
        <f t="shared" si="704"/>
        <v>1083846.8999999999</v>
      </c>
      <c r="N2143" s="736"/>
      <c r="O2143" s="736"/>
      <c r="P2143" s="736">
        <f t="shared" si="705"/>
        <v>1083846.8999999999</v>
      </c>
      <c r="Q2143" s="753">
        <v>11477998.9</v>
      </c>
      <c r="R2143" s="738"/>
      <c r="S2143" s="753"/>
      <c r="T2143" s="808">
        <v>1100120</v>
      </c>
      <c r="U2143" s="745"/>
      <c r="V2143" s="808">
        <v>1100120</v>
      </c>
    </row>
    <row r="2144" spans="1:22" ht="15" x14ac:dyDescent="0.2">
      <c r="A2144" s="739">
        <v>2481</v>
      </c>
      <c r="B2144" s="743" t="s">
        <v>292</v>
      </c>
      <c r="C2144" s="736"/>
      <c r="D2144" s="736"/>
      <c r="E2144" s="749"/>
      <c r="F2144" s="736"/>
      <c r="G2144" s="752"/>
      <c r="H2144" s="752">
        <v>4000000</v>
      </c>
      <c r="I2144" s="752"/>
      <c r="J2144" s="736">
        <f t="shared" si="703"/>
        <v>4000000</v>
      </c>
      <c r="K2144" s="752"/>
      <c r="L2144" s="752"/>
      <c r="M2144" s="736">
        <f t="shared" si="704"/>
        <v>4000000</v>
      </c>
      <c r="N2144" s="736"/>
      <c r="O2144" s="736"/>
      <c r="P2144" s="736">
        <f t="shared" si="705"/>
        <v>4000000</v>
      </c>
      <c r="Q2144" s="753"/>
      <c r="R2144" s="738"/>
      <c r="S2144" s="753"/>
      <c r="T2144" s="808">
        <v>1100120</v>
      </c>
      <c r="U2144" s="745"/>
      <c r="V2144" s="808">
        <v>1100120</v>
      </c>
    </row>
    <row r="2145" spans="1:22" ht="15" x14ac:dyDescent="0.2">
      <c r="A2145" s="739">
        <v>2481</v>
      </c>
      <c r="B2145" s="743" t="s">
        <v>292</v>
      </c>
      <c r="C2145" s="736"/>
      <c r="D2145" s="736"/>
      <c r="E2145" s="749"/>
      <c r="F2145" s="736"/>
      <c r="G2145" s="752"/>
      <c r="H2145" s="752">
        <f>2493000 +114999.65</f>
        <v>2607999.65</v>
      </c>
      <c r="I2145" s="752"/>
      <c r="J2145" s="736">
        <f t="shared" si="703"/>
        <v>2607999.65</v>
      </c>
      <c r="K2145" s="752"/>
      <c r="L2145" s="752"/>
      <c r="M2145" s="736">
        <f t="shared" si="704"/>
        <v>2607999.65</v>
      </c>
      <c r="N2145" s="736"/>
      <c r="O2145" s="736"/>
      <c r="P2145" s="736">
        <f t="shared" si="705"/>
        <v>2607999.65</v>
      </c>
      <c r="Q2145" s="753"/>
      <c r="R2145" s="738"/>
      <c r="S2145" s="753"/>
      <c r="T2145" s="808">
        <v>1100119</v>
      </c>
      <c r="U2145" s="745"/>
      <c r="V2145" s="808">
        <v>1100119</v>
      </c>
    </row>
    <row r="2146" spans="1:22" ht="15" x14ac:dyDescent="0.2">
      <c r="A2146" s="734">
        <v>2481</v>
      </c>
      <c r="B2146" s="735" t="s">
        <v>292</v>
      </c>
      <c r="C2146" s="736">
        <v>274802.99</v>
      </c>
      <c r="D2146" s="736">
        <v>0</v>
      </c>
      <c r="E2146" s="749">
        <v>2948700.04</v>
      </c>
      <c r="F2146" s="736">
        <v>0</v>
      </c>
      <c r="G2146" s="752">
        <v>6394152</v>
      </c>
      <c r="H2146" s="752"/>
      <c r="I2146" s="752">
        <v>6394152</v>
      </c>
      <c r="J2146" s="736">
        <f t="shared" si="703"/>
        <v>0</v>
      </c>
      <c r="K2146" s="752"/>
      <c r="L2146" s="752"/>
      <c r="M2146" s="736">
        <f t="shared" si="704"/>
        <v>0</v>
      </c>
      <c r="N2146" s="736"/>
      <c r="O2146" s="736"/>
      <c r="P2146" s="738">
        <f t="shared" si="705"/>
        <v>0</v>
      </c>
      <c r="Q2146" s="753">
        <v>2607999.65</v>
      </c>
      <c r="R2146" s="738"/>
      <c r="S2146" s="753"/>
      <c r="T2146" s="808">
        <v>1100120</v>
      </c>
      <c r="U2146" s="740">
        <f>683040+4657740</f>
        <v>5340780</v>
      </c>
      <c r="V2146" s="870">
        <v>1100121</v>
      </c>
    </row>
    <row r="2147" spans="1:22" ht="15" x14ac:dyDescent="0.2">
      <c r="A2147" s="734">
        <v>2481</v>
      </c>
      <c r="B2147" s="735" t="s">
        <v>292</v>
      </c>
      <c r="C2147" s="736">
        <v>13386014.550000001</v>
      </c>
      <c r="D2147" s="736">
        <v>13000000</v>
      </c>
      <c r="E2147" s="749">
        <v>12142331.5</v>
      </c>
      <c r="F2147" s="736">
        <f>9649665.2-401564.6-4262768</f>
        <v>4985332.5999999996</v>
      </c>
      <c r="G2147" s="752">
        <v>1083846.8999999999</v>
      </c>
      <c r="H2147" s="752"/>
      <c r="I2147" s="752">
        <v>1083846.8999999999</v>
      </c>
      <c r="J2147" s="736">
        <f t="shared" si="703"/>
        <v>0</v>
      </c>
      <c r="K2147" s="752"/>
      <c r="L2147" s="752"/>
      <c r="M2147" s="736">
        <f t="shared" si="704"/>
        <v>0</v>
      </c>
      <c r="N2147" s="736"/>
      <c r="O2147" s="736"/>
      <c r="P2147" s="738">
        <f t="shared" si="705"/>
        <v>0</v>
      </c>
      <c r="Q2147" s="753">
        <v>2914555.2</v>
      </c>
      <c r="R2147" s="738"/>
      <c r="S2147" s="753"/>
      <c r="T2147" s="808">
        <v>1100120</v>
      </c>
      <c r="U2147" s="740">
        <f>241650+2084000</f>
        <v>2325650</v>
      </c>
      <c r="V2147" s="870">
        <v>1100120</v>
      </c>
    </row>
    <row r="2148" spans="1:22" ht="15" x14ac:dyDescent="0.2">
      <c r="A2148" s="734">
        <v>2481</v>
      </c>
      <c r="B2148" s="735" t="s">
        <v>292</v>
      </c>
      <c r="C2148" s="736">
        <v>4023118.63</v>
      </c>
      <c r="D2148" s="736">
        <v>0</v>
      </c>
      <c r="E2148" s="749"/>
      <c r="F2148" s="736">
        <v>2318242.9300000002</v>
      </c>
      <c r="G2148" s="752">
        <v>10000000</v>
      </c>
      <c r="H2148" s="752"/>
      <c r="I2148" s="752"/>
      <c r="J2148" s="736">
        <f t="shared" si="703"/>
        <v>10000000</v>
      </c>
      <c r="K2148" s="752"/>
      <c r="L2148" s="752"/>
      <c r="M2148" s="736">
        <f t="shared" si="704"/>
        <v>10000000</v>
      </c>
      <c r="N2148" s="736"/>
      <c r="O2148" s="736"/>
      <c r="P2148" s="736">
        <f t="shared" si="705"/>
        <v>10000000</v>
      </c>
      <c r="Q2148" s="753">
        <v>10000000</v>
      </c>
      <c r="R2148" s="738">
        <v>3649525.5</v>
      </c>
      <c r="S2148" s="914">
        <v>17495050</v>
      </c>
      <c r="T2148" s="808">
        <v>2510221</v>
      </c>
      <c r="U2148" s="754">
        <v>10000000</v>
      </c>
      <c r="V2148" s="870">
        <v>2510222</v>
      </c>
    </row>
    <row r="2149" spans="1:22" ht="15" x14ac:dyDescent="0.2">
      <c r="A2149" s="739">
        <v>2491</v>
      </c>
      <c r="B2149" s="743" t="s">
        <v>41</v>
      </c>
      <c r="C2149" s="736">
        <v>117411.98</v>
      </c>
      <c r="D2149" s="736">
        <v>0</v>
      </c>
      <c r="E2149" s="749">
        <v>72622.350000000006</v>
      </c>
      <c r="F2149" s="736">
        <v>51272</v>
      </c>
      <c r="G2149" s="736"/>
      <c r="H2149" s="736"/>
      <c r="I2149" s="736"/>
      <c r="J2149" s="736">
        <f t="shared" si="703"/>
        <v>0</v>
      </c>
      <c r="K2149" s="736"/>
      <c r="L2149" s="736"/>
      <c r="M2149" s="736">
        <f t="shared" si="704"/>
        <v>0</v>
      </c>
      <c r="N2149" s="736"/>
      <c r="O2149" s="736"/>
      <c r="P2149" s="738">
        <f t="shared" si="705"/>
        <v>0</v>
      </c>
      <c r="Q2149" s="738"/>
      <c r="R2149" s="738"/>
      <c r="S2149" s="738"/>
      <c r="T2149" s="739">
        <v>1100119</v>
      </c>
      <c r="U2149" s="745">
        <v>0</v>
      </c>
      <c r="V2149" s="808">
        <v>1100121</v>
      </c>
    </row>
    <row r="2150" spans="1:22" ht="15" x14ac:dyDescent="0.2">
      <c r="A2150" s="734">
        <v>2491</v>
      </c>
      <c r="B2150" s="735" t="s">
        <v>41</v>
      </c>
      <c r="C2150" s="736"/>
      <c r="D2150" s="736">
        <v>90000</v>
      </c>
      <c r="E2150" s="749">
        <v>51300</v>
      </c>
      <c r="F2150" s="736">
        <v>72622.23</v>
      </c>
      <c r="G2150" s="752">
        <v>90000</v>
      </c>
      <c r="H2150" s="752"/>
      <c r="I2150" s="752"/>
      <c r="J2150" s="736">
        <f t="shared" si="703"/>
        <v>90000</v>
      </c>
      <c r="K2150" s="752"/>
      <c r="L2150" s="752"/>
      <c r="M2150" s="736">
        <f t="shared" si="704"/>
        <v>90000</v>
      </c>
      <c r="N2150" s="736"/>
      <c r="O2150" s="736"/>
      <c r="P2150" s="736">
        <f t="shared" si="705"/>
        <v>90000</v>
      </c>
      <c r="Q2150" s="753">
        <v>90000</v>
      </c>
      <c r="R2150" s="738">
        <v>88713.43</v>
      </c>
      <c r="S2150" s="753">
        <v>124799.08</v>
      </c>
      <c r="T2150" s="739">
        <v>1100121</v>
      </c>
      <c r="U2150" s="754">
        <v>124800</v>
      </c>
      <c r="V2150" s="741">
        <v>1100122</v>
      </c>
    </row>
    <row r="2151" spans="1:22" ht="15" x14ac:dyDescent="0.2">
      <c r="A2151" s="739">
        <v>2491</v>
      </c>
      <c r="B2151" s="743" t="s">
        <v>41</v>
      </c>
      <c r="C2151" s="736"/>
      <c r="D2151" s="736"/>
      <c r="E2151" s="749"/>
      <c r="F2151" s="736"/>
      <c r="G2151" s="752"/>
      <c r="H2151" s="752"/>
      <c r="I2151" s="752"/>
      <c r="J2151" s="736"/>
      <c r="K2151" s="752">
        <v>27134.84</v>
      </c>
      <c r="L2151" s="752"/>
      <c r="M2151" s="736">
        <f t="shared" si="704"/>
        <v>27134.84</v>
      </c>
      <c r="N2151" s="736"/>
      <c r="O2151" s="736"/>
      <c r="P2151" s="736">
        <f t="shared" si="705"/>
        <v>27134.84</v>
      </c>
      <c r="Q2151" s="753">
        <v>25554.84</v>
      </c>
      <c r="R2151" s="738">
        <v>18792</v>
      </c>
      <c r="S2151" s="753"/>
      <c r="T2151" s="739">
        <v>1100120</v>
      </c>
      <c r="U2151" s="745"/>
      <c r="V2151" s="739">
        <v>1100120</v>
      </c>
    </row>
    <row r="2152" spans="1:22" ht="15" x14ac:dyDescent="0.2">
      <c r="A2152" s="739">
        <v>2511</v>
      </c>
      <c r="B2152" s="743" t="s">
        <v>1799</v>
      </c>
      <c r="C2152" s="736">
        <v>27150.73</v>
      </c>
      <c r="D2152" s="736">
        <v>40000</v>
      </c>
      <c r="E2152" s="749">
        <v>40000</v>
      </c>
      <c r="F2152" s="736">
        <v>28285.97</v>
      </c>
      <c r="G2152" s="752">
        <v>48000</v>
      </c>
      <c r="H2152" s="752"/>
      <c r="I2152" s="752"/>
      <c r="J2152" s="736">
        <f t="shared" ref="J2152:J2159" si="706">G2152+H2152-I2152</f>
        <v>48000</v>
      </c>
      <c r="K2152" s="752"/>
      <c r="L2152" s="752"/>
      <c r="M2152" s="736">
        <f t="shared" si="704"/>
        <v>48000</v>
      </c>
      <c r="N2152" s="736"/>
      <c r="O2152" s="736"/>
      <c r="P2152" s="736">
        <f t="shared" si="705"/>
        <v>48000</v>
      </c>
      <c r="Q2152" s="753">
        <v>48000</v>
      </c>
      <c r="R2152" s="738">
        <v>16452.669999999998</v>
      </c>
      <c r="S2152" s="753">
        <v>57200</v>
      </c>
      <c r="T2152" s="739">
        <v>1100121</v>
      </c>
      <c r="U2152" s="744"/>
      <c r="V2152" s="739">
        <v>1100122</v>
      </c>
    </row>
    <row r="2153" spans="1:22" ht="30" x14ac:dyDescent="0.2">
      <c r="A2153" s="734">
        <v>2612</v>
      </c>
      <c r="B2153" s="735" t="s">
        <v>26</v>
      </c>
      <c r="C2153" s="736">
        <v>2980895.95</v>
      </c>
      <c r="D2153" s="736">
        <v>3150000</v>
      </c>
      <c r="E2153" s="749">
        <v>2800000</v>
      </c>
      <c r="F2153" s="736">
        <v>2335903.65</v>
      </c>
      <c r="G2153" s="752">
        <v>2800000</v>
      </c>
      <c r="H2153" s="752"/>
      <c r="I2153" s="752"/>
      <c r="J2153" s="736">
        <f t="shared" si="706"/>
        <v>2800000</v>
      </c>
      <c r="K2153" s="752"/>
      <c r="L2153" s="752">
        <v>85000</v>
      </c>
      <c r="M2153" s="736">
        <f t="shared" si="704"/>
        <v>2715000</v>
      </c>
      <c r="N2153" s="736"/>
      <c r="O2153" s="736">
        <v>15000</v>
      </c>
      <c r="P2153" s="736">
        <f t="shared" si="705"/>
        <v>2700000</v>
      </c>
      <c r="Q2153" s="753">
        <v>2700000</v>
      </c>
      <c r="R2153" s="738">
        <v>2263255.29</v>
      </c>
      <c r="S2153" s="738">
        <f>Q2153</f>
        <v>2700000</v>
      </c>
      <c r="T2153" s="739">
        <v>1100121</v>
      </c>
      <c r="U2153" s="740">
        <v>3000000</v>
      </c>
      <c r="V2153" s="741">
        <v>1100122</v>
      </c>
    </row>
    <row r="2154" spans="1:22" ht="30" x14ac:dyDescent="0.2">
      <c r="A2154" s="734">
        <v>2613</v>
      </c>
      <c r="B2154" s="762" t="s">
        <v>26</v>
      </c>
      <c r="C2154" s="736"/>
      <c r="D2154" s="736"/>
      <c r="E2154" s="749"/>
      <c r="F2154" s="736"/>
      <c r="G2154" s="752">
        <v>300000</v>
      </c>
      <c r="H2154" s="752"/>
      <c r="I2154" s="752"/>
      <c r="J2154" s="736">
        <f t="shared" si="706"/>
        <v>300000</v>
      </c>
      <c r="K2154" s="752"/>
      <c r="L2154" s="752"/>
      <c r="M2154" s="736">
        <f t="shared" si="704"/>
        <v>300000</v>
      </c>
      <c r="N2154" s="736"/>
      <c r="O2154" s="736"/>
      <c r="P2154" s="736">
        <f t="shared" si="705"/>
        <v>300000</v>
      </c>
      <c r="Q2154" s="753">
        <v>300000</v>
      </c>
      <c r="R2154" s="738">
        <v>299965.09000000003</v>
      </c>
      <c r="S2154" s="738">
        <f>Q2154</f>
        <v>300000</v>
      </c>
      <c r="T2154" s="739">
        <v>1100121</v>
      </c>
      <c r="U2154" s="740">
        <v>400000</v>
      </c>
      <c r="V2154" s="741">
        <v>1100122</v>
      </c>
    </row>
    <row r="2155" spans="1:22" ht="15" x14ac:dyDescent="0.2">
      <c r="A2155" s="734">
        <v>2614</v>
      </c>
      <c r="B2155" s="735" t="s">
        <v>116</v>
      </c>
      <c r="C2155" s="736"/>
      <c r="D2155" s="736">
        <v>700000</v>
      </c>
      <c r="E2155" s="749">
        <v>300000</v>
      </c>
      <c r="F2155" s="736">
        <v>50279.46</v>
      </c>
      <c r="G2155" s="915">
        <v>500000</v>
      </c>
      <c r="H2155" s="915"/>
      <c r="I2155" s="915"/>
      <c r="J2155" s="736">
        <f t="shared" si="706"/>
        <v>500000</v>
      </c>
      <c r="K2155" s="915"/>
      <c r="L2155" s="752"/>
      <c r="M2155" s="736">
        <f t="shared" si="704"/>
        <v>500000</v>
      </c>
      <c r="N2155" s="736"/>
      <c r="O2155" s="736">
        <v>350000</v>
      </c>
      <c r="P2155" s="736">
        <f t="shared" si="705"/>
        <v>150000</v>
      </c>
      <c r="Q2155" s="772">
        <v>150000</v>
      </c>
      <c r="R2155" s="738">
        <v>48957.03</v>
      </c>
      <c r="S2155" s="738">
        <f>Q2155</f>
        <v>150000</v>
      </c>
      <c r="T2155" s="739">
        <v>1100121</v>
      </c>
      <c r="U2155" s="740">
        <v>600000</v>
      </c>
      <c r="V2155" s="741">
        <v>1100122</v>
      </c>
    </row>
    <row r="2156" spans="1:22" ht="15" x14ac:dyDescent="0.2">
      <c r="A2156" s="739">
        <v>2711</v>
      </c>
      <c r="B2156" s="743" t="s">
        <v>27</v>
      </c>
      <c r="C2156" s="736"/>
      <c r="D2156" s="736">
        <v>50000</v>
      </c>
      <c r="E2156" s="749">
        <v>0</v>
      </c>
      <c r="F2156" s="736">
        <v>0</v>
      </c>
      <c r="G2156" s="752"/>
      <c r="H2156" s="752"/>
      <c r="I2156" s="752"/>
      <c r="J2156" s="736">
        <f t="shared" si="706"/>
        <v>0</v>
      </c>
      <c r="K2156" s="752"/>
      <c r="L2156" s="752"/>
      <c r="M2156" s="736">
        <f t="shared" si="704"/>
        <v>0</v>
      </c>
      <c r="N2156" s="736"/>
      <c r="O2156" s="736"/>
      <c r="P2156" s="738">
        <f t="shared" si="705"/>
        <v>0</v>
      </c>
      <c r="Q2156" s="753"/>
      <c r="R2156" s="738"/>
      <c r="S2156" s="753"/>
      <c r="T2156" s="739">
        <v>1100121</v>
      </c>
      <c r="U2156" s="744"/>
      <c r="V2156" s="739">
        <v>1100122</v>
      </c>
    </row>
    <row r="2157" spans="1:22" ht="15" x14ac:dyDescent="0.2">
      <c r="A2157" s="734">
        <v>2911</v>
      </c>
      <c r="B2157" s="735" t="s">
        <v>60</v>
      </c>
      <c r="C2157" s="736">
        <v>97089.08</v>
      </c>
      <c r="D2157" s="736">
        <v>150000</v>
      </c>
      <c r="E2157" s="749">
        <v>70024.5</v>
      </c>
      <c r="F2157" s="736">
        <v>56003.57</v>
      </c>
      <c r="G2157" s="752">
        <v>128800</v>
      </c>
      <c r="H2157" s="752"/>
      <c r="I2157" s="752"/>
      <c r="J2157" s="736">
        <f t="shared" si="706"/>
        <v>128800</v>
      </c>
      <c r="K2157" s="752"/>
      <c r="L2157" s="752"/>
      <c r="M2157" s="736">
        <f t="shared" si="704"/>
        <v>128800</v>
      </c>
      <c r="N2157" s="736"/>
      <c r="O2157" s="736"/>
      <c r="P2157" s="736">
        <f t="shared" si="705"/>
        <v>128800</v>
      </c>
      <c r="Q2157" s="753">
        <v>128800</v>
      </c>
      <c r="R2157" s="738">
        <v>3544</v>
      </c>
      <c r="S2157" s="753">
        <v>101437.7</v>
      </c>
      <c r="T2157" s="739">
        <v>1100121</v>
      </c>
      <c r="U2157" s="754">
        <v>101438</v>
      </c>
      <c r="V2157" s="741">
        <v>1100122</v>
      </c>
    </row>
    <row r="2158" spans="1:22" ht="15" x14ac:dyDescent="0.2">
      <c r="A2158" s="739">
        <v>3261</v>
      </c>
      <c r="B2158" s="743" t="s">
        <v>293</v>
      </c>
      <c r="C2158" s="736">
        <v>51040</v>
      </c>
      <c r="D2158" s="736"/>
      <c r="E2158" s="736"/>
      <c r="F2158" s="736"/>
      <c r="G2158" s="752"/>
      <c r="H2158" s="752"/>
      <c r="I2158" s="752"/>
      <c r="J2158" s="736">
        <f t="shared" si="706"/>
        <v>0</v>
      </c>
      <c r="K2158" s="752"/>
      <c r="L2158" s="752"/>
      <c r="M2158" s="736">
        <f t="shared" si="704"/>
        <v>0</v>
      </c>
      <c r="N2158" s="736">
        <v>100000</v>
      </c>
      <c r="O2158" s="736"/>
      <c r="P2158" s="736">
        <f t="shared" si="705"/>
        <v>100000</v>
      </c>
      <c r="Q2158" s="753">
        <v>100000</v>
      </c>
      <c r="R2158" s="738">
        <v>98000</v>
      </c>
      <c r="S2158" s="753">
        <v>405000</v>
      </c>
      <c r="T2158" s="739">
        <v>1100121</v>
      </c>
      <c r="U2158" s="745"/>
      <c r="V2158" s="739">
        <v>1100122</v>
      </c>
    </row>
    <row r="2159" spans="1:22" ht="15" x14ac:dyDescent="0.2">
      <c r="A2159" s="739">
        <v>3551</v>
      </c>
      <c r="B2159" s="743" t="s">
        <v>30</v>
      </c>
      <c r="C2159" s="736"/>
      <c r="D2159" s="736"/>
      <c r="E2159" s="736"/>
      <c r="F2159" s="736"/>
      <c r="G2159" s="752"/>
      <c r="H2159" s="752">
        <v>107500</v>
      </c>
      <c r="I2159" s="752"/>
      <c r="J2159" s="736">
        <f t="shared" si="706"/>
        <v>107500</v>
      </c>
      <c r="K2159" s="752"/>
      <c r="L2159" s="752"/>
      <c r="M2159" s="736">
        <f t="shared" si="704"/>
        <v>107500</v>
      </c>
      <c r="N2159" s="736"/>
      <c r="O2159" s="736">
        <v>107500</v>
      </c>
      <c r="P2159" s="738">
        <f t="shared" si="705"/>
        <v>0</v>
      </c>
      <c r="Q2159" s="753">
        <v>350000</v>
      </c>
      <c r="R2159" s="738"/>
      <c r="S2159" s="738">
        <f>Q2159</f>
        <v>350000</v>
      </c>
      <c r="T2159" s="739">
        <v>1100120</v>
      </c>
      <c r="U2159" s="745"/>
      <c r="V2159" s="739">
        <v>1100120</v>
      </c>
    </row>
    <row r="2160" spans="1:22" ht="15" x14ac:dyDescent="0.2">
      <c r="A2160" s="734">
        <v>5691</v>
      </c>
      <c r="B2160" s="735" t="s">
        <v>1713</v>
      </c>
      <c r="C2160" s="736"/>
      <c r="D2160" s="736"/>
      <c r="E2160" s="736"/>
      <c r="F2160" s="736"/>
      <c r="G2160" s="752"/>
      <c r="H2160" s="752"/>
      <c r="I2160" s="752"/>
      <c r="J2160" s="736"/>
      <c r="K2160" s="752"/>
      <c r="L2160" s="752"/>
      <c r="M2160" s="736"/>
      <c r="N2160" s="736">
        <v>107500</v>
      </c>
      <c r="O2160" s="736"/>
      <c r="P2160" s="736">
        <f t="shared" si="705"/>
        <v>107500</v>
      </c>
      <c r="Q2160" s="753">
        <v>107500</v>
      </c>
      <c r="R2160" s="738"/>
      <c r="S2160" s="753"/>
      <c r="T2160" s="739">
        <v>1100120</v>
      </c>
      <c r="U2160" s="740">
        <v>120000</v>
      </c>
      <c r="V2160" s="741">
        <v>1100121</v>
      </c>
    </row>
    <row r="2161" spans="1:22" ht="15" x14ac:dyDescent="0.2">
      <c r="A2161" s="734">
        <v>3551</v>
      </c>
      <c r="B2161" s="735" t="s">
        <v>30</v>
      </c>
      <c r="C2161" s="736">
        <v>2637014.5699999998</v>
      </c>
      <c r="D2161" s="736">
        <v>3200000</v>
      </c>
      <c r="E2161" s="749">
        <v>2800000</v>
      </c>
      <c r="F2161" s="736">
        <v>2789910.5500000003</v>
      </c>
      <c r="G2161" s="752">
        <v>3000000</v>
      </c>
      <c r="H2161" s="752"/>
      <c r="I2161" s="752"/>
      <c r="J2161" s="736">
        <f t="shared" ref="J2161:J2164" si="707">G2161+H2161-I2161</f>
        <v>3000000</v>
      </c>
      <c r="K2161" s="752"/>
      <c r="L2161" s="752"/>
      <c r="M2161" s="736">
        <f t="shared" ref="M2161:M2164" si="708">J2161+K2161-L2161</f>
        <v>3000000</v>
      </c>
      <c r="N2161" s="736">
        <v>800000</v>
      </c>
      <c r="O2161" s="736"/>
      <c r="P2161" s="736">
        <f t="shared" si="705"/>
        <v>3800000</v>
      </c>
      <c r="Q2161" s="753">
        <v>3800000</v>
      </c>
      <c r="R2161" s="738">
        <v>3797393.35</v>
      </c>
      <c r="S2161" s="738">
        <f>Q2161</f>
        <v>3800000</v>
      </c>
      <c r="T2161" s="739">
        <v>1100121</v>
      </c>
      <c r="U2161" s="740">
        <v>4940000</v>
      </c>
      <c r="V2161" s="741">
        <v>1100122</v>
      </c>
    </row>
    <row r="2162" spans="1:22" ht="15" x14ac:dyDescent="0.2">
      <c r="A2162" s="734">
        <v>3571</v>
      </c>
      <c r="B2162" s="735" t="s">
        <v>65</v>
      </c>
      <c r="C2162" s="736"/>
      <c r="D2162" s="736">
        <v>608000</v>
      </c>
      <c r="E2162" s="736"/>
      <c r="F2162" s="736">
        <v>0</v>
      </c>
      <c r="G2162" s="752">
        <v>50000</v>
      </c>
      <c r="H2162" s="752"/>
      <c r="I2162" s="752"/>
      <c r="J2162" s="736">
        <f t="shared" si="707"/>
        <v>50000</v>
      </c>
      <c r="K2162" s="752"/>
      <c r="L2162" s="752"/>
      <c r="M2162" s="736">
        <f t="shared" si="708"/>
        <v>50000</v>
      </c>
      <c r="N2162" s="736"/>
      <c r="O2162" s="736"/>
      <c r="P2162" s="736">
        <f t="shared" si="705"/>
        <v>50000</v>
      </c>
      <c r="Q2162" s="753">
        <v>50000</v>
      </c>
      <c r="R2162" s="738">
        <v>12829.6</v>
      </c>
      <c r="S2162" s="753">
        <v>50000</v>
      </c>
      <c r="T2162" s="739">
        <v>1100121</v>
      </c>
      <c r="U2162" s="754">
        <v>50000</v>
      </c>
      <c r="V2162" s="741">
        <v>1100122</v>
      </c>
    </row>
    <row r="2163" spans="1:22" ht="15" x14ac:dyDescent="0.2">
      <c r="A2163" s="739">
        <v>3611</v>
      </c>
      <c r="B2163" s="743" t="s">
        <v>66</v>
      </c>
      <c r="C2163" s="736"/>
      <c r="D2163" s="736">
        <v>20000</v>
      </c>
      <c r="E2163" s="749">
        <v>8247.6</v>
      </c>
      <c r="F2163" s="736">
        <v>8247.6</v>
      </c>
      <c r="G2163" s="752">
        <v>10000</v>
      </c>
      <c r="H2163" s="752"/>
      <c r="I2163" s="752"/>
      <c r="J2163" s="736">
        <f t="shared" si="707"/>
        <v>10000</v>
      </c>
      <c r="K2163" s="752"/>
      <c r="L2163" s="752"/>
      <c r="M2163" s="736">
        <f t="shared" si="708"/>
        <v>10000</v>
      </c>
      <c r="N2163" s="736"/>
      <c r="O2163" s="736"/>
      <c r="P2163" s="736">
        <f t="shared" si="705"/>
        <v>10000</v>
      </c>
      <c r="Q2163" s="753">
        <v>10000</v>
      </c>
      <c r="R2163" s="738"/>
      <c r="S2163" s="753">
        <v>15000</v>
      </c>
      <c r="T2163" s="739">
        <v>1100121</v>
      </c>
      <c r="U2163" s="745"/>
      <c r="V2163" s="739">
        <v>1100122</v>
      </c>
    </row>
    <row r="2164" spans="1:22" ht="15" x14ac:dyDescent="0.2">
      <c r="A2164" s="734">
        <v>3921</v>
      </c>
      <c r="B2164" s="735" t="s">
        <v>33</v>
      </c>
      <c r="C2164" s="736">
        <v>15510.23</v>
      </c>
      <c r="D2164" s="736">
        <v>24400</v>
      </c>
      <c r="E2164" s="749">
        <v>24400</v>
      </c>
      <c r="F2164" s="736">
        <v>10670.89</v>
      </c>
      <c r="G2164" s="752">
        <v>24500</v>
      </c>
      <c r="H2164" s="752"/>
      <c r="I2164" s="752"/>
      <c r="J2164" s="736">
        <f t="shared" si="707"/>
        <v>24500</v>
      </c>
      <c r="K2164" s="752"/>
      <c r="L2164" s="752"/>
      <c r="M2164" s="736">
        <f t="shared" si="708"/>
        <v>24500</v>
      </c>
      <c r="N2164" s="736"/>
      <c r="O2164" s="736"/>
      <c r="P2164" s="736">
        <f t="shared" si="705"/>
        <v>24500</v>
      </c>
      <c r="Q2164" s="753">
        <v>24500</v>
      </c>
      <c r="R2164" s="738">
        <v>22354.720000000001</v>
      </c>
      <c r="S2164" s="753">
        <v>25000</v>
      </c>
      <c r="T2164" s="739">
        <v>1100121</v>
      </c>
      <c r="U2164" s="740">
        <v>31654</v>
      </c>
      <c r="V2164" s="741">
        <v>1100122</v>
      </c>
    </row>
    <row r="2165" spans="1:22" ht="15" x14ac:dyDescent="0.2">
      <c r="A2165" s="739">
        <v>3921</v>
      </c>
      <c r="B2165" s="743" t="s">
        <v>33</v>
      </c>
      <c r="C2165" s="736"/>
      <c r="D2165" s="736"/>
      <c r="E2165" s="749"/>
      <c r="F2165" s="736"/>
      <c r="G2165" s="752"/>
      <c r="H2165" s="752"/>
      <c r="I2165" s="752"/>
      <c r="J2165" s="736"/>
      <c r="K2165" s="752"/>
      <c r="L2165" s="752"/>
      <c r="M2165" s="736"/>
      <c r="N2165" s="736"/>
      <c r="O2165" s="736"/>
      <c r="P2165" s="736"/>
      <c r="Q2165" s="753"/>
      <c r="R2165" s="738"/>
      <c r="S2165" s="753">
        <v>30306.6</v>
      </c>
      <c r="T2165" s="739"/>
      <c r="U2165" s="744"/>
      <c r="V2165" s="739"/>
    </row>
    <row r="2166" spans="1:22" ht="15" x14ac:dyDescent="0.2">
      <c r="A2166" s="739">
        <v>3961</v>
      </c>
      <c r="B2166" s="743" t="s">
        <v>122</v>
      </c>
      <c r="C2166" s="736"/>
      <c r="D2166" s="736">
        <v>0</v>
      </c>
      <c r="E2166" s="749">
        <v>194696.35</v>
      </c>
      <c r="F2166" s="736">
        <v>0</v>
      </c>
      <c r="G2166" s="736"/>
      <c r="H2166" s="736"/>
      <c r="I2166" s="736"/>
      <c r="J2166" s="736">
        <f t="shared" ref="J2166:J2180" si="709">G2166+H2166-I2166</f>
        <v>0</v>
      </c>
      <c r="K2166" s="736"/>
      <c r="L2166" s="736"/>
      <c r="M2166" s="736">
        <f t="shared" ref="M2166:M2180" si="710">J2166+K2166-L2166</f>
        <v>0</v>
      </c>
      <c r="N2166" s="736"/>
      <c r="O2166" s="736"/>
      <c r="P2166" s="738">
        <f t="shared" ref="P2166:P2180" si="711">M2166+N2166-O2166</f>
        <v>0</v>
      </c>
      <c r="Q2166" s="738"/>
      <c r="R2166" s="738"/>
      <c r="S2166" s="738"/>
      <c r="T2166" s="739">
        <v>2510119</v>
      </c>
      <c r="U2166" s="745"/>
      <c r="V2166" s="739">
        <v>2510119</v>
      </c>
    </row>
    <row r="2167" spans="1:22" ht="15" x14ac:dyDescent="0.25">
      <c r="A2167" s="739">
        <v>5411</v>
      </c>
      <c r="B2167" s="743" t="s">
        <v>1762</v>
      </c>
      <c r="C2167" s="736"/>
      <c r="D2167" s="736"/>
      <c r="E2167" s="749"/>
      <c r="F2167" s="736"/>
      <c r="G2167" s="736"/>
      <c r="H2167" s="757">
        <v>1654032.26</v>
      </c>
      <c r="I2167" s="736"/>
      <c r="J2167" s="736">
        <f t="shared" si="709"/>
        <v>1654032.26</v>
      </c>
      <c r="K2167" s="757"/>
      <c r="L2167" s="736"/>
      <c r="M2167" s="736">
        <f t="shared" si="710"/>
        <v>1654032.26</v>
      </c>
      <c r="N2167" s="736"/>
      <c r="O2167" s="736"/>
      <c r="P2167" s="736">
        <f t="shared" si="711"/>
        <v>1654032.26</v>
      </c>
      <c r="Q2167" s="738">
        <v>1654032.26</v>
      </c>
      <c r="R2167" s="738">
        <v>2483400</v>
      </c>
      <c r="S2167" s="747">
        <v>7170000</v>
      </c>
      <c r="T2167" s="739">
        <v>1100120</v>
      </c>
      <c r="U2167" s="750">
        <v>0</v>
      </c>
      <c r="V2167" s="739">
        <v>1100120</v>
      </c>
    </row>
    <row r="2168" spans="1:22" ht="15" x14ac:dyDescent="0.2">
      <c r="A2168" s="739">
        <v>5411</v>
      </c>
      <c r="B2168" s="743" t="s">
        <v>1762</v>
      </c>
      <c r="C2168" s="736"/>
      <c r="D2168" s="736"/>
      <c r="E2168" s="749"/>
      <c r="F2168" s="736"/>
      <c r="G2168" s="736"/>
      <c r="H2168" s="736">
        <v>1688635.2</v>
      </c>
      <c r="I2168" s="736"/>
      <c r="J2168" s="736">
        <f t="shared" si="709"/>
        <v>1688635.2</v>
      </c>
      <c r="K2168" s="736"/>
      <c r="L2168" s="736"/>
      <c r="M2168" s="736">
        <f t="shared" si="710"/>
        <v>1688635.2</v>
      </c>
      <c r="N2168" s="736"/>
      <c r="O2168" s="736"/>
      <c r="P2168" s="736">
        <f t="shared" si="711"/>
        <v>1688635.2</v>
      </c>
      <c r="Q2168" s="738">
        <v>1688635.2</v>
      </c>
      <c r="R2168" s="738"/>
      <c r="S2168" s="738"/>
      <c r="T2168" s="739">
        <v>1100120</v>
      </c>
      <c r="U2168" s="745"/>
      <c r="V2168" s="739">
        <v>1100120</v>
      </c>
    </row>
    <row r="2169" spans="1:22" ht="15" x14ac:dyDescent="0.25">
      <c r="A2169" s="739">
        <v>5411</v>
      </c>
      <c r="B2169" s="743" t="s">
        <v>1762</v>
      </c>
      <c r="C2169" s="736"/>
      <c r="D2169" s="736"/>
      <c r="E2169" s="749"/>
      <c r="F2169" s="736"/>
      <c r="G2169" s="736"/>
      <c r="H2169" s="757">
        <v>367185</v>
      </c>
      <c r="I2169" s="736"/>
      <c r="J2169" s="736">
        <f t="shared" si="709"/>
        <v>367185</v>
      </c>
      <c r="K2169" s="757"/>
      <c r="L2169" s="736"/>
      <c r="M2169" s="736">
        <f t="shared" si="710"/>
        <v>367185</v>
      </c>
      <c r="N2169" s="736"/>
      <c r="O2169" s="736"/>
      <c r="P2169" s="736">
        <f t="shared" si="711"/>
        <v>367185</v>
      </c>
      <c r="Q2169" s="738">
        <v>367185</v>
      </c>
      <c r="R2169" s="738"/>
      <c r="S2169" s="738"/>
      <c r="T2169" s="739">
        <v>1100120</v>
      </c>
      <c r="U2169" s="745"/>
      <c r="V2169" s="739">
        <v>1100120</v>
      </c>
    </row>
    <row r="2170" spans="1:22" ht="15" x14ac:dyDescent="0.25">
      <c r="A2170" s="739">
        <v>5421</v>
      </c>
      <c r="B2170" s="916" t="s">
        <v>1800</v>
      </c>
      <c r="C2170" s="736"/>
      <c r="D2170" s="736"/>
      <c r="E2170" s="749"/>
      <c r="F2170" s="736"/>
      <c r="G2170" s="736"/>
      <c r="H2170" s="757">
        <v>240000</v>
      </c>
      <c r="I2170" s="736"/>
      <c r="J2170" s="736">
        <f t="shared" si="709"/>
        <v>240000</v>
      </c>
      <c r="K2170" s="757"/>
      <c r="L2170" s="736"/>
      <c r="M2170" s="736">
        <f t="shared" si="710"/>
        <v>240000</v>
      </c>
      <c r="N2170" s="736"/>
      <c r="O2170" s="736"/>
      <c r="P2170" s="736">
        <f t="shared" si="711"/>
        <v>240000</v>
      </c>
      <c r="Q2170" s="738">
        <v>240000</v>
      </c>
      <c r="R2170" s="738">
        <v>503556</v>
      </c>
      <c r="S2170" s="738"/>
      <c r="T2170" s="739">
        <v>1100120</v>
      </c>
      <c r="U2170" s="745"/>
      <c r="V2170" s="739">
        <v>1100120</v>
      </c>
    </row>
    <row r="2171" spans="1:22" ht="15" x14ac:dyDescent="0.25">
      <c r="A2171" s="739">
        <v>5421</v>
      </c>
      <c r="B2171" s="916" t="s">
        <v>1800</v>
      </c>
      <c r="C2171" s="736"/>
      <c r="D2171" s="736"/>
      <c r="E2171" s="749"/>
      <c r="F2171" s="736"/>
      <c r="G2171" s="736"/>
      <c r="H2171" s="757">
        <v>340000</v>
      </c>
      <c r="I2171" s="736"/>
      <c r="J2171" s="736">
        <f t="shared" si="709"/>
        <v>340000</v>
      </c>
      <c r="K2171" s="757"/>
      <c r="L2171" s="736"/>
      <c r="M2171" s="736">
        <f t="shared" si="710"/>
        <v>340000</v>
      </c>
      <c r="N2171" s="736"/>
      <c r="O2171" s="736"/>
      <c r="P2171" s="736">
        <f t="shared" si="711"/>
        <v>340000</v>
      </c>
      <c r="Q2171" s="738">
        <v>340000</v>
      </c>
      <c r="R2171" s="738"/>
      <c r="S2171" s="738"/>
      <c r="T2171" s="739">
        <v>1100120</v>
      </c>
      <c r="U2171" s="745"/>
      <c r="V2171" s="739">
        <v>1100120</v>
      </c>
    </row>
    <row r="2172" spans="1:22" ht="15" x14ac:dyDescent="0.2">
      <c r="A2172" s="739">
        <v>5631</v>
      </c>
      <c r="B2172" s="743" t="s">
        <v>1801</v>
      </c>
      <c r="C2172" s="736">
        <v>9096746</v>
      </c>
      <c r="D2172" s="736">
        <v>0</v>
      </c>
      <c r="E2172" s="749">
        <v>629937</v>
      </c>
      <c r="F2172" s="736">
        <v>629937</v>
      </c>
      <c r="G2172" s="736">
        <v>2340478</v>
      </c>
      <c r="H2172" s="736"/>
      <c r="I2172" s="736">
        <v>2340478</v>
      </c>
      <c r="J2172" s="736">
        <f t="shared" si="709"/>
        <v>0</v>
      </c>
      <c r="K2172" s="736"/>
      <c r="L2172" s="736"/>
      <c r="M2172" s="736">
        <f t="shared" si="710"/>
        <v>0</v>
      </c>
      <c r="N2172" s="736"/>
      <c r="O2172" s="736"/>
      <c r="P2172" s="738">
        <f t="shared" si="711"/>
        <v>0</v>
      </c>
      <c r="Q2172" s="738"/>
      <c r="R2172" s="738">
        <v>2244000</v>
      </c>
      <c r="S2172" s="738"/>
      <c r="T2172" s="739">
        <v>1100119</v>
      </c>
      <c r="U2172" s="745"/>
      <c r="V2172" s="739">
        <v>1100119</v>
      </c>
    </row>
    <row r="2173" spans="1:22" ht="15" x14ac:dyDescent="0.25">
      <c r="A2173" s="739">
        <v>5631</v>
      </c>
      <c r="B2173" s="743" t="s">
        <v>1801</v>
      </c>
      <c r="C2173" s="736"/>
      <c r="D2173" s="736"/>
      <c r="E2173" s="749"/>
      <c r="F2173" s="736"/>
      <c r="G2173" s="736"/>
      <c r="H2173" s="757">
        <v>2359017.5299999998</v>
      </c>
      <c r="I2173" s="736"/>
      <c r="J2173" s="736">
        <f t="shared" si="709"/>
        <v>2359017.5299999998</v>
      </c>
      <c r="K2173" s="757"/>
      <c r="L2173" s="736"/>
      <c r="M2173" s="736">
        <f t="shared" si="710"/>
        <v>2359017.5299999998</v>
      </c>
      <c r="N2173" s="736"/>
      <c r="O2173" s="736"/>
      <c r="P2173" s="736">
        <f t="shared" si="711"/>
        <v>2359017.5299999998</v>
      </c>
      <c r="Q2173" s="738">
        <v>2463529.96</v>
      </c>
      <c r="R2173" s="738">
        <v>1964895</v>
      </c>
      <c r="S2173" s="738"/>
      <c r="T2173" s="739">
        <v>1100120</v>
      </c>
      <c r="U2173" s="745"/>
      <c r="V2173" s="739">
        <v>1100120</v>
      </c>
    </row>
    <row r="2174" spans="1:22" ht="15" x14ac:dyDescent="0.25">
      <c r="A2174" s="739">
        <v>5631</v>
      </c>
      <c r="B2174" s="743" t="s">
        <v>1801</v>
      </c>
      <c r="C2174" s="736"/>
      <c r="D2174" s="736"/>
      <c r="E2174" s="749"/>
      <c r="F2174" s="736"/>
      <c r="G2174" s="736"/>
      <c r="H2174" s="757">
        <v>468930</v>
      </c>
      <c r="I2174" s="736"/>
      <c r="J2174" s="736">
        <f t="shared" si="709"/>
        <v>468930</v>
      </c>
      <c r="K2174" s="757"/>
      <c r="L2174" s="736"/>
      <c r="M2174" s="736">
        <f t="shared" si="710"/>
        <v>468930</v>
      </c>
      <c r="N2174" s="736"/>
      <c r="O2174" s="736"/>
      <c r="P2174" s="736">
        <f t="shared" si="711"/>
        <v>468930</v>
      </c>
      <c r="Q2174" s="738"/>
      <c r="R2174" s="738"/>
      <c r="S2174" s="738"/>
      <c r="T2174" s="739">
        <v>1100120</v>
      </c>
      <c r="U2174" s="745"/>
      <c r="V2174" s="739">
        <v>1100120</v>
      </c>
    </row>
    <row r="2175" spans="1:22" ht="15" x14ac:dyDescent="0.25">
      <c r="A2175" s="739">
        <v>5631</v>
      </c>
      <c r="B2175" s="743" t="s">
        <v>1801</v>
      </c>
      <c r="C2175" s="736"/>
      <c r="D2175" s="736"/>
      <c r="E2175" s="749"/>
      <c r="F2175" s="736"/>
      <c r="G2175" s="736"/>
      <c r="H2175" s="757">
        <v>35565.599999999999</v>
      </c>
      <c r="I2175" s="736"/>
      <c r="J2175" s="736">
        <f t="shared" si="709"/>
        <v>35565.599999999999</v>
      </c>
      <c r="K2175" s="757"/>
      <c r="L2175" s="736"/>
      <c r="M2175" s="736">
        <f t="shared" si="710"/>
        <v>35565.599999999999</v>
      </c>
      <c r="N2175" s="736"/>
      <c r="O2175" s="736"/>
      <c r="P2175" s="736">
        <f t="shared" si="711"/>
        <v>35565.599999999999</v>
      </c>
      <c r="Q2175" s="738"/>
      <c r="R2175" s="738"/>
      <c r="S2175" s="738"/>
      <c r="T2175" s="739">
        <v>1100120</v>
      </c>
      <c r="U2175" s="745"/>
      <c r="V2175" s="739">
        <v>1100120</v>
      </c>
    </row>
    <row r="2176" spans="1:22" ht="15" x14ac:dyDescent="0.2">
      <c r="A2176" s="739">
        <v>5631</v>
      </c>
      <c r="B2176" s="743" t="s">
        <v>1801</v>
      </c>
      <c r="C2176" s="736"/>
      <c r="D2176" s="736"/>
      <c r="E2176" s="749"/>
      <c r="F2176" s="736"/>
      <c r="G2176" s="736"/>
      <c r="H2176" s="749">
        <f>311600+335034.41</f>
        <v>646634.40999999992</v>
      </c>
      <c r="I2176" s="736"/>
      <c r="J2176" s="736">
        <f t="shared" si="709"/>
        <v>646634.40999999992</v>
      </c>
      <c r="K2176" s="749"/>
      <c r="L2176" s="736"/>
      <c r="M2176" s="736">
        <f t="shared" si="710"/>
        <v>646634.40999999992</v>
      </c>
      <c r="N2176" s="736"/>
      <c r="O2176" s="736"/>
      <c r="P2176" s="736">
        <f t="shared" si="711"/>
        <v>646634.40999999992</v>
      </c>
      <c r="Q2176" s="738">
        <v>2340477.52</v>
      </c>
      <c r="R2176" s="738"/>
      <c r="S2176" s="738"/>
      <c r="T2176" s="739">
        <v>1100120</v>
      </c>
      <c r="U2176" s="745"/>
      <c r="V2176" s="739">
        <v>1100120</v>
      </c>
    </row>
    <row r="2177" spans="1:22" ht="15" x14ac:dyDescent="0.25">
      <c r="A2177" s="739">
        <v>5631</v>
      </c>
      <c r="B2177" s="743" t="s">
        <v>1801</v>
      </c>
      <c r="C2177" s="736"/>
      <c r="D2177" s="736"/>
      <c r="E2177" s="749"/>
      <c r="F2177" s="736"/>
      <c r="G2177" s="736"/>
      <c r="H2177" s="757">
        <v>2340477.52</v>
      </c>
      <c r="I2177" s="736"/>
      <c r="J2177" s="736">
        <f t="shared" si="709"/>
        <v>2340477.52</v>
      </c>
      <c r="K2177" s="757"/>
      <c r="L2177" s="736"/>
      <c r="M2177" s="736">
        <f t="shared" si="710"/>
        <v>2340477.52</v>
      </c>
      <c r="N2177" s="736"/>
      <c r="O2177" s="736"/>
      <c r="P2177" s="736">
        <f t="shared" si="711"/>
        <v>2340477.52</v>
      </c>
      <c r="Q2177" s="738"/>
      <c r="R2177" s="738"/>
      <c r="S2177" s="738"/>
      <c r="T2177" s="917">
        <v>1100119</v>
      </c>
      <c r="U2177" s="745"/>
      <c r="V2177" s="917">
        <v>1100119</v>
      </c>
    </row>
    <row r="2178" spans="1:22" ht="15" x14ac:dyDescent="0.2">
      <c r="A2178" s="739">
        <v>5631</v>
      </c>
      <c r="B2178" s="743" t="s">
        <v>1801</v>
      </c>
      <c r="C2178" s="736"/>
      <c r="D2178" s="736">
        <v>2636494</v>
      </c>
      <c r="E2178" s="736"/>
      <c r="F2178" s="736">
        <v>0</v>
      </c>
      <c r="G2178" s="752"/>
      <c r="H2178" s="752"/>
      <c r="I2178" s="752"/>
      <c r="J2178" s="736">
        <f t="shared" si="709"/>
        <v>0</v>
      </c>
      <c r="K2178" s="752"/>
      <c r="L2178" s="752"/>
      <c r="M2178" s="736">
        <f t="shared" si="710"/>
        <v>0</v>
      </c>
      <c r="N2178" s="736"/>
      <c r="O2178" s="736"/>
      <c r="P2178" s="738">
        <f t="shared" si="711"/>
        <v>0</v>
      </c>
      <c r="Q2178" s="753"/>
      <c r="R2178" s="738"/>
      <c r="S2178" s="914">
        <v>9815000</v>
      </c>
      <c r="T2178" s="739">
        <v>1100121</v>
      </c>
      <c r="U2178" s="841">
        <v>0</v>
      </c>
      <c r="V2178" s="739">
        <v>1100122</v>
      </c>
    </row>
    <row r="2179" spans="1:22" ht="15" x14ac:dyDescent="0.2">
      <c r="A2179" s="739">
        <v>5191</v>
      </c>
      <c r="B2179" s="743" t="s">
        <v>69</v>
      </c>
      <c r="C2179" s="736"/>
      <c r="D2179" s="736"/>
      <c r="E2179" s="749">
        <v>0</v>
      </c>
      <c r="F2179" s="736">
        <v>0</v>
      </c>
      <c r="G2179" s="736"/>
      <c r="H2179" s="736"/>
      <c r="I2179" s="736"/>
      <c r="J2179" s="736">
        <f t="shared" si="709"/>
        <v>0</v>
      </c>
      <c r="K2179" s="736">
        <v>23497</v>
      </c>
      <c r="L2179" s="736"/>
      <c r="M2179" s="736">
        <f t="shared" si="710"/>
        <v>23497</v>
      </c>
      <c r="N2179" s="736"/>
      <c r="O2179" s="736"/>
      <c r="P2179" s="736">
        <f t="shared" si="711"/>
        <v>23497</v>
      </c>
      <c r="Q2179" s="738">
        <v>21500</v>
      </c>
      <c r="R2179" s="738">
        <v>21500</v>
      </c>
      <c r="S2179" s="738"/>
      <c r="T2179" s="739">
        <v>1100120</v>
      </c>
      <c r="U2179" s="745"/>
      <c r="V2179" s="739">
        <v>1100120</v>
      </c>
    </row>
    <row r="2180" spans="1:22" ht="15" x14ac:dyDescent="0.2">
      <c r="A2180" s="739">
        <v>5691</v>
      </c>
      <c r="B2180" s="806" t="s">
        <v>1713</v>
      </c>
      <c r="C2180" s="736"/>
      <c r="D2180" s="736"/>
      <c r="E2180" s="736"/>
      <c r="F2180" s="736"/>
      <c r="G2180" s="736">
        <v>500000</v>
      </c>
      <c r="H2180" s="736"/>
      <c r="I2180" s="736"/>
      <c r="J2180" s="736">
        <f t="shared" si="709"/>
        <v>500000</v>
      </c>
      <c r="K2180" s="736"/>
      <c r="L2180" s="736"/>
      <c r="M2180" s="736">
        <f t="shared" si="710"/>
        <v>500000</v>
      </c>
      <c r="N2180" s="736"/>
      <c r="O2180" s="736">
        <v>470000</v>
      </c>
      <c r="P2180" s="736">
        <f t="shared" si="711"/>
        <v>30000</v>
      </c>
      <c r="Q2180" s="738">
        <v>30000</v>
      </c>
      <c r="R2180" s="738">
        <v>29900</v>
      </c>
      <c r="S2180" s="738"/>
      <c r="T2180" s="739">
        <v>1500521</v>
      </c>
      <c r="U2180" s="745"/>
      <c r="V2180" s="739">
        <v>1500522</v>
      </c>
    </row>
    <row r="2181" spans="1:22" ht="15" x14ac:dyDescent="0.2">
      <c r="A2181" s="728" t="s">
        <v>294</v>
      </c>
      <c r="B2181" s="729" t="s">
        <v>1635</v>
      </c>
      <c r="C2181" s="730">
        <f t="shared" ref="C2181:S2181" si="712">SUM(C2182:C2227)</f>
        <v>14853909.430000002</v>
      </c>
      <c r="D2181" s="730">
        <f t="shared" si="712"/>
        <v>16628970.889999999</v>
      </c>
      <c r="E2181" s="730">
        <f t="shared" si="712"/>
        <v>17009282.550000001</v>
      </c>
      <c r="F2181" s="730">
        <f t="shared" si="712"/>
        <v>16925213.039999999</v>
      </c>
      <c r="G2181" s="730">
        <f t="shared" si="712"/>
        <v>18201455.5</v>
      </c>
      <c r="H2181" s="730">
        <f t="shared" si="712"/>
        <v>4048.4</v>
      </c>
      <c r="I2181" s="730">
        <f t="shared" si="712"/>
        <v>0</v>
      </c>
      <c r="J2181" s="730">
        <f t="shared" si="712"/>
        <v>18205503.899999999</v>
      </c>
      <c r="K2181" s="730">
        <f t="shared" si="712"/>
        <v>580770.24</v>
      </c>
      <c r="L2181" s="730">
        <f t="shared" si="712"/>
        <v>2634</v>
      </c>
      <c r="M2181" s="730">
        <f t="shared" si="712"/>
        <v>18783640.140000001</v>
      </c>
      <c r="N2181" s="730">
        <f t="shared" si="712"/>
        <v>373000</v>
      </c>
      <c r="O2181" s="730">
        <f t="shared" si="712"/>
        <v>0</v>
      </c>
      <c r="P2181" s="730">
        <f t="shared" si="712"/>
        <v>19156640.140000001</v>
      </c>
      <c r="Q2181" s="748">
        <f t="shared" si="712"/>
        <v>19090439.129999995</v>
      </c>
      <c r="R2181" s="748">
        <f t="shared" si="712"/>
        <v>1635271.2699999998</v>
      </c>
      <c r="S2181" s="748">
        <f t="shared" si="712"/>
        <v>19352410.699999999</v>
      </c>
      <c r="T2181" s="731"/>
      <c r="U2181" s="732">
        <f>SUM(U2182:U2227)</f>
        <v>19666442.09</v>
      </c>
      <c r="V2181" s="733"/>
    </row>
    <row r="2182" spans="1:22" ht="15" x14ac:dyDescent="0.25">
      <c r="A2182" s="734">
        <v>1131</v>
      </c>
      <c r="B2182" s="735" t="s">
        <v>6</v>
      </c>
      <c r="C2182" s="736">
        <v>1924661.09</v>
      </c>
      <c r="D2182" s="736">
        <v>2138281.6</v>
      </c>
      <c r="E2182" s="749">
        <v>2015844.22</v>
      </c>
      <c r="F2182" s="736">
        <v>2086342.53</v>
      </c>
      <c r="G2182" s="736">
        <v>2150702.6</v>
      </c>
      <c r="H2182" s="736"/>
      <c r="I2182" s="736"/>
      <c r="J2182" s="736">
        <f t="shared" ref="J2182:J2208" si="713">G2182+H2182-I2182</f>
        <v>2150702.6</v>
      </c>
      <c r="K2182" s="736">
        <v>98008.58</v>
      </c>
      <c r="L2182" s="736"/>
      <c r="M2182" s="736">
        <f t="shared" ref="M2182:M2222" si="714">J2182+K2182-L2182</f>
        <v>2248711.1800000002</v>
      </c>
      <c r="N2182" s="736"/>
      <c r="O2182" s="736"/>
      <c r="P2182" s="736">
        <f t="shared" ref="P2182:P2222" si="715">M2182+N2182-O2182</f>
        <v>2248711.1800000002</v>
      </c>
      <c r="Q2182" s="738">
        <v>2223134.39</v>
      </c>
      <c r="R2182" s="738"/>
      <c r="S2182" s="751">
        <v>2325457.6800000002</v>
      </c>
      <c r="T2182" s="739">
        <v>1500521</v>
      </c>
      <c r="U2182" s="779">
        <v>2247310.42</v>
      </c>
      <c r="V2182" s="741">
        <v>1500522</v>
      </c>
    </row>
    <row r="2183" spans="1:22" ht="15" x14ac:dyDescent="0.25">
      <c r="A2183" s="734">
        <v>1132</v>
      </c>
      <c r="B2183" s="735" t="s">
        <v>8</v>
      </c>
      <c r="C2183" s="736">
        <v>2895630.24</v>
      </c>
      <c r="D2183" s="736">
        <v>3148949.44</v>
      </c>
      <c r="E2183" s="749">
        <v>3157314.44</v>
      </c>
      <c r="F2183" s="736">
        <v>3269363.81</v>
      </c>
      <c r="G2183" s="736">
        <v>3301108.8000000003</v>
      </c>
      <c r="H2183" s="736"/>
      <c r="I2183" s="736"/>
      <c r="J2183" s="736">
        <f t="shared" si="713"/>
        <v>3301108.8000000003</v>
      </c>
      <c r="K2183" s="736">
        <v>88715.91</v>
      </c>
      <c r="L2183" s="736"/>
      <c r="M2183" s="736">
        <f t="shared" si="714"/>
        <v>3389824.7100000004</v>
      </c>
      <c r="N2183" s="736"/>
      <c r="O2183" s="736"/>
      <c r="P2183" s="736">
        <f t="shared" si="715"/>
        <v>3389824.7100000004</v>
      </c>
      <c r="Q2183" s="738">
        <v>3389824.71</v>
      </c>
      <c r="R2183" s="738"/>
      <c r="S2183" s="751">
        <v>3497319.28</v>
      </c>
      <c r="T2183" s="739">
        <v>1500521</v>
      </c>
      <c r="U2183" s="779">
        <v>3449435.9</v>
      </c>
      <c r="V2183" s="741">
        <v>1500522</v>
      </c>
    </row>
    <row r="2184" spans="1:22" ht="15" x14ac:dyDescent="0.25">
      <c r="A2184" s="734">
        <v>1212</v>
      </c>
      <c r="B2184" s="735" t="s">
        <v>53</v>
      </c>
      <c r="C2184" s="736">
        <v>2478762.38</v>
      </c>
      <c r="D2184" s="736">
        <v>2787458.4</v>
      </c>
      <c r="E2184" s="749">
        <v>3198694.4</v>
      </c>
      <c r="F2184" s="736">
        <v>3119468.4</v>
      </c>
      <c r="G2184" s="736">
        <v>3631975.2</v>
      </c>
      <c r="H2184" s="736"/>
      <c r="I2184" s="736"/>
      <c r="J2184" s="736">
        <f t="shared" si="713"/>
        <v>3631975.2</v>
      </c>
      <c r="K2184" s="736">
        <v>52711.199999999997</v>
      </c>
      <c r="L2184" s="736"/>
      <c r="M2184" s="736">
        <f t="shared" si="714"/>
        <v>3684686.4000000004</v>
      </c>
      <c r="N2184" s="736"/>
      <c r="O2184" s="736"/>
      <c r="P2184" s="736">
        <f t="shared" si="715"/>
        <v>3684686.4000000004</v>
      </c>
      <c r="Q2184" s="738">
        <v>3632547.67</v>
      </c>
      <c r="R2184" s="738"/>
      <c r="S2184" s="751">
        <v>3682800</v>
      </c>
      <c r="T2184" s="739">
        <v>1500521</v>
      </c>
      <c r="U2184" s="779">
        <v>4133268.46</v>
      </c>
      <c r="V2184" s="741">
        <v>1500522</v>
      </c>
    </row>
    <row r="2185" spans="1:22" ht="15" x14ac:dyDescent="0.25">
      <c r="A2185" s="734">
        <v>1321</v>
      </c>
      <c r="B2185" s="735" t="s">
        <v>9</v>
      </c>
      <c r="C2185" s="736">
        <v>276458.25</v>
      </c>
      <c r="D2185" s="736">
        <v>304738.89</v>
      </c>
      <c r="E2185" s="749">
        <v>308171.89</v>
      </c>
      <c r="F2185" s="736">
        <v>297639.11</v>
      </c>
      <c r="G2185" s="736">
        <v>321487.69999999995</v>
      </c>
      <c r="H2185" s="736"/>
      <c r="I2185" s="736"/>
      <c r="J2185" s="736">
        <f t="shared" si="713"/>
        <v>321487.69999999995</v>
      </c>
      <c r="K2185" s="736">
        <v>15441.47</v>
      </c>
      <c r="L2185" s="736"/>
      <c r="M2185" s="736">
        <f t="shared" si="714"/>
        <v>336929.16999999993</v>
      </c>
      <c r="N2185" s="736"/>
      <c r="O2185" s="736"/>
      <c r="P2185" s="736">
        <f t="shared" si="715"/>
        <v>336929.16999999993</v>
      </c>
      <c r="Q2185" s="738">
        <v>336929.17</v>
      </c>
      <c r="R2185" s="738"/>
      <c r="S2185" s="751">
        <v>353793.12</v>
      </c>
      <c r="T2185" s="739">
        <v>1500521</v>
      </c>
      <c r="U2185" s="779">
        <v>348518.51</v>
      </c>
      <c r="V2185" s="741">
        <v>1500522</v>
      </c>
    </row>
    <row r="2186" spans="1:22" ht="15" x14ac:dyDescent="0.25">
      <c r="A2186" s="734">
        <v>1322</v>
      </c>
      <c r="B2186" s="735" t="s">
        <v>182</v>
      </c>
      <c r="C2186" s="736">
        <v>1116.29</v>
      </c>
      <c r="D2186" s="736">
        <v>12000</v>
      </c>
      <c r="E2186" s="749">
        <v>2400</v>
      </c>
      <c r="F2186" s="736">
        <v>0</v>
      </c>
      <c r="G2186" s="736">
        <v>2400</v>
      </c>
      <c r="H2186" s="736"/>
      <c r="I2186" s="736"/>
      <c r="J2186" s="736">
        <f t="shared" si="713"/>
        <v>2400</v>
      </c>
      <c r="K2186" s="736"/>
      <c r="L2186" s="736"/>
      <c r="M2186" s="736">
        <f t="shared" si="714"/>
        <v>2400</v>
      </c>
      <c r="N2186" s="736"/>
      <c r="O2186" s="736"/>
      <c r="P2186" s="736">
        <f t="shared" si="715"/>
        <v>2400</v>
      </c>
      <c r="Q2186" s="738">
        <v>2400</v>
      </c>
      <c r="R2186" s="738"/>
      <c r="S2186" s="751">
        <v>2400</v>
      </c>
      <c r="T2186" s="739">
        <v>1500521</v>
      </c>
      <c r="U2186" s="779">
        <v>2400</v>
      </c>
      <c r="V2186" s="741">
        <v>1500522</v>
      </c>
    </row>
    <row r="2187" spans="1:22" ht="15" x14ac:dyDescent="0.25">
      <c r="A2187" s="734">
        <v>1323</v>
      </c>
      <c r="B2187" s="735" t="s">
        <v>11</v>
      </c>
      <c r="C2187" s="736">
        <v>953456.72</v>
      </c>
      <c r="D2187" s="736">
        <v>1024869.6</v>
      </c>
      <c r="E2187" s="749">
        <v>1001018.35</v>
      </c>
      <c r="F2187" s="736">
        <v>1004100.79</v>
      </c>
      <c r="G2187" s="736">
        <v>1071741.3</v>
      </c>
      <c r="H2187" s="736"/>
      <c r="I2187" s="736"/>
      <c r="J2187" s="736">
        <f t="shared" si="713"/>
        <v>1071741.3</v>
      </c>
      <c r="K2187" s="736">
        <v>42083.17</v>
      </c>
      <c r="L2187" s="736"/>
      <c r="M2187" s="736">
        <f t="shared" si="714"/>
        <v>1113824.47</v>
      </c>
      <c r="N2187" s="736"/>
      <c r="O2187" s="736"/>
      <c r="P2187" s="736">
        <f t="shared" si="715"/>
        <v>1113824.47</v>
      </c>
      <c r="Q2187" s="738">
        <v>1113824.47</v>
      </c>
      <c r="R2187" s="738"/>
      <c r="S2187" s="751">
        <v>1147703</v>
      </c>
      <c r="T2187" s="739">
        <v>1500521</v>
      </c>
      <c r="U2187" s="779">
        <v>1126127.57</v>
      </c>
      <c r="V2187" s="741">
        <v>1500522</v>
      </c>
    </row>
    <row r="2188" spans="1:22" ht="15" x14ac:dyDescent="0.25">
      <c r="A2188" s="734">
        <v>1331</v>
      </c>
      <c r="B2188" s="735" t="s">
        <v>183</v>
      </c>
      <c r="C2188" s="736">
        <v>78264.67</v>
      </c>
      <c r="D2188" s="736">
        <v>93260</v>
      </c>
      <c r="E2188" s="749">
        <v>27978</v>
      </c>
      <c r="F2188" s="736">
        <v>7195.2</v>
      </c>
      <c r="G2188" s="736">
        <v>27978</v>
      </c>
      <c r="H2188" s="736"/>
      <c r="I2188" s="736"/>
      <c r="J2188" s="736">
        <f t="shared" si="713"/>
        <v>27978</v>
      </c>
      <c r="K2188" s="736"/>
      <c r="L2188" s="736"/>
      <c r="M2188" s="736">
        <f t="shared" si="714"/>
        <v>27978</v>
      </c>
      <c r="N2188" s="736"/>
      <c r="O2188" s="736"/>
      <c r="P2188" s="736">
        <f t="shared" si="715"/>
        <v>27978</v>
      </c>
      <c r="Q2188" s="738">
        <v>27978</v>
      </c>
      <c r="R2188" s="738"/>
      <c r="S2188" s="751">
        <v>27978</v>
      </c>
      <c r="T2188" s="739">
        <v>1500521</v>
      </c>
      <c r="U2188" s="779">
        <v>27978</v>
      </c>
      <c r="V2188" s="741">
        <v>1500522</v>
      </c>
    </row>
    <row r="2189" spans="1:22" ht="15" x14ac:dyDescent="0.25">
      <c r="A2189" s="734">
        <v>1413</v>
      </c>
      <c r="B2189" s="735" t="s">
        <v>13</v>
      </c>
      <c r="C2189" s="736">
        <v>1328134.55</v>
      </c>
      <c r="D2189" s="736">
        <v>1666877.18</v>
      </c>
      <c r="E2189" s="749">
        <v>1652313.18</v>
      </c>
      <c r="F2189" s="736">
        <v>1616895.23</v>
      </c>
      <c r="G2189" s="736">
        <v>2002720.7000000002</v>
      </c>
      <c r="H2189" s="736"/>
      <c r="I2189" s="736"/>
      <c r="J2189" s="736">
        <f t="shared" si="713"/>
        <v>2002720.7000000002</v>
      </c>
      <c r="K2189" s="736">
        <v>97140.160000000003</v>
      </c>
      <c r="L2189" s="736"/>
      <c r="M2189" s="736">
        <f t="shared" si="714"/>
        <v>2099860.8600000003</v>
      </c>
      <c r="N2189" s="736"/>
      <c r="O2189" s="736"/>
      <c r="P2189" s="736">
        <f t="shared" si="715"/>
        <v>2099860.8600000003</v>
      </c>
      <c r="Q2189" s="738">
        <v>2059982.65</v>
      </c>
      <c r="R2189" s="738"/>
      <c r="S2189" s="751">
        <v>2248269.12</v>
      </c>
      <c r="T2189" s="739">
        <v>1500521</v>
      </c>
      <c r="U2189" s="779">
        <v>2250979.35</v>
      </c>
      <c r="V2189" s="741">
        <v>1500522</v>
      </c>
    </row>
    <row r="2190" spans="1:22" ht="15" x14ac:dyDescent="0.25">
      <c r="A2190" s="734">
        <v>1421</v>
      </c>
      <c r="B2190" s="735" t="s">
        <v>15</v>
      </c>
      <c r="C2190" s="736">
        <v>468993.59</v>
      </c>
      <c r="D2190" s="736">
        <v>519162.64</v>
      </c>
      <c r="E2190" s="749">
        <v>469880.04</v>
      </c>
      <c r="F2190" s="736">
        <v>504812.48</v>
      </c>
      <c r="G2190" s="736">
        <v>587817.6</v>
      </c>
      <c r="H2190" s="736"/>
      <c r="I2190" s="736"/>
      <c r="J2190" s="736">
        <f t="shared" si="713"/>
        <v>587817.6</v>
      </c>
      <c r="K2190" s="736">
        <v>27862.76</v>
      </c>
      <c r="L2190" s="736"/>
      <c r="M2190" s="736">
        <f t="shared" si="714"/>
        <v>615680.36</v>
      </c>
      <c r="N2190" s="736"/>
      <c r="O2190" s="736"/>
      <c r="P2190" s="736">
        <f t="shared" si="715"/>
        <v>615680.36</v>
      </c>
      <c r="Q2190" s="738">
        <v>615680.36</v>
      </c>
      <c r="R2190" s="738"/>
      <c r="S2190" s="751">
        <v>628354.92000000004</v>
      </c>
      <c r="T2190" s="739">
        <v>1500521</v>
      </c>
      <c r="U2190" s="779">
        <v>667957.24</v>
      </c>
      <c r="V2190" s="741">
        <v>1500522</v>
      </c>
    </row>
    <row r="2191" spans="1:22" ht="15" x14ac:dyDescent="0.25">
      <c r="A2191" s="734">
        <v>1431</v>
      </c>
      <c r="B2191" s="735" t="s">
        <v>16</v>
      </c>
      <c r="C2191" s="736">
        <v>512686.58</v>
      </c>
      <c r="D2191" s="736">
        <v>534737.26</v>
      </c>
      <c r="E2191" s="749">
        <v>492961.26</v>
      </c>
      <c r="F2191" s="736">
        <v>533002.29</v>
      </c>
      <c r="G2191" s="736">
        <v>605451.6</v>
      </c>
      <c r="H2191" s="736"/>
      <c r="I2191" s="736"/>
      <c r="J2191" s="736">
        <f t="shared" si="713"/>
        <v>605451.6</v>
      </c>
      <c r="K2191" s="736">
        <v>28573.13</v>
      </c>
      <c r="L2191" s="736"/>
      <c r="M2191" s="736">
        <f t="shared" si="714"/>
        <v>634024.73</v>
      </c>
      <c r="N2191" s="736"/>
      <c r="O2191" s="736"/>
      <c r="P2191" s="736">
        <f t="shared" si="715"/>
        <v>634024.73</v>
      </c>
      <c r="Q2191" s="738">
        <v>618040.59</v>
      </c>
      <c r="R2191" s="738"/>
      <c r="S2191" s="751">
        <v>647206.07999999996</v>
      </c>
      <c r="T2191" s="739">
        <v>1500521</v>
      </c>
      <c r="U2191" s="779">
        <v>708078.2</v>
      </c>
      <c r="V2191" s="741">
        <v>1500522</v>
      </c>
    </row>
    <row r="2192" spans="1:22" ht="15" x14ac:dyDescent="0.25">
      <c r="A2192" s="734">
        <v>1511</v>
      </c>
      <c r="B2192" s="735" t="s">
        <v>18</v>
      </c>
      <c r="C2192" s="736">
        <v>117491.33</v>
      </c>
      <c r="D2192" s="736">
        <v>132306.72</v>
      </c>
      <c r="E2192" s="749">
        <v>125769.23</v>
      </c>
      <c r="F2192" s="736">
        <v>130608.89</v>
      </c>
      <c r="G2192" s="736">
        <v>134010.30000000002</v>
      </c>
      <c r="H2192" s="736"/>
      <c r="I2192" s="736"/>
      <c r="J2192" s="736">
        <f t="shared" si="713"/>
        <v>134010.30000000002</v>
      </c>
      <c r="K2192" s="736">
        <v>5618.88</v>
      </c>
      <c r="L2192" s="736"/>
      <c r="M2192" s="736">
        <f t="shared" si="714"/>
        <v>139629.18000000002</v>
      </c>
      <c r="N2192" s="736"/>
      <c r="O2192" s="736"/>
      <c r="P2192" s="736">
        <f t="shared" si="715"/>
        <v>139629.18000000002</v>
      </c>
      <c r="Q2192" s="738">
        <v>139629.18</v>
      </c>
      <c r="R2192" s="738"/>
      <c r="S2192" s="751">
        <v>144751.88</v>
      </c>
      <c r="T2192" s="739">
        <v>1500521</v>
      </c>
      <c r="U2192" s="779">
        <v>139078.75</v>
      </c>
      <c r="V2192" s="741">
        <v>1500522</v>
      </c>
    </row>
    <row r="2193" spans="1:22" ht="15" x14ac:dyDescent="0.25">
      <c r="A2193" s="734">
        <v>1541</v>
      </c>
      <c r="B2193" s="735" t="s">
        <v>19</v>
      </c>
      <c r="C2193" s="736">
        <v>633166</v>
      </c>
      <c r="D2193" s="736">
        <v>732732.26</v>
      </c>
      <c r="E2193" s="749">
        <v>682562.29</v>
      </c>
      <c r="F2193" s="736">
        <v>704873.69</v>
      </c>
      <c r="G2193" s="736">
        <v>906520.9</v>
      </c>
      <c r="H2193" s="736"/>
      <c r="I2193" s="736"/>
      <c r="J2193" s="736">
        <f t="shared" si="713"/>
        <v>906520.9</v>
      </c>
      <c r="K2193" s="736">
        <v>46824.21</v>
      </c>
      <c r="L2193" s="736"/>
      <c r="M2193" s="736">
        <f t="shared" si="714"/>
        <v>953345.11</v>
      </c>
      <c r="N2193" s="736"/>
      <c r="O2193" s="736"/>
      <c r="P2193" s="736">
        <f t="shared" si="715"/>
        <v>953345.11</v>
      </c>
      <c r="Q2193" s="738">
        <v>953345.11</v>
      </c>
      <c r="R2193" s="738"/>
      <c r="S2193" s="751">
        <v>881787.4</v>
      </c>
      <c r="T2193" s="739">
        <v>1500521</v>
      </c>
      <c r="U2193" s="779">
        <v>875899.18</v>
      </c>
      <c r="V2193" s="741">
        <v>1500522</v>
      </c>
    </row>
    <row r="2194" spans="1:22" ht="15" x14ac:dyDescent="0.25">
      <c r="A2194" s="734">
        <v>1592</v>
      </c>
      <c r="B2194" s="735" t="s">
        <v>20</v>
      </c>
      <c r="C2194" s="736">
        <v>1163163.4099999999</v>
      </c>
      <c r="D2194" s="736">
        <v>1328290.6000000001</v>
      </c>
      <c r="E2194" s="749">
        <v>1228400.6499999999</v>
      </c>
      <c r="F2194" s="736">
        <v>1278929.81</v>
      </c>
      <c r="G2194" s="736">
        <v>1322899.8</v>
      </c>
      <c r="H2194" s="736"/>
      <c r="I2194" s="736"/>
      <c r="J2194" s="736">
        <f t="shared" si="713"/>
        <v>1322899.8</v>
      </c>
      <c r="K2194" s="736">
        <v>40790.769999999997</v>
      </c>
      <c r="L2194" s="736"/>
      <c r="M2194" s="736">
        <f t="shared" si="714"/>
        <v>1363690.57</v>
      </c>
      <c r="N2194" s="736"/>
      <c r="O2194" s="736"/>
      <c r="P2194" s="736">
        <f t="shared" si="715"/>
        <v>1363690.57</v>
      </c>
      <c r="Q2194" s="738">
        <v>1440040.34</v>
      </c>
      <c r="R2194" s="738"/>
      <c r="S2194" s="751">
        <v>1415384.88</v>
      </c>
      <c r="T2194" s="739">
        <v>1500521</v>
      </c>
      <c r="U2194" s="779">
        <v>1354958.51</v>
      </c>
      <c r="V2194" s="741">
        <v>1500522</v>
      </c>
    </row>
    <row r="2195" spans="1:22" ht="15" x14ac:dyDescent="0.2">
      <c r="A2195" s="734">
        <v>2111</v>
      </c>
      <c r="B2195" s="735" t="s">
        <v>22</v>
      </c>
      <c r="C2195" s="736">
        <v>45164</v>
      </c>
      <c r="D2195" s="736">
        <v>45000</v>
      </c>
      <c r="E2195" s="749">
        <v>31500</v>
      </c>
      <c r="F2195" s="736">
        <v>27609.919999999998</v>
      </c>
      <c r="G2195" s="752">
        <v>31500</v>
      </c>
      <c r="H2195" s="752"/>
      <c r="I2195" s="752"/>
      <c r="J2195" s="736">
        <f t="shared" si="713"/>
        <v>31500</v>
      </c>
      <c r="K2195" s="752"/>
      <c r="L2195" s="752"/>
      <c r="M2195" s="736">
        <f t="shared" si="714"/>
        <v>31500</v>
      </c>
      <c r="N2195" s="736"/>
      <c r="O2195" s="736"/>
      <c r="P2195" s="736">
        <f t="shared" si="715"/>
        <v>31500</v>
      </c>
      <c r="Q2195" s="753">
        <v>27395.37</v>
      </c>
      <c r="R2195" s="738">
        <v>23738.15</v>
      </c>
      <c r="S2195" s="753">
        <v>52000</v>
      </c>
      <c r="T2195" s="739">
        <v>1100121</v>
      </c>
      <c r="U2195" s="754">
        <v>52000</v>
      </c>
      <c r="V2195" s="741">
        <v>1100122</v>
      </c>
    </row>
    <row r="2196" spans="1:22" ht="15" x14ac:dyDescent="0.2">
      <c r="A2196" s="734">
        <v>2112</v>
      </c>
      <c r="B2196" s="735" t="s">
        <v>39</v>
      </c>
      <c r="C2196" s="736">
        <v>55912.99</v>
      </c>
      <c r="D2196" s="736">
        <v>70000</v>
      </c>
      <c r="E2196" s="749">
        <v>20000</v>
      </c>
      <c r="F2196" s="736">
        <v>18448.599999999999</v>
      </c>
      <c r="G2196" s="752">
        <v>10000</v>
      </c>
      <c r="H2196" s="752"/>
      <c r="I2196" s="752"/>
      <c r="J2196" s="736">
        <f t="shared" si="713"/>
        <v>10000</v>
      </c>
      <c r="K2196" s="752"/>
      <c r="L2196" s="752"/>
      <c r="M2196" s="736">
        <f t="shared" si="714"/>
        <v>10000</v>
      </c>
      <c r="N2196" s="736"/>
      <c r="O2196" s="736"/>
      <c r="P2196" s="736">
        <f t="shared" si="715"/>
        <v>10000</v>
      </c>
      <c r="Q2196" s="753">
        <v>10000</v>
      </c>
      <c r="R2196" s="738">
        <v>8840</v>
      </c>
      <c r="S2196" s="753">
        <v>50700</v>
      </c>
      <c r="T2196" s="739">
        <v>1100121</v>
      </c>
      <c r="U2196" s="754">
        <v>50700</v>
      </c>
      <c r="V2196" s="741">
        <v>1100122</v>
      </c>
    </row>
    <row r="2197" spans="1:22" ht="15" x14ac:dyDescent="0.2">
      <c r="A2197" s="734">
        <v>2121</v>
      </c>
      <c r="B2197" s="735" t="s">
        <v>24</v>
      </c>
      <c r="C2197" s="736">
        <v>26300</v>
      </c>
      <c r="D2197" s="736">
        <v>40000</v>
      </c>
      <c r="E2197" s="749">
        <v>28000</v>
      </c>
      <c r="F2197" s="736">
        <v>22163.599999999999</v>
      </c>
      <c r="G2197" s="752">
        <v>28000</v>
      </c>
      <c r="H2197" s="752"/>
      <c r="I2197" s="752"/>
      <c r="J2197" s="736">
        <f t="shared" si="713"/>
        <v>28000</v>
      </c>
      <c r="K2197" s="752"/>
      <c r="L2197" s="752"/>
      <c r="M2197" s="736">
        <f t="shared" si="714"/>
        <v>28000</v>
      </c>
      <c r="N2197" s="736"/>
      <c r="O2197" s="736"/>
      <c r="P2197" s="736">
        <f t="shared" si="715"/>
        <v>28000</v>
      </c>
      <c r="Q2197" s="753">
        <v>27180.12</v>
      </c>
      <c r="R2197" s="738">
        <v>26057.59</v>
      </c>
      <c r="S2197" s="753">
        <v>36400</v>
      </c>
      <c r="T2197" s="739">
        <v>1100121</v>
      </c>
      <c r="U2197" s="754">
        <v>36400</v>
      </c>
      <c r="V2197" s="741">
        <v>1100122</v>
      </c>
    </row>
    <row r="2198" spans="1:22" ht="15" x14ac:dyDescent="0.2">
      <c r="A2198" s="734">
        <v>2161</v>
      </c>
      <c r="B2198" s="735" t="s">
        <v>59</v>
      </c>
      <c r="C2198" s="736">
        <v>31004.3</v>
      </c>
      <c r="D2198" s="736">
        <v>40000</v>
      </c>
      <c r="E2198" s="749">
        <v>70000</v>
      </c>
      <c r="F2198" s="736">
        <v>63451.88</v>
      </c>
      <c r="G2198" s="752">
        <v>45000</v>
      </c>
      <c r="H2198" s="752"/>
      <c r="I2198" s="752"/>
      <c r="J2198" s="736">
        <f t="shared" si="713"/>
        <v>45000</v>
      </c>
      <c r="K2198" s="752"/>
      <c r="L2198" s="752"/>
      <c r="M2198" s="736">
        <f t="shared" si="714"/>
        <v>45000</v>
      </c>
      <c r="N2198" s="736"/>
      <c r="O2198" s="736"/>
      <c r="P2198" s="736">
        <f t="shared" si="715"/>
        <v>45000</v>
      </c>
      <c r="Q2198" s="753">
        <v>75000</v>
      </c>
      <c r="R2198" s="738">
        <v>37974.14</v>
      </c>
      <c r="S2198" s="753">
        <v>50000</v>
      </c>
      <c r="T2198" s="739">
        <v>1100121</v>
      </c>
      <c r="U2198" s="754">
        <v>50000</v>
      </c>
      <c r="V2198" s="741">
        <v>1100122</v>
      </c>
    </row>
    <row r="2199" spans="1:22" ht="15" x14ac:dyDescent="0.2">
      <c r="A2199" s="734">
        <v>2212</v>
      </c>
      <c r="B2199" s="735" t="s">
        <v>40</v>
      </c>
      <c r="C2199" s="736">
        <v>10223.049999999999</v>
      </c>
      <c r="D2199" s="736">
        <v>20000</v>
      </c>
      <c r="E2199" s="749">
        <v>20000</v>
      </c>
      <c r="F2199" s="736">
        <v>9056.1200000000008</v>
      </c>
      <c r="G2199" s="752">
        <v>10000</v>
      </c>
      <c r="H2199" s="752"/>
      <c r="I2199" s="752"/>
      <c r="J2199" s="736">
        <f t="shared" si="713"/>
        <v>10000</v>
      </c>
      <c r="K2199" s="752"/>
      <c r="L2199" s="752"/>
      <c r="M2199" s="736">
        <f t="shared" si="714"/>
        <v>10000</v>
      </c>
      <c r="N2199" s="736"/>
      <c r="O2199" s="736"/>
      <c r="P2199" s="736">
        <f t="shared" si="715"/>
        <v>10000</v>
      </c>
      <c r="Q2199" s="753">
        <v>18000</v>
      </c>
      <c r="R2199" s="738">
        <v>10964.96</v>
      </c>
      <c r="S2199" s="753">
        <v>15000</v>
      </c>
      <c r="T2199" s="739">
        <v>1100121</v>
      </c>
      <c r="U2199" s="754">
        <v>15000</v>
      </c>
      <c r="V2199" s="741">
        <v>1100122</v>
      </c>
    </row>
    <row r="2200" spans="1:22" ht="15" x14ac:dyDescent="0.2">
      <c r="A2200" s="734">
        <v>2461</v>
      </c>
      <c r="B2200" s="735" t="s">
        <v>115</v>
      </c>
      <c r="C2200" s="736">
        <v>6761.4</v>
      </c>
      <c r="D2200" s="736">
        <v>15000</v>
      </c>
      <c r="E2200" s="749">
        <v>15000</v>
      </c>
      <c r="F2200" s="736">
        <v>14858.24</v>
      </c>
      <c r="G2200" s="752">
        <v>15000</v>
      </c>
      <c r="H2200" s="752"/>
      <c r="I2200" s="752"/>
      <c r="J2200" s="736">
        <f t="shared" si="713"/>
        <v>15000</v>
      </c>
      <c r="K2200" s="752"/>
      <c r="L2200" s="752"/>
      <c r="M2200" s="736">
        <f t="shared" si="714"/>
        <v>15000</v>
      </c>
      <c r="N2200" s="736"/>
      <c r="O2200" s="736"/>
      <c r="P2200" s="736">
        <f t="shared" si="715"/>
        <v>15000</v>
      </c>
      <c r="Q2200" s="753">
        <v>15000</v>
      </c>
      <c r="R2200" s="738">
        <v>14871.12</v>
      </c>
      <c r="S2200" s="753">
        <v>15600</v>
      </c>
      <c r="T2200" s="739">
        <v>1100121</v>
      </c>
      <c r="U2200" s="754">
        <v>15600</v>
      </c>
      <c r="V2200" s="741">
        <v>1100122</v>
      </c>
    </row>
    <row r="2201" spans="1:22" ht="15" x14ac:dyDescent="0.2">
      <c r="A2201" s="734">
        <v>2491</v>
      </c>
      <c r="B2201" s="735" t="s">
        <v>41</v>
      </c>
      <c r="C2201" s="736">
        <v>56397.99</v>
      </c>
      <c r="D2201" s="736">
        <v>59401</v>
      </c>
      <c r="E2201" s="749">
        <v>49401</v>
      </c>
      <c r="F2201" s="736">
        <v>49332.67</v>
      </c>
      <c r="G2201" s="752">
        <v>50000</v>
      </c>
      <c r="H2201" s="752"/>
      <c r="I2201" s="752"/>
      <c r="J2201" s="736">
        <f t="shared" si="713"/>
        <v>50000</v>
      </c>
      <c r="K2201" s="752"/>
      <c r="L2201" s="752"/>
      <c r="M2201" s="736">
        <f t="shared" si="714"/>
        <v>50000</v>
      </c>
      <c r="N2201" s="736"/>
      <c r="O2201" s="736"/>
      <c r="P2201" s="736">
        <f t="shared" si="715"/>
        <v>50000</v>
      </c>
      <c r="Q2201" s="753">
        <v>69000</v>
      </c>
      <c r="R2201" s="738">
        <v>40481.96</v>
      </c>
      <c r="S2201" s="753">
        <v>50600</v>
      </c>
      <c r="T2201" s="739">
        <v>1100121</v>
      </c>
      <c r="U2201" s="754">
        <v>50600</v>
      </c>
      <c r="V2201" s="741">
        <v>1100122</v>
      </c>
    </row>
    <row r="2202" spans="1:22" ht="30" x14ac:dyDescent="0.2">
      <c r="A2202" s="739">
        <v>2612</v>
      </c>
      <c r="B2202" s="743" t="s">
        <v>26</v>
      </c>
      <c r="C2202" s="736">
        <v>28829.06</v>
      </c>
      <c r="D2202" s="736"/>
      <c r="E2202" s="736"/>
      <c r="F2202" s="736"/>
      <c r="G2202" s="736"/>
      <c r="H2202" s="736"/>
      <c r="I2202" s="736"/>
      <c r="J2202" s="736">
        <f t="shared" si="713"/>
        <v>0</v>
      </c>
      <c r="K2202" s="736"/>
      <c r="L2202" s="736"/>
      <c r="M2202" s="736">
        <f t="shared" si="714"/>
        <v>0</v>
      </c>
      <c r="N2202" s="736"/>
      <c r="O2202" s="736"/>
      <c r="P2202" s="738">
        <f t="shared" si="715"/>
        <v>0</v>
      </c>
      <c r="Q2202" s="738"/>
      <c r="R2202" s="738"/>
      <c r="S2202" s="738">
        <f>Q2202</f>
        <v>0</v>
      </c>
      <c r="T2202" s="739"/>
      <c r="U2202" s="744"/>
      <c r="V2202" s="739"/>
    </row>
    <row r="2203" spans="1:22" ht="15" x14ac:dyDescent="0.2">
      <c r="A2203" s="734">
        <v>2911</v>
      </c>
      <c r="B2203" s="735" t="s">
        <v>60</v>
      </c>
      <c r="C2203" s="736">
        <v>2270</v>
      </c>
      <c r="D2203" s="736"/>
      <c r="E2203" s="736"/>
      <c r="F2203" s="736"/>
      <c r="G2203" s="736"/>
      <c r="H2203" s="736"/>
      <c r="I2203" s="736"/>
      <c r="J2203" s="736">
        <f t="shared" si="713"/>
        <v>0</v>
      </c>
      <c r="K2203" s="736"/>
      <c r="L2203" s="736"/>
      <c r="M2203" s="736">
        <f t="shared" si="714"/>
        <v>0</v>
      </c>
      <c r="N2203" s="736"/>
      <c r="O2203" s="736"/>
      <c r="P2203" s="738">
        <f t="shared" si="715"/>
        <v>0</v>
      </c>
      <c r="Q2203" s="738"/>
      <c r="R2203" s="738"/>
      <c r="S2203" s="738">
        <v>3000</v>
      </c>
      <c r="T2203" s="739"/>
      <c r="U2203" s="742">
        <v>3000</v>
      </c>
      <c r="V2203" s="741">
        <v>1100122</v>
      </c>
    </row>
    <row r="2204" spans="1:22" ht="15" x14ac:dyDescent="0.2">
      <c r="A2204" s="734">
        <v>3111</v>
      </c>
      <c r="B2204" s="735" t="s">
        <v>47</v>
      </c>
      <c r="C2204" s="736">
        <v>176209</v>
      </c>
      <c r="D2204" s="736">
        <v>250000</v>
      </c>
      <c r="E2204" s="749">
        <v>230000</v>
      </c>
      <c r="F2204" s="736">
        <v>154244</v>
      </c>
      <c r="G2204" s="752">
        <v>245000</v>
      </c>
      <c r="H2204" s="752"/>
      <c r="I2204" s="752"/>
      <c r="J2204" s="736">
        <f t="shared" si="713"/>
        <v>245000</v>
      </c>
      <c r="K2204" s="752"/>
      <c r="L2204" s="752"/>
      <c r="M2204" s="736">
        <f t="shared" si="714"/>
        <v>245000</v>
      </c>
      <c r="N2204" s="736"/>
      <c r="O2204" s="736"/>
      <c r="P2204" s="736">
        <f t="shared" si="715"/>
        <v>245000</v>
      </c>
      <c r="Q2204" s="753">
        <v>245000</v>
      </c>
      <c r="R2204" s="738">
        <v>137776</v>
      </c>
      <c r="S2204" s="753">
        <v>210000</v>
      </c>
      <c r="T2204" s="739">
        <v>1100121</v>
      </c>
      <c r="U2204" s="746">
        <v>245000</v>
      </c>
      <c r="V2204" s="741">
        <v>1100122</v>
      </c>
    </row>
    <row r="2205" spans="1:22" ht="15" x14ac:dyDescent="0.2">
      <c r="A2205" s="734">
        <v>3131</v>
      </c>
      <c r="B2205" s="735" t="s">
        <v>61</v>
      </c>
      <c r="C2205" s="736">
        <v>5000</v>
      </c>
      <c r="D2205" s="736">
        <v>8000</v>
      </c>
      <c r="E2205" s="749">
        <v>8000</v>
      </c>
      <c r="F2205" s="736">
        <v>2390.04</v>
      </c>
      <c r="G2205" s="752">
        <v>9000</v>
      </c>
      <c r="H2205" s="752"/>
      <c r="I2205" s="752"/>
      <c r="J2205" s="736">
        <f t="shared" si="713"/>
        <v>9000</v>
      </c>
      <c r="K2205" s="752"/>
      <c r="L2205" s="752"/>
      <c r="M2205" s="736">
        <f t="shared" si="714"/>
        <v>9000</v>
      </c>
      <c r="N2205" s="736"/>
      <c r="O2205" s="736"/>
      <c r="P2205" s="736">
        <f t="shared" si="715"/>
        <v>9000</v>
      </c>
      <c r="Q2205" s="753">
        <v>9000</v>
      </c>
      <c r="R2205" s="738">
        <v>2400</v>
      </c>
      <c r="S2205" s="753">
        <v>8000</v>
      </c>
      <c r="T2205" s="739">
        <v>1100121</v>
      </c>
      <c r="U2205" s="746">
        <v>9000</v>
      </c>
      <c r="V2205" s="741">
        <v>1100122</v>
      </c>
    </row>
    <row r="2206" spans="1:22" ht="15" x14ac:dyDescent="0.2">
      <c r="A2206" s="734">
        <v>3141</v>
      </c>
      <c r="B2206" s="735" t="s">
        <v>48</v>
      </c>
      <c r="C2206" s="736">
        <v>28266.53</v>
      </c>
      <c r="D2206" s="736">
        <v>45000</v>
      </c>
      <c r="E2206" s="749">
        <v>30000</v>
      </c>
      <c r="F2206" s="736">
        <v>24200.63</v>
      </c>
      <c r="G2206" s="752">
        <v>30000</v>
      </c>
      <c r="H2206" s="752"/>
      <c r="I2206" s="752"/>
      <c r="J2206" s="736">
        <f t="shared" si="713"/>
        <v>30000</v>
      </c>
      <c r="K2206" s="752"/>
      <c r="L2206" s="752"/>
      <c r="M2206" s="736">
        <f t="shared" si="714"/>
        <v>30000</v>
      </c>
      <c r="N2206" s="736"/>
      <c r="O2206" s="736"/>
      <c r="P2206" s="736">
        <f t="shared" si="715"/>
        <v>30000</v>
      </c>
      <c r="Q2206" s="753">
        <v>30000</v>
      </c>
      <c r="R2206" s="738">
        <v>18235.79</v>
      </c>
      <c r="S2206" s="753">
        <v>45000</v>
      </c>
      <c r="T2206" s="739">
        <v>1100121</v>
      </c>
      <c r="U2206" s="746">
        <v>30000</v>
      </c>
      <c r="V2206" s="741">
        <v>1100122</v>
      </c>
    </row>
    <row r="2207" spans="1:22" ht="15" x14ac:dyDescent="0.2">
      <c r="A2207" s="734">
        <v>3151</v>
      </c>
      <c r="B2207" s="735" t="s">
        <v>28</v>
      </c>
      <c r="C2207" s="736">
        <v>34159.480000000003</v>
      </c>
      <c r="D2207" s="736">
        <v>45000</v>
      </c>
      <c r="E2207" s="749">
        <v>40000</v>
      </c>
      <c r="F2207" s="736">
        <v>37923.46</v>
      </c>
      <c r="G2207" s="752">
        <v>44000</v>
      </c>
      <c r="H2207" s="752"/>
      <c r="I2207" s="752"/>
      <c r="J2207" s="736">
        <f t="shared" si="713"/>
        <v>44000</v>
      </c>
      <c r="K2207" s="752">
        <v>37000</v>
      </c>
      <c r="L2207" s="752"/>
      <c r="M2207" s="736">
        <f t="shared" si="714"/>
        <v>81000</v>
      </c>
      <c r="N2207" s="736"/>
      <c r="O2207" s="736"/>
      <c r="P2207" s="736">
        <f t="shared" si="715"/>
        <v>81000</v>
      </c>
      <c r="Q2207" s="753">
        <v>81000</v>
      </c>
      <c r="R2207" s="738">
        <v>50733.64</v>
      </c>
      <c r="S2207" s="753">
        <v>45000</v>
      </c>
      <c r="T2207" s="739">
        <v>1100121</v>
      </c>
      <c r="U2207" s="746">
        <v>85000</v>
      </c>
      <c r="V2207" s="741">
        <v>1100122</v>
      </c>
    </row>
    <row r="2208" spans="1:22" ht="15" x14ac:dyDescent="0.2">
      <c r="A2208" s="734">
        <v>3221</v>
      </c>
      <c r="B2208" s="735" t="s">
        <v>99</v>
      </c>
      <c r="C2208" s="736">
        <v>752793.59999999998</v>
      </c>
      <c r="D2208" s="736">
        <v>782905.3</v>
      </c>
      <c r="E2208" s="749">
        <v>752793.59999999998</v>
      </c>
      <c r="F2208" s="736">
        <v>752793.59999999998</v>
      </c>
      <c r="G2208" s="752">
        <v>779141</v>
      </c>
      <c r="H2208" s="752"/>
      <c r="I2208" s="752"/>
      <c r="J2208" s="736">
        <f t="shared" si="713"/>
        <v>779141</v>
      </c>
      <c r="K2208" s="752"/>
      <c r="L2208" s="752">
        <v>2634</v>
      </c>
      <c r="M2208" s="736">
        <f t="shared" si="714"/>
        <v>776507</v>
      </c>
      <c r="N2208" s="736"/>
      <c r="O2208" s="736"/>
      <c r="P2208" s="736">
        <f t="shared" si="715"/>
        <v>776507</v>
      </c>
      <c r="Q2208" s="753">
        <v>776507</v>
      </c>
      <c r="R2208" s="738">
        <v>582379.92000000004</v>
      </c>
      <c r="S2208" s="753">
        <v>782905.34</v>
      </c>
      <c r="T2208" s="739">
        <v>1100121</v>
      </c>
      <c r="U2208" s="754">
        <v>815332</v>
      </c>
      <c r="V2208" s="741">
        <v>1100122</v>
      </c>
    </row>
    <row r="2209" spans="1:22" ht="15" x14ac:dyDescent="0.2">
      <c r="A2209" s="739">
        <v>3311</v>
      </c>
      <c r="B2209" s="743" t="s">
        <v>1802</v>
      </c>
      <c r="C2209" s="736"/>
      <c r="D2209" s="736"/>
      <c r="E2209" s="749"/>
      <c r="F2209" s="736"/>
      <c r="G2209" s="752"/>
      <c r="H2209" s="752"/>
      <c r="I2209" s="752"/>
      <c r="J2209" s="736"/>
      <c r="K2209" s="752"/>
      <c r="L2209" s="752"/>
      <c r="M2209" s="736">
        <f t="shared" si="714"/>
        <v>0</v>
      </c>
      <c r="N2209" s="736">
        <v>348000</v>
      </c>
      <c r="O2209" s="736"/>
      <c r="P2209" s="736">
        <f t="shared" si="715"/>
        <v>348000</v>
      </c>
      <c r="Q2209" s="753">
        <v>348000</v>
      </c>
      <c r="R2209" s="738">
        <v>348000</v>
      </c>
      <c r="S2209" s="753"/>
      <c r="T2209" s="739">
        <v>1100121</v>
      </c>
      <c r="U2209" s="745"/>
      <c r="V2209" s="739">
        <v>1100122</v>
      </c>
    </row>
    <row r="2210" spans="1:22" ht="30" x14ac:dyDescent="0.2">
      <c r="A2210" s="734">
        <v>3361</v>
      </c>
      <c r="B2210" s="735" t="s">
        <v>29</v>
      </c>
      <c r="C2210" s="736">
        <v>4750</v>
      </c>
      <c r="D2210" s="736">
        <v>5000</v>
      </c>
      <c r="E2210" s="749">
        <v>5000</v>
      </c>
      <c r="F2210" s="736">
        <v>3885</v>
      </c>
      <c r="G2210" s="752">
        <v>5000</v>
      </c>
      <c r="H2210" s="752"/>
      <c r="I2210" s="752"/>
      <c r="J2210" s="736">
        <f t="shared" ref="J2210:J2222" si="716">G2210+H2210-I2210</f>
        <v>5000</v>
      </c>
      <c r="K2210" s="752"/>
      <c r="L2210" s="752"/>
      <c r="M2210" s="736">
        <f t="shared" si="714"/>
        <v>5000</v>
      </c>
      <c r="N2210" s="736"/>
      <c r="O2210" s="736"/>
      <c r="P2210" s="736">
        <f t="shared" si="715"/>
        <v>5000</v>
      </c>
      <c r="Q2210" s="753">
        <v>5000</v>
      </c>
      <c r="R2210" s="738">
        <v>2201.6799999999998</v>
      </c>
      <c r="S2210" s="753">
        <v>5000</v>
      </c>
      <c r="T2210" s="739">
        <v>1100121</v>
      </c>
      <c r="U2210" s="754">
        <v>5000</v>
      </c>
      <c r="V2210" s="741">
        <v>1100122</v>
      </c>
    </row>
    <row r="2211" spans="1:22" ht="15" x14ac:dyDescent="0.2">
      <c r="A2211" s="739">
        <v>3511</v>
      </c>
      <c r="B2211" s="743" t="s">
        <v>49</v>
      </c>
      <c r="C2211" s="736">
        <v>40407.440000000002</v>
      </c>
      <c r="D2211" s="736">
        <v>0</v>
      </c>
      <c r="E2211" s="749">
        <v>105000</v>
      </c>
      <c r="F2211" s="736">
        <v>104500.85</v>
      </c>
      <c r="G2211" s="752"/>
      <c r="H2211" s="752"/>
      <c r="I2211" s="752"/>
      <c r="J2211" s="736">
        <f t="shared" si="716"/>
        <v>0</v>
      </c>
      <c r="K2211" s="752"/>
      <c r="L2211" s="752"/>
      <c r="M2211" s="736">
        <f t="shared" si="714"/>
        <v>0</v>
      </c>
      <c r="N2211" s="736"/>
      <c r="O2211" s="736"/>
      <c r="P2211" s="738">
        <f t="shared" si="715"/>
        <v>0</v>
      </c>
      <c r="Q2211" s="753">
        <v>61000</v>
      </c>
      <c r="R2211" s="738"/>
      <c r="S2211" s="753"/>
      <c r="T2211" s="739">
        <v>1100119</v>
      </c>
      <c r="U2211" s="745"/>
      <c r="V2211" s="739">
        <v>1100119</v>
      </c>
    </row>
    <row r="2212" spans="1:22" ht="15" x14ac:dyDescent="0.2">
      <c r="A2212" s="734">
        <v>3511</v>
      </c>
      <c r="B2212" s="735" t="s">
        <v>49</v>
      </c>
      <c r="C2212" s="736"/>
      <c r="D2212" s="736">
        <v>80000</v>
      </c>
      <c r="E2212" s="749">
        <v>80000</v>
      </c>
      <c r="F2212" s="736">
        <v>123600.2</v>
      </c>
      <c r="G2212" s="752">
        <v>100000</v>
      </c>
      <c r="H2212" s="752"/>
      <c r="I2212" s="752"/>
      <c r="J2212" s="736">
        <f t="shared" si="716"/>
        <v>100000</v>
      </c>
      <c r="K2212" s="752"/>
      <c r="L2212" s="752"/>
      <c r="M2212" s="736">
        <f t="shared" si="714"/>
        <v>100000</v>
      </c>
      <c r="N2212" s="736"/>
      <c r="O2212" s="736"/>
      <c r="P2212" s="736">
        <f t="shared" si="715"/>
        <v>100000</v>
      </c>
      <c r="Q2212" s="753"/>
      <c r="R2212" s="738">
        <v>16381.48</v>
      </c>
      <c r="S2212" s="753">
        <v>40000</v>
      </c>
      <c r="T2212" s="739">
        <v>1100121</v>
      </c>
      <c r="U2212" s="740">
        <v>60000</v>
      </c>
      <c r="V2212" s="741">
        <v>1100122</v>
      </c>
    </row>
    <row r="2213" spans="1:22" ht="15" x14ac:dyDescent="0.2">
      <c r="A2213" s="734">
        <v>3551</v>
      </c>
      <c r="B2213" s="735" t="s">
        <v>30</v>
      </c>
      <c r="C2213" s="736">
        <v>49640.29</v>
      </c>
      <c r="D2213" s="736">
        <v>80000</v>
      </c>
      <c r="E2213" s="749">
        <v>180000</v>
      </c>
      <c r="F2213" s="736">
        <v>163944.85</v>
      </c>
      <c r="G2213" s="752">
        <v>150000</v>
      </c>
      <c r="H2213" s="752"/>
      <c r="I2213" s="752"/>
      <c r="J2213" s="736">
        <f t="shared" si="716"/>
        <v>150000</v>
      </c>
      <c r="K2213" s="752"/>
      <c r="L2213" s="752"/>
      <c r="M2213" s="736">
        <f t="shared" si="714"/>
        <v>150000</v>
      </c>
      <c r="N2213" s="736">
        <v>25000</v>
      </c>
      <c r="O2213" s="736"/>
      <c r="P2213" s="736">
        <f t="shared" si="715"/>
        <v>175000</v>
      </c>
      <c r="Q2213" s="753">
        <v>175000</v>
      </c>
      <c r="R2213" s="738">
        <v>146946.4</v>
      </c>
      <c r="S2213" s="738">
        <f>Q2213</f>
        <v>175000</v>
      </c>
      <c r="T2213" s="739">
        <v>1100121</v>
      </c>
      <c r="U2213" s="740">
        <v>195000</v>
      </c>
      <c r="V2213" s="741">
        <v>1100122</v>
      </c>
    </row>
    <row r="2214" spans="1:22" ht="15" x14ac:dyDescent="0.25">
      <c r="A2214" s="739">
        <v>3571</v>
      </c>
      <c r="B2214" s="743" t="s">
        <v>65</v>
      </c>
      <c r="C2214" s="736"/>
      <c r="D2214" s="736"/>
      <c r="E2214" s="749"/>
      <c r="F2214" s="736"/>
      <c r="G2214" s="752"/>
      <c r="H2214" s="759">
        <v>4048.4</v>
      </c>
      <c r="I2214" s="752"/>
      <c r="J2214" s="736">
        <f t="shared" si="716"/>
        <v>4048.4</v>
      </c>
      <c r="K2214" s="759"/>
      <c r="L2214" s="752"/>
      <c r="M2214" s="736">
        <f t="shared" si="714"/>
        <v>4048.4</v>
      </c>
      <c r="N2214" s="736"/>
      <c r="O2214" s="736"/>
      <c r="P2214" s="736">
        <f t="shared" si="715"/>
        <v>4048.4</v>
      </c>
      <c r="Q2214" s="753"/>
      <c r="R2214" s="738"/>
      <c r="S2214" s="753"/>
      <c r="T2214" s="739">
        <v>1100120</v>
      </c>
      <c r="U2214" s="745"/>
      <c r="V2214" s="739">
        <v>1100120</v>
      </c>
    </row>
    <row r="2215" spans="1:22" ht="15" x14ac:dyDescent="0.2">
      <c r="A2215" s="734">
        <v>3571</v>
      </c>
      <c r="B2215" s="735" t="s">
        <v>65</v>
      </c>
      <c r="C2215" s="736">
        <v>377000</v>
      </c>
      <c r="D2215" s="736">
        <v>25000</v>
      </c>
      <c r="E2215" s="749">
        <v>25000</v>
      </c>
      <c r="F2215" s="736">
        <v>12204.36</v>
      </c>
      <c r="G2215" s="752">
        <v>20000</v>
      </c>
      <c r="H2215" s="752"/>
      <c r="I2215" s="752"/>
      <c r="J2215" s="736">
        <f t="shared" si="716"/>
        <v>20000</v>
      </c>
      <c r="K2215" s="752"/>
      <c r="L2215" s="752"/>
      <c r="M2215" s="736">
        <f t="shared" si="714"/>
        <v>20000</v>
      </c>
      <c r="N2215" s="736"/>
      <c r="O2215" s="736"/>
      <c r="P2215" s="736">
        <f t="shared" si="715"/>
        <v>20000</v>
      </c>
      <c r="Q2215" s="753">
        <v>20000</v>
      </c>
      <c r="R2215" s="738">
        <v>15242.4</v>
      </c>
      <c r="S2215" s="753">
        <v>15000</v>
      </c>
      <c r="T2215" s="739">
        <v>1100121</v>
      </c>
      <c r="U2215" s="754">
        <v>15000</v>
      </c>
      <c r="V2215" s="741">
        <v>1100122</v>
      </c>
    </row>
    <row r="2216" spans="1:22" ht="15" x14ac:dyDescent="0.2">
      <c r="A2216" s="734">
        <v>3591</v>
      </c>
      <c r="B2216" s="735" t="s">
        <v>140</v>
      </c>
      <c r="C2216" s="736">
        <v>3897.6</v>
      </c>
      <c r="D2216" s="736">
        <v>10000</v>
      </c>
      <c r="E2216" s="749">
        <v>41280</v>
      </c>
      <c r="F2216" s="736">
        <v>9976</v>
      </c>
      <c r="G2216" s="752">
        <v>13000</v>
      </c>
      <c r="H2216" s="752"/>
      <c r="I2216" s="752"/>
      <c r="J2216" s="736">
        <f t="shared" si="716"/>
        <v>13000</v>
      </c>
      <c r="K2216" s="752"/>
      <c r="L2216" s="752"/>
      <c r="M2216" s="736">
        <f t="shared" si="714"/>
        <v>13000</v>
      </c>
      <c r="N2216" s="736"/>
      <c r="O2216" s="736"/>
      <c r="P2216" s="736">
        <f t="shared" si="715"/>
        <v>13000</v>
      </c>
      <c r="Q2216" s="753">
        <v>13000</v>
      </c>
      <c r="R2216" s="738">
        <v>9976</v>
      </c>
      <c r="S2216" s="753">
        <v>13520</v>
      </c>
      <c r="T2216" s="739">
        <v>1100121</v>
      </c>
      <c r="U2216" s="754">
        <v>13520</v>
      </c>
      <c r="V2216" s="741">
        <v>1100122</v>
      </c>
    </row>
    <row r="2217" spans="1:22" ht="15" x14ac:dyDescent="0.2">
      <c r="A2217" s="734">
        <v>3612</v>
      </c>
      <c r="B2217" s="735" t="s">
        <v>188</v>
      </c>
      <c r="C2217" s="736">
        <v>65000</v>
      </c>
      <c r="D2217" s="736">
        <v>100000</v>
      </c>
      <c r="E2217" s="749">
        <v>100000</v>
      </c>
      <c r="F2217" s="736">
        <v>110427.8</v>
      </c>
      <c r="G2217" s="752">
        <v>80000</v>
      </c>
      <c r="H2217" s="752"/>
      <c r="I2217" s="752"/>
      <c r="J2217" s="736">
        <f t="shared" si="716"/>
        <v>80000</v>
      </c>
      <c r="K2217" s="752"/>
      <c r="L2217" s="752"/>
      <c r="M2217" s="736">
        <f t="shared" si="714"/>
        <v>80000</v>
      </c>
      <c r="N2217" s="736"/>
      <c r="O2217" s="736"/>
      <c r="P2217" s="736">
        <f t="shared" si="715"/>
        <v>80000</v>
      </c>
      <c r="Q2217" s="753">
        <v>80000</v>
      </c>
      <c r="R2217" s="738">
        <v>60301.440000000002</v>
      </c>
      <c r="S2217" s="753">
        <v>83200</v>
      </c>
      <c r="T2217" s="739">
        <v>1100121</v>
      </c>
      <c r="U2217" s="754">
        <v>83200</v>
      </c>
      <c r="V2217" s="741">
        <v>1100122</v>
      </c>
    </row>
    <row r="2218" spans="1:22" ht="15" x14ac:dyDescent="0.2">
      <c r="A2218" s="734">
        <v>3751</v>
      </c>
      <c r="B2218" s="735" t="s">
        <v>44</v>
      </c>
      <c r="C2218" s="736">
        <v>9257</v>
      </c>
      <c r="D2218" s="736">
        <v>20000</v>
      </c>
      <c r="E2218" s="749">
        <v>7000</v>
      </c>
      <c r="F2218" s="736">
        <v>2472.67</v>
      </c>
      <c r="G2218" s="752">
        <v>10000</v>
      </c>
      <c r="H2218" s="752"/>
      <c r="I2218" s="752"/>
      <c r="J2218" s="736">
        <f t="shared" si="716"/>
        <v>10000</v>
      </c>
      <c r="K2218" s="752"/>
      <c r="L2218" s="752"/>
      <c r="M2218" s="736">
        <f t="shared" si="714"/>
        <v>10000</v>
      </c>
      <c r="N2218" s="736"/>
      <c r="O2218" s="736"/>
      <c r="P2218" s="736">
        <f t="shared" si="715"/>
        <v>10000</v>
      </c>
      <c r="Q2218" s="753">
        <v>2000</v>
      </c>
      <c r="R2218" s="738"/>
      <c r="S2218" s="753">
        <v>15600</v>
      </c>
      <c r="T2218" s="739">
        <v>1100121</v>
      </c>
      <c r="U2218" s="754">
        <v>15600</v>
      </c>
      <c r="V2218" s="741">
        <v>1100122</v>
      </c>
    </row>
    <row r="2219" spans="1:22" ht="15" x14ac:dyDescent="0.2">
      <c r="A2219" s="734">
        <v>3791</v>
      </c>
      <c r="B2219" s="735" t="s">
        <v>45</v>
      </c>
      <c r="C2219" s="736">
        <v>14542</v>
      </c>
      <c r="D2219" s="736">
        <v>20000</v>
      </c>
      <c r="E2219" s="749">
        <v>20000</v>
      </c>
      <c r="F2219" s="736">
        <v>15240.02</v>
      </c>
      <c r="G2219" s="752">
        <v>10000</v>
      </c>
      <c r="H2219" s="752"/>
      <c r="I2219" s="752"/>
      <c r="J2219" s="736">
        <f t="shared" si="716"/>
        <v>10000</v>
      </c>
      <c r="K2219" s="752"/>
      <c r="L2219" s="752"/>
      <c r="M2219" s="736">
        <f t="shared" si="714"/>
        <v>10000</v>
      </c>
      <c r="N2219" s="736"/>
      <c r="O2219" s="736"/>
      <c r="P2219" s="736">
        <f t="shared" si="715"/>
        <v>10000</v>
      </c>
      <c r="Q2219" s="753">
        <v>20000</v>
      </c>
      <c r="R2219" s="738">
        <v>11018</v>
      </c>
      <c r="S2219" s="753">
        <v>15000</v>
      </c>
      <c r="T2219" s="739">
        <v>1100121</v>
      </c>
      <c r="U2219" s="754">
        <v>15000</v>
      </c>
      <c r="V2219" s="741">
        <v>1100122</v>
      </c>
    </row>
    <row r="2220" spans="1:22" ht="15" x14ac:dyDescent="0.2">
      <c r="A2220" s="734">
        <v>3821</v>
      </c>
      <c r="B2220" s="735" t="s">
        <v>31</v>
      </c>
      <c r="C2220" s="736">
        <v>60784.49</v>
      </c>
      <c r="D2220" s="736">
        <v>70000</v>
      </c>
      <c r="E2220" s="749">
        <v>0</v>
      </c>
      <c r="F2220" s="736">
        <v>0</v>
      </c>
      <c r="G2220" s="752">
        <v>70000</v>
      </c>
      <c r="H2220" s="752"/>
      <c r="I2220" s="752"/>
      <c r="J2220" s="736">
        <f t="shared" si="716"/>
        <v>70000</v>
      </c>
      <c r="K2220" s="752"/>
      <c r="L2220" s="752"/>
      <c r="M2220" s="736">
        <f t="shared" si="714"/>
        <v>70000</v>
      </c>
      <c r="N2220" s="736"/>
      <c r="O2220" s="736"/>
      <c r="P2220" s="736">
        <f t="shared" si="715"/>
        <v>70000</v>
      </c>
      <c r="Q2220" s="753">
        <v>30000</v>
      </c>
      <c r="R2220" s="738"/>
      <c r="S2220" s="753">
        <v>72800</v>
      </c>
      <c r="T2220" s="739">
        <v>1100121</v>
      </c>
      <c r="U2220" s="754">
        <v>70000</v>
      </c>
      <c r="V2220" s="741">
        <v>1100122</v>
      </c>
    </row>
    <row r="2221" spans="1:22" ht="15" x14ac:dyDescent="0.2">
      <c r="A2221" s="734">
        <v>3852</v>
      </c>
      <c r="B2221" s="735" t="s">
        <v>32</v>
      </c>
      <c r="C2221" s="736">
        <v>85962.03</v>
      </c>
      <c r="D2221" s="736">
        <v>75000</v>
      </c>
      <c r="E2221" s="749">
        <v>88000</v>
      </c>
      <c r="F2221" s="736">
        <v>90915.37</v>
      </c>
      <c r="G2221" s="752">
        <v>80000</v>
      </c>
      <c r="H2221" s="752"/>
      <c r="I2221" s="752"/>
      <c r="J2221" s="736">
        <f t="shared" si="716"/>
        <v>80000</v>
      </c>
      <c r="K2221" s="752"/>
      <c r="L2221" s="752"/>
      <c r="M2221" s="736">
        <f t="shared" si="714"/>
        <v>80000</v>
      </c>
      <c r="N2221" s="736"/>
      <c r="O2221" s="736"/>
      <c r="P2221" s="736">
        <f t="shared" si="715"/>
        <v>80000</v>
      </c>
      <c r="Q2221" s="753">
        <v>100000</v>
      </c>
      <c r="R2221" s="738">
        <v>70750.600000000006</v>
      </c>
      <c r="S2221" s="753">
        <v>70000</v>
      </c>
      <c r="T2221" s="739">
        <v>1100121</v>
      </c>
      <c r="U2221" s="754">
        <v>70000</v>
      </c>
      <c r="V2221" s="741">
        <v>1100122</v>
      </c>
    </row>
    <row r="2222" spans="1:22" ht="15" x14ac:dyDescent="0.2">
      <c r="A2222" s="734">
        <v>3961</v>
      </c>
      <c r="B2222" s="735" t="s">
        <v>122</v>
      </c>
      <c r="C2222" s="736">
        <v>51392.08</v>
      </c>
      <c r="D2222" s="736">
        <v>300000</v>
      </c>
      <c r="E2222" s="749">
        <v>300000</v>
      </c>
      <c r="F2222" s="736">
        <v>158340.93</v>
      </c>
      <c r="G2222" s="752">
        <v>300000</v>
      </c>
      <c r="H2222" s="752"/>
      <c r="I2222" s="752"/>
      <c r="J2222" s="736">
        <f t="shared" si="716"/>
        <v>300000</v>
      </c>
      <c r="K2222" s="752"/>
      <c r="L2222" s="752"/>
      <c r="M2222" s="736">
        <f t="shared" si="714"/>
        <v>300000</v>
      </c>
      <c r="N2222" s="736"/>
      <c r="O2222" s="736"/>
      <c r="P2222" s="736">
        <f t="shared" si="715"/>
        <v>300000</v>
      </c>
      <c r="Q2222" s="753">
        <v>300000</v>
      </c>
      <c r="R2222" s="738"/>
      <c r="S2222" s="753">
        <v>300000</v>
      </c>
      <c r="T2222" s="739">
        <v>1100121</v>
      </c>
      <c r="U2222" s="754">
        <v>300000</v>
      </c>
      <c r="V2222" s="741">
        <v>1100122</v>
      </c>
    </row>
    <row r="2223" spans="1:22" ht="15" x14ac:dyDescent="0.2">
      <c r="A2223" s="734">
        <v>5111</v>
      </c>
      <c r="B2223" s="735" t="s">
        <v>1803</v>
      </c>
      <c r="C2223" s="736"/>
      <c r="D2223" s="736"/>
      <c r="E2223" s="749"/>
      <c r="F2223" s="736"/>
      <c r="G2223" s="752"/>
      <c r="H2223" s="752"/>
      <c r="I2223" s="752"/>
      <c r="J2223" s="736"/>
      <c r="K2223" s="752"/>
      <c r="L2223" s="752"/>
      <c r="M2223" s="736"/>
      <c r="N2223" s="736"/>
      <c r="O2223" s="736"/>
      <c r="P2223" s="736"/>
      <c r="Q2223" s="753"/>
      <c r="R2223" s="738"/>
      <c r="S2223" s="753">
        <v>18720</v>
      </c>
      <c r="T2223" s="739"/>
      <c r="U2223" s="746">
        <v>17000</v>
      </c>
      <c r="V2223" s="741">
        <v>1100122</v>
      </c>
    </row>
    <row r="2224" spans="1:22" ht="15" x14ac:dyDescent="0.2">
      <c r="A2224" s="739">
        <v>5151</v>
      </c>
      <c r="B2224" s="743" t="s">
        <v>1804</v>
      </c>
      <c r="C2224" s="736"/>
      <c r="D2224" s="736"/>
      <c r="E2224" s="749"/>
      <c r="F2224" s="736"/>
      <c r="G2224" s="752"/>
      <c r="H2224" s="752"/>
      <c r="I2224" s="752"/>
      <c r="J2224" s="736"/>
      <c r="K2224" s="752"/>
      <c r="L2224" s="752"/>
      <c r="M2224" s="736"/>
      <c r="N2224" s="736"/>
      <c r="O2224" s="736"/>
      <c r="P2224" s="736"/>
      <c r="Q2224" s="753"/>
      <c r="R2224" s="738"/>
      <c r="S2224" s="753">
        <v>70000</v>
      </c>
      <c r="T2224" s="739"/>
      <c r="U2224" s="744">
        <v>0</v>
      </c>
      <c r="V2224" s="739"/>
    </row>
    <row r="2225" spans="1:22" ht="15" x14ac:dyDescent="0.2">
      <c r="A2225" s="739">
        <v>5691</v>
      </c>
      <c r="B2225" s="743" t="s">
        <v>1713</v>
      </c>
      <c r="C2225" s="736"/>
      <c r="D2225" s="736"/>
      <c r="E2225" s="749"/>
      <c r="F2225" s="736"/>
      <c r="G2225" s="752"/>
      <c r="H2225" s="752"/>
      <c r="I2225" s="752"/>
      <c r="J2225" s="736"/>
      <c r="K2225" s="752"/>
      <c r="L2225" s="752"/>
      <c r="M2225" s="736"/>
      <c r="N2225" s="736"/>
      <c r="O2225" s="736"/>
      <c r="P2225" s="736"/>
      <c r="Q2225" s="753"/>
      <c r="R2225" s="738"/>
      <c r="S2225" s="753">
        <v>3000</v>
      </c>
      <c r="T2225" s="739"/>
      <c r="U2225" s="744"/>
      <c r="V2225" s="739"/>
    </row>
    <row r="2226" spans="1:22" ht="15" x14ac:dyDescent="0.2">
      <c r="A2226" s="734">
        <v>5911</v>
      </c>
      <c r="B2226" s="735" t="s">
        <v>1805</v>
      </c>
      <c r="C2226" s="736"/>
      <c r="D2226" s="736"/>
      <c r="E2226" s="749"/>
      <c r="F2226" s="736"/>
      <c r="G2226" s="752"/>
      <c r="H2226" s="752"/>
      <c r="I2226" s="752"/>
      <c r="J2226" s="736"/>
      <c r="K2226" s="752"/>
      <c r="L2226" s="752"/>
      <c r="M2226" s="736"/>
      <c r="N2226" s="736"/>
      <c r="O2226" s="736"/>
      <c r="P2226" s="736"/>
      <c r="Q2226" s="753"/>
      <c r="R2226" s="738"/>
      <c r="S2226" s="753">
        <v>88160</v>
      </c>
      <c r="T2226" s="739"/>
      <c r="U2226" s="746">
        <v>17500</v>
      </c>
      <c r="V2226" s="741">
        <v>1100122</v>
      </c>
    </row>
    <row r="2227" spans="1:22" ht="15" x14ac:dyDescent="0.2">
      <c r="A2227" s="739">
        <v>4411</v>
      </c>
      <c r="B2227" s="743" t="s">
        <v>34</v>
      </c>
      <c r="C2227" s="736"/>
      <c r="D2227" s="736">
        <v>0</v>
      </c>
      <c r="E2227" s="749">
        <v>400000</v>
      </c>
      <c r="F2227" s="736">
        <v>400000</v>
      </c>
      <c r="G2227" s="736"/>
      <c r="H2227" s="736"/>
      <c r="I2227" s="736"/>
      <c r="J2227" s="736">
        <f>G2227+H2227-I2227</f>
        <v>0</v>
      </c>
      <c r="K2227" s="736"/>
      <c r="L2227" s="736"/>
      <c r="M2227" s="736">
        <f>J2227+K2227-L2227</f>
        <v>0</v>
      </c>
      <c r="N2227" s="736"/>
      <c r="O2227" s="736"/>
      <c r="P2227" s="738">
        <f>M2227+N2227-O2227</f>
        <v>0</v>
      </c>
      <c r="Q2227" s="738"/>
      <c r="R2227" s="738"/>
      <c r="S2227" s="738"/>
      <c r="T2227" s="739">
        <v>1100119</v>
      </c>
      <c r="U2227" s="745"/>
      <c r="V2227" s="739">
        <v>1100119</v>
      </c>
    </row>
    <row r="2228" spans="1:22" ht="15" x14ac:dyDescent="0.2">
      <c r="A2228" s="728" t="s">
        <v>295</v>
      </c>
      <c r="B2228" s="729" t="s">
        <v>1636</v>
      </c>
      <c r="C2228" s="730">
        <f t="shared" ref="C2228:S2228" si="717">SUM(C2229:C2253)</f>
        <v>4184291.8299999996</v>
      </c>
      <c r="D2228" s="730">
        <f t="shared" si="717"/>
        <v>4379991.9000000004</v>
      </c>
      <c r="E2228" s="730">
        <f t="shared" si="717"/>
        <v>4314041.6500000004</v>
      </c>
      <c r="F2228" s="730">
        <f t="shared" si="717"/>
        <v>4366867.0600000005</v>
      </c>
      <c r="G2228" s="730">
        <f t="shared" si="717"/>
        <v>4633225.1999999993</v>
      </c>
      <c r="H2228" s="730">
        <f t="shared" si="717"/>
        <v>9048</v>
      </c>
      <c r="I2228" s="730">
        <f t="shared" si="717"/>
        <v>0</v>
      </c>
      <c r="J2228" s="730">
        <f t="shared" si="717"/>
        <v>4642273.1999999993</v>
      </c>
      <c r="K2228" s="730">
        <f t="shared" si="717"/>
        <v>400663.79</v>
      </c>
      <c r="L2228" s="730">
        <f t="shared" si="717"/>
        <v>0</v>
      </c>
      <c r="M2228" s="730">
        <f t="shared" si="717"/>
        <v>5042936.9899999993</v>
      </c>
      <c r="N2228" s="730">
        <f t="shared" si="717"/>
        <v>0</v>
      </c>
      <c r="O2228" s="730">
        <f t="shared" si="717"/>
        <v>30000</v>
      </c>
      <c r="P2228" s="730">
        <f t="shared" si="717"/>
        <v>5012936.9899999993</v>
      </c>
      <c r="Q2228" s="748">
        <f t="shared" si="717"/>
        <v>5030439.4299999988</v>
      </c>
      <c r="R2228" s="748">
        <f t="shared" si="717"/>
        <v>79742.64</v>
      </c>
      <c r="S2228" s="748">
        <f t="shared" si="717"/>
        <v>5534983.5</v>
      </c>
      <c r="T2228" s="731"/>
      <c r="U2228" s="732">
        <f>SUM(U2229:U2253)</f>
        <v>5236543.3999999994</v>
      </c>
      <c r="V2228" s="733"/>
    </row>
    <row r="2229" spans="1:22" ht="15" x14ac:dyDescent="0.25">
      <c r="A2229" s="734">
        <v>1131</v>
      </c>
      <c r="B2229" s="735" t="s">
        <v>6</v>
      </c>
      <c r="C2229" s="736">
        <v>695890.29</v>
      </c>
      <c r="D2229" s="736">
        <v>715154.44</v>
      </c>
      <c r="E2229" s="749">
        <v>717067.44</v>
      </c>
      <c r="F2229" s="736">
        <v>780967.81</v>
      </c>
      <c r="G2229" s="736">
        <v>778102.2</v>
      </c>
      <c r="H2229" s="736"/>
      <c r="I2229" s="736"/>
      <c r="J2229" s="736">
        <f t="shared" ref="J2229:J2251" si="718">G2229+H2229-I2229</f>
        <v>778102.2</v>
      </c>
      <c r="K2229" s="736">
        <v>3500.87</v>
      </c>
      <c r="L2229" s="736"/>
      <c r="M2229" s="736">
        <f t="shared" ref="M2229:M2251" si="719">J2229+K2229-L2229</f>
        <v>781603.07</v>
      </c>
      <c r="N2229" s="736"/>
      <c r="O2229" s="736"/>
      <c r="P2229" s="736">
        <f t="shared" ref="P2229:P2251" si="720">M2229+N2229-O2229</f>
        <v>781603.07</v>
      </c>
      <c r="Q2229" s="738">
        <v>781603.07</v>
      </c>
      <c r="R2229" s="738"/>
      <c r="S2229" s="751">
        <v>829224.76</v>
      </c>
      <c r="T2229" s="739">
        <v>1500521</v>
      </c>
      <c r="U2229" s="779">
        <v>800557.06</v>
      </c>
      <c r="V2229" s="741">
        <v>1500522</v>
      </c>
    </row>
    <row r="2230" spans="1:22" ht="15" x14ac:dyDescent="0.25">
      <c r="A2230" s="734">
        <v>1132</v>
      </c>
      <c r="B2230" s="735" t="s">
        <v>8</v>
      </c>
      <c r="C2230" s="736">
        <v>1226246.8700000001</v>
      </c>
      <c r="D2230" s="736">
        <v>1252647.76</v>
      </c>
      <c r="E2230" s="749">
        <v>1252647.76</v>
      </c>
      <c r="F2230" s="736">
        <v>1297674.52</v>
      </c>
      <c r="G2230" s="736">
        <v>1315929.2000000002</v>
      </c>
      <c r="H2230" s="736"/>
      <c r="I2230" s="736"/>
      <c r="J2230" s="736">
        <f t="shared" si="718"/>
        <v>1315929.2000000002</v>
      </c>
      <c r="K2230" s="736">
        <v>239863.11</v>
      </c>
      <c r="L2230" s="736"/>
      <c r="M2230" s="736">
        <f t="shared" si="719"/>
        <v>1555792.31</v>
      </c>
      <c r="N2230" s="736"/>
      <c r="O2230" s="736"/>
      <c r="P2230" s="736">
        <f t="shared" si="720"/>
        <v>1555792.31</v>
      </c>
      <c r="Q2230" s="738">
        <v>1555792.31</v>
      </c>
      <c r="R2230" s="738"/>
      <c r="S2230" s="751">
        <v>1692964</v>
      </c>
      <c r="T2230" s="739">
        <v>1500521</v>
      </c>
      <c r="U2230" s="779">
        <v>1632779.69</v>
      </c>
      <c r="V2230" s="741">
        <v>1500522</v>
      </c>
    </row>
    <row r="2231" spans="1:22" ht="15" x14ac:dyDescent="0.25">
      <c r="A2231" s="734">
        <v>1321</v>
      </c>
      <c r="B2231" s="735" t="s">
        <v>9</v>
      </c>
      <c r="C2231" s="736">
        <v>124398.33</v>
      </c>
      <c r="D2231" s="736">
        <v>130484.54</v>
      </c>
      <c r="E2231" s="749">
        <v>130484.54</v>
      </c>
      <c r="F2231" s="736">
        <v>130484.54</v>
      </c>
      <c r="G2231" s="736">
        <v>142324.20000000001</v>
      </c>
      <c r="H2231" s="736"/>
      <c r="I2231" s="736"/>
      <c r="J2231" s="736">
        <f t="shared" si="718"/>
        <v>142324.20000000001</v>
      </c>
      <c r="K2231" s="736">
        <v>2912.36</v>
      </c>
      <c r="L2231" s="736"/>
      <c r="M2231" s="736">
        <f t="shared" si="719"/>
        <v>145236.56</v>
      </c>
      <c r="N2231" s="736"/>
      <c r="O2231" s="736"/>
      <c r="P2231" s="736">
        <f t="shared" si="720"/>
        <v>145236.56</v>
      </c>
      <c r="Q2231" s="738">
        <v>145236.56</v>
      </c>
      <c r="R2231" s="738"/>
      <c r="S2231" s="751">
        <v>175634.86</v>
      </c>
      <c r="T2231" s="739">
        <v>1500521</v>
      </c>
      <c r="U2231" s="779">
        <v>162388.18</v>
      </c>
      <c r="V2231" s="741">
        <v>1500522</v>
      </c>
    </row>
    <row r="2232" spans="1:22" ht="15" x14ac:dyDescent="0.25">
      <c r="A2232" s="734">
        <v>1323</v>
      </c>
      <c r="B2232" s="735" t="s">
        <v>11</v>
      </c>
      <c r="C2232" s="736">
        <v>334750</v>
      </c>
      <c r="D2232" s="736">
        <v>340297.5</v>
      </c>
      <c r="E2232" s="749">
        <v>340297.5</v>
      </c>
      <c r="F2232" s="736">
        <v>345432</v>
      </c>
      <c r="G2232" s="736">
        <v>357491.5</v>
      </c>
      <c r="H2232" s="736"/>
      <c r="I2232" s="736"/>
      <c r="J2232" s="736">
        <f t="shared" si="718"/>
        <v>357491.5</v>
      </c>
      <c r="K2232" s="736">
        <v>8030.65</v>
      </c>
      <c r="L2232" s="736"/>
      <c r="M2232" s="736">
        <f t="shared" si="719"/>
        <v>365522.15</v>
      </c>
      <c r="N2232" s="736"/>
      <c r="O2232" s="736"/>
      <c r="P2232" s="736">
        <f t="shared" si="720"/>
        <v>365522.15</v>
      </c>
      <c r="Q2232" s="738">
        <v>365522.15</v>
      </c>
      <c r="R2232" s="738"/>
      <c r="S2232" s="751">
        <v>435931.5</v>
      </c>
      <c r="T2232" s="739">
        <v>1500521</v>
      </c>
      <c r="U2232" s="779">
        <v>413567.11</v>
      </c>
      <c r="V2232" s="741">
        <v>1500522</v>
      </c>
    </row>
    <row r="2233" spans="1:22" ht="15" x14ac:dyDescent="0.25">
      <c r="A2233" s="734">
        <v>1413</v>
      </c>
      <c r="B2233" s="735" t="s">
        <v>13</v>
      </c>
      <c r="C2233" s="736">
        <v>379176.14</v>
      </c>
      <c r="D2233" s="736">
        <v>446528.16</v>
      </c>
      <c r="E2233" s="749">
        <v>440393.56</v>
      </c>
      <c r="F2233" s="736">
        <v>434775.87</v>
      </c>
      <c r="G2233" s="736">
        <v>520425.19999999995</v>
      </c>
      <c r="H2233" s="736"/>
      <c r="I2233" s="736"/>
      <c r="J2233" s="736">
        <f t="shared" si="718"/>
        <v>520425.19999999995</v>
      </c>
      <c r="K2233" s="736">
        <v>13802.89</v>
      </c>
      <c r="L2233" s="736"/>
      <c r="M2233" s="736">
        <f t="shared" si="719"/>
        <v>534228.09</v>
      </c>
      <c r="N2233" s="736"/>
      <c r="O2233" s="736"/>
      <c r="P2233" s="736">
        <f t="shared" si="720"/>
        <v>534228.09</v>
      </c>
      <c r="Q2233" s="738">
        <v>534228.09</v>
      </c>
      <c r="R2233" s="738"/>
      <c r="S2233" s="751">
        <v>670368.12</v>
      </c>
      <c r="T2233" s="739">
        <v>1500521</v>
      </c>
      <c r="U2233" s="779">
        <v>545606</v>
      </c>
      <c r="V2233" s="741">
        <v>1500522</v>
      </c>
    </row>
    <row r="2234" spans="1:22" ht="15" x14ac:dyDescent="0.25">
      <c r="A2234" s="734">
        <v>1421</v>
      </c>
      <c r="B2234" s="735" t="s">
        <v>15</v>
      </c>
      <c r="C2234" s="736">
        <v>134445.29999999999</v>
      </c>
      <c r="D2234" s="736">
        <v>144600.66</v>
      </c>
      <c r="E2234" s="749">
        <v>131290.66</v>
      </c>
      <c r="F2234" s="736">
        <v>141161.70000000001</v>
      </c>
      <c r="G2234" s="736">
        <v>158507.9</v>
      </c>
      <c r="H2234" s="736"/>
      <c r="I2234" s="736"/>
      <c r="J2234" s="736">
        <f t="shared" si="718"/>
        <v>158507.9</v>
      </c>
      <c r="K2234" s="736">
        <v>3992.08</v>
      </c>
      <c r="L2234" s="736"/>
      <c r="M2234" s="736">
        <f t="shared" si="719"/>
        <v>162499.97999999998</v>
      </c>
      <c r="N2234" s="736"/>
      <c r="O2234" s="736"/>
      <c r="P2234" s="736">
        <f t="shared" si="720"/>
        <v>162499.97999999998</v>
      </c>
      <c r="Q2234" s="738">
        <v>162499.98000000001</v>
      </c>
      <c r="R2234" s="738"/>
      <c r="S2234" s="751">
        <v>192610.08</v>
      </c>
      <c r="T2234" s="739">
        <v>1500521</v>
      </c>
      <c r="U2234" s="779">
        <v>209666.17</v>
      </c>
      <c r="V2234" s="741">
        <v>1500522</v>
      </c>
    </row>
    <row r="2235" spans="1:22" ht="15" x14ac:dyDescent="0.25">
      <c r="A2235" s="734">
        <v>1431</v>
      </c>
      <c r="B2235" s="735" t="s">
        <v>16</v>
      </c>
      <c r="C2235" s="736">
        <v>142531.54</v>
      </c>
      <c r="D2235" s="736">
        <v>148938.72</v>
      </c>
      <c r="E2235" s="749">
        <v>137736.72</v>
      </c>
      <c r="F2235" s="736">
        <v>148507.71</v>
      </c>
      <c r="G2235" s="736">
        <v>163263.4</v>
      </c>
      <c r="H2235" s="736"/>
      <c r="I2235" s="736"/>
      <c r="J2235" s="736">
        <f t="shared" si="718"/>
        <v>163263.4</v>
      </c>
      <c r="K2235" s="736">
        <v>4078.5</v>
      </c>
      <c r="L2235" s="736"/>
      <c r="M2235" s="736">
        <f t="shared" si="719"/>
        <v>167341.9</v>
      </c>
      <c r="N2235" s="736"/>
      <c r="O2235" s="736"/>
      <c r="P2235" s="736">
        <f t="shared" si="720"/>
        <v>167341.9</v>
      </c>
      <c r="Q2235" s="738">
        <v>167341.9</v>
      </c>
      <c r="R2235" s="738"/>
      <c r="S2235" s="751">
        <v>198388.68</v>
      </c>
      <c r="T2235" s="739">
        <v>1500521</v>
      </c>
      <c r="U2235" s="779">
        <v>213486.38</v>
      </c>
      <c r="V2235" s="741">
        <v>1500522</v>
      </c>
    </row>
    <row r="2236" spans="1:22" ht="15" x14ac:dyDescent="0.25">
      <c r="A2236" s="734">
        <v>1511</v>
      </c>
      <c r="B2236" s="735" t="s">
        <v>18</v>
      </c>
      <c r="C2236" s="736">
        <v>46802.96</v>
      </c>
      <c r="D2236" s="736">
        <v>49547.68</v>
      </c>
      <c r="E2236" s="749">
        <v>49501.68</v>
      </c>
      <c r="F2236" s="736">
        <v>51254.81</v>
      </c>
      <c r="G2236" s="736">
        <v>52048.4</v>
      </c>
      <c r="H2236" s="736"/>
      <c r="I2236" s="736"/>
      <c r="J2236" s="736">
        <f t="shared" si="718"/>
        <v>52048.4</v>
      </c>
      <c r="K2236" s="736">
        <v>1168.3900000000001</v>
      </c>
      <c r="L2236" s="736"/>
      <c r="M2236" s="736">
        <f t="shared" si="719"/>
        <v>53216.79</v>
      </c>
      <c r="N2236" s="736"/>
      <c r="O2236" s="736"/>
      <c r="P2236" s="736">
        <f t="shared" si="720"/>
        <v>53216.79</v>
      </c>
      <c r="Q2236" s="738">
        <v>53216.79</v>
      </c>
      <c r="R2236" s="738"/>
      <c r="S2236" s="751">
        <v>63470.68</v>
      </c>
      <c r="T2236" s="739">
        <v>1500521</v>
      </c>
      <c r="U2236" s="779">
        <v>59676.5</v>
      </c>
      <c r="V2236" s="741">
        <v>1500522</v>
      </c>
    </row>
    <row r="2237" spans="1:22" ht="15" x14ac:dyDescent="0.25">
      <c r="A2237" s="734">
        <v>1541</v>
      </c>
      <c r="B2237" s="735" t="s">
        <v>19</v>
      </c>
      <c r="C2237" s="736">
        <v>295302.75</v>
      </c>
      <c r="D2237" s="736">
        <v>337228.84</v>
      </c>
      <c r="E2237" s="749">
        <v>336656.19</v>
      </c>
      <c r="F2237" s="736">
        <v>347132.97</v>
      </c>
      <c r="G2237" s="736">
        <v>443305.6</v>
      </c>
      <c r="H2237" s="736"/>
      <c r="I2237" s="736"/>
      <c r="J2237" s="736">
        <f t="shared" si="718"/>
        <v>443305.6</v>
      </c>
      <c r="K2237" s="736">
        <v>16873.36</v>
      </c>
      <c r="L2237" s="736"/>
      <c r="M2237" s="736">
        <f t="shared" si="719"/>
        <v>460178.95999999996</v>
      </c>
      <c r="N2237" s="736"/>
      <c r="O2237" s="736"/>
      <c r="P2237" s="736">
        <f t="shared" si="720"/>
        <v>460178.95999999996</v>
      </c>
      <c r="Q2237" s="738">
        <v>460178.96</v>
      </c>
      <c r="R2237" s="738"/>
      <c r="S2237" s="751">
        <v>422838.26</v>
      </c>
      <c r="T2237" s="739">
        <v>1500521</v>
      </c>
      <c r="U2237" s="779">
        <v>422838.26</v>
      </c>
      <c r="V2237" s="741">
        <v>1500522</v>
      </c>
    </row>
    <row r="2238" spans="1:22" ht="15" x14ac:dyDescent="0.25">
      <c r="A2238" s="734">
        <v>1592</v>
      </c>
      <c r="B2238" s="735" t="s">
        <v>20</v>
      </c>
      <c r="C2238" s="736">
        <v>481050.21</v>
      </c>
      <c r="D2238" s="736">
        <v>509563.6</v>
      </c>
      <c r="E2238" s="749">
        <v>509563.6</v>
      </c>
      <c r="F2238" s="736">
        <v>527274.26</v>
      </c>
      <c r="G2238" s="736">
        <v>535327.6</v>
      </c>
      <c r="H2238" s="736"/>
      <c r="I2238" s="736"/>
      <c r="J2238" s="736">
        <f t="shared" si="718"/>
        <v>535327.6</v>
      </c>
      <c r="K2238" s="736">
        <v>106441.58</v>
      </c>
      <c r="L2238" s="736"/>
      <c r="M2238" s="736">
        <f t="shared" si="719"/>
        <v>641769.17999999993</v>
      </c>
      <c r="N2238" s="736"/>
      <c r="O2238" s="736"/>
      <c r="P2238" s="736">
        <f t="shared" si="720"/>
        <v>641769.17999999993</v>
      </c>
      <c r="Q2238" s="738">
        <v>661395.85</v>
      </c>
      <c r="R2238" s="738"/>
      <c r="S2238" s="751">
        <v>651392.56000000006</v>
      </c>
      <c r="T2238" s="739">
        <v>1500521</v>
      </c>
      <c r="U2238" s="779">
        <v>612978.05000000005</v>
      </c>
      <c r="V2238" s="741">
        <v>1500522</v>
      </c>
    </row>
    <row r="2239" spans="1:22" ht="15" x14ac:dyDescent="0.2">
      <c r="A2239" s="734">
        <v>2111</v>
      </c>
      <c r="B2239" s="735" t="s">
        <v>22</v>
      </c>
      <c r="C2239" s="736">
        <v>18064</v>
      </c>
      <c r="D2239" s="736">
        <v>20000</v>
      </c>
      <c r="E2239" s="749">
        <v>14000</v>
      </c>
      <c r="F2239" s="736">
        <v>12651.15</v>
      </c>
      <c r="G2239" s="752">
        <v>14000</v>
      </c>
      <c r="H2239" s="752"/>
      <c r="I2239" s="752"/>
      <c r="J2239" s="736">
        <f t="shared" si="718"/>
        <v>14000</v>
      </c>
      <c r="K2239" s="752"/>
      <c r="L2239" s="752"/>
      <c r="M2239" s="736">
        <f t="shared" si="719"/>
        <v>14000</v>
      </c>
      <c r="N2239" s="736"/>
      <c r="O2239" s="736"/>
      <c r="P2239" s="736">
        <f t="shared" si="720"/>
        <v>14000</v>
      </c>
      <c r="Q2239" s="753">
        <v>11875.77</v>
      </c>
      <c r="R2239" s="738">
        <v>10294.44</v>
      </c>
      <c r="S2239" s="753">
        <v>20800</v>
      </c>
      <c r="T2239" s="739">
        <v>1100121</v>
      </c>
      <c r="U2239" s="754">
        <v>20800</v>
      </c>
      <c r="V2239" s="741">
        <v>1100122</v>
      </c>
    </row>
    <row r="2240" spans="1:22" ht="15" x14ac:dyDescent="0.2">
      <c r="A2240" s="739">
        <v>2112</v>
      </c>
      <c r="B2240" s="743" t="s">
        <v>39</v>
      </c>
      <c r="C2240" s="736"/>
      <c r="D2240" s="736">
        <v>0</v>
      </c>
      <c r="E2240" s="749">
        <v>6356.8</v>
      </c>
      <c r="F2240" s="736">
        <v>6356.8</v>
      </c>
      <c r="G2240" s="752"/>
      <c r="H2240" s="752"/>
      <c r="I2240" s="752"/>
      <c r="J2240" s="736">
        <f t="shared" si="718"/>
        <v>0</v>
      </c>
      <c r="K2240" s="752"/>
      <c r="L2240" s="752"/>
      <c r="M2240" s="736">
        <f t="shared" si="719"/>
        <v>0</v>
      </c>
      <c r="N2240" s="736"/>
      <c r="O2240" s="736"/>
      <c r="P2240" s="738">
        <f t="shared" si="720"/>
        <v>0</v>
      </c>
      <c r="Q2240" s="753"/>
      <c r="R2240" s="738"/>
      <c r="S2240" s="753">
        <v>20000</v>
      </c>
      <c r="T2240" s="739">
        <v>1100120</v>
      </c>
      <c r="U2240" s="841">
        <v>0</v>
      </c>
      <c r="V2240" s="739">
        <v>1100120</v>
      </c>
    </row>
    <row r="2241" spans="1:22" ht="15" x14ac:dyDescent="0.2">
      <c r="A2241" s="739">
        <v>2112</v>
      </c>
      <c r="B2241" s="743" t="s">
        <v>39</v>
      </c>
      <c r="C2241" s="736"/>
      <c r="D2241" s="736">
        <v>15000</v>
      </c>
      <c r="E2241" s="749">
        <v>15000</v>
      </c>
      <c r="F2241" s="736">
        <v>14843.39</v>
      </c>
      <c r="G2241" s="752">
        <v>15000</v>
      </c>
      <c r="H2241" s="752"/>
      <c r="I2241" s="752"/>
      <c r="J2241" s="736">
        <f t="shared" si="718"/>
        <v>15000</v>
      </c>
      <c r="K2241" s="752"/>
      <c r="L2241" s="752"/>
      <c r="M2241" s="736">
        <f t="shared" si="719"/>
        <v>15000</v>
      </c>
      <c r="N2241" s="736"/>
      <c r="O2241" s="736"/>
      <c r="P2241" s="736">
        <f t="shared" si="720"/>
        <v>15000</v>
      </c>
      <c r="Q2241" s="753">
        <v>15000</v>
      </c>
      <c r="R2241" s="738"/>
      <c r="S2241" s="753"/>
      <c r="T2241" s="739">
        <v>1100121</v>
      </c>
      <c r="U2241" s="745"/>
      <c r="V2241" s="739">
        <v>1100122</v>
      </c>
    </row>
    <row r="2242" spans="1:22" ht="15" x14ac:dyDescent="0.2">
      <c r="A2242" s="734">
        <v>2121</v>
      </c>
      <c r="B2242" s="735" t="s">
        <v>24</v>
      </c>
      <c r="C2242" s="736">
        <v>28982</v>
      </c>
      <c r="D2242" s="736">
        <v>25000</v>
      </c>
      <c r="E2242" s="749">
        <v>17500</v>
      </c>
      <c r="F2242" s="736">
        <v>16250</v>
      </c>
      <c r="G2242" s="752">
        <v>17500</v>
      </c>
      <c r="H2242" s="752"/>
      <c r="I2242" s="752"/>
      <c r="J2242" s="736">
        <f t="shared" si="718"/>
        <v>17500</v>
      </c>
      <c r="K2242" s="752"/>
      <c r="L2242" s="752"/>
      <c r="M2242" s="736">
        <f t="shared" si="719"/>
        <v>17500</v>
      </c>
      <c r="N2242" s="736"/>
      <c r="O2242" s="736"/>
      <c r="P2242" s="736">
        <f t="shared" si="720"/>
        <v>17500</v>
      </c>
      <c r="Q2242" s="753">
        <v>17500</v>
      </c>
      <c r="R2242" s="738">
        <v>16625</v>
      </c>
      <c r="S2242" s="753">
        <v>26000</v>
      </c>
      <c r="T2242" s="739">
        <v>1100121</v>
      </c>
      <c r="U2242" s="754">
        <v>26000</v>
      </c>
      <c r="V2242" s="741">
        <v>1100122</v>
      </c>
    </row>
    <row r="2243" spans="1:22" ht="15" x14ac:dyDescent="0.2">
      <c r="A2243" s="734">
        <v>2491</v>
      </c>
      <c r="B2243" s="735" t="s">
        <v>41</v>
      </c>
      <c r="C2243" s="736">
        <v>37455.279999999999</v>
      </c>
      <c r="D2243" s="736">
        <v>15000</v>
      </c>
      <c r="E2243" s="749">
        <v>15000</v>
      </c>
      <c r="F2243" s="736">
        <v>14719.33</v>
      </c>
      <c r="G2243" s="752">
        <v>15000</v>
      </c>
      <c r="H2243" s="752"/>
      <c r="I2243" s="752"/>
      <c r="J2243" s="736">
        <f t="shared" si="718"/>
        <v>15000</v>
      </c>
      <c r="K2243" s="752"/>
      <c r="L2243" s="752"/>
      <c r="M2243" s="736">
        <f t="shared" si="719"/>
        <v>15000</v>
      </c>
      <c r="N2243" s="736"/>
      <c r="O2243" s="736"/>
      <c r="P2243" s="736">
        <f t="shared" si="720"/>
        <v>15000</v>
      </c>
      <c r="Q2243" s="753">
        <v>15000</v>
      </c>
      <c r="R2243" s="738">
        <v>14545.21</v>
      </c>
      <c r="S2243" s="753">
        <v>15600</v>
      </c>
      <c r="T2243" s="739">
        <v>1100121</v>
      </c>
      <c r="U2243" s="754">
        <v>15600</v>
      </c>
      <c r="V2243" s="741">
        <v>1100122</v>
      </c>
    </row>
    <row r="2244" spans="1:22" ht="30" x14ac:dyDescent="0.2">
      <c r="A2244" s="739">
        <v>2612</v>
      </c>
      <c r="B2244" s="743" t="s">
        <v>26</v>
      </c>
      <c r="C2244" s="736">
        <v>178512.11</v>
      </c>
      <c r="D2244" s="736"/>
      <c r="E2244" s="736"/>
      <c r="F2244" s="736"/>
      <c r="G2244" s="736"/>
      <c r="H2244" s="736"/>
      <c r="I2244" s="736"/>
      <c r="J2244" s="736">
        <f t="shared" si="718"/>
        <v>0</v>
      </c>
      <c r="K2244" s="736"/>
      <c r="L2244" s="736"/>
      <c r="M2244" s="736">
        <f t="shared" si="719"/>
        <v>0</v>
      </c>
      <c r="N2244" s="736"/>
      <c r="O2244" s="736"/>
      <c r="P2244" s="738">
        <f t="shared" si="720"/>
        <v>0</v>
      </c>
      <c r="Q2244" s="738"/>
      <c r="R2244" s="738"/>
      <c r="S2244" s="738">
        <f>Q2244</f>
        <v>0</v>
      </c>
      <c r="T2244" s="739"/>
      <c r="U2244" s="745"/>
      <c r="V2244" s="739"/>
    </row>
    <row r="2245" spans="1:22" ht="15" x14ac:dyDescent="0.2">
      <c r="A2245" s="734">
        <v>2911</v>
      </c>
      <c r="B2245" s="735" t="s">
        <v>60</v>
      </c>
      <c r="C2245" s="736"/>
      <c r="D2245" s="736">
        <v>15000</v>
      </c>
      <c r="E2245" s="749">
        <v>15000</v>
      </c>
      <c r="F2245" s="736">
        <v>8661</v>
      </c>
      <c r="G2245" s="752">
        <v>15000</v>
      </c>
      <c r="H2245" s="752"/>
      <c r="I2245" s="752"/>
      <c r="J2245" s="736">
        <f t="shared" si="718"/>
        <v>15000</v>
      </c>
      <c r="K2245" s="752"/>
      <c r="L2245" s="752"/>
      <c r="M2245" s="736">
        <f t="shared" si="719"/>
        <v>15000</v>
      </c>
      <c r="N2245" s="736"/>
      <c r="O2245" s="736"/>
      <c r="P2245" s="736">
        <f t="shared" si="720"/>
        <v>15000</v>
      </c>
      <c r="Q2245" s="753">
        <v>15000</v>
      </c>
      <c r="R2245" s="738"/>
      <c r="S2245" s="753">
        <v>15600</v>
      </c>
      <c r="T2245" s="739">
        <v>1100121</v>
      </c>
      <c r="U2245" s="754">
        <v>15600</v>
      </c>
      <c r="V2245" s="741">
        <v>1100122</v>
      </c>
    </row>
    <row r="2246" spans="1:22" ht="15" x14ac:dyDescent="0.2">
      <c r="A2246" s="734">
        <v>3551</v>
      </c>
      <c r="B2246" s="735" t="s">
        <v>30</v>
      </c>
      <c r="C2246" s="736">
        <v>59002.05</v>
      </c>
      <c r="D2246" s="736">
        <v>80000</v>
      </c>
      <c r="E2246" s="749">
        <v>60000</v>
      </c>
      <c r="F2246" s="736">
        <v>52733.599999999999</v>
      </c>
      <c r="G2246" s="752">
        <v>75000</v>
      </c>
      <c r="H2246" s="752"/>
      <c r="I2246" s="752"/>
      <c r="J2246" s="736">
        <f t="shared" si="718"/>
        <v>75000</v>
      </c>
      <c r="K2246" s="752"/>
      <c r="L2246" s="752"/>
      <c r="M2246" s="736">
        <f t="shared" si="719"/>
        <v>75000</v>
      </c>
      <c r="N2246" s="736"/>
      <c r="O2246" s="736">
        <v>30000</v>
      </c>
      <c r="P2246" s="736">
        <f t="shared" si="720"/>
        <v>45000</v>
      </c>
      <c r="Q2246" s="753">
        <v>45000</v>
      </c>
      <c r="R2246" s="738">
        <v>16701.990000000002</v>
      </c>
      <c r="S2246" s="738">
        <f>Q2246</f>
        <v>45000</v>
      </c>
      <c r="T2246" s="739">
        <v>1100121</v>
      </c>
      <c r="U2246" s="740">
        <v>75000</v>
      </c>
      <c r="V2246" s="741">
        <v>1100122</v>
      </c>
    </row>
    <row r="2247" spans="1:22" ht="15" x14ac:dyDescent="0.2">
      <c r="A2247" s="739">
        <v>3571</v>
      </c>
      <c r="B2247" s="743" t="s">
        <v>65</v>
      </c>
      <c r="C2247" s="736"/>
      <c r="D2247" s="736">
        <v>0</v>
      </c>
      <c r="E2247" s="749">
        <v>6902</v>
      </c>
      <c r="F2247" s="736">
        <v>6902</v>
      </c>
      <c r="G2247" s="736"/>
      <c r="H2247" s="736"/>
      <c r="I2247" s="736"/>
      <c r="J2247" s="736">
        <f t="shared" si="718"/>
        <v>0</v>
      </c>
      <c r="K2247" s="736"/>
      <c r="L2247" s="736"/>
      <c r="M2247" s="736">
        <f t="shared" si="719"/>
        <v>0</v>
      </c>
      <c r="N2247" s="736"/>
      <c r="O2247" s="736"/>
      <c r="P2247" s="738">
        <f t="shared" si="720"/>
        <v>0</v>
      </c>
      <c r="Q2247" s="738"/>
      <c r="R2247" s="738"/>
      <c r="S2247" s="738"/>
      <c r="T2247" s="739">
        <v>1100119</v>
      </c>
      <c r="U2247" s="745"/>
      <c r="V2247" s="739">
        <v>1100119</v>
      </c>
    </row>
    <row r="2248" spans="1:22" ht="15" x14ac:dyDescent="0.25">
      <c r="A2248" s="739">
        <v>3571</v>
      </c>
      <c r="B2248" s="743" t="s">
        <v>65</v>
      </c>
      <c r="C2248" s="736"/>
      <c r="D2248" s="736"/>
      <c r="E2248" s="749"/>
      <c r="F2248" s="736"/>
      <c r="G2248" s="736"/>
      <c r="H2248" s="759">
        <v>9048</v>
      </c>
      <c r="I2248" s="736"/>
      <c r="J2248" s="736">
        <f t="shared" si="718"/>
        <v>9048</v>
      </c>
      <c r="K2248" s="759"/>
      <c r="L2248" s="736"/>
      <c r="M2248" s="736">
        <f t="shared" si="719"/>
        <v>9048</v>
      </c>
      <c r="N2248" s="736"/>
      <c r="O2248" s="736"/>
      <c r="P2248" s="736">
        <f t="shared" si="720"/>
        <v>9048</v>
      </c>
      <c r="Q2248" s="738">
        <v>9048</v>
      </c>
      <c r="R2248" s="738">
        <v>9048</v>
      </c>
      <c r="S2248" s="738"/>
      <c r="T2248" s="739">
        <v>1100120</v>
      </c>
      <c r="U2248" s="745"/>
      <c r="V2248" s="739">
        <v>1100120</v>
      </c>
    </row>
    <row r="2249" spans="1:22" ht="15" x14ac:dyDescent="0.2">
      <c r="A2249" s="734">
        <v>3571</v>
      </c>
      <c r="B2249" s="735" t="s">
        <v>65</v>
      </c>
      <c r="C2249" s="736">
        <v>1682</v>
      </c>
      <c r="D2249" s="736">
        <v>15000</v>
      </c>
      <c r="E2249" s="749">
        <v>15000</v>
      </c>
      <c r="F2249" s="736">
        <v>5440.4</v>
      </c>
      <c r="G2249" s="752">
        <v>15000</v>
      </c>
      <c r="H2249" s="752"/>
      <c r="I2249" s="752"/>
      <c r="J2249" s="736">
        <f t="shared" si="718"/>
        <v>15000</v>
      </c>
      <c r="K2249" s="752"/>
      <c r="L2249" s="752"/>
      <c r="M2249" s="736">
        <f t="shared" si="719"/>
        <v>15000</v>
      </c>
      <c r="N2249" s="736"/>
      <c r="O2249" s="736"/>
      <c r="P2249" s="736">
        <f t="shared" si="720"/>
        <v>15000</v>
      </c>
      <c r="Q2249" s="753">
        <v>15000</v>
      </c>
      <c r="R2249" s="738">
        <v>12528</v>
      </c>
      <c r="S2249" s="753">
        <v>10000</v>
      </c>
      <c r="T2249" s="739">
        <v>1100121</v>
      </c>
      <c r="U2249" s="754">
        <v>10000</v>
      </c>
      <c r="V2249" s="741">
        <v>1100122</v>
      </c>
    </row>
    <row r="2250" spans="1:22" ht="15" x14ac:dyDescent="0.2">
      <c r="A2250" s="739">
        <v>5111</v>
      </c>
      <c r="B2250" s="743" t="s">
        <v>35</v>
      </c>
      <c r="C2250" s="736"/>
      <c r="D2250" s="736">
        <v>10000</v>
      </c>
      <c r="E2250" s="749">
        <v>0</v>
      </c>
      <c r="F2250" s="736">
        <v>0</v>
      </c>
      <c r="G2250" s="736"/>
      <c r="H2250" s="736"/>
      <c r="I2250" s="736"/>
      <c r="J2250" s="736">
        <f t="shared" si="718"/>
        <v>0</v>
      </c>
      <c r="K2250" s="736"/>
      <c r="L2250" s="736"/>
      <c r="M2250" s="736">
        <f t="shared" si="719"/>
        <v>0</v>
      </c>
      <c r="N2250" s="736"/>
      <c r="O2250" s="736"/>
      <c r="P2250" s="738">
        <f t="shared" si="720"/>
        <v>0</v>
      </c>
      <c r="Q2250" s="738"/>
      <c r="R2250" s="738"/>
      <c r="S2250" s="738"/>
      <c r="T2250" s="739">
        <v>1100121</v>
      </c>
      <c r="U2250" s="745"/>
      <c r="V2250" s="739">
        <v>1100122</v>
      </c>
    </row>
    <row r="2251" spans="1:22" ht="15" x14ac:dyDescent="0.2">
      <c r="A2251" s="739">
        <v>5151</v>
      </c>
      <c r="B2251" s="743" t="s">
        <v>36</v>
      </c>
      <c r="C2251" s="736"/>
      <c r="D2251" s="736">
        <v>0</v>
      </c>
      <c r="E2251" s="749">
        <v>23643.200000000001</v>
      </c>
      <c r="F2251" s="736">
        <v>23643.200000000001</v>
      </c>
      <c r="G2251" s="736"/>
      <c r="H2251" s="736"/>
      <c r="I2251" s="736"/>
      <c r="J2251" s="736">
        <f t="shared" si="718"/>
        <v>0</v>
      </c>
      <c r="K2251" s="736"/>
      <c r="L2251" s="736"/>
      <c r="M2251" s="736">
        <f t="shared" si="719"/>
        <v>0</v>
      </c>
      <c r="N2251" s="736"/>
      <c r="O2251" s="736"/>
      <c r="P2251" s="738">
        <f t="shared" si="720"/>
        <v>0</v>
      </c>
      <c r="Q2251" s="738"/>
      <c r="R2251" s="738"/>
      <c r="S2251" s="738">
        <v>45000</v>
      </c>
      <c r="T2251" s="739">
        <v>1100119</v>
      </c>
      <c r="U2251" s="744">
        <v>0</v>
      </c>
      <c r="V2251" s="739">
        <v>1100119</v>
      </c>
    </row>
    <row r="2252" spans="1:22" ht="15" x14ac:dyDescent="0.2">
      <c r="A2252" s="739">
        <v>5911</v>
      </c>
      <c r="B2252" s="743" t="s">
        <v>68</v>
      </c>
      <c r="C2252" s="736"/>
      <c r="D2252" s="736"/>
      <c r="E2252" s="749"/>
      <c r="F2252" s="736"/>
      <c r="G2252" s="736"/>
      <c r="H2252" s="736"/>
      <c r="I2252" s="736"/>
      <c r="J2252" s="736"/>
      <c r="K2252" s="736"/>
      <c r="L2252" s="736"/>
      <c r="M2252" s="736"/>
      <c r="N2252" s="736"/>
      <c r="O2252" s="736"/>
      <c r="P2252" s="738"/>
      <c r="Q2252" s="738"/>
      <c r="R2252" s="738"/>
      <c r="S2252" s="738">
        <v>4160</v>
      </c>
      <c r="T2252" s="739"/>
      <c r="U2252" s="744"/>
      <c r="V2252" s="739"/>
    </row>
    <row r="2253" spans="1:22" ht="15" x14ac:dyDescent="0.2">
      <c r="A2253" s="739">
        <v>5691</v>
      </c>
      <c r="B2253" s="743" t="s">
        <v>112</v>
      </c>
      <c r="C2253" s="736"/>
      <c r="D2253" s="736">
        <v>110000</v>
      </c>
      <c r="E2253" s="749">
        <v>80000</v>
      </c>
      <c r="F2253" s="736">
        <v>0</v>
      </c>
      <c r="G2253" s="736"/>
      <c r="H2253" s="736"/>
      <c r="I2253" s="736"/>
      <c r="J2253" s="736">
        <f>G2253+H2253-I2253</f>
        <v>0</v>
      </c>
      <c r="K2253" s="736"/>
      <c r="L2253" s="736"/>
      <c r="M2253" s="736">
        <f>J2253+K2253-L2253</f>
        <v>0</v>
      </c>
      <c r="N2253" s="736"/>
      <c r="O2253" s="736"/>
      <c r="P2253" s="738">
        <f>M2253+N2253-O2253</f>
        <v>0</v>
      </c>
      <c r="Q2253" s="738"/>
      <c r="R2253" s="738"/>
      <c r="S2253" s="738"/>
      <c r="T2253" s="739">
        <v>1100121</v>
      </c>
      <c r="U2253" s="745"/>
      <c r="V2253" s="739">
        <v>1100122</v>
      </c>
    </row>
    <row r="2254" spans="1:22" ht="15" x14ac:dyDescent="0.2">
      <c r="A2254" s="724" t="s">
        <v>296</v>
      </c>
      <c r="B2254" s="725" t="s">
        <v>297</v>
      </c>
      <c r="C2254" s="721">
        <f t="shared" ref="C2254:S2254" si="721">SUM(C2255+C2297+C2318)</f>
        <v>15607397.729999999</v>
      </c>
      <c r="D2254" s="721">
        <f t="shared" si="721"/>
        <v>18090795.439999998</v>
      </c>
      <c r="E2254" s="721">
        <f t="shared" si="721"/>
        <v>17488509.770000003</v>
      </c>
      <c r="F2254" s="721">
        <f t="shared" si="721"/>
        <v>17437334.59</v>
      </c>
      <c r="G2254" s="721">
        <f t="shared" si="721"/>
        <v>20075439.699999999</v>
      </c>
      <c r="H2254" s="721">
        <f t="shared" si="721"/>
        <v>320143</v>
      </c>
      <c r="I2254" s="721">
        <f t="shared" si="721"/>
        <v>316680</v>
      </c>
      <c r="J2254" s="721">
        <f t="shared" si="721"/>
        <v>20078902.699999999</v>
      </c>
      <c r="K2254" s="721">
        <f t="shared" si="721"/>
        <v>365672.48</v>
      </c>
      <c r="L2254" s="721" t="e">
        <f t="shared" si="721"/>
        <v>#REF!</v>
      </c>
      <c r="M2254" s="721" t="e">
        <f t="shared" si="721"/>
        <v>#REF!</v>
      </c>
      <c r="N2254" s="721">
        <f t="shared" si="721"/>
        <v>50000</v>
      </c>
      <c r="O2254" s="721">
        <f t="shared" si="721"/>
        <v>30000</v>
      </c>
      <c r="P2254" s="721" t="e">
        <f t="shared" si="721"/>
        <v>#REF!</v>
      </c>
      <c r="Q2254" s="756">
        <f t="shared" si="721"/>
        <v>20138586.66</v>
      </c>
      <c r="R2254" s="756">
        <f t="shared" si="721"/>
        <v>13320047.629999999</v>
      </c>
      <c r="S2254" s="756">
        <f t="shared" si="721"/>
        <v>24911884.460000001</v>
      </c>
      <c r="T2254" s="724"/>
      <c r="U2254" s="726">
        <f t="shared" ref="U2254" si="722">SUM(U2255+U2297+U2318)</f>
        <v>20423505.600000001</v>
      </c>
      <c r="V2254" s="727"/>
    </row>
    <row r="2255" spans="1:22" ht="15" x14ac:dyDescent="0.2">
      <c r="A2255" s="728" t="s">
        <v>298</v>
      </c>
      <c r="B2255" s="729" t="s">
        <v>1549</v>
      </c>
      <c r="C2255" s="730">
        <f t="shared" ref="C2255:S2255" si="723">SUM(C2256:C2296)</f>
        <v>4803032.3299999973</v>
      </c>
      <c r="D2255" s="730">
        <f t="shared" si="723"/>
        <v>5122888.5399999991</v>
      </c>
      <c r="E2255" s="730">
        <f t="shared" si="723"/>
        <v>5182438.78</v>
      </c>
      <c r="F2255" s="730">
        <f t="shared" si="723"/>
        <v>5070264.1300000008</v>
      </c>
      <c r="G2255" s="730">
        <f t="shared" si="723"/>
        <v>5817348</v>
      </c>
      <c r="H2255" s="730">
        <f t="shared" si="723"/>
        <v>0</v>
      </c>
      <c r="I2255" s="730">
        <f t="shared" si="723"/>
        <v>0</v>
      </c>
      <c r="J2255" s="730">
        <f t="shared" si="723"/>
        <v>5817348</v>
      </c>
      <c r="K2255" s="730">
        <f t="shared" si="723"/>
        <v>79715.86</v>
      </c>
      <c r="L2255" s="730">
        <f t="shared" si="723"/>
        <v>2770</v>
      </c>
      <c r="M2255" s="730">
        <f t="shared" si="723"/>
        <v>5894293.8599999994</v>
      </c>
      <c r="N2255" s="730">
        <f t="shared" si="723"/>
        <v>50000</v>
      </c>
      <c r="O2255" s="730">
        <f t="shared" si="723"/>
        <v>30000</v>
      </c>
      <c r="P2255" s="730">
        <f t="shared" si="723"/>
        <v>5914293.8599999994</v>
      </c>
      <c r="Q2255" s="748">
        <f t="shared" si="723"/>
        <v>5882362.7999999998</v>
      </c>
      <c r="R2255" s="748">
        <f t="shared" si="723"/>
        <v>3978694.27</v>
      </c>
      <c r="S2255" s="748">
        <f t="shared" si="723"/>
        <v>7083404.0200000005</v>
      </c>
      <c r="T2255" s="731"/>
      <c r="U2255" s="732">
        <f>SUM(U2256:U2296)</f>
        <v>6126876.4500000002</v>
      </c>
      <c r="V2255" s="733"/>
    </row>
    <row r="2256" spans="1:22" ht="15" x14ac:dyDescent="0.25">
      <c r="A2256" s="734">
        <v>1131</v>
      </c>
      <c r="B2256" s="735" t="s">
        <v>6</v>
      </c>
      <c r="C2256" s="736">
        <v>474897.09</v>
      </c>
      <c r="D2256" s="736">
        <v>573034.28</v>
      </c>
      <c r="E2256" s="749">
        <v>559794.68999999994</v>
      </c>
      <c r="F2256" s="736">
        <v>610680.66</v>
      </c>
      <c r="G2256" s="736">
        <v>721718.9</v>
      </c>
      <c r="H2256" s="736"/>
      <c r="I2256" s="736"/>
      <c r="J2256" s="736">
        <f t="shared" ref="J2256:J2293" si="724">G2256+H2256-I2256</f>
        <v>721718.9</v>
      </c>
      <c r="K2256" s="737">
        <v>3257.68</v>
      </c>
      <c r="L2256" s="736"/>
      <c r="M2256" s="736">
        <f t="shared" ref="M2256:M2293" si="725">J2256+K2256-L2256</f>
        <v>724976.58000000007</v>
      </c>
      <c r="N2256" s="736"/>
      <c r="O2256" s="736"/>
      <c r="P2256" s="736">
        <f t="shared" ref="P2256:P2293" si="726">M2256+N2256-O2256</f>
        <v>724976.58000000007</v>
      </c>
      <c r="Q2256" s="738">
        <v>724976.58</v>
      </c>
      <c r="R2256" s="738">
        <v>499378.62</v>
      </c>
      <c r="S2256" s="751">
        <v>841047.48</v>
      </c>
      <c r="T2256" s="739">
        <v>1500521</v>
      </c>
      <c r="U2256" s="779">
        <v>793066.93</v>
      </c>
      <c r="V2256" s="741">
        <v>1500522</v>
      </c>
    </row>
    <row r="2257" spans="1:22" ht="15" x14ac:dyDescent="0.25">
      <c r="A2257" s="734">
        <v>1132</v>
      </c>
      <c r="B2257" s="735" t="s">
        <v>8</v>
      </c>
      <c r="C2257" s="736">
        <v>915289.41</v>
      </c>
      <c r="D2257" s="736">
        <v>874928.6</v>
      </c>
      <c r="E2257" s="749">
        <v>877678.6</v>
      </c>
      <c r="F2257" s="736">
        <v>907659.53</v>
      </c>
      <c r="G2257" s="736">
        <v>912184</v>
      </c>
      <c r="H2257" s="736"/>
      <c r="I2257" s="736"/>
      <c r="J2257" s="736">
        <f t="shared" si="724"/>
        <v>912184</v>
      </c>
      <c r="K2257" s="736">
        <v>26558.55</v>
      </c>
      <c r="L2257" s="736"/>
      <c r="M2257" s="736">
        <f t="shared" si="725"/>
        <v>938742.55</v>
      </c>
      <c r="N2257" s="736"/>
      <c r="O2257" s="736"/>
      <c r="P2257" s="736">
        <f t="shared" si="726"/>
        <v>938742.55</v>
      </c>
      <c r="Q2257" s="738">
        <v>938742.55</v>
      </c>
      <c r="R2257" s="738">
        <v>665374.97</v>
      </c>
      <c r="S2257" s="751">
        <v>968301.88</v>
      </c>
      <c r="T2257" s="739">
        <v>1500521</v>
      </c>
      <c r="U2257" s="779">
        <v>987295.11</v>
      </c>
      <c r="V2257" s="741">
        <v>1500522</v>
      </c>
    </row>
    <row r="2258" spans="1:22" ht="15" x14ac:dyDescent="0.25">
      <c r="A2258" s="734">
        <v>1212</v>
      </c>
      <c r="B2258" s="735" t="s">
        <v>53</v>
      </c>
      <c r="C2258" s="736">
        <v>476330.65</v>
      </c>
      <c r="D2258" s="736">
        <v>547898.4</v>
      </c>
      <c r="E2258" s="749">
        <v>559235.4</v>
      </c>
      <c r="F2258" s="736">
        <v>549940.55000000005</v>
      </c>
      <c r="G2258" s="736">
        <v>567072</v>
      </c>
      <c r="H2258" s="736"/>
      <c r="I2258" s="736"/>
      <c r="J2258" s="736">
        <f t="shared" si="724"/>
        <v>567072</v>
      </c>
      <c r="K2258" s="736">
        <v>8568</v>
      </c>
      <c r="L2258" s="736"/>
      <c r="M2258" s="736">
        <f t="shared" si="725"/>
        <v>575640</v>
      </c>
      <c r="N2258" s="736"/>
      <c r="O2258" s="736"/>
      <c r="P2258" s="736">
        <f t="shared" si="726"/>
        <v>575640</v>
      </c>
      <c r="Q2258" s="738">
        <v>575640</v>
      </c>
      <c r="R2258" s="738">
        <v>415236.6</v>
      </c>
      <c r="S2258" s="751">
        <v>604213.19999999995</v>
      </c>
      <c r="T2258" s="739">
        <v>1500521</v>
      </c>
      <c r="U2258" s="779">
        <v>618794.99</v>
      </c>
      <c r="V2258" s="741">
        <v>1500522</v>
      </c>
    </row>
    <row r="2259" spans="1:22" ht="15" x14ac:dyDescent="0.25">
      <c r="A2259" s="734">
        <v>1321</v>
      </c>
      <c r="B2259" s="735" t="s">
        <v>9</v>
      </c>
      <c r="C2259" s="736">
        <v>73385.710000000006</v>
      </c>
      <c r="D2259" s="736">
        <v>72395.360000000001</v>
      </c>
      <c r="E2259" s="749">
        <v>78883.360000000001</v>
      </c>
      <c r="F2259" s="736">
        <v>75964.960000000006</v>
      </c>
      <c r="G2259" s="736">
        <v>86854.5</v>
      </c>
      <c r="H2259" s="736"/>
      <c r="I2259" s="736"/>
      <c r="J2259" s="736">
        <f t="shared" si="724"/>
        <v>86854.5</v>
      </c>
      <c r="K2259" s="736">
        <v>1260.56</v>
      </c>
      <c r="L2259" s="736"/>
      <c r="M2259" s="736">
        <f t="shared" si="725"/>
        <v>88115.06</v>
      </c>
      <c r="N2259" s="736"/>
      <c r="O2259" s="736"/>
      <c r="P2259" s="736">
        <f t="shared" si="726"/>
        <v>88115.06</v>
      </c>
      <c r="Q2259" s="738">
        <v>88115.06</v>
      </c>
      <c r="R2259" s="738">
        <v>44076.07</v>
      </c>
      <c r="S2259" s="751">
        <v>96742.24</v>
      </c>
      <c r="T2259" s="739">
        <v>1500521</v>
      </c>
      <c r="U2259" s="779">
        <v>92352.84</v>
      </c>
      <c r="V2259" s="741">
        <v>1500522</v>
      </c>
    </row>
    <row r="2260" spans="1:22" ht="15" x14ac:dyDescent="0.25">
      <c r="A2260" s="734">
        <v>1323</v>
      </c>
      <c r="B2260" s="735" t="s">
        <v>11</v>
      </c>
      <c r="C2260" s="736">
        <v>259852.92</v>
      </c>
      <c r="D2260" s="736">
        <v>270664.09999999998</v>
      </c>
      <c r="E2260" s="749">
        <v>259343.1</v>
      </c>
      <c r="F2260" s="736">
        <v>271396.95</v>
      </c>
      <c r="G2260" s="736">
        <v>300781</v>
      </c>
      <c r="H2260" s="736"/>
      <c r="I2260" s="736"/>
      <c r="J2260" s="736">
        <f t="shared" si="724"/>
        <v>300781</v>
      </c>
      <c r="K2260" s="736">
        <v>7221.8</v>
      </c>
      <c r="L2260" s="736"/>
      <c r="M2260" s="736">
        <f t="shared" si="725"/>
        <v>308002.8</v>
      </c>
      <c r="N2260" s="736"/>
      <c r="O2260" s="736"/>
      <c r="P2260" s="736">
        <f t="shared" si="726"/>
        <v>308002.8</v>
      </c>
      <c r="Q2260" s="738">
        <v>308002.8</v>
      </c>
      <c r="R2260" s="738">
        <v>205853</v>
      </c>
      <c r="S2260" s="751">
        <v>337291.05</v>
      </c>
      <c r="T2260" s="739">
        <v>1500521</v>
      </c>
      <c r="U2260" s="779">
        <v>314677.03999999998</v>
      </c>
      <c r="V2260" s="741">
        <v>1500522</v>
      </c>
    </row>
    <row r="2261" spans="1:22" ht="15" x14ac:dyDescent="0.25">
      <c r="A2261" s="734">
        <v>1413</v>
      </c>
      <c r="B2261" s="735" t="s">
        <v>13</v>
      </c>
      <c r="C2261" s="736">
        <v>327969.01</v>
      </c>
      <c r="D2261" s="736">
        <v>399672.58</v>
      </c>
      <c r="E2261" s="749">
        <v>394827.58</v>
      </c>
      <c r="F2261" s="736">
        <v>387431.01</v>
      </c>
      <c r="G2261" s="736">
        <v>488212</v>
      </c>
      <c r="H2261" s="736"/>
      <c r="I2261" s="736"/>
      <c r="J2261" s="736">
        <f t="shared" si="724"/>
        <v>488212</v>
      </c>
      <c r="K2261" s="736">
        <v>13800.54</v>
      </c>
      <c r="L2261" s="736"/>
      <c r="M2261" s="736">
        <f t="shared" si="725"/>
        <v>502012.54</v>
      </c>
      <c r="N2261" s="736"/>
      <c r="O2261" s="736"/>
      <c r="P2261" s="736">
        <f t="shared" si="726"/>
        <v>502012.54</v>
      </c>
      <c r="Q2261" s="738">
        <v>502012.54</v>
      </c>
      <c r="R2261" s="738">
        <v>341720.17</v>
      </c>
      <c r="S2261" s="751">
        <v>584272.68000000005</v>
      </c>
      <c r="T2261" s="739">
        <v>1500521</v>
      </c>
      <c r="U2261" s="779">
        <v>469310.32</v>
      </c>
      <c r="V2261" s="741">
        <v>1500522</v>
      </c>
    </row>
    <row r="2262" spans="1:22" ht="15" x14ac:dyDescent="0.25">
      <c r="A2262" s="734">
        <v>1421</v>
      </c>
      <c r="B2262" s="735" t="s">
        <v>15</v>
      </c>
      <c r="C2262" s="736">
        <v>114741.26</v>
      </c>
      <c r="D2262" s="736">
        <v>126718.32</v>
      </c>
      <c r="E2262" s="749">
        <v>126718.32</v>
      </c>
      <c r="F2262" s="736">
        <v>123665.72</v>
      </c>
      <c r="G2262" s="736">
        <v>145225.4</v>
      </c>
      <c r="H2262" s="736"/>
      <c r="I2262" s="736"/>
      <c r="J2262" s="736">
        <f t="shared" si="724"/>
        <v>145225.4</v>
      </c>
      <c r="K2262" s="736">
        <v>3915.12</v>
      </c>
      <c r="L2262" s="736"/>
      <c r="M2262" s="736">
        <f t="shared" si="725"/>
        <v>149140.51999999999</v>
      </c>
      <c r="N2262" s="736"/>
      <c r="O2262" s="736"/>
      <c r="P2262" s="736">
        <f t="shared" si="726"/>
        <v>149140.51999999999</v>
      </c>
      <c r="Q2262" s="738">
        <v>149140.51999999999</v>
      </c>
      <c r="R2262" s="738">
        <v>93500.46</v>
      </c>
      <c r="S2262" s="751">
        <v>164433.48000000001</v>
      </c>
      <c r="T2262" s="739">
        <v>1500521</v>
      </c>
      <c r="U2262" s="779">
        <v>175324.3</v>
      </c>
      <c r="V2262" s="741">
        <v>1500522</v>
      </c>
    </row>
    <row r="2263" spans="1:22" ht="15" x14ac:dyDescent="0.25">
      <c r="A2263" s="734">
        <v>1431</v>
      </c>
      <c r="B2263" s="735" t="s">
        <v>16</v>
      </c>
      <c r="C2263" s="736">
        <v>122302.63</v>
      </c>
      <c r="D2263" s="736">
        <v>130519.7</v>
      </c>
      <c r="E2263" s="749">
        <v>130519.7</v>
      </c>
      <c r="F2263" s="736">
        <v>130714.52</v>
      </c>
      <c r="G2263" s="736">
        <v>149581.79999999999</v>
      </c>
      <c r="H2263" s="736"/>
      <c r="I2263" s="736"/>
      <c r="J2263" s="736">
        <f t="shared" si="724"/>
        <v>149581.79999999999</v>
      </c>
      <c r="K2263" s="736">
        <v>4002.46</v>
      </c>
      <c r="L2263" s="736"/>
      <c r="M2263" s="736">
        <f t="shared" si="725"/>
        <v>153584.25999999998</v>
      </c>
      <c r="N2263" s="736"/>
      <c r="O2263" s="736"/>
      <c r="P2263" s="736">
        <f t="shared" si="726"/>
        <v>153584.25999999998</v>
      </c>
      <c r="Q2263" s="738">
        <v>153584.26</v>
      </c>
      <c r="R2263" s="738">
        <v>96513.89</v>
      </c>
      <c r="S2263" s="751">
        <v>169366.68</v>
      </c>
      <c r="T2263" s="739">
        <v>1500521</v>
      </c>
      <c r="U2263" s="779">
        <v>177156.58</v>
      </c>
      <c r="V2263" s="741">
        <v>1500522</v>
      </c>
    </row>
    <row r="2264" spans="1:22" ht="15" x14ac:dyDescent="0.25">
      <c r="A2264" s="734">
        <v>1511</v>
      </c>
      <c r="B2264" s="735" t="s">
        <v>18</v>
      </c>
      <c r="C2264" s="736">
        <v>33076.120000000003</v>
      </c>
      <c r="D2264" s="736">
        <v>36086.959999999999</v>
      </c>
      <c r="E2264" s="749">
        <v>36086.959999999999</v>
      </c>
      <c r="F2264" s="736">
        <v>36804.949999999997</v>
      </c>
      <c r="G2264" s="736">
        <v>40356.699999999997</v>
      </c>
      <c r="H2264" s="736"/>
      <c r="I2264" s="736"/>
      <c r="J2264" s="736">
        <f t="shared" si="724"/>
        <v>40356.699999999997</v>
      </c>
      <c r="K2264" s="736">
        <v>968.51</v>
      </c>
      <c r="L2264" s="736"/>
      <c r="M2264" s="736">
        <f t="shared" si="725"/>
        <v>41325.21</v>
      </c>
      <c r="N2264" s="736"/>
      <c r="O2264" s="736"/>
      <c r="P2264" s="736">
        <f t="shared" si="726"/>
        <v>41325.21</v>
      </c>
      <c r="Q2264" s="738">
        <v>41325.21</v>
      </c>
      <c r="R2264" s="738">
        <v>28625.77</v>
      </c>
      <c r="S2264" s="751">
        <v>45438.12</v>
      </c>
      <c r="T2264" s="739">
        <v>1500521</v>
      </c>
      <c r="U2264" s="779">
        <v>43046.12</v>
      </c>
      <c r="V2264" s="741">
        <v>1500522</v>
      </c>
    </row>
    <row r="2265" spans="1:22" ht="15" x14ac:dyDescent="0.25">
      <c r="A2265" s="734">
        <v>1541</v>
      </c>
      <c r="B2265" s="735" t="s">
        <v>19</v>
      </c>
      <c r="C2265" s="736">
        <v>117403.73</v>
      </c>
      <c r="D2265" s="736">
        <v>142176.32000000001</v>
      </c>
      <c r="E2265" s="749">
        <v>156252.32</v>
      </c>
      <c r="F2265" s="736">
        <v>160388.49</v>
      </c>
      <c r="G2265" s="736">
        <v>261767</v>
      </c>
      <c r="H2265" s="736"/>
      <c r="I2265" s="736"/>
      <c r="J2265" s="736">
        <f t="shared" si="724"/>
        <v>261767</v>
      </c>
      <c r="K2265" s="736">
        <v>9964.1</v>
      </c>
      <c r="L2265" s="736"/>
      <c r="M2265" s="736">
        <f t="shared" si="725"/>
        <v>271731.09999999998</v>
      </c>
      <c r="N2265" s="736"/>
      <c r="O2265" s="736"/>
      <c r="P2265" s="736">
        <f t="shared" si="726"/>
        <v>271731.09999999998</v>
      </c>
      <c r="Q2265" s="738">
        <v>271731.09999999998</v>
      </c>
      <c r="R2265" s="738">
        <v>161340.99</v>
      </c>
      <c r="S2265" s="751">
        <v>288873.26</v>
      </c>
      <c r="T2265" s="739">
        <v>1500521</v>
      </c>
      <c r="U2265" s="779">
        <v>288873.26</v>
      </c>
      <c r="V2265" s="741">
        <v>1500522</v>
      </c>
    </row>
    <row r="2266" spans="1:22" ht="15" x14ac:dyDescent="0.25">
      <c r="A2266" s="734">
        <v>1592</v>
      </c>
      <c r="B2266" s="735" t="s">
        <v>20</v>
      </c>
      <c r="C2266" s="736">
        <v>309380.73</v>
      </c>
      <c r="D2266" s="736">
        <v>356275.92</v>
      </c>
      <c r="E2266" s="749">
        <v>346389.47</v>
      </c>
      <c r="F2266" s="736">
        <v>357977.68</v>
      </c>
      <c r="G2266" s="736">
        <v>408648.3</v>
      </c>
      <c r="H2266" s="736"/>
      <c r="I2266" s="736"/>
      <c r="J2266" s="736">
        <f t="shared" si="724"/>
        <v>408648.3</v>
      </c>
      <c r="K2266" s="736">
        <v>198.54</v>
      </c>
      <c r="L2266" s="736"/>
      <c r="M2266" s="736">
        <f t="shared" si="725"/>
        <v>408846.83999999997</v>
      </c>
      <c r="N2266" s="736"/>
      <c r="O2266" s="736"/>
      <c r="P2266" s="736">
        <f t="shared" si="726"/>
        <v>408846.83999999997</v>
      </c>
      <c r="Q2266" s="738">
        <v>408846.84</v>
      </c>
      <c r="R2266" s="738">
        <v>279099.77</v>
      </c>
      <c r="S2266" s="751">
        <v>462851.48</v>
      </c>
      <c r="T2266" s="739">
        <v>1500521</v>
      </c>
      <c r="U2266" s="779">
        <v>410505.96</v>
      </c>
      <c r="V2266" s="741">
        <v>1500522</v>
      </c>
    </row>
    <row r="2267" spans="1:22" ht="15" x14ac:dyDescent="0.2">
      <c r="A2267" s="734">
        <v>2111</v>
      </c>
      <c r="B2267" s="735" t="s">
        <v>22</v>
      </c>
      <c r="C2267" s="736">
        <v>16551.03</v>
      </c>
      <c r="D2267" s="736">
        <v>16000</v>
      </c>
      <c r="E2267" s="749">
        <v>11200</v>
      </c>
      <c r="F2267" s="736">
        <v>8990.77</v>
      </c>
      <c r="G2267" s="752">
        <v>11500</v>
      </c>
      <c r="H2267" s="752"/>
      <c r="I2267" s="752"/>
      <c r="J2267" s="736">
        <f t="shared" si="724"/>
        <v>11500</v>
      </c>
      <c r="K2267" s="752"/>
      <c r="L2267" s="752"/>
      <c r="M2267" s="736">
        <f t="shared" si="725"/>
        <v>11500</v>
      </c>
      <c r="N2267" s="736"/>
      <c r="O2267" s="736"/>
      <c r="P2267" s="736">
        <f t="shared" si="726"/>
        <v>11500</v>
      </c>
      <c r="Q2267" s="753">
        <v>9915.7800000000007</v>
      </c>
      <c r="R2267" s="738">
        <v>9314.1</v>
      </c>
      <c r="S2267" s="753">
        <v>11500</v>
      </c>
      <c r="T2267" s="739">
        <v>1100121</v>
      </c>
      <c r="U2267" s="740">
        <v>11500</v>
      </c>
      <c r="V2267" s="741">
        <v>1100122</v>
      </c>
    </row>
    <row r="2268" spans="1:22" ht="15" x14ac:dyDescent="0.2">
      <c r="A2268" s="734">
        <v>2112</v>
      </c>
      <c r="B2268" s="735" t="s">
        <v>39</v>
      </c>
      <c r="C2268" s="736">
        <v>41714.400000000001</v>
      </c>
      <c r="D2268" s="736">
        <v>10000</v>
      </c>
      <c r="E2268" s="749">
        <v>10000</v>
      </c>
      <c r="F2268" s="736">
        <v>7800</v>
      </c>
      <c r="G2268" s="752">
        <v>10000</v>
      </c>
      <c r="H2268" s="752"/>
      <c r="I2268" s="752"/>
      <c r="J2268" s="736">
        <f t="shared" si="724"/>
        <v>10000</v>
      </c>
      <c r="K2268" s="752"/>
      <c r="L2268" s="752"/>
      <c r="M2268" s="736">
        <f t="shared" si="725"/>
        <v>10000</v>
      </c>
      <c r="N2268" s="736"/>
      <c r="O2268" s="736"/>
      <c r="P2268" s="736">
        <f t="shared" si="726"/>
        <v>10000</v>
      </c>
      <c r="Q2268" s="753">
        <v>10000</v>
      </c>
      <c r="R2268" s="738">
        <v>7355.01</v>
      </c>
      <c r="S2268" s="753">
        <v>10000</v>
      </c>
      <c r="T2268" s="739">
        <v>1100121</v>
      </c>
      <c r="U2268" s="740">
        <v>10000</v>
      </c>
      <c r="V2268" s="741">
        <v>1100122</v>
      </c>
    </row>
    <row r="2269" spans="1:22" ht="15" x14ac:dyDescent="0.2">
      <c r="A2269" s="734">
        <v>2121</v>
      </c>
      <c r="B2269" s="735" t="s">
        <v>24</v>
      </c>
      <c r="C2269" s="736">
        <v>11295.06</v>
      </c>
      <c r="D2269" s="736">
        <v>10000</v>
      </c>
      <c r="E2269" s="749">
        <v>7000</v>
      </c>
      <c r="F2269" s="736">
        <v>6500</v>
      </c>
      <c r="G2269" s="752">
        <v>7000</v>
      </c>
      <c r="H2269" s="752"/>
      <c r="I2269" s="752"/>
      <c r="J2269" s="736">
        <f t="shared" si="724"/>
        <v>7000</v>
      </c>
      <c r="K2269" s="752"/>
      <c r="L2269" s="752"/>
      <c r="M2269" s="736">
        <f t="shared" si="725"/>
        <v>7000</v>
      </c>
      <c r="N2269" s="736"/>
      <c r="O2269" s="736"/>
      <c r="P2269" s="736">
        <f t="shared" si="726"/>
        <v>7000</v>
      </c>
      <c r="Q2269" s="753">
        <v>4653.16</v>
      </c>
      <c r="R2269" s="738">
        <v>4303.16</v>
      </c>
      <c r="S2269" s="753">
        <v>7000</v>
      </c>
      <c r="T2269" s="739">
        <v>1100121</v>
      </c>
      <c r="U2269" s="740">
        <v>7000</v>
      </c>
      <c r="V2269" s="741">
        <v>1100122</v>
      </c>
    </row>
    <row r="2270" spans="1:22" ht="15" x14ac:dyDescent="0.2">
      <c r="A2270" s="734">
        <v>2161</v>
      </c>
      <c r="B2270" s="735" t="s">
        <v>59</v>
      </c>
      <c r="C2270" s="736">
        <v>30353.9</v>
      </c>
      <c r="D2270" s="736">
        <v>30000</v>
      </c>
      <c r="E2270" s="749">
        <v>42000</v>
      </c>
      <c r="F2270" s="736">
        <v>38306.76</v>
      </c>
      <c r="G2270" s="752">
        <v>40000</v>
      </c>
      <c r="H2270" s="752"/>
      <c r="I2270" s="752"/>
      <c r="J2270" s="736">
        <f t="shared" si="724"/>
        <v>40000</v>
      </c>
      <c r="K2270" s="752"/>
      <c r="L2270" s="752"/>
      <c r="M2270" s="736">
        <f t="shared" si="725"/>
        <v>40000</v>
      </c>
      <c r="N2270" s="736"/>
      <c r="O2270" s="736"/>
      <c r="P2270" s="736">
        <f t="shared" si="726"/>
        <v>40000</v>
      </c>
      <c r="Q2270" s="753">
        <v>50000</v>
      </c>
      <c r="R2270" s="738">
        <v>37399.99</v>
      </c>
      <c r="S2270" s="753">
        <v>50000</v>
      </c>
      <c r="T2270" s="739">
        <v>1100121</v>
      </c>
      <c r="U2270" s="740">
        <v>50000</v>
      </c>
      <c r="V2270" s="741">
        <v>1100122</v>
      </c>
    </row>
    <row r="2271" spans="1:22" ht="15" x14ac:dyDescent="0.2">
      <c r="A2271" s="734">
        <v>2212</v>
      </c>
      <c r="B2271" s="735" t="s">
        <v>40</v>
      </c>
      <c r="C2271" s="736"/>
      <c r="D2271" s="736">
        <v>5000</v>
      </c>
      <c r="E2271" s="749">
        <v>5000</v>
      </c>
      <c r="F2271" s="736">
        <v>0</v>
      </c>
      <c r="G2271" s="752">
        <v>5000</v>
      </c>
      <c r="H2271" s="752"/>
      <c r="I2271" s="752"/>
      <c r="J2271" s="736">
        <f t="shared" si="724"/>
        <v>5000</v>
      </c>
      <c r="K2271" s="752"/>
      <c r="L2271" s="752"/>
      <c r="M2271" s="736">
        <f t="shared" si="725"/>
        <v>5000</v>
      </c>
      <c r="N2271" s="736"/>
      <c r="O2271" s="736"/>
      <c r="P2271" s="736">
        <f t="shared" si="726"/>
        <v>5000</v>
      </c>
      <c r="Q2271" s="753">
        <v>5000</v>
      </c>
      <c r="R2271" s="738"/>
      <c r="S2271" s="753">
        <v>5000</v>
      </c>
      <c r="T2271" s="739">
        <v>1100121</v>
      </c>
      <c r="U2271" s="740">
        <v>5000</v>
      </c>
      <c r="V2271" s="741">
        <v>1100122</v>
      </c>
    </row>
    <row r="2272" spans="1:22" ht="15" x14ac:dyDescent="0.2">
      <c r="A2272" s="734">
        <v>2461</v>
      </c>
      <c r="B2272" s="735" t="s">
        <v>115</v>
      </c>
      <c r="C2272" s="736">
        <v>11830.88</v>
      </c>
      <c r="D2272" s="736">
        <v>10000</v>
      </c>
      <c r="E2272" s="749">
        <v>10000</v>
      </c>
      <c r="F2272" s="736">
        <v>7642.33</v>
      </c>
      <c r="G2272" s="752">
        <v>10000</v>
      </c>
      <c r="H2272" s="752"/>
      <c r="I2272" s="752"/>
      <c r="J2272" s="736">
        <f t="shared" si="724"/>
        <v>10000</v>
      </c>
      <c r="K2272" s="752"/>
      <c r="L2272" s="752"/>
      <c r="M2272" s="736">
        <f t="shared" si="725"/>
        <v>10000</v>
      </c>
      <c r="N2272" s="736"/>
      <c r="O2272" s="736"/>
      <c r="P2272" s="736">
        <f t="shared" si="726"/>
        <v>10000</v>
      </c>
      <c r="Q2272" s="753">
        <v>10000</v>
      </c>
      <c r="R2272" s="738">
        <v>5141.6899999999996</v>
      </c>
      <c r="S2272" s="753">
        <v>10000</v>
      </c>
      <c r="T2272" s="739">
        <v>1100121</v>
      </c>
      <c r="U2272" s="740">
        <v>10000</v>
      </c>
      <c r="V2272" s="741">
        <v>1100122</v>
      </c>
    </row>
    <row r="2273" spans="1:22" ht="15" x14ac:dyDescent="0.2">
      <c r="A2273" s="734">
        <v>2491</v>
      </c>
      <c r="B2273" s="735" t="s">
        <v>41</v>
      </c>
      <c r="C2273" s="736">
        <v>10814.56</v>
      </c>
      <c r="D2273" s="736">
        <v>10000</v>
      </c>
      <c r="E2273" s="749">
        <v>10000</v>
      </c>
      <c r="F2273" s="736">
        <v>9926.4699999999993</v>
      </c>
      <c r="G2273" s="752">
        <v>12000</v>
      </c>
      <c r="H2273" s="752"/>
      <c r="I2273" s="752"/>
      <c r="J2273" s="736">
        <f t="shared" si="724"/>
        <v>12000</v>
      </c>
      <c r="K2273" s="752"/>
      <c r="L2273" s="752"/>
      <c r="M2273" s="736">
        <f t="shared" si="725"/>
        <v>12000</v>
      </c>
      <c r="N2273" s="736"/>
      <c r="O2273" s="736"/>
      <c r="P2273" s="736">
        <f t="shared" si="726"/>
        <v>12000</v>
      </c>
      <c r="Q2273" s="753">
        <v>12000</v>
      </c>
      <c r="R2273" s="738">
        <v>9938.93</v>
      </c>
      <c r="S2273" s="753">
        <v>15000</v>
      </c>
      <c r="T2273" s="739">
        <v>1100121</v>
      </c>
      <c r="U2273" s="740">
        <v>12000</v>
      </c>
      <c r="V2273" s="741">
        <v>1100122</v>
      </c>
    </row>
    <row r="2274" spans="1:22" ht="15" x14ac:dyDescent="0.2">
      <c r="A2274" s="734">
        <v>2541</v>
      </c>
      <c r="B2274" s="735" t="s">
        <v>148</v>
      </c>
      <c r="C2274" s="736"/>
      <c r="D2274" s="736"/>
      <c r="E2274" s="749"/>
      <c r="F2274" s="736"/>
      <c r="G2274" s="752"/>
      <c r="H2274" s="752"/>
      <c r="I2274" s="752"/>
      <c r="J2274" s="736"/>
      <c r="K2274" s="752"/>
      <c r="L2274" s="752"/>
      <c r="M2274" s="736"/>
      <c r="N2274" s="736"/>
      <c r="O2274" s="736"/>
      <c r="P2274" s="736"/>
      <c r="Q2274" s="753"/>
      <c r="R2274" s="738"/>
      <c r="S2274" s="753"/>
      <c r="T2274" s="739"/>
      <c r="U2274" s="740">
        <v>15000</v>
      </c>
      <c r="V2274" s="741">
        <v>1100122</v>
      </c>
    </row>
    <row r="2275" spans="1:22" ht="30" x14ac:dyDescent="0.2">
      <c r="A2275" s="734">
        <v>2612</v>
      </c>
      <c r="B2275" s="735" t="s">
        <v>26</v>
      </c>
      <c r="C2275" s="736">
        <v>229073.55</v>
      </c>
      <c r="D2275" s="736">
        <v>230000</v>
      </c>
      <c r="E2275" s="749">
        <v>200000</v>
      </c>
      <c r="F2275" s="736">
        <v>177062.9</v>
      </c>
      <c r="G2275" s="752">
        <v>230000</v>
      </c>
      <c r="H2275" s="752"/>
      <c r="I2275" s="752"/>
      <c r="J2275" s="736">
        <f t="shared" si="724"/>
        <v>230000</v>
      </c>
      <c r="K2275" s="752"/>
      <c r="L2275" s="752"/>
      <c r="M2275" s="736">
        <f t="shared" si="725"/>
        <v>230000</v>
      </c>
      <c r="N2275" s="736"/>
      <c r="O2275" s="736"/>
      <c r="P2275" s="736">
        <f t="shared" si="726"/>
        <v>230000</v>
      </c>
      <c r="Q2275" s="753">
        <v>230000</v>
      </c>
      <c r="R2275" s="738">
        <v>172508.1</v>
      </c>
      <c r="S2275" s="738">
        <f>Q2275</f>
        <v>230000</v>
      </c>
      <c r="T2275" s="739">
        <v>1100121</v>
      </c>
      <c r="U2275" s="746">
        <v>230000</v>
      </c>
      <c r="V2275" s="741">
        <v>1100122</v>
      </c>
    </row>
    <row r="2276" spans="1:22" ht="15" x14ac:dyDescent="0.2">
      <c r="A2276" s="739">
        <v>2711</v>
      </c>
      <c r="B2276" s="743" t="s">
        <v>27</v>
      </c>
      <c r="C2276" s="736">
        <v>32415.040000000001</v>
      </c>
      <c r="D2276" s="736"/>
      <c r="E2276" s="736"/>
      <c r="F2276" s="736"/>
      <c r="G2276" s="752"/>
      <c r="H2276" s="752"/>
      <c r="I2276" s="752"/>
      <c r="J2276" s="736">
        <f t="shared" si="724"/>
        <v>0</v>
      </c>
      <c r="K2276" s="752"/>
      <c r="L2276" s="752"/>
      <c r="M2276" s="736">
        <f t="shared" si="725"/>
        <v>0</v>
      </c>
      <c r="N2276" s="736"/>
      <c r="O2276" s="736"/>
      <c r="P2276" s="738">
        <f t="shared" si="726"/>
        <v>0</v>
      </c>
      <c r="Q2276" s="753"/>
      <c r="R2276" s="738"/>
      <c r="S2276" s="753">
        <v>161500</v>
      </c>
      <c r="T2276" s="739"/>
      <c r="U2276" s="744"/>
      <c r="V2276" s="739"/>
    </row>
    <row r="2277" spans="1:22" ht="15" x14ac:dyDescent="0.2">
      <c r="A2277" s="734">
        <v>3111</v>
      </c>
      <c r="B2277" s="735" t="s">
        <v>47</v>
      </c>
      <c r="C2277" s="736">
        <v>156259</v>
      </c>
      <c r="D2277" s="736">
        <v>170000</v>
      </c>
      <c r="E2277" s="749">
        <v>160000</v>
      </c>
      <c r="F2277" s="736">
        <v>126137</v>
      </c>
      <c r="G2277" s="752">
        <v>160000</v>
      </c>
      <c r="H2277" s="752"/>
      <c r="I2277" s="752"/>
      <c r="J2277" s="736">
        <f t="shared" si="724"/>
        <v>160000</v>
      </c>
      <c r="K2277" s="752"/>
      <c r="L2277" s="752"/>
      <c r="M2277" s="736">
        <f t="shared" si="725"/>
        <v>160000</v>
      </c>
      <c r="N2277" s="736"/>
      <c r="O2277" s="736"/>
      <c r="P2277" s="736">
        <f t="shared" si="726"/>
        <v>160000</v>
      </c>
      <c r="Q2277" s="753">
        <v>160000</v>
      </c>
      <c r="R2277" s="738">
        <v>88828</v>
      </c>
      <c r="S2277" s="753"/>
      <c r="T2277" s="739">
        <v>1100121</v>
      </c>
      <c r="U2277" s="746">
        <v>150000</v>
      </c>
      <c r="V2277" s="741">
        <v>1100122</v>
      </c>
    </row>
    <row r="2278" spans="1:22" ht="15" x14ac:dyDescent="0.2">
      <c r="A2278" s="734">
        <v>3131</v>
      </c>
      <c r="B2278" s="735" t="s">
        <v>61</v>
      </c>
      <c r="C2278" s="736">
        <v>20880</v>
      </c>
      <c r="D2278" s="736">
        <v>27000</v>
      </c>
      <c r="E2278" s="749">
        <v>27000</v>
      </c>
      <c r="F2278" s="736">
        <v>20880</v>
      </c>
      <c r="G2278" s="752">
        <v>25000</v>
      </c>
      <c r="H2278" s="752"/>
      <c r="I2278" s="752"/>
      <c r="J2278" s="736">
        <f t="shared" si="724"/>
        <v>25000</v>
      </c>
      <c r="K2278" s="752"/>
      <c r="L2278" s="752"/>
      <c r="M2278" s="736">
        <f t="shared" si="725"/>
        <v>25000</v>
      </c>
      <c r="N2278" s="736"/>
      <c r="O2278" s="736"/>
      <c r="P2278" s="736">
        <f t="shared" si="726"/>
        <v>25000</v>
      </c>
      <c r="Q2278" s="753">
        <v>25000</v>
      </c>
      <c r="R2278" s="738">
        <v>15660</v>
      </c>
      <c r="S2278" s="753"/>
      <c r="T2278" s="739">
        <v>1100121</v>
      </c>
      <c r="U2278" s="746">
        <v>26000</v>
      </c>
      <c r="V2278" s="741">
        <v>1100122</v>
      </c>
    </row>
    <row r="2279" spans="1:22" ht="15" x14ac:dyDescent="0.2">
      <c r="A2279" s="734">
        <v>3141</v>
      </c>
      <c r="B2279" s="735" t="s">
        <v>48</v>
      </c>
      <c r="C2279" s="736">
        <v>16505.349999999999</v>
      </c>
      <c r="D2279" s="736">
        <v>22000</v>
      </c>
      <c r="E2279" s="749">
        <v>19000</v>
      </c>
      <c r="F2279" s="736">
        <v>16618.82</v>
      </c>
      <c r="G2279" s="752">
        <v>20000</v>
      </c>
      <c r="H2279" s="752"/>
      <c r="I2279" s="752"/>
      <c r="J2279" s="736">
        <f t="shared" si="724"/>
        <v>20000</v>
      </c>
      <c r="K2279" s="752"/>
      <c r="L2279" s="752"/>
      <c r="M2279" s="736">
        <f t="shared" si="725"/>
        <v>20000</v>
      </c>
      <c r="N2279" s="736"/>
      <c r="O2279" s="736"/>
      <c r="P2279" s="736">
        <f t="shared" si="726"/>
        <v>20000</v>
      </c>
      <c r="Q2279" s="753">
        <v>20000</v>
      </c>
      <c r="R2279" s="738">
        <v>18128</v>
      </c>
      <c r="S2279" s="753"/>
      <c r="T2279" s="739">
        <v>1100121</v>
      </c>
      <c r="U2279" s="746">
        <v>27000</v>
      </c>
      <c r="V2279" s="741">
        <v>1100122</v>
      </c>
    </row>
    <row r="2280" spans="1:22" ht="15" x14ac:dyDescent="0.2">
      <c r="A2280" s="734">
        <v>3151</v>
      </c>
      <c r="B2280" s="735" t="s">
        <v>28</v>
      </c>
      <c r="C2280" s="736">
        <v>4866.42</v>
      </c>
      <c r="D2280" s="736">
        <v>8000</v>
      </c>
      <c r="E2280" s="749">
        <v>5000</v>
      </c>
      <c r="F2280" s="736">
        <v>2949.04</v>
      </c>
      <c r="G2280" s="752">
        <v>5000</v>
      </c>
      <c r="H2280" s="752"/>
      <c r="I2280" s="752"/>
      <c r="J2280" s="736">
        <f t="shared" si="724"/>
        <v>5000</v>
      </c>
      <c r="K2280" s="752"/>
      <c r="L2280" s="752"/>
      <c r="M2280" s="736">
        <f t="shared" si="725"/>
        <v>5000</v>
      </c>
      <c r="N2280" s="736"/>
      <c r="O2280" s="736"/>
      <c r="P2280" s="736">
        <f t="shared" si="726"/>
        <v>5000</v>
      </c>
      <c r="Q2280" s="753">
        <v>5000</v>
      </c>
      <c r="R2280" s="738">
        <v>4383.83</v>
      </c>
      <c r="S2280" s="753"/>
      <c r="T2280" s="739">
        <v>1100121</v>
      </c>
      <c r="U2280" s="746">
        <v>9600</v>
      </c>
      <c r="V2280" s="741">
        <v>1100122</v>
      </c>
    </row>
    <row r="2281" spans="1:22" ht="15" x14ac:dyDescent="0.2">
      <c r="A2281" s="734">
        <v>3221</v>
      </c>
      <c r="B2281" s="735" t="s">
        <v>99</v>
      </c>
      <c r="C2281" s="736">
        <v>769998.24</v>
      </c>
      <c r="D2281" s="736">
        <v>800798</v>
      </c>
      <c r="E2281" s="749">
        <v>791789.28</v>
      </c>
      <c r="F2281" s="736">
        <v>791789.28</v>
      </c>
      <c r="G2281" s="752">
        <v>819501</v>
      </c>
      <c r="H2281" s="752"/>
      <c r="I2281" s="752"/>
      <c r="J2281" s="736">
        <f t="shared" si="724"/>
        <v>819501</v>
      </c>
      <c r="K2281" s="752"/>
      <c r="L2281" s="752">
        <v>2770</v>
      </c>
      <c r="M2281" s="736">
        <f t="shared" si="725"/>
        <v>816731</v>
      </c>
      <c r="N2281" s="736"/>
      <c r="O2281" s="736"/>
      <c r="P2281" s="736">
        <f t="shared" si="726"/>
        <v>816731</v>
      </c>
      <c r="Q2281" s="753">
        <v>816731</v>
      </c>
      <c r="R2281" s="738">
        <v>612547.92000000004</v>
      </c>
      <c r="S2281" s="753">
        <v>857567.55</v>
      </c>
      <c r="T2281" s="739">
        <v>1100121</v>
      </c>
      <c r="U2281" s="740">
        <v>857568</v>
      </c>
      <c r="V2281" s="741">
        <v>1100122</v>
      </c>
    </row>
    <row r="2282" spans="1:22" ht="15" x14ac:dyDescent="0.2">
      <c r="A2282" s="734">
        <v>3332</v>
      </c>
      <c r="B2282" s="735" t="s">
        <v>63</v>
      </c>
      <c r="C2282" s="736">
        <v>48720</v>
      </c>
      <c r="D2282" s="736">
        <v>50000</v>
      </c>
      <c r="E2282" s="749">
        <v>150000</v>
      </c>
      <c r="F2282" s="736">
        <v>48720</v>
      </c>
      <c r="G2282" s="752">
        <v>150000</v>
      </c>
      <c r="H2282" s="752"/>
      <c r="I2282" s="752"/>
      <c r="J2282" s="736">
        <f t="shared" si="724"/>
        <v>150000</v>
      </c>
      <c r="K2282" s="752"/>
      <c r="L2282" s="752"/>
      <c r="M2282" s="736">
        <f t="shared" si="725"/>
        <v>150000</v>
      </c>
      <c r="N2282" s="736"/>
      <c r="O2282" s="736"/>
      <c r="P2282" s="736">
        <f t="shared" si="726"/>
        <v>150000</v>
      </c>
      <c r="Q2282" s="753">
        <v>125000</v>
      </c>
      <c r="R2282" s="738">
        <v>37608.36</v>
      </c>
      <c r="S2282" s="753">
        <v>70000</v>
      </c>
      <c r="T2282" s="739">
        <v>1100121</v>
      </c>
      <c r="U2282" s="754">
        <v>70000</v>
      </c>
      <c r="V2282" s="741">
        <v>1100122</v>
      </c>
    </row>
    <row r="2283" spans="1:22" ht="30" x14ac:dyDescent="0.2">
      <c r="A2283" s="734">
        <v>3361</v>
      </c>
      <c r="B2283" s="735" t="s">
        <v>29</v>
      </c>
      <c r="C2283" s="736">
        <v>4872</v>
      </c>
      <c r="D2283" s="736">
        <v>5000</v>
      </c>
      <c r="E2283" s="749">
        <v>5000</v>
      </c>
      <c r="F2283" s="736">
        <v>3016</v>
      </c>
      <c r="G2283" s="752">
        <v>5000</v>
      </c>
      <c r="H2283" s="752"/>
      <c r="I2283" s="752"/>
      <c r="J2283" s="736">
        <f t="shared" si="724"/>
        <v>5000</v>
      </c>
      <c r="K2283" s="752"/>
      <c r="L2283" s="752"/>
      <c r="M2283" s="736">
        <f t="shared" si="725"/>
        <v>5000</v>
      </c>
      <c r="N2283" s="736"/>
      <c r="O2283" s="736"/>
      <c r="P2283" s="736">
        <f t="shared" si="726"/>
        <v>5000</v>
      </c>
      <c r="Q2283" s="753">
        <v>5000</v>
      </c>
      <c r="R2283" s="738"/>
      <c r="S2283" s="753">
        <v>5000</v>
      </c>
      <c r="T2283" s="739">
        <v>1100121</v>
      </c>
      <c r="U2283" s="754">
        <v>5000</v>
      </c>
      <c r="V2283" s="741">
        <v>1100122</v>
      </c>
    </row>
    <row r="2284" spans="1:22" ht="15" x14ac:dyDescent="0.2">
      <c r="A2284" s="734">
        <v>3461</v>
      </c>
      <c r="B2284" s="735" t="s">
        <v>119</v>
      </c>
      <c r="C2284" s="736"/>
      <c r="D2284" s="736"/>
      <c r="E2284" s="749"/>
      <c r="F2284" s="736"/>
      <c r="G2284" s="752"/>
      <c r="H2284" s="752"/>
      <c r="I2284" s="752"/>
      <c r="J2284" s="736"/>
      <c r="K2284" s="752"/>
      <c r="L2284" s="752"/>
      <c r="M2284" s="736"/>
      <c r="N2284" s="736"/>
      <c r="O2284" s="736"/>
      <c r="P2284" s="736"/>
      <c r="Q2284" s="753"/>
      <c r="R2284" s="738"/>
      <c r="S2284" s="753"/>
      <c r="T2284" s="739"/>
      <c r="U2284" s="754">
        <v>37800</v>
      </c>
      <c r="V2284" s="741">
        <v>1100122</v>
      </c>
    </row>
    <row r="2285" spans="1:22" ht="15" x14ac:dyDescent="0.2">
      <c r="A2285" s="734">
        <v>3511</v>
      </c>
      <c r="B2285" s="735" t="s">
        <v>49</v>
      </c>
      <c r="C2285" s="736">
        <v>14723.06</v>
      </c>
      <c r="D2285" s="736">
        <v>30000</v>
      </c>
      <c r="E2285" s="749">
        <v>30000</v>
      </c>
      <c r="F2285" s="736">
        <v>27513.27</v>
      </c>
      <c r="G2285" s="752">
        <v>30000</v>
      </c>
      <c r="H2285" s="752"/>
      <c r="I2285" s="752"/>
      <c r="J2285" s="736">
        <f t="shared" si="724"/>
        <v>30000</v>
      </c>
      <c r="K2285" s="752"/>
      <c r="L2285" s="752"/>
      <c r="M2285" s="736">
        <f t="shared" si="725"/>
        <v>30000</v>
      </c>
      <c r="N2285" s="736"/>
      <c r="O2285" s="736"/>
      <c r="P2285" s="736">
        <f t="shared" si="726"/>
        <v>30000</v>
      </c>
      <c r="Q2285" s="753">
        <v>30000</v>
      </c>
      <c r="R2285" s="738">
        <v>261</v>
      </c>
      <c r="S2285" s="753">
        <v>30000</v>
      </c>
      <c r="T2285" s="739">
        <v>1100121</v>
      </c>
      <c r="U2285" s="754">
        <v>30000</v>
      </c>
      <c r="V2285" s="741">
        <v>1100122</v>
      </c>
    </row>
    <row r="2286" spans="1:22" ht="15" x14ac:dyDescent="0.2">
      <c r="A2286" s="734">
        <v>3551</v>
      </c>
      <c r="B2286" s="735" t="s">
        <v>30</v>
      </c>
      <c r="C2286" s="736">
        <v>76415.56</v>
      </c>
      <c r="D2286" s="736">
        <v>85000</v>
      </c>
      <c r="E2286" s="749">
        <v>100000</v>
      </c>
      <c r="F2286" s="736">
        <v>102525.4</v>
      </c>
      <c r="G2286" s="752">
        <v>100000</v>
      </c>
      <c r="H2286" s="752"/>
      <c r="I2286" s="752"/>
      <c r="J2286" s="736">
        <f t="shared" si="724"/>
        <v>100000</v>
      </c>
      <c r="K2286" s="752"/>
      <c r="L2286" s="752"/>
      <c r="M2286" s="736">
        <f t="shared" si="725"/>
        <v>100000</v>
      </c>
      <c r="N2286" s="736">
        <v>50000</v>
      </c>
      <c r="O2286" s="736"/>
      <c r="P2286" s="736">
        <f t="shared" si="726"/>
        <v>150000</v>
      </c>
      <c r="Q2286" s="753">
        <v>137000</v>
      </c>
      <c r="R2286" s="738">
        <v>85632</v>
      </c>
      <c r="S2286" s="738">
        <f>Q2286</f>
        <v>137000</v>
      </c>
      <c r="T2286" s="739">
        <v>1100121</v>
      </c>
      <c r="U2286" s="746">
        <v>130000</v>
      </c>
      <c r="V2286" s="741">
        <v>1100122</v>
      </c>
    </row>
    <row r="2287" spans="1:22" ht="15" x14ac:dyDescent="0.2">
      <c r="A2287" s="739">
        <v>3721</v>
      </c>
      <c r="B2287" s="743" t="s">
        <v>50</v>
      </c>
      <c r="C2287" s="736">
        <v>475.6</v>
      </c>
      <c r="D2287" s="736">
        <v>3000</v>
      </c>
      <c r="E2287" s="749">
        <v>3000</v>
      </c>
      <c r="F2287" s="736">
        <v>0</v>
      </c>
      <c r="G2287" s="752">
        <v>3000</v>
      </c>
      <c r="H2287" s="752"/>
      <c r="I2287" s="752"/>
      <c r="J2287" s="736">
        <f t="shared" si="724"/>
        <v>3000</v>
      </c>
      <c r="K2287" s="752"/>
      <c r="L2287" s="752"/>
      <c r="M2287" s="736">
        <f t="shared" si="725"/>
        <v>3000</v>
      </c>
      <c r="N2287" s="736"/>
      <c r="O2287" s="736"/>
      <c r="P2287" s="736">
        <f t="shared" si="726"/>
        <v>3000</v>
      </c>
      <c r="Q2287" s="753">
        <v>3000</v>
      </c>
      <c r="R2287" s="738"/>
      <c r="S2287" s="753">
        <v>3000</v>
      </c>
      <c r="T2287" s="739">
        <v>1100121</v>
      </c>
      <c r="U2287" s="745"/>
      <c r="V2287" s="739">
        <v>1100122</v>
      </c>
    </row>
    <row r="2288" spans="1:22" ht="15" x14ac:dyDescent="0.2">
      <c r="A2288" s="734">
        <v>3751</v>
      </c>
      <c r="B2288" s="735" t="s">
        <v>44</v>
      </c>
      <c r="C2288" s="736">
        <v>5812.68</v>
      </c>
      <c r="D2288" s="736">
        <v>20000</v>
      </c>
      <c r="E2288" s="749">
        <v>20000</v>
      </c>
      <c r="F2288" s="736">
        <v>0</v>
      </c>
      <c r="G2288" s="752">
        <v>10000</v>
      </c>
      <c r="H2288" s="752"/>
      <c r="I2288" s="752"/>
      <c r="J2288" s="736">
        <f t="shared" si="724"/>
        <v>10000</v>
      </c>
      <c r="K2288" s="752"/>
      <c r="L2288" s="752"/>
      <c r="M2288" s="736">
        <f t="shared" si="725"/>
        <v>10000</v>
      </c>
      <c r="N2288" s="736"/>
      <c r="O2288" s="736"/>
      <c r="P2288" s="736">
        <f t="shared" si="726"/>
        <v>10000</v>
      </c>
      <c r="Q2288" s="753">
        <v>10000</v>
      </c>
      <c r="R2288" s="738"/>
      <c r="S2288" s="753">
        <v>15000</v>
      </c>
      <c r="T2288" s="739">
        <v>1100121</v>
      </c>
      <c r="U2288" s="740">
        <v>10000</v>
      </c>
      <c r="V2288" s="741">
        <v>1100122</v>
      </c>
    </row>
    <row r="2289" spans="1:22" ht="15" x14ac:dyDescent="0.2">
      <c r="A2289" s="734">
        <v>3791</v>
      </c>
      <c r="B2289" s="735" t="s">
        <v>45</v>
      </c>
      <c r="C2289" s="736">
        <v>2866.99</v>
      </c>
      <c r="D2289" s="736">
        <v>5000</v>
      </c>
      <c r="E2289" s="749">
        <v>5000</v>
      </c>
      <c r="F2289" s="736">
        <v>597</v>
      </c>
      <c r="G2289" s="752">
        <v>5000</v>
      </c>
      <c r="H2289" s="752"/>
      <c r="I2289" s="752"/>
      <c r="J2289" s="736">
        <f t="shared" si="724"/>
        <v>5000</v>
      </c>
      <c r="K2289" s="752"/>
      <c r="L2289" s="752"/>
      <c r="M2289" s="736">
        <f t="shared" si="725"/>
        <v>5000</v>
      </c>
      <c r="N2289" s="736"/>
      <c r="O2289" s="736"/>
      <c r="P2289" s="736">
        <f t="shared" si="726"/>
        <v>5000</v>
      </c>
      <c r="Q2289" s="753">
        <v>5000</v>
      </c>
      <c r="R2289" s="738">
        <v>624</v>
      </c>
      <c r="S2289" s="753">
        <v>5000</v>
      </c>
      <c r="T2289" s="739">
        <v>1100121</v>
      </c>
      <c r="U2289" s="740">
        <v>5000</v>
      </c>
      <c r="V2289" s="741">
        <v>1100122</v>
      </c>
    </row>
    <row r="2290" spans="1:22" ht="15" x14ac:dyDescent="0.2">
      <c r="A2290" s="734">
        <v>3821</v>
      </c>
      <c r="B2290" s="735" t="s">
        <v>31</v>
      </c>
      <c r="C2290" s="736">
        <v>5346.1</v>
      </c>
      <c r="D2290" s="736">
        <v>10000</v>
      </c>
      <c r="E2290" s="749">
        <v>10000</v>
      </c>
      <c r="F2290" s="736">
        <v>8932.7900000000009</v>
      </c>
      <c r="G2290" s="752">
        <v>10000</v>
      </c>
      <c r="H2290" s="752"/>
      <c r="I2290" s="752"/>
      <c r="J2290" s="736">
        <f t="shared" si="724"/>
        <v>10000</v>
      </c>
      <c r="K2290" s="752"/>
      <c r="L2290" s="752"/>
      <c r="M2290" s="736">
        <f t="shared" si="725"/>
        <v>10000</v>
      </c>
      <c r="N2290" s="736"/>
      <c r="O2290" s="736"/>
      <c r="P2290" s="736">
        <f t="shared" si="726"/>
        <v>10000</v>
      </c>
      <c r="Q2290" s="753">
        <v>10000</v>
      </c>
      <c r="R2290" s="738">
        <v>9513.2999999999993</v>
      </c>
      <c r="S2290" s="753">
        <v>15000</v>
      </c>
      <c r="T2290" s="739">
        <v>1100121</v>
      </c>
      <c r="U2290" s="740">
        <v>10000</v>
      </c>
      <c r="V2290" s="741">
        <v>1100122</v>
      </c>
    </row>
    <row r="2291" spans="1:22" ht="15" x14ac:dyDescent="0.2">
      <c r="A2291" s="734">
        <v>3852</v>
      </c>
      <c r="B2291" s="735" t="s">
        <v>32</v>
      </c>
      <c r="C2291" s="736">
        <v>31641.52</v>
      </c>
      <c r="D2291" s="736">
        <v>30000</v>
      </c>
      <c r="E2291" s="749">
        <v>30000</v>
      </c>
      <c r="F2291" s="736">
        <v>28923.93</v>
      </c>
      <c r="G2291" s="752">
        <v>30000</v>
      </c>
      <c r="H2291" s="752"/>
      <c r="I2291" s="752"/>
      <c r="J2291" s="736">
        <f t="shared" si="724"/>
        <v>30000</v>
      </c>
      <c r="K2291" s="752"/>
      <c r="L2291" s="752"/>
      <c r="M2291" s="736">
        <f t="shared" si="725"/>
        <v>30000</v>
      </c>
      <c r="N2291" s="736"/>
      <c r="O2291" s="736"/>
      <c r="P2291" s="736">
        <f t="shared" si="726"/>
        <v>30000</v>
      </c>
      <c r="Q2291" s="753">
        <v>30000</v>
      </c>
      <c r="R2291" s="738">
        <v>23039.67</v>
      </c>
      <c r="S2291" s="753">
        <v>35000</v>
      </c>
      <c r="T2291" s="739">
        <v>1100121</v>
      </c>
      <c r="U2291" s="740">
        <v>30000</v>
      </c>
      <c r="V2291" s="741">
        <v>1100122</v>
      </c>
    </row>
    <row r="2292" spans="1:22" ht="15" x14ac:dyDescent="0.2">
      <c r="A2292" s="734">
        <v>3921</v>
      </c>
      <c r="B2292" s="735" t="s">
        <v>33</v>
      </c>
      <c r="C2292" s="736">
        <v>4935.09</v>
      </c>
      <c r="D2292" s="736">
        <v>5720</v>
      </c>
      <c r="E2292" s="749">
        <v>5720</v>
      </c>
      <c r="F2292" s="736">
        <v>3156.95</v>
      </c>
      <c r="G2292" s="752">
        <v>6945.4</v>
      </c>
      <c r="H2292" s="752"/>
      <c r="I2292" s="752"/>
      <c r="J2292" s="736">
        <f t="shared" si="724"/>
        <v>6945.4</v>
      </c>
      <c r="K2292" s="752"/>
      <c r="L2292" s="752"/>
      <c r="M2292" s="736">
        <f t="shared" si="725"/>
        <v>6945.4</v>
      </c>
      <c r="N2292" s="736"/>
      <c r="O2292" s="736"/>
      <c r="P2292" s="736">
        <f t="shared" si="726"/>
        <v>6945.4</v>
      </c>
      <c r="Q2292" s="753">
        <v>6945.4</v>
      </c>
      <c r="R2292" s="738">
        <v>5786.9</v>
      </c>
      <c r="S2292" s="753">
        <v>8004.92</v>
      </c>
      <c r="T2292" s="739">
        <v>1100121</v>
      </c>
      <c r="U2292" s="740">
        <v>8005</v>
      </c>
      <c r="V2292" s="741">
        <v>1100122</v>
      </c>
    </row>
    <row r="2293" spans="1:22" ht="15" x14ac:dyDescent="0.2">
      <c r="A2293" s="739">
        <v>5151</v>
      </c>
      <c r="B2293" s="743" t="s">
        <v>36</v>
      </c>
      <c r="C2293" s="736">
        <v>13979.16</v>
      </c>
      <c r="D2293" s="736">
        <v>0</v>
      </c>
      <c r="E2293" s="736"/>
      <c r="F2293" s="736">
        <v>19650.400000000001</v>
      </c>
      <c r="G2293" s="752">
        <v>30000</v>
      </c>
      <c r="H2293" s="752"/>
      <c r="I2293" s="752"/>
      <c r="J2293" s="736">
        <f t="shared" si="724"/>
        <v>30000</v>
      </c>
      <c r="K2293" s="752"/>
      <c r="L2293" s="752"/>
      <c r="M2293" s="736">
        <f t="shared" si="725"/>
        <v>30000</v>
      </c>
      <c r="N2293" s="736"/>
      <c r="O2293" s="736">
        <v>30000</v>
      </c>
      <c r="P2293" s="738">
        <f t="shared" si="726"/>
        <v>0</v>
      </c>
      <c r="Q2293" s="753"/>
      <c r="R2293" s="738"/>
      <c r="S2293" s="753">
        <v>200000</v>
      </c>
      <c r="T2293" s="739">
        <v>1500521</v>
      </c>
      <c r="U2293" s="744"/>
      <c r="V2293" s="739">
        <v>1500522</v>
      </c>
    </row>
    <row r="2294" spans="1:22" ht="15" x14ac:dyDescent="0.2">
      <c r="A2294" s="739">
        <v>5411</v>
      </c>
      <c r="B2294" s="743" t="s">
        <v>1762</v>
      </c>
      <c r="C2294" s="736"/>
      <c r="D2294" s="736"/>
      <c r="E2294" s="736"/>
      <c r="F2294" s="736"/>
      <c r="G2294" s="752"/>
      <c r="H2294" s="752"/>
      <c r="I2294" s="752"/>
      <c r="J2294" s="736"/>
      <c r="K2294" s="752"/>
      <c r="L2294" s="752"/>
      <c r="M2294" s="736"/>
      <c r="N2294" s="736"/>
      <c r="O2294" s="736"/>
      <c r="P2294" s="738"/>
      <c r="Q2294" s="753"/>
      <c r="R2294" s="738"/>
      <c r="S2294" s="914">
        <v>640000</v>
      </c>
      <c r="T2294" s="739"/>
      <c r="U2294" s="841">
        <v>0</v>
      </c>
      <c r="V2294" s="739"/>
    </row>
    <row r="2295" spans="1:22" ht="15" x14ac:dyDescent="0.2">
      <c r="A2295" s="739">
        <v>5651</v>
      </c>
      <c r="B2295" s="743" t="s">
        <v>105</v>
      </c>
      <c r="C2295" s="736">
        <v>16057.88</v>
      </c>
      <c r="D2295" s="736"/>
      <c r="E2295" s="736"/>
      <c r="F2295" s="736"/>
      <c r="G2295" s="736"/>
      <c r="H2295" s="736"/>
      <c r="I2295" s="736"/>
      <c r="J2295" s="736">
        <f t="shared" ref="J2295:J2296" si="727">G2295+H2295-I2295</f>
        <v>0</v>
      </c>
      <c r="K2295" s="736"/>
      <c r="L2295" s="736"/>
      <c r="M2295" s="736">
        <f t="shared" ref="M2295:M2296" si="728">J2295+K2295-L2295</f>
        <v>0</v>
      </c>
      <c r="N2295" s="736"/>
      <c r="O2295" s="736"/>
      <c r="P2295" s="738">
        <f t="shared" ref="P2295:P2296" si="729">M2295+N2295-O2295</f>
        <v>0</v>
      </c>
      <c r="Q2295" s="738"/>
      <c r="R2295" s="738"/>
      <c r="S2295" s="738"/>
      <c r="T2295" s="739"/>
      <c r="U2295" s="745"/>
      <c r="V2295" s="739"/>
    </row>
    <row r="2296" spans="1:22" ht="15" x14ac:dyDescent="0.25">
      <c r="A2296" s="739">
        <v>5911</v>
      </c>
      <c r="B2296" s="743" t="s">
        <v>68</v>
      </c>
      <c r="C2296" s="736"/>
      <c r="D2296" s="736"/>
      <c r="E2296" s="736"/>
      <c r="F2296" s="736"/>
      <c r="G2296" s="736"/>
      <c r="H2296" s="757">
        <v>0</v>
      </c>
      <c r="I2296" s="736"/>
      <c r="J2296" s="736">
        <f t="shared" si="727"/>
        <v>0</v>
      </c>
      <c r="K2296" s="757"/>
      <c r="L2296" s="736"/>
      <c r="M2296" s="736">
        <f t="shared" si="728"/>
        <v>0</v>
      </c>
      <c r="N2296" s="736"/>
      <c r="O2296" s="736"/>
      <c r="P2296" s="738">
        <f t="shared" si="729"/>
        <v>0</v>
      </c>
      <c r="Q2296" s="738"/>
      <c r="R2296" s="738"/>
      <c r="S2296" s="738"/>
      <c r="T2296" s="739">
        <v>1100120</v>
      </c>
      <c r="U2296" s="745"/>
      <c r="V2296" s="739">
        <v>1100120</v>
      </c>
    </row>
    <row r="2297" spans="1:22" ht="15" x14ac:dyDescent="0.2">
      <c r="A2297" s="728" t="s">
        <v>299</v>
      </c>
      <c r="B2297" s="729" t="s">
        <v>1580</v>
      </c>
      <c r="C2297" s="730">
        <f t="shared" ref="C2297:R2297" si="730">SUM(C2298:C2316)</f>
        <v>3385077.4000000004</v>
      </c>
      <c r="D2297" s="730">
        <f t="shared" si="730"/>
        <v>3775208.3699999996</v>
      </c>
      <c r="E2297" s="730">
        <f t="shared" si="730"/>
        <v>4055967.85</v>
      </c>
      <c r="F2297" s="730">
        <f t="shared" si="730"/>
        <v>4078670.79</v>
      </c>
      <c r="G2297" s="730">
        <f t="shared" si="730"/>
        <v>4286808.9000000004</v>
      </c>
      <c r="H2297" s="730">
        <f t="shared" si="730"/>
        <v>0</v>
      </c>
      <c r="I2297" s="730">
        <f t="shared" si="730"/>
        <v>0</v>
      </c>
      <c r="J2297" s="730">
        <f t="shared" si="730"/>
        <v>4286808.9000000004</v>
      </c>
      <c r="K2297" s="730">
        <f t="shared" si="730"/>
        <v>17508.579999999998</v>
      </c>
      <c r="L2297" s="730" t="e">
        <f t="shared" si="730"/>
        <v>#REF!</v>
      </c>
      <c r="M2297" s="730" t="e">
        <f t="shared" si="730"/>
        <v>#REF!</v>
      </c>
      <c r="N2297" s="730">
        <f t="shared" si="730"/>
        <v>0</v>
      </c>
      <c r="O2297" s="730">
        <f t="shared" si="730"/>
        <v>0</v>
      </c>
      <c r="P2297" s="730" t="e">
        <f t="shared" si="730"/>
        <v>#REF!</v>
      </c>
      <c r="Q2297" s="748">
        <f t="shared" si="730"/>
        <v>4077665.7300000009</v>
      </c>
      <c r="R2297" s="748">
        <f t="shared" si="730"/>
        <v>2641294.14</v>
      </c>
      <c r="S2297" s="748">
        <f>SUM(S2298:S2317)</f>
        <v>6405388.8200000012</v>
      </c>
      <c r="T2297" s="731"/>
      <c r="U2297" s="732">
        <f>SUM(U2298:U2317)</f>
        <v>4695278.8900000006</v>
      </c>
      <c r="V2297" s="733"/>
    </row>
    <row r="2298" spans="1:22" ht="15" x14ac:dyDescent="0.25">
      <c r="A2298" s="734">
        <v>1131</v>
      </c>
      <c r="B2298" s="735" t="s">
        <v>6</v>
      </c>
      <c r="C2298" s="736">
        <v>572638.64</v>
      </c>
      <c r="D2298" s="736">
        <v>594539.4</v>
      </c>
      <c r="E2298" s="749">
        <v>736975.05</v>
      </c>
      <c r="F2298" s="736">
        <v>773124.14</v>
      </c>
      <c r="G2298" s="736">
        <v>693417.9</v>
      </c>
      <c r="H2298" s="736"/>
      <c r="I2298" s="736"/>
      <c r="J2298" s="736">
        <f t="shared" ref="J2298:J2316" si="731">G2298+H2298-I2298</f>
        <v>693417.9</v>
      </c>
      <c r="K2298" s="736"/>
      <c r="L2298" s="736">
        <v>97008.78</v>
      </c>
      <c r="M2298" s="736">
        <f t="shared" ref="M2298:M2316" si="732">J2298+K2298-L2298</f>
        <v>596409.12</v>
      </c>
      <c r="N2298" s="736"/>
      <c r="O2298" s="736"/>
      <c r="P2298" s="736">
        <f t="shared" ref="P2298:P2316" si="733">M2298+N2298-O2298</f>
        <v>596409.12</v>
      </c>
      <c r="Q2298" s="738">
        <v>673327.66</v>
      </c>
      <c r="R2298" s="738">
        <v>513110.09</v>
      </c>
      <c r="S2298" s="751">
        <v>1027510.12</v>
      </c>
      <c r="T2298" s="739">
        <v>1500521</v>
      </c>
      <c r="U2298" s="779">
        <v>871245.41</v>
      </c>
      <c r="V2298" s="741">
        <v>1500522</v>
      </c>
    </row>
    <row r="2299" spans="1:22" ht="15" x14ac:dyDescent="0.25">
      <c r="A2299" s="734">
        <v>1132</v>
      </c>
      <c r="B2299" s="735" t="s">
        <v>8</v>
      </c>
      <c r="C2299" s="736">
        <v>208480.49</v>
      </c>
      <c r="D2299" s="736">
        <v>122955.56</v>
      </c>
      <c r="E2299" s="749">
        <v>122955.56</v>
      </c>
      <c r="F2299" s="736">
        <v>127786.79</v>
      </c>
      <c r="G2299" s="736">
        <v>129169.1</v>
      </c>
      <c r="H2299" s="736"/>
      <c r="I2299" s="736"/>
      <c r="J2299" s="736">
        <f t="shared" si="731"/>
        <v>129169.1</v>
      </c>
      <c r="K2299" s="736">
        <v>4545.6099999999997</v>
      </c>
      <c r="L2299" s="736"/>
      <c r="M2299" s="736">
        <f t="shared" si="732"/>
        <v>133714.71</v>
      </c>
      <c r="N2299" s="736"/>
      <c r="O2299" s="736"/>
      <c r="P2299" s="736">
        <f t="shared" si="733"/>
        <v>133714.71</v>
      </c>
      <c r="Q2299" s="738">
        <v>294875.32</v>
      </c>
      <c r="R2299" s="738">
        <v>119961.57</v>
      </c>
      <c r="S2299" s="751">
        <v>810027.4</v>
      </c>
      <c r="T2299" s="739">
        <v>1500521</v>
      </c>
      <c r="U2299" s="779">
        <v>223368.31</v>
      </c>
      <c r="V2299" s="741">
        <v>1500522</v>
      </c>
    </row>
    <row r="2300" spans="1:22" ht="15" x14ac:dyDescent="0.25">
      <c r="A2300" s="734">
        <v>1212</v>
      </c>
      <c r="B2300" s="735" t="s">
        <v>53</v>
      </c>
      <c r="C2300" s="736">
        <v>1053039.3700000001</v>
      </c>
      <c r="D2300" s="736">
        <v>1473372</v>
      </c>
      <c r="E2300" s="749">
        <v>1494597</v>
      </c>
      <c r="F2300" s="736">
        <v>1501076.48</v>
      </c>
      <c r="G2300" s="736">
        <v>1663747.2</v>
      </c>
      <c r="H2300" s="736"/>
      <c r="I2300" s="736"/>
      <c r="J2300" s="736">
        <f t="shared" si="731"/>
        <v>1663747.2</v>
      </c>
      <c r="K2300" s="736">
        <v>12962.97</v>
      </c>
      <c r="L2300" s="736"/>
      <c r="M2300" s="736">
        <f t="shared" si="732"/>
        <v>1676710.17</v>
      </c>
      <c r="N2300" s="736"/>
      <c r="O2300" s="736"/>
      <c r="P2300" s="736">
        <f t="shared" si="733"/>
        <v>1676710.17</v>
      </c>
      <c r="Q2300" s="738">
        <v>1346741.84</v>
      </c>
      <c r="R2300" s="738">
        <v>901694.25</v>
      </c>
      <c r="S2300" s="751">
        <v>1503302.4</v>
      </c>
      <c r="T2300" s="739">
        <v>1500521</v>
      </c>
      <c r="U2300" s="779">
        <v>1417541.16</v>
      </c>
      <c r="V2300" s="741">
        <v>1500522</v>
      </c>
    </row>
    <row r="2301" spans="1:22" ht="15" x14ac:dyDescent="0.25">
      <c r="A2301" s="734">
        <v>1321</v>
      </c>
      <c r="B2301" s="735" t="s">
        <v>9</v>
      </c>
      <c r="C2301" s="736">
        <v>46089.23</v>
      </c>
      <c r="D2301" s="736">
        <v>51948.01</v>
      </c>
      <c r="E2301" s="749">
        <v>72626.009999999995</v>
      </c>
      <c r="F2301" s="736">
        <v>63645.03</v>
      </c>
      <c r="G2301" s="736">
        <v>62221.599999999999</v>
      </c>
      <c r="H2301" s="736"/>
      <c r="I2301" s="736"/>
      <c r="J2301" s="736">
        <f t="shared" si="731"/>
        <v>62221.599999999999</v>
      </c>
      <c r="K2301" s="736"/>
      <c r="L2301" s="736">
        <v>6386.98</v>
      </c>
      <c r="M2301" s="736">
        <f t="shared" si="732"/>
        <v>55834.619999999995</v>
      </c>
      <c r="N2301" s="736"/>
      <c r="O2301" s="736"/>
      <c r="P2301" s="736">
        <f t="shared" si="733"/>
        <v>55834.619999999995</v>
      </c>
      <c r="Q2301" s="738">
        <v>55834.62</v>
      </c>
      <c r="R2301" s="738">
        <v>36753.15</v>
      </c>
      <c r="S2301" s="751">
        <v>111739.34</v>
      </c>
      <c r="T2301" s="739">
        <v>1500521</v>
      </c>
      <c r="U2301" s="779">
        <v>105364.77</v>
      </c>
      <c r="V2301" s="741">
        <v>1500522</v>
      </c>
    </row>
    <row r="2302" spans="1:22" ht="15" x14ac:dyDescent="0.25">
      <c r="A2302" s="734">
        <v>1323</v>
      </c>
      <c r="B2302" s="735" t="s">
        <v>11</v>
      </c>
      <c r="C2302" s="736">
        <v>196923.6</v>
      </c>
      <c r="D2302" s="736">
        <v>192715.5</v>
      </c>
      <c r="E2302" s="749">
        <v>221353.01</v>
      </c>
      <c r="F2302" s="736">
        <v>217019.18</v>
      </c>
      <c r="G2302" s="736">
        <v>213926</v>
      </c>
      <c r="H2302" s="736"/>
      <c r="I2302" s="736"/>
      <c r="J2302" s="736">
        <f t="shared" si="731"/>
        <v>213926</v>
      </c>
      <c r="K2302" s="736"/>
      <c r="L2302" s="736">
        <v>12755.76</v>
      </c>
      <c r="M2302" s="736">
        <f t="shared" si="732"/>
        <v>201170.24</v>
      </c>
      <c r="N2302" s="736"/>
      <c r="O2302" s="736"/>
      <c r="P2302" s="736">
        <f t="shared" si="733"/>
        <v>201170.24</v>
      </c>
      <c r="Q2302" s="738">
        <v>201170.24</v>
      </c>
      <c r="R2302" s="738">
        <v>132019.79</v>
      </c>
      <c r="S2302" s="751">
        <v>382544.6</v>
      </c>
      <c r="T2302" s="739">
        <v>1500521</v>
      </c>
      <c r="U2302" s="779">
        <v>230242.9</v>
      </c>
      <c r="V2302" s="741">
        <v>1500522</v>
      </c>
    </row>
    <row r="2303" spans="1:22" ht="15" x14ac:dyDescent="0.25">
      <c r="A2303" s="734">
        <v>1413</v>
      </c>
      <c r="B2303" s="735" t="s">
        <v>13</v>
      </c>
      <c r="C2303" s="736">
        <v>372963.74</v>
      </c>
      <c r="D2303" s="736">
        <v>453611.56</v>
      </c>
      <c r="E2303" s="749">
        <v>483936.56</v>
      </c>
      <c r="F2303" s="736">
        <v>467256.91</v>
      </c>
      <c r="G2303" s="736">
        <v>541718.9</v>
      </c>
      <c r="H2303" s="736"/>
      <c r="I2303" s="736"/>
      <c r="J2303" s="736">
        <f t="shared" si="731"/>
        <v>541718.9</v>
      </c>
      <c r="K2303" s="736"/>
      <c r="L2303" s="736">
        <v>14386.99</v>
      </c>
      <c r="M2303" s="736">
        <f t="shared" si="732"/>
        <v>527331.91</v>
      </c>
      <c r="N2303" s="736"/>
      <c r="O2303" s="736"/>
      <c r="P2303" s="736">
        <f t="shared" si="733"/>
        <v>527331.91</v>
      </c>
      <c r="Q2303" s="738">
        <v>527331.91</v>
      </c>
      <c r="R2303" s="738">
        <v>338221.03</v>
      </c>
      <c r="S2303" s="751">
        <v>810850.56</v>
      </c>
      <c r="T2303" s="739">
        <v>1500521</v>
      </c>
      <c r="U2303" s="779">
        <v>764592.7</v>
      </c>
      <c r="V2303" s="741">
        <v>1500522</v>
      </c>
    </row>
    <row r="2304" spans="1:22" ht="15" x14ac:dyDescent="0.25">
      <c r="A2304" s="734">
        <v>1421</v>
      </c>
      <c r="B2304" s="735" t="s">
        <v>15</v>
      </c>
      <c r="C2304" s="736">
        <v>122649.58</v>
      </c>
      <c r="D2304" s="736">
        <v>136547.5</v>
      </c>
      <c r="E2304" s="749">
        <v>134259.5</v>
      </c>
      <c r="F2304" s="736">
        <v>142940.56</v>
      </c>
      <c r="G2304" s="736">
        <v>154020.30000000002</v>
      </c>
      <c r="H2304" s="736"/>
      <c r="I2304" s="736"/>
      <c r="J2304" s="736">
        <f t="shared" si="731"/>
        <v>154020.30000000002</v>
      </c>
      <c r="K2304" s="736"/>
      <c r="L2304" s="736">
        <v>4265.63</v>
      </c>
      <c r="M2304" s="736">
        <f t="shared" si="732"/>
        <v>149754.67000000001</v>
      </c>
      <c r="N2304" s="736"/>
      <c r="O2304" s="736"/>
      <c r="P2304" s="736">
        <f t="shared" si="733"/>
        <v>149754.67000000001</v>
      </c>
      <c r="Q2304" s="738">
        <v>149754.67000000001</v>
      </c>
      <c r="R2304" s="738">
        <v>87671.44</v>
      </c>
      <c r="S2304" s="751">
        <v>221360.4</v>
      </c>
      <c r="T2304" s="739">
        <v>1500521</v>
      </c>
      <c r="U2304" s="779">
        <v>208732.11</v>
      </c>
      <c r="V2304" s="741">
        <v>1500522</v>
      </c>
    </row>
    <row r="2305" spans="1:22" ht="15" x14ac:dyDescent="0.25">
      <c r="A2305" s="734">
        <v>1431</v>
      </c>
      <c r="B2305" s="735" t="s">
        <v>16</v>
      </c>
      <c r="C2305" s="736">
        <v>141092.14000000001</v>
      </c>
      <c r="D2305" s="736">
        <v>140643.88</v>
      </c>
      <c r="E2305" s="749">
        <v>139037.88</v>
      </c>
      <c r="F2305" s="736">
        <v>148433.72</v>
      </c>
      <c r="G2305" s="736">
        <v>158641</v>
      </c>
      <c r="H2305" s="736"/>
      <c r="I2305" s="736"/>
      <c r="J2305" s="736">
        <f t="shared" si="731"/>
        <v>158641</v>
      </c>
      <c r="K2305" s="736"/>
      <c r="L2305" s="736">
        <v>4424.1099999999997</v>
      </c>
      <c r="M2305" s="736">
        <f t="shared" si="732"/>
        <v>154216.89000000001</v>
      </c>
      <c r="N2305" s="736"/>
      <c r="O2305" s="736"/>
      <c r="P2305" s="736">
        <f t="shared" si="733"/>
        <v>154216.89000000001</v>
      </c>
      <c r="Q2305" s="738">
        <v>154216.89000000001</v>
      </c>
      <c r="R2305" s="738">
        <v>90213.83</v>
      </c>
      <c r="S2305" s="751">
        <v>228000.48</v>
      </c>
      <c r="T2305" s="739">
        <v>1500521</v>
      </c>
      <c r="U2305" s="779">
        <v>157247.67000000001</v>
      </c>
      <c r="V2305" s="741">
        <v>1500522</v>
      </c>
    </row>
    <row r="2306" spans="1:22" ht="15" x14ac:dyDescent="0.25">
      <c r="A2306" s="734">
        <v>1511</v>
      </c>
      <c r="B2306" s="735" t="s">
        <v>18</v>
      </c>
      <c r="C2306" s="736">
        <v>19842.419999999998</v>
      </c>
      <c r="D2306" s="736">
        <v>19124.560000000001</v>
      </c>
      <c r="E2306" s="749">
        <v>22620.560000000001</v>
      </c>
      <c r="F2306" s="736">
        <v>22671.07</v>
      </c>
      <c r="G2306" s="736">
        <v>21079.3</v>
      </c>
      <c r="H2306" s="736"/>
      <c r="I2306" s="736"/>
      <c r="J2306" s="736">
        <f t="shared" si="731"/>
        <v>21079.3</v>
      </c>
      <c r="K2306" s="736"/>
      <c r="L2306" s="736">
        <v>2021.17</v>
      </c>
      <c r="M2306" s="736">
        <f t="shared" si="732"/>
        <v>19058.129999999997</v>
      </c>
      <c r="N2306" s="736"/>
      <c r="O2306" s="736"/>
      <c r="P2306" s="736">
        <f t="shared" si="733"/>
        <v>19058.129999999997</v>
      </c>
      <c r="Q2306" s="738">
        <v>19058.13</v>
      </c>
      <c r="R2306" s="738">
        <v>16287.42</v>
      </c>
      <c r="S2306" s="751">
        <v>46581.08</v>
      </c>
      <c r="T2306" s="739">
        <v>1500521</v>
      </c>
      <c r="U2306" s="779">
        <v>23138.63</v>
      </c>
      <c r="V2306" s="741">
        <v>1500522</v>
      </c>
    </row>
    <row r="2307" spans="1:22" ht="15" x14ac:dyDescent="0.25">
      <c r="A2307" s="734">
        <v>1541</v>
      </c>
      <c r="B2307" s="735" t="s">
        <v>19</v>
      </c>
      <c r="C2307" s="736">
        <v>210086.17</v>
      </c>
      <c r="D2307" s="736">
        <v>242199.36</v>
      </c>
      <c r="E2307" s="749">
        <v>265765.68</v>
      </c>
      <c r="F2307" s="736">
        <v>264091.05</v>
      </c>
      <c r="G2307" s="736">
        <v>305758.19999999995</v>
      </c>
      <c r="H2307" s="736"/>
      <c r="I2307" s="736"/>
      <c r="J2307" s="736">
        <f t="shared" si="731"/>
        <v>305758.19999999995</v>
      </c>
      <c r="K2307" s="736"/>
      <c r="L2307" s="736" t="e">
        <f>#REF!</f>
        <v>#REF!</v>
      </c>
      <c r="M2307" s="736" t="e">
        <f t="shared" si="732"/>
        <v>#REF!</v>
      </c>
      <c r="N2307" s="736"/>
      <c r="O2307" s="736"/>
      <c r="P2307" s="736" t="e">
        <f t="shared" si="733"/>
        <v>#REF!</v>
      </c>
      <c r="Q2307" s="738">
        <v>264935.15999999997</v>
      </c>
      <c r="R2307" s="738">
        <v>173424.79</v>
      </c>
      <c r="S2307" s="751">
        <v>308087</v>
      </c>
      <c r="T2307" s="739">
        <v>1500521</v>
      </c>
      <c r="U2307" s="779">
        <v>308087</v>
      </c>
      <c r="V2307" s="741">
        <v>1500522</v>
      </c>
    </row>
    <row r="2308" spans="1:22" ht="15" x14ac:dyDescent="0.25">
      <c r="A2308" s="734">
        <v>1592</v>
      </c>
      <c r="B2308" s="735" t="s">
        <v>20</v>
      </c>
      <c r="C2308" s="736">
        <v>239563.93</v>
      </c>
      <c r="D2308" s="736">
        <v>238551.04000000001</v>
      </c>
      <c r="E2308" s="749">
        <v>273841.03999999998</v>
      </c>
      <c r="F2308" s="736">
        <v>274355.48</v>
      </c>
      <c r="G2308" s="736">
        <v>255109.4</v>
      </c>
      <c r="H2308" s="736"/>
      <c r="I2308" s="736"/>
      <c r="J2308" s="736">
        <f t="shared" si="731"/>
        <v>255109.4</v>
      </c>
      <c r="K2308" s="736"/>
      <c r="L2308" s="736" t="e">
        <f>#REF!</f>
        <v>#REF!</v>
      </c>
      <c r="M2308" s="736" t="e">
        <f t="shared" si="732"/>
        <v>#REF!</v>
      </c>
      <c r="N2308" s="736"/>
      <c r="O2308" s="736"/>
      <c r="P2308" s="736" t="e">
        <f t="shared" si="733"/>
        <v>#REF!</v>
      </c>
      <c r="Q2308" s="738">
        <v>312207</v>
      </c>
      <c r="R2308" s="738">
        <v>190460.87</v>
      </c>
      <c r="S2308" s="751">
        <v>491385.44</v>
      </c>
      <c r="T2308" s="739">
        <v>1500521</v>
      </c>
      <c r="U2308" s="779">
        <v>295718.23</v>
      </c>
      <c r="V2308" s="741">
        <v>1500522</v>
      </c>
    </row>
    <row r="2309" spans="1:22" ht="15" x14ac:dyDescent="0.2">
      <c r="A2309" s="734">
        <v>2111</v>
      </c>
      <c r="B2309" s="735" t="s">
        <v>22</v>
      </c>
      <c r="C2309" s="736">
        <v>32329.65</v>
      </c>
      <c r="D2309" s="736">
        <v>30000</v>
      </c>
      <c r="E2309" s="749">
        <v>21000</v>
      </c>
      <c r="F2309" s="736">
        <v>17030.79</v>
      </c>
      <c r="G2309" s="752">
        <v>21000</v>
      </c>
      <c r="H2309" s="752"/>
      <c r="I2309" s="752"/>
      <c r="J2309" s="736">
        <f t="shared" si="731"/>
        <v>21000</v>
      </c>
      <c r="K2309" s="752"/>
      <c r="L2309" s="752"/>
      <c r="M2309" s="736">
        <f t="shared" si="732"/>
        <v>21000</v>
      </c>
      <c r="N2309" s="736"/>
      <c r="O2309" s="736"/>
      <c r="P2309" s="736">
        <f t="shared" si="733"/>
        <v>21000</v>
      </c>
      <c r="Q2309" s="753">
        <v>17583.41</v>
      </c>
      <c r="R2309" s="738">
        <v>14280.75</v>
      </c>
      <c r="S2309" s="753">
        <v>21000</v>
      </c>
      <c r="T2309" s="739">
        <v>1100121</v>
      </c>
      <c r="U2309" s="754">
        <v>21000</v>
      </c>
      <c r="V2309" s="741">
        <v>1100122</v>
      </c>
    </row>
    <row r="2310" spans="1:22" ht="15" x14ac:dyDescent="0.2">
      <c r="A2310" s="734">
        <v>2112</v>
      </c>
      <c r="B2310" s="735" t="s">
        <v>39</v>
      </c>
      <c r="C2310" s="736">
        <v>3353.56</v>
      </c>
      <c r="D2310" s="736">
        <v>6000</v>
      </c>
      <c r="E2310" s="749">
        <v>6000</v>
      </c>
      <c r="F2310" s="736">
        <v>4215</v>
      </c>
      <c r="G2310" s="752">
        <v>6000</v>
      </c>
      <c r="H2310" s="752"/>
      <c r="I2310" s="752"/>
      <c r="J2310" s="736">
        <f t="shared" si="731"/>
        <v>6000</v>
      </c>
      <c r="K2310" s="752"/>
      <c r="L2310" s="752"/>
      <c r="M2310" s="736">
        <f t="shared" si="732"/>
        <v>6000</v>
      </c>
      <c r="N2310" s="736"/>
      <c r="O2310" s="736"/>
      <c r="P2310" s="736">
        <f t="shared" si="733"/>
        <v>6000</v>
      </c>
      <c r="Q2310" s="753">
        <v>6000</v>
      </c>
      <c r="R2310" s="738"/>
      <c r="S2310" s="753">
        <v>10000</v>
      </c>
      <c r="T2310" s="739">
        <v>1100121</v>
      </c>
      <c r="U2310" s="740">
        <v>6000</v>
      </c>
      <c r="V2310" s="741">
        <v>1100122</v>
      </c>
    </row>
    <row r="2311" spans="1:22" ht="15" x14ac:dyDescent="0.2">
      <c r="A2311" s="734">
        <v>2121</v>
      </c>
      <c r="B2311" s="735" t="s">
        <v>24</v>
      </c>
      <c r="C2311" s="736">
        <v>58544</v>
      </c>
      <c r="D2311" s="736">
        <v>40000</v>
      </c>
      <c r="E2311" s="749">
        <v>28000</v>
      </c>
      <c r="F2311" s="736">
        <v>26000</v>
      </c>
      <c r="G2311" s="752">
        <v>28000</v>
      </c>
      <c r="H2311" s="752"/>
      <c r="I2311" s="752"/>
      <c r="J2311" s="736">
        <f t="shared" si="731"/>
        <v>28000</v>
      </c>
      <c r="K2311" s="752"/>
      <c r="L2311" s="752"/>
      <c r="M2311" s="736">
        <f t="shared" si="732"/>
        <v>28000</v>
      </c>
      <c r="N2311" s="736"/>
      <c r="O2311" s="736"/>
      <c r="P2311" s="736">
        <f t="shared" si="733"/>
        <v>28000</v>
      </c>
      <c r="Q2311" s="753">
        <v>21628.880000000001</v>
      </c>
      <c r="R2311" s="738">
        <v>20228.88</v>
      </c>
      <c r="S2311" s="753">
        <v>28000</v>
      </c>
      <c r="T2311" s="739">
        <v>1100121</v>
      </c>
      <c r="U2311" s="754">
        <v>28000</v>
      </c>
      <c r="V2311" s="741">
        <v>1100122</v>
      </c>
    </row>
    <row r="2312" spans="1:22" ht="15" x14ac:dyDescent="0.2">
      <c r="A2312" s="734">
        <v>2491</v>
      </c>
      <c r="B2312" s="735" t="s">
        <v>41</v>
      </c>
      <c r="C2312" s="736">
        <v>3000</v>
      </c>
      <c r="D2312" s="736">
        <v>3000</v>
      </c>
      <c r="E2312" s="749">
        <v>3000</v>
      </c>
      <c r="F2312" s="736">
        <v>1215</v>
      </c>
      <c r="G2312" s="752">
        <v>3000</v>
      </c>
      <c r="H2312" s="752"/>
      <c r="I2312" s="752"/>
      <c r="J2312" s="736">
        <f t="shared" si="731"/>
        <v>3000</v>
      </c>
      <c r="K2312" s="752"/>
      <c r="L2312" s="752"/>
      <c r="M2312" s="736">
        <f t="shared" si="732"/>
        <v>3000</v>
      </c>
      <c r="N2312" s="736"/>
      <c r="O2312" s="736"/>
      <c r="P2312" s="736">
        <f t="shared" si="733"/>
        <v>3000</v>
      </c>
      <c r="Q2312" s="753">
        <v>3000</v>
      </c>
      <c r="R2312" s="738"/>
      <c r="S2312" s="753">
        <v>5000</v>
      </c>
      <c r="T2312" s="739">
        <v>1100121</v>
      </c>
      <c r="U2312" s="754">
        <v>5000</v>
      </c>
      <c r="V2312" s="741">
        <v>1100122</v>
      </c>
    </row>
    <row r="2313" spans="1:22" ht="30" x14ac:dyDescent="0.2">
      <c r="A2313" s="734">
        <v>3361</v>
      </c>
      <c r="B2313" s="735" t="s">
        <v>29</v>
      </c>
      <c r="C2313" s="736">
        <v>16802.599999999999</v>
      </c>
      <c r="D2313" s="736">
        <v>20000</v>
      </c>
      <c r="E2313" s="749">
        <v>20000</v>
      </c>
      <c r="F2313" s="736">
        <v>17836.8</v>
      </c>
      <c r="G2313" s="752">
        <v>20000</v>
      </c>
      <c r="H2313" s="752"/>
      <c r="I2313" s="752"/>
      <c r="J2313" s="736">
        <f t="shared" si="731"/>
        <v>20000</v>
      </c>
      <c r="K2313" s="752"/>
      <c r="L2313" s="752"/>
      <c r="M2313" s="736">
        <f t="shared" si="732"/>
        <v>20000</v>
      </c>
      <c r="N2313" s="736"/>
      <c r="O2313" s="736"/>
      <c r="P2313" s="736">
        <f t="shared" si="733"/>
        <v>20000</v>
      </c>
      <c r="Q2313" s="753">
        <v>20000</v>
      </c>
      <c r="R2313" s="738"/>
      <c r="S2313" s="753">
        <v>20000</v>
      </c>
      <c r="T2313" s="739">
        <v>1100121</v>
      </c>
      <c r="U2313" s="754">
        <v>20000</v>
      </c>
      <c r="V2313" s="741">
        <v>1100122</v>
      </c>
    </row>
    <row r="2314" spans="1:22" ht="15" x14ac:dyDescent="0.2">
      <c r="A2314" s="734">
        <v>3571</v>
      </c>
      <c r="B2314" s="735" t="s">
        <v>65</v>
      </c>
      <c r="C2314" s="736">
        <v>1740</v>
      </c>
      <c r="D2314" s="736">
        <v>10000</v>
      </c>
      <c r="E2314" s="749">
        <v>10000</v>
      </c>
      <c r="F2314" s="736">
        <v>9972.7900000000009</v>
      </c>
      <c r="G2314" s="752">
        <v>10000</v>
      </c>
      <c r="H2314" s="752"/>
      <c r="I2314" s="752"/>
      <c r="J2314" s="736">
        <f t="shared" si="731"/>
        <v>10000</v>
      </c>
      <c r="K2314" s="752"/>
      <c r="L2314" s="752"/>
      <c r="M2314" s="736">
        <f t="shared" si="732"/>
        <v>10000</v>
      </c>
      <c r="N2314" s="736"/>
      <c r="O2314" s="736"/>
      <c r="P2314" s="736">
        <f t="shared" si="733"/>
        <v>10000</v>
      </c>
      <c r="Q2314" s="753">
        <v>10000</v>
      </c>
      <c r="R2314" s="738">
        <v>6966.28</v>
      </c>
      <c r="S2314" s="753">
        <v>10000</v>
      </c>
      <c r="T2314" s="739">
        <v>1100121</v>
      </c>
      <c r="U2314" s="754">
        <v>10000</v>
      </c>
      <c r="V2314" s="741">
        <v>1100122</v>
      </c>
    </row>
    <row r="2315" spans="1:22" ht="15" x14ac:dyDescent="0.2">
      <c r="A2315" s="739">
        <v>5151</v>
      </c>
      <c r="B2315" s="743" t="s">
        <v>36</v>
      </c>
      <c r="C2315" s="736">
        <v>42958.28</v>
      </c>
      <c r="D2315" s="736"/>
      <c r="E2315" s="736"/>
      <c r="F2315" s="736"/>
      <c r="G2315" s="736"/>
      <c r="H2315" s="736"/>
      <c r="I2315" s="736"/>
      <c r="J2315" s="736">
        <f t="shared" si="731"/>
        <v>0</v>
      </c>
      <c r="K2315" s="736"/>
      <c r="L2315" s="736"/>
      <c r="M2315" s="736">
        <f t="shared" si="732"/>
        <v>0</v>
      </c>
      <c r="N2315" s="736"/>
      <c r="O2315" s="736"/>
      <c r="P2315" s="738">
        <f t="shared" si="733"/>
        <v>0</v>
      </c>
      <c r="Q2315" s="738"/>
      <c r="R2315" s="738"/>
      <c r="S2315" s="738"/>
      <c r="T2315" s="739"/>
      <c r="U2315" s="745"/>
      <c r="V2315" s="739"/>
    </row>
    <row r="2316" spans="1:22" ht="15" x14ac:dyDescent="0.2">
      <c r="A2316" s="739">
        <v>5491</v>
      </c>
      <c r="B2316" s="743" t="s">
        <v>1735</v>
      </c>
      <c r="C2316" s="736">
        <v>42980</v>
      </c>
      <c r="D2316" s="736"/>
      <c r="E2316" s="736"/>
      <c r="F2316" s="736"/>
      <c r="G2316" s="736"/>
      <c r="H2316" s="736"/>
      <c r="I2316" s="736"/>
      <c r="J2316" s="736">
        <f t="shared" si="731"/>
        <v>0</v>
      </c>
      <c r="K2316" s="736"/>
      <c r="L2316" s="736"/>
      <c r="M2316" s="736">
        <f t="shared" si="732"/>
        <v>0</v>
      </c>
      <c r="N2316" s="736"/>
      <c r="O2316" s="736"/>
      <c r="P2316" s="738">
        <f t="shared" si="733"/>
        <v>0</v>
      </c>
      <c r="Q2316" s="738"/>
      <c r="R2316" s="738"/>
      <c r="S2316" s="738"/>
      <c r="T2316" s="739"/>
      <c r="U2316" s="745"/>
      <c r="V2316" s="739"/>
    </row>
    <row r="2317" spans="1:22" ht="15" x14ac:dyDescent="0.2">
      <c r="A2317" s="739">
        <v>5411</v>
      </c>
      <c r="B2317" s="743" t="s">
        <v>1762</v>
      </c>
      <c r="C2317" s="736"/>
      <c r="D2317" s="736"/>
      <c r="E2317" s="736"/>
      <c r="F2317" s="736"/>
      <c r="G2317" s="736"/>
      <c r="H2317" s="736"/>
      <c r="I2317" s="736"/>
      <c r="J2317" s="736"/>
      <c r="K2317" s="736"/>
      <c r="L2317" s="736"/>
      <c r="M2317" s="736"/>
      <c r="N2317" s="736"/>
      <c r="O2317" s="736"/>
      <c r="P2317" s="738"/>
      <c r="Q2317" s="738"/>
      <c r="R2317" s="738"/>
      <c r="S2317" s="747">
        <v>370000</v>
      </c>
      <c r="T2317" s="739"/>
      <c r="U2317" s="750">
        <v>0</v>
      </c>
      <c r="V2317" s="739"/>
    </row>
    <row r="2318" spans="1:22" ht="15" x14ac:dyDescent="0.2">
      <c r="A2318" s="728" t="s">
        <v>300</v>
      </c>
      <c r="B2318" s="729" t="s">
        <v>1581</v>
      </c>
      <c r="C2318" s="730">
        <f t="shared" ref="C2318:S2318" si="734">SUM(C2319:C2343)</f>
        <v>7419288.0000000009</v>
      </c>
      <c r="D2318" s="730">
        <f t="shared" si="734"/>
        <v>9192698.5300000012</v>
      </c>
      <c r="E2318" s="730">
        <f t="shared" si="734"/>
        <v>8250103.1400000006</v>
      </c>
      <c r="F2318" s="730">
        <f t="shared" si="734"/>
        <v>8288399.669999999</v>
      </c>
      <c r="G2318" s="730">
        <f t="shared" si="734"/>
        <v>9971282.7999999989</v>
      </c>
      <c r="H2318" s="730">
        <f t="shared" si="734"/>
        <v>320143</v>
      </c>
      <c r="I2318" s="730">
        <f t="shared" si="734"/>
        <v>316680</v>
      </c>
      <c r="J2318" s="730">
        <f t="shared" si="734"/>
        <v>9974745.7999999989</v>
      </c>
      <c r="K2318" s="730">
        <f t="shared" si="734"/>
        <v>268448.03999999998</v>
      </c>
      <c r="L2318" s="730">
        <f t="shared" si="734"/>
        <v>0</v>
      </c>
      <c r="M2318" s="730">
        <f t="shared" si="734"/>
        <v>10243193.84</v>
      </c>
      <c r="N2318" s="730">
        <f t="shared" si="734"/>
        <v>0</v>
      </c>
      <c r="O2318" s="730">
        <f t="shared" si="734"/>
        <v>0</v>
      </c>
      <c r="P2318" s="730">
        <f t="shared" si="734"/>
        <v>10243193.84</v>
      </c>
      <c r="Q2318" s="748">
        <f t="shared" si="734"/>
        <v>10178558.129999999</v>
      </c>
      <c r="R2318" s="748">
        <f t="shared" si="734"/>
        <v>6700059.2199999997</v>
      </c>
      <c r="S2318" s="748">
        <f t="shared" si="734"/>
        <v>11423091.620000001</v>
      </c>
      <c r="T2318" s="731"/>
      <c r="U2318" s="732">
        <f>SUM(U2319:U2343)</f>
        <v>9601350.2599999998</v>
      </c>
      <c r="V2318" s="733"/>
    </row>
    <row r="2319" spans="1:22" ht="15" x14ac:dyDescent="0.25">
      <c r="A2319" s="734">
        <v>1131</v>
      </c>
      <c r="B2319" s="735" t="s">
        <v>6</v>
      </c>
      <c r="C2319" s="736">
        <v>765446.83</v>
      </c>
      <c r="D2319" s="736">
        <v>829475.92</v>
      </c>
      <c r="E2319" s="749">
        <v>829475.92</v>
      </c>
      <c r="F2319" s="736">
        <v>853940.07</v>
      </c>
      <c r="G2319" s="736">
        <v>902484.1</v>
      </c>
      <c r="H2319" s="736"/>
      <c r="I2319" s="736"/>
      <c r="J2319" s="736">
        <f t="shared" ref="J2319:J2340" si="735">G2319+H2319-I2319</f>
        <v>902484.1</v>
      </c>
      <c r="K2319" s="736">
        <v>4054.73</v>
      </c>
      <c r="L2319" s="736"/>
      <c r="M2319" s="736">
        <f t="shared" ref="M2319:M2340" si="736">J2319+K2319-L2319</f>
        <v>906538.83</v>
      </c>
      <c r="N2319" s="736"/>
      <c r="O2319" s="736"/>
      <c r="P2319" s="736">
        <f t="shared" ref="P2319:P2340" si="737">M2319+N2319-O2319</f>
        <v>906538.83</v>
      </c>
      <c r="Q2319" s="738">
        <v>939940.93</v>
      </c>
      <c r="R2319" s="738">
        <v>665497.12</v>
      </c>
      <c r="S2319" s="751">
        <v>1111273.8</v>
      </c>
      <c r="T2319" s="739">
        <v>1500521</v>
      </c>
      <c r="U2319" s="779">
        <v>1047877.23</v>
      </c>
      <c r="V2319" s="741">
        <v>1500522</v>
      </c>
    </row>
    <row r="2320" spans="1:22" ht="15" x14ac:dyDescent="0.25">
      <c r="A2320" s="734">
        <v>1132</v>
      </c>
      <c r="B2320" s="735" t="s">
        <v>8</v>
      </c>
      <c r="C2320" s="736">
        <v>1392415.98</v>
      </c>
      <c r="D2320" s="736">
        <v>1531475.4</v>
      </c>
      <c r="E2320" s="749">
        <v>1533344.4</v>
      </c>
      <c r="F2320" s="736">
        <v>1585901.91</v>
      </c>
      <c r="G2320" s="736">
        <v>1608861.8</v>
      </c>
      <c r="H2320" s="736"/>
      <c r="I2320" s="736"/>
      <c r="J2320" s="736">
        <f t="shared" si="735"/>
        <v>1608861.8</v>
      </c>
      <c r="K2320" s="736">
        <v>14695.72</v>
      </c>
      <c r="L2320" s="736"/>
      <c r="M2320" s="736">
        <f t="shared" si="736"/>
        <v>1623557.52</v>
      </c>
      <c r="N2320" s="736"/>
      <c r="O2320" s="736"/>
      <c r="P2320" s="736">
        <f t="shared" si="737"/>
        <v>1623557.52</v>
      </c>
      <c r="Q2320" s="738">
        <v>1591870.49</v>
      </c>
      <c r="R2320" s="738">
        <v>1130747.1299999999</v>
      </c>
      <c r="S2320" s="751">
        <v>1892854.6</v>
      </c>
      <c r="T2320" s="739">
        <v>1500521</v>
      </c>
      <c r="U2320" s="779">
        <v>1678283.12</v>
      </c>
      <c r="V2320" s="741">
        <v>1500522</v>
      </c>
    </row>
    <row r="2321" spans="1:22" ht="15" x14ac:dyDescent="0.25">
      <c r="A2321" s="734">
        <v>1212</v>
      </c>
      <c r="B2321" s="735" t="s">
        <v>53</v>
      </c>
      <c r="C2321" s="736">
        <v>2180619.0699999998</v>
      </c>
      <c r="D2321" s="736">
        <v>2505546</v>
      </c>
      <c r="E2321" s="749">
        <v>2298869</v>
      </c>
      <c r="F2321" s="736">
        <v>2411603.86</v>
      </c>
      <c r="G2321" s="736">
        <v>2911845.6</v>
      </c>
      <c r="H2321" s="736"/>
      <c r="I2321" s="736"/>
      <c r="J2321" s="736">
        <f t="shared" si="735"/>
        <v>2911845.6</v>
      </c>
      <c r="K2321" s="736">
        <v>41298.300000000003</v>
      </c>
      <c r="L2321" s="736"/>
      <c r="M2321" s="736">
        <f t="shared" si="736"/>
        <v>2953143.9</v>
      </c>
      <c r="N2321" s="736"/>
      <c r="O2321" s="736"/>
      <c r="P2321" s="736">
        <f t="shared" si="737"/>
        <v>2953143.9</v>
      </c>
      <c r="Q2321" s="738">
        <v>2888374.39</v>
      </c>
      <c r="R2321" s="738">
        <v>1988561.57</v>
      </c>
      <c r="S2321" s="751">
        <v>2506809.6</v>
      </c>
      <c r="T2321" s="739">
        <v>1500521</v>
      </c>
      <c r="U2321" s="779">
        <v>2641906.29</v>
      </c>
      <c r="V2321" s="741">
        <v>1500522</v>
      </c>
    </row>
    <row r="2322" spans="1:22" ht="15" x14ac:dyDescent="0.25">
      <c r="A2322" s="734">
        <v>1321</v>
      </c>
      <c r="B2322" s="735" t="s">
        <v>9</v>
      </c>
      <c r="C2322" s="736">
        <v>128903.53</v>
      </c>
      <c r="D2322" s="736">
        <v>144779.22</v>
      </c>
      <c r="E2322" s="749">
        <v>156599.22</v>
      </c>
      <c r="F2322" s="736">
        <v>143738.41</v>
      </c>
      <c r="G2322" s="736">
        <v>150631.1</v>
      </c>
      <c r="H2322" s="736"/>
      <c r="I2322" s="736"/>
      <c r="J2322" s="736">
        <f t="shared" si="735"/>
        <v>150631.1</v>
      </c>
      <c r="K2322" s="736">
        <v>4278.75</v>
      </c>
      <c r="L2322" s="736"/>
      <c r="M2322" s="736">
        <f t="shared" si="736"/>
        <v>154909.85</v>
      </c>
      <c r="N2322" s="736"/>
      <c r="O2322" s="736"/>
      <c r="P2322" s="736">
        <f t="shared" si="737"/>
        <v>154909.85</v>
      </c>
      <c r="Q2322" s="738">
        <v>154909.85</v>
      </c>
      <c r="R2322" s="738">
        <v>88630.7</v>
      </c>
      <c r="S2322" s="751">
        <v>181707.42</v>
      </c>
      <c r="T2322" s="739">
        <v>1500521</v>
      </c>
      <c r="U2322" s="779">
        <v>169465.81</v>
      </c>
      <c r="V2322" s="741">
        <v>1500522</v>
      </c>
    </row>
    <row r="2323" spans="1:22" ht="15" x14ac:dyDescent="0.25">
      <c r="A2323" s="734">
        <v>1323</v>
      </c>
      <c r="B2323" s="735" t="s">
        <v>11</v>
      </c>
      <c r="C2323" s="736">
        <v>477250.51</v>
      </c>
      <c r="D2323" s="736">
        <v>515778.25</v>
      </c>
      <c r="E2323" s="749">
        <v>515935.52</v>
      </c>
      <c r="F2323" s="736">
        <v>516286.21</v>
      </c>
      <c r="G2323" s="736">
        <v>546744.4</v>
      </c>
      <c r="H2323" s="736"/>
      <c r="I2323" s="736"/>
      <c r="J2323" s="736">
        <f t="shared" si="735"/>
        <v>546744.4</v>
      </c>
      <c r="K2323" s="736">
        <v>15091.45</v>
      </c>
      <c r="L2323" s="736"/>
      <c r="M2323" s="736">
        <f t="shared" si="736"/>
        <v>561835.85</v>
      </c>
      <c r="N2323" s="736"/>
      <c r="O2323" s="736"/>
      <c r="P2323" s="736">
        <f t="shared" si="737"/>
        <v>561835.85</v>
      </c>
      <c r="Q2323" s="738">
        <v>561835.85</v>
      </c>
      <c r="R2323" s="738">
        <v>338521.65</v>
      </c>
      <c r="S2323" s="751">
        <v>629529.9</v>
      </c>
      <c r="T2323" s="739">
        <v>1500521</v>
      </c>
      <c r="U2323" s="779">
        <v>560847.74</v>
      </c>
      <c r="V2323" s="741">
        <v>1500522</v>
      </c>
    </row>
    <row r="2324" spans="1:22" ht="15" x14ac:dyDescent="0.25">
      <c r="A2324" s="734">
        <v>1413</v>
      </c>
      <c r="B2324" s="735" t="s">
        <v>13</v>
      </c>
      <c r="C2324" s="736">
        <v>820434.84</v>
      </c>
      <c r="D2324" s="736">
        <v>1033354.62</v>
      </c>
      <c r="E2324" s="749">
        <v>976797.62</v>
      </c>
      <c r="F2324" s="736">
        <v>974800.26</v>
      </c>
      <c r="G2324" s="736">
        <v>1219262.6000000001</v>
      </c>
      <c r="H2324" s="736"/>
      <c r="I2324" s="736"/>
      <c r="J2324" s="736">
        <f t="shared" si="735"/>
        <v>1219262.6000000001</v>
      </c>
      <c r="K2324" s="736">
        <v>33425.879999999997</v>
      </c>
      <c r="L2324" s="736"/>
      <c r="M2324" s="736">
        <f t="shared" si="736"/>
        <v>1252688.48</v>
      </c>
      <c r="N2324" s="736"/>
      <c r="O2324" s="736"/>
      <c r="P2324" s="736">
        <f t="shared" si="737"/>
        <v>1252688.48</v>
      </c>
      <c r="Q2324" s="738">
        <v>1221999.8999999999</v>
      </c>
      <c r="R2324" s="738">
        <v>827901.6</v>
      </c>
      <c r="S2324" s="751">
        <v>1329305.1599999999</v>
      </c>
      <c r="T2324" s="739">
        <v>1500521</v>
      </c>
      <c r="U2324" s="779">
        <v>1107465.67</v>
      </c>
      <c r="V2324" s="741">
        <v>1500522</v>
      </c>
    </row>
    <row r="2325" spans="1:22" ht="15" x14ac:dyDescent="0.25">
      <c r="A2325" s="734">
        <v>1421</v>
      </c>
      <c r="B2325" s="735" t="s">
        <v>15</v>
      </c>
      <c r="C2325" s="736">
        <v>274265.64</v>
      </c>
      <c r="D2325" s="736">
        <v>312625.71999999997</v>
      </c>
      <c r="E2325" s="749">
        <v>269189.71999999997</v>
      </c>
      <c r="F2325" s="736">
        <v>296380.84999999998</v>
      </c>
      <c r="G2325" s="736">
        <v>347679.6</v>
      </c>
      <c r="H2325" s="736"/>
      <c r="I2325" s="736"/>
      <c r="J2325" s="736">
        <f t="shared" si="735"/>
        <v>347679.6</v>
      </c>
      <c r="K2325" s="736">
        <v>8859.0499999999993</v>
      </c>
      <c r="L2325" s="736"/>
      <c r="M2325" s="736">
        <f t="shared" si="736"/>
        <v>356538.64999999997</v>
      </c>
      <c r="N2325" s="736"/>
      <c r="O2325" s="736"/>
      <c r="P2325" s="736">
        <f t="shared" si="737"/>
        <v>356538.64999999997</v>
      </c>
      <c r="Q2325" s="738">
        <v>356538.65</v>
      </c>
      <c r="R2325" s="738">
        <v>219042.21</v>
      </c>
      <c r="S2325" s="751">
        <v>366178.32</v>
      </c>
      <c r="T2325" s="739">
        <v>1500521</v>
      </c>
      <c r="U2325" s="779">
        <v>390195.91</v>
      </c>
      <c r="V2325" s="741">
        <v>1500522</v>
      </c>
    </row>
    <row r="2326" spans="1:22" ht="15" x14ac:dyDescent="0.25">
      <c r="A2326" s="734">
        <v>1431</v>
      </c>
      <c r="B2326" s="735" t="s">
        <v>16</v>
      </c>
      <c r="C2326" s="736">
        <v>282493.56</v>
      </c>
      <c r="D2326" s="736">
        <v>322004.03999999998</v>
      </c>
      <c r="E2326" s="749">
        <v>281737.14</v>
      </c>
      <c r="F2326" s="736">
        <v>311499.69</v>
      </c>
      <c r="G2326" s="736">
        <v>358110.19999999995</v>
      </c>
      <c r="H2326" s="736"/>
      <c r="I2326" s="736"/>
      <c r="J2326" s="736">
        <f t="shared" si="735"/>
        <v>358110.19999999995</v>
      </c>
      <c r="K2326" s="736">
        <v>9051.69</v>
      </c>
      <c r="L2326" s="736"/>
      <c r="M2326" s="736">
        <f t="shared" si="736"/>
        <v>367161.88999999996</v>
      </c>
      <c r="N2326" s="736"/>
      <c r="O2326" s="736"/>
      <c r="P2326" s="736">
        <f t="shared" si="737"/>
        <v>367161.88999999996</v>
      </c>
      <c r="Q2326" s="738">
        <v>354750.68</v>
      </c>
      <c r="R2326" s="738">
        <v>225323.95</v>
      </c>
      <c r="S2326" s="751">
        <v>377163.96</v>
      </c>
      <c r="T2326" s="739">
        <v>1500521</v>
      </c>
      <c r="U2326" s="779">
        <v>393721.41</v>
      </c>
      <c r="V2326" s="741">
        <v>1500522</v>
      </c>
    </row>
    <row r="2327" spans="1:22" ht="15" x14ac:dyDescent="0.25">
      <c r="A2327" s="734">
        <v>1511</v>
      </c>
      <c r="B2327" s="735" t="s">
        <v>18</v>
      </c>
      <c r="C2327" s="736">
        <v>54074.15</v>
      </c>
      <c r="D2327" s="736">
        <v>59903.48</v>
      </c>
      <c r="E2327" s="749">
        <v>59562.48</v>
      </c>
      <c r="F2327" s="736">
        <v>60928.05</v>
      </c>
      <c r="G2327" s="736">
        <v>62932</v>
      </c>
      <c r="H2327" s="736"/>
      <c r="I2327" s="736"/>
      <c r="J2327" s="736">
        <f t="shared" si="735"/>
        <v>62932</v>
      </c>
      <c r="K2327" s="736">
        <v>1830.27</v>
      </c>
      <c r="L2327" s="736"/>
      <c r="M2327" s="736">
        <f t="shared" si="736"/>
        <v>64762.27</v>
      </c>
      <c r="N2327" s="736"/>
      <c r="O2327" s="736"/>
      <c r="P2327" s="736">
        <f t="shared" si="737"/>
        <v>64762.27</v>
      </c>
      <c r="Q2327" s="738">
        <v>64762.27</v>
      </c>
      <c r="R2327" s="738">
        <v>45564.88</v>
      </c>
      <c r="S2327" s="751">
        <v>76450.92</v>
      </c>
      <c r="T2327" s="739">
        <v>1500521</v>
      </c>
      <c r="U2327" s="779">
        <v>65231.839999999997</v>
      </c>
      <c r="V2327" s="741">
        <v>1500522</v>
      </c>
    </row>
    <row r="2328" spans="1:22" ht="15" x14ac:dyDescent="0.25">
      <c r="A2328" s="734">
        <v>1541</v>
      </c>
      <c r="B2328" s="735" t="s">
        <v>19</v>
      </c>
      <c r="C2328" s="736">
        <v>219814.54</v>
      </c>
      <c r="D2328" s="736">
        <v>255857.16</v>
      </c>
      <c r="E2328" s="749">
        <v>243262.4</v>
      </c>
      <c r="F2328" s="736">
        <v>248624.77</v>
      </c>
      <c r="G2328" s="736">
        <v>304127.89999999997</v>
      </c>
      <c r="H2328" s="736"/>
      <c r="I2328" s="736"/>
      <c r="J2328" s="736">
        <f t="shared" si="735"/>
        <v>304127.89999999997</v>
      </c>
      <c r="K2328" s="736">
        <v>85454.46</v>
      </c>
      <c r="L2328" s="736"/>
      <c r="M2328" s="736">
        <f t="shared" si="736"/>
        <v>389582.36</v>
      </c>
      <c r="N2328" s="736"/>
      <c r="O2328" s="736"/>
      <c r="P2328" s="736">
        <f t="shared" si="737"/>
        <v>389582.36</v>
      </c>
      <c r="Q2328" s="738">
        <v>389582.36</v>
      </c>
      <c r="R2328" s="738">
        <v>204411.06</v>
      </c>
      <c r="S2328" s="751">
        <v>333367.58</v>
      </c>
      <c r="T2328" s="739">
        <v>1500521</v>
      </c>
      <c r="U2328" s="779">
        <v>333367.58</v>
      </c>
      <c r="V2328" s="741">
        <v>1500522</v>
      </c>
    </row>
    <row r="2329" spans="1:22" ht="15" x14ac:dyDescent="0.25">
      <c r="A2329" s="734">
        <v>1592</v>
      </c>
      <c r="B2329" s="735" t="s">
        <v>20</v>
      </c>
      <c r="C2329" s="736">
        <v>577965.74</v>
      </c>
      <c r="D2329" s="736">
        <v>633898.72</v>
      </c>
      <c r="E2329" s="749">
        <v>629329.72</v>
      </c>
      <c r="F2329" s="736">
        <v>641566.12</v>
      </c>
      <c r="G2329" s="736">
        <v>665923.5</v>
      </c>
      <c r="H2329" s="736"/>
      <c r="I2329" s="736"/>
      <c r="J2329" s="736">
        <f t="shared" si="735"/>
        <v>665923.5</v>
      </c>
      <c r="K2329" s="736">
        <v>50407.74</v>
      </c>
      <c r="L2329" s="736"/>
      <c r="M2329" s="736">
        <f t="shared" si="736"/>
        <v>716331.24</v>
      </c>
      <c r="N2329" s="736"/>
      <c r="O2329" s="736"/>
      <c r="P2329" s="736">
        <f t="shared" si="737"/>
        <v>716331.24</v>
      </c>
      <c r="Q2329" s="738">
        <v>762601.74</v>
      </c>
      <c r="R2329" s="738">
        <v>500972.05</v>
      </c>
      <c r="S2329" s="751">
        <v>818450.36</v>
      </c>
      <c r="T2329" s="739">
        <v>1500521</v>
      </c>
      <c r="U2329" s="779">
        <v>752987.66</v>
      </c>
      <c r="V2329" s="741">
        <v>1500522</v>
      </c>
    </row>
    <row r="2330" spans="1:22" ht="15" x14ac:dyDescent="0.2">
      <c r="A2330" s="734">
        <v>2111</v>
      </c>
      <c r="B2330" s="735" t="s">
        <v>22</v>
      </c>
      <c r="C2330" s="736">
        <v>51233</v>
      </c>
      <c r="D2330" s="736">
        <v>50000</v>
      </c>
      <c r="E2330" s="749">
        <v>35000</v>
      </c>
      <c r="F2330" s="736">
        <v>30319.11</v>
      </c>
      <c r="G2330" s="752">
        <v>35000</v>
      </c>
      <c r="H2330" s="752"/>
      <c r="I2330" s="752"/>
      <c r="J2330" s="736">
        <f t="shared" si="735"/>
        <v>35000</v>
      </c>
      <c r="K2330" s="752"/>
      <c r="L2330" s="752"/>
      <c r="M2330" s="736">
        <f t="shared" si="736"/>
        <v>35000</v>
      </c>
      <c r="N2330" s="736"/>
      <c r="O2330" s="736"/>
      <c r="P2330" s="736">
        <f t="shared" si="737"/>
        <v>35000</v>
      </c>
      <c r="Q2330" s="753">
        <v>27449.200000000001</v>
      </c>
      <c r="R2330" s="738">
        <v>20113.29</v>
      </c>
      <c r="S2330" s="753">
        <v>35000</v>
      </c>
      <c r="T2330" s="739">
        <v>1100121</v>
      </c>
      <c r="U2330" s="754">
        <v>35000</v>
      </c>
      <c r="V2330" s="741">
        <v>1100122</v>
      </c>
    </row>
    <row r="2331" spans="1:22" ht="15" x14ac:dyDescent="0.2">
      <c r="A2331" s="734">
        <v>2121</v>
      </c>
      <c r="B2331" s="735" t="s">
        <v>24</v>
      </c>
      <c r="C2331" s="736">
        <v>42763</v>
      </c>
      <c r="D2331" s="736">
        <v>50000</v>
      </c>
      <c r="E2331" s="749">
        <v>35000</v>
      </c>
      <c r="F2331" s="736">
        <v>32500</v>
      </c>
      <c r="G2331" s="752">
        <v>35000</v>
      </c>
      <c r="H2331" s="752"/>
      <c r="I2331" s="752"/>
      <c r="J2331" s="736">
        <f t="shared" si="735"/>
        <v>35000</v>
      </c>
      <c r="K2331" s="752"/>
      <c r="L2331" s="752"/>
      <c r="M2331" s="736">
        <f t="shared" si="736"/>
        <v>35000</v>
      </c>
      <c r="N2331" s="736"/>
      <c r="O2331" s="736"/>
      <c r="P2331" s="736">
        <f t="shared" si="737"/>
        <v>35000</v>
      </c>
      <c r="Q2331" s="753">
        <v>26261.82</v>
      </c>
      <c r="R2331" s="738">
        <v>24511.82</v>
      </c>
      <c r="S2331" s="753">
        <v>35000</v>
      </c>
      <c r="T2331" s="739">
        <v>1100121</v>
      </c>
      <c r="U2331" s="754">
        <v>35000</v>
      </c>
      <c r="V2331" s="741">
        <v>1100122</v>
      </c>
    </row>
    <row r="2332" spans="1:22" ht="15" x14ac:dyDescent="0.2">
      <c r="A2332" s="734">
        <v>2491</v>
      </c>
      <c r="B2332" s="735" t="s">
        <v>41</v>
      </c>
      <c r="C2332" s="736">
        <v>9744</v>
      </c>
      <c r="D2332" s="736">
        <v>10000</v>
      </c>
      <c r="E2332" s="749">
        <v>10000</v>
      </c>
      <c r="F2332" s="736">
        <v>7078.17</v>
      </c>
      <c r="G2332" s="752">
        <v>10000</v>
      </c>
      <c r="H2332" s="752"/>
      <c r="I2332" s="752"/>
      <c r="J2332" s="736">
        <f t="shared" si="735"/>
        <v>10000</v>
      </c>
      <c r="K2332" s="752"/>
      <c r="L2332" s="752"/>
      <c r="M2332" s="736">
        <f t="shared" si="736"/>
        <v>10000</v>
      </c>
      <c r="N2332" s="736"/>
      <c r="O2332" s="736"/>
      <c r="P2332" s="736">
        <f t="shared" si="737"/>
        <v>10000</v>
      </c>
      <c r="Q2332" s="753">
        <v>10000</v>
      </c>
      <c r="R2332" s="738">
        <v>4180</v>
      </c>
      <c r="S2332" s="753">
        <v>10000</v>
      </c>
      <c r="T2332" s="739">
        <v>1100121</v>
      </c>
      <c r="U2332" s="754">
        <v>10000</v>
      </c>
      <c r="V2332" s="741">
        <v>1100122</v>
      </c>
    </row>
    <row r="2333" spans="1:22" ht="15" x14ac:dyDescent="0.2">
      <c r="A2333" s="734">
        <v>3261</v>
      </c>
      <c r="B2333" s="735" t="s">
        <v>293</v>
      </c>
      <c r="C2333" s="736">
        <v>6380</v>
      </c>
      <c r="D2333" s="736">
        <v>30000</v>
      </c>
      <c r="E2333" s="749">
        <v>30000</v>
      </c>
      <c r="F2333" s="736">
        <v>0</v>
      </c>
      <c r="G2333" s="752">
        <v>30000</v>
      </c>
      <c r="H2333" s="752"/>
      <c r="I2333" s="752"/>
      <c r="J2333" s="736">
        <f t="shared" si="735"/>
        <v>30000</v>
      </c>
      <c r="K2333" s="752"/>
      <c r="L2333" s="752"/>
      <c r="M2333" s="736">
        <f t="shared" si="736"/>
        <v>30000</v>
      </c>
      <c r="N2333" s="736"/>
      <c r="O2333" s="736"/>
      <c r="P2333" s="736">
        <f t="shared" si="737"/>
        <v>30000</v>
      </c>
      <c r="Q2333" s="753">
        <v>30000</v>
      </c>
      <c r="R2333" s="738"/>
      <c r="S2333" s="753">
        <v>30000</v>
      </c>
      <c r="T2333" s="739">
        <v>1100121</v>
      </c>
      <c r="U2333" s="754">
        <v>30000</v>
      </c>
      <c r="V2333" s="741">
        <v>1100122</v>
      </c>
    </row>
    <row r="2334" spans="1:22" ht="15" x14ac:dyDescent="0.2">
      <c r="A2334" s="734">
        <v>3331</v>
      </c>
      <c r="B2334" s="735" t="s">
        <v>171</v>
      </c>
      <c r="C2334" s="736"/>
      <c r="D2334" s="736">
        <v>50000</v>
      </c>
      <c r="E2334" s="749">
        <v>38000</v>
      </c>
      <c r="F2334" s="736">
        <v>0</v>
      </c>
      <c r="G2334" s="752">
        <v>50000</v>
      </c>
      <c r="H2334" s="752"/>
      <c r="I2334" s="752"/>
      <c r="J2334" s="736">
        <f t="shared" si="735"/>
        <v>50000</v>
      </c>
      <c r="K2334" s="752"/>
      <c r="L2334" s="752"/>
      <c r="M2334" s="736">
        <f t="shared" si="736"/>
        <v>50000</v>
      </c>
      <c r="N2334" s="736"/>
      <c r="O2334" s="736"/>
      <c r="P2334" s="736">
        <f t="shared" si="737"/>
        <v>50000</v>
      </c>
      <c r="Q2334" s="753">
        <v>50000</v>
      </c>
      <c r="R2334" s="738"/>
      <c r="S2334" s="753">
        <v>50000</v>
      </c>
      <c r="T2334" s="739">
        <v>1100121</v>
      </c>
      <c r="U2334" s="754">
        <v>50000</v>
      </c>
      <c r="V2334" s="741">
        <v>1100122</v>
      </c>
    </row>
    <row r="2335" spans="1:22" ht="30" x14ac:dyDescent="0.2">
      <c r="A2335" s="734">
        <v>3361</v>
      </c>
      <c r="B2335" s="735" t="s">
        <v>29</v>
      </c>
      <c r="C2335" s="736">
        <v>46040.4</v>
      </c>
      <c r="D2335" s="736">
        <v>100000</v>
      </c>
      <c r="E2335" s="749">
        <v>100000</v>
      </c>
      <c r="F2335" s="736">
        <v>94966.6</v>
      </c>
      <c r="G2335" s="752">
        <v>90000</v>
      </c>
      <c r="H2335" s="752"/>
      <c r="I2335" s="752"/>
      <c r="J2335" s="736">
        <f t="shared" si="735"/>
        <v>90000</v>
      </c>
      <c r="K2335" s="752"/>
      <c r="L2335" s="752"/>
      <c r="M2335" s="736">
        <f t="shared" si="736"/>
        <v>90000</v>
      </c>
      <c r="N2335" s="736"/>
      <c r="O2335" s="736"/>
      <c r="P2335" s="736">
        <f t="shared" si="737"/>
        <v>90000</v>
      </c>
      <c r="Q2335" s="753">
        <v>90000</v>
      </c>
      <c r="R2335" s="738">
        <v>31327.599999999999</v>
      </c>
      <c r="S2335" s="753">
        <v>90000</v>
      </c>
      <c r="T2335" s="739">
        <v>1100121</v>
      </c>
      <c r="U2335" s="754">
        <v>90000</v>
      </c>
      <c r="V2335" s="741">
        <v>1100122</v>
      </c>
    </row>
    <row r="2336" spans="1:22" ht="15" x14ac:dyDescent="0.2">
      <c r="A2336" s="739">
        <v>3571</v>
      </c>
      <c r="B2336" s="743" t="s">
        <v>65</v>
      </c>
      <c r="C2336" s="736"/>
      <c r="D2336" s="736"/>
      <c r="E2336" s="749"/>
      <c r="F2336" s="736"/>
      <c r="G2336" s="752"/>
      <c r="H2336" s="752">
        <v>3463</v>
      </c>
      <c r="I2336" s="752"/>
      <c r="J2336" s="736">
        <f t="shared" si="735"/>
        <v>3463</v>
      </c>
      <c r="K2336" s="752"/>
      <c r="L2336" s="752"/>
      <c r="M2336" s="736">
        <f t="shared" si="736"/>
        <v>3463</v>
      </c>
      <c r="N2336" s="736"/>
      <c r="O2336" s="736"/>
      <c r="P2336" s="736">
        <f t="shared" si="737"/>
        <v>3463</v>
      </c>
      <c r="Q2336" s="753">
        <v>21000</v>
      </c>
      <c r="R2336" s="738"/>
      <c r="S2336" s="753"/>
      <c r="T2336" s="739">
        <v>1100120</v>
      </c>
      <c r="U2336" s="745"/>
      <c r="V2336" s="739">
        <v>1100120</v>
      </c>
    </row>
    <row r="2337" spans="1:22" ht="15" x14ac:dyDescent="0.2">
      <c r="A2337" s="734">
        <v>3571</v>
      </c>
      <c r="B2337" s="735" t="s">
        <v>65</v>
      </c>
      <c r="C2337" s="736">
        <v>580</v>
      </c>
      <c r="D2337" s="736">
        <v>8000</v>
      </c>
      <c r="E2337" s="749">
        <v>8000</v>
      </c>
      <c r="F2337" s="736">
        <v>4536.21</v>
      </c>
      <c r="G2337" s="752">
        <v>6000</v>
      </c>
      <c r="H2337" s="752"/>
      <c r="I2337" s="752"/>
      <c r="J2337" s="736">
        <f t="shared" si="735"/>
        <v>6000</v>
      </c>
      <c r="K2337" s="752"/>
      <c r="L2337" s="752"/>
      <c r="M2337" s="736">
        <f t="shared" si="736"/>
        <v>6000</v>
      </c>
      <c r="N2337" s="736"/>
      <c r="O2337" s="736"/>
      <c r="P2337" s="736">
        <f t="shared" si="737"/>
        <v>6000</v>
      </c>
      <c r="Q2337" s="753"/>
      <c r="R2337" s="738">
        <v>5361.52</v>
      </c>
      <c r="S2337" s="753">
        <v>10000</v>
      </c>
      <c r="T2337" s="739">
        <v>1100121</v>
      </c>
      <c r="U2337" s="754">
        <v>10000</v>
      </c>
      <c r="V2337" s="741">
        <v>1100122</v>
      </c>
    </row>
    <row r="2338" spans="1:22" ht="15" x14ac:dyDescent="0.2">
      <c r="A2338" s="734">
        <v>4411</v>
      </c>
      <c r="B2338" s="735" t="s">
        <v>34</v>
      </c>
      <c r="C2338" s="736">
        <v>46925.73</v>
      </c>
      <c r="D2338" s="736">
        <v>300000</v>
      </c>
      <c r="E2338" s="749">
        <v>200000</v>
      </c>
      <c r="F2338" s="736">
        <v>73729.38</v>
      </c>
      <c r="G2338" s="752">
        <v>250000</v>
      </c>
      <c r="H2338" s="752"/>
      <c r="I2338" s="752"/>
      <c r="J2338" s="736">
        <f t="shared" si="735"/>
        <v>250000</v>
      </c>
      <c r="K2338" s="752"/>
      <c r="L2338" s="752"/>
      <c r="M2338" s="736">
        <f t="shared" si="736"/>
        <v>250000</v>
      </c>
      <c r="N2338" s="736"/>
      <c r="O2338" s="736"/>
      <c r="P2338" s="736">
        <f t="shared" si="737"/>
        <v>250000</v>
      </c>
      <c r="Q2338" s="753">
        <v>250000</v>
      </c>
      <c r="R2338" s="738">
        <v>62711.07</v>
      </c>
      <c r="S2338" s="753">
        <v>300000</v>
      </c>
      <c r="T2338" s="739">
        <v>1100121</v>
      </c>
      <c r="U2338" s="740">
        <v>200000</v>
      </c>
      <c r="V2338" s="741">
        <v>1100122</v>
      </c>
    </row>
    <row r="2339" spans="1:22" ht="15" x14ac:dyDescent="0.2">
      <c r="A2339" s="739">
        <v>5491</v>
      </c>
      <c r="B2339" s="806" t="s">
        <v>1806</v>
      </c>
      <c r="C2339" s="736"/>
      <c r="D2339" s="736"/>
      <c r="E2339" s="749"/>
      <c r="F2339" s="736"/>
      <c r="G2339" s="752">
        <v>70000</v>
      </c>
      <c r="H2339" s="752"/>
      <c r="I2339" s="752"/>
      <c r="J2339" s="736">
        <f t="shared" si="735"/>
        <v>70000</v>
      </c>
      <c r="K2339" s="752"/>
      <c r="L2339" s="752"/>
      <c r="M2339" s="736">
        <f t="shared" si="736"/>
        <v>70000</v>
      </c>
      <c r="N2339" s="736"/>
      <c r="O2339" s="736"/>
      <c r="P2339" s="736">
        <f t="shared" si="737"/>
        <v>70000</v>
      </c>
      <c r="Q2339" s="753">
        <v>70000</v>
      </c>
      <c r="R2339" s="738"/>
      <c r="S2339" s="753"/>
      <c r="T2339" s="739">
        <v>1500521</v>
      </c>
      <c r="U2339" s="745"/>
      <c r="V2339" s="739">
        <v>1500522</v>
      </c>
    </row>
    <row r="2340" spans="1:22" ht="15" x14ac:dyDescent="0.2">
      <c r="A2340" s="739">
        <v>5151</v>
      </c>
      <c r="B2340" s="806" t="s">
        <v>36</v>
      </c>
      <c r="C2340" s="736">
        <v>41937.480000000003</v>
      </c>
      <c r="D2340" s="736"/>
      <c r="E2340" s="749"/>
      <c r="F2340" s="736"/>
      <c r="G2340" s="752"/>
      <c r="H2340" s="752"/>
      <c r="I2340" s="752"/>
      <c r="J2340" s="736">
        <f t="shared" si="735"/>
        <v>0</v>
      </c>
      <c r="K2340" s="752"/>
      <c r="L2340" s="752"/>
      <c r="M2340" s="736">
        <f t="shared" si="736"/>
        <v>0</v>
      </c>
      <c r="N2340" s="736"/>
      <c r="O2340" s="736"/>
      <c r="P2340" s="738">
        <f t="shared" si="737"/>
        <v>0</v>
      </c>
      <c r="Q2340" s="753"/>
      <c r="R2340" s="738"/>
      <c r="S2340" s="753"/>
      <c r="T2340" s="739"/>
      <c r="U2340" s="745"/>
      <c r="V2340" s="739"/>
    </row>
    <row r="2341" spans="1:22" ht="15" x14ac:dyDescent="0.2">
      <c r="A2341" s="739">
        <v>5411</v>
      </c>
      <c r="B2341" s="806" t="s">
        <v>1762</v>
      </c>
      <c r="C2341" s="736"/>
      <c r="D2341" s="736"/>
      <c r="E2341" s="749"/>
      <c r="F2341" s="736"/>
      <c r="G2341" s="752"/>
      <c r="H2341" s="752"/>
      <c r="I2341" s="752"/>
      <c r="J2341" s="736"/>
      <c r="K2341" s="752"/>
      <c r="L2341" s="752"/>
      <c r="M2341" s="736"/>
      <c r="N2341" s="736"/>
      <c r="O2341" s="736"/>
      <c r="P2341" s="738"/>
      <c r="Q2341" s="753"/>
      <c r="R2341" s="738"/>
      <c r="S2341" s="914">
        <v>740000</v>
      </c>
      <c r="T2341" s="739"/>
      <c r="U2341" s="841">
        <v>0</v>
      </c>
      <c r="V2341" s="739"/>
    </row>
    <row r="2342" spans="1:22" ht="15" x14ac:dyDescent="0.2">
      <c r="A2342" s="739">
        <v>5911</v>
      </c>
      <c r="B2342" s="743" t="s">
        <v>68</v>
      </c>
      <c r="C2342" s="736"/>
      <c r="D2342" s="736"/>
      <c r="E2342" s="736"/>
      <c r="F2342" s="736"/>
      <c r="G2342" s="736"/>
      <c r="H2342" s="752">
        <v>316680</v>
      </c>
      <c r="I2342" s="736"/>
      <c r="J2342" s="736">
        <f t="shared" ref="J2342:J2343" si="738">G2342+H2342-I2342</f>
        <v>316680</v>
      </c>
      <c r="K2342" s="752"/>
      <c r="L2342" s="736"/>
      <c r="M2342" s="736">
        <f t="shared" ref="M2342:M2343" si="739">J2342+K2342-L2342</f>
        <v>316680</v>
      </c>
      <c r="N2342" s="736"/>
      <c r="O2342" s="736"/>
      <c r="P2342" s="736">
        <f t="shared" ref="P2342:P2343" si="740">M2342+N2342-O2342</f>
        <v>316680</v>
      </c>
      <c r="Q2342" s="738"/>
      <c r="R2342" s="738">
        <v>316680</v>
      </c>
      <c r="S2342" s="738"/>
      <c r="T2342" s="739">
        <v>1100120</v>
      </c>
      <c r="U2342" s="745"/>
      <c r="V2342" s="739">
        <v>1100120</v>
      </c>
    </row>
    <row r="2343" spans="1:22" ht="15" x14ac:dyDescent="0.2">
      <c r="A2343" s="739">
        <v>5911</v>
      </c>
      <c r="B2343" s="743" t="s">
        <v>68</v>
      </c>
      <c r="C2343" s="736"/>
      <c r="D2343" s="736">
        <v>450000</v>
      </c>
      <c r="E2343" s="736"/>
      <c r="F2343" s="736">
        <v>0</v>
      </c>
      <c r="G2343" s="752">
        <v>316680</v>
      </c>
      <c r="H2343" s="752"/>
      <c r="I2343" s="752">
        <v>316680</v>
      </c>
      <c r="J2343" s="736">
        <f t="shared" si="738"/>
        <v>0</v>
      </c>
      <c r="K2343" s="752"/>
      <c r="L2343" s="752"/>
      <c r="M2343" s="736">
        <f t="shared" si="739"/>
        <v>0</v>
      </c>
      <c r="N2343" s="736"/>
      <c r="O2343" s="736"/>
      <c r="P2343" s="738">
        <f t="shared" si="740"/>
        <v>0</v>
      </c>
      <c r="Q2343" s="753">
        <v>316680</v>
      </c>
      <c r="R2343" s="738"/>
      <c r="S2343" s="914">
        <v>500000</v>
      </c>
      <c r="T2343" s="739">
        <v>1100120</v>
      </c>
      <c r="U2343" s="841">
        <v>0</v>
      </c>
      <c r="V2343" s="739">
        <v>1100120</v>
      </c>
    </row>
    <row r="2344" spans="1:22" ht="15" x14ac:dyDescent="0.2">
      <c r="A2344" s="724" t="s">
        <v>301</v>
      </c>
      <c r="B2344" s="725" t="s">
        <v>302</v>
      </c>
      <c r="C2344" s="721">
        <f t="shared" ref="C2344:S2344" si="741">SUM(C2345+C2378+C2419+C2456+C2501+C2548+C2614+C2647)</f>
        <v>264311472.24000004</v>
      </c>
      <c r="D2344" s="721">
        <f t="shared" si="741"/>
        <v>276027254.35999995</v>
      </c>
      <c r="E2344" s="721">
        <f t="shared" si="741"/>
        <v>278538656.73000002</v>
      </c>
      <c r="F2344" s="721">
        <f t="shared" si="741"/>
        <v>273212099.61999995</v>
      </c>
      <c r="G2344" s="721">
        <f t="shared" si="741"/>
        <v>255866987.24000004</v>
      </c>
      <c r="H2344" s="721">
        <f t="shared" si="741"/>
        <v>13580941.969999999</v>
      </c>
      <c r="I2344" s="721">
        <f t="shared" si="741"/>
        <v>4300000</v>
      </c>
      <c r="J2344" s="721">
        <f t="shared" si="741"/>
        <v>265147929.21000001</v>
      </c>
      <c r="K2344" s="721">
        <f t="shared" si="741"/>
        <v>6690557.6600000011</v>
      </c>
      <c r="L2344" s="721">
        <f t="shared" si="741"/>
        <v>7659841.21</v>
      </c>
      <c r="M2344" s="721">
        <f t="shared" si="741"/>
        <v>264178645.66000003</v>
      </c>
      <c r="N2344" s="721">
        <f t="shared" si="741"/>
        <v>7811207.3700000811</v>
      </c>
      <c r="O2344" s="721">
        <f t="shared" si="741"/>
        <v>1875405.3700000811</v>
      </c>
      <c r="P2344" s="721">
        <f t="shared" si="741"/>
        <v>270114447.66000003</v>
      </c>
      <c r="Q2344" s="756">
        <f t="shared" si="741"/>
        <v>270674621.08000004</v>
      </c>
      <c r="R2344" s="756">
        <f t="shared" si="741"/>
        <v>190485183.38</v>
      </c>
      <c r="S2344" s="756">
        <f t="shared" si="741"/>
        <v>303486747.78000003</v>
      </c>
      <c r="T2344" s="918"/>
      <c r="U2344" s="726">
        <f>SUM(U2345+U2378+U2419+U2456+U2501+U2548+U2614+U2647)</f>
        <v>257563010.83000001</v>
      </c>
      <c r="V2344" s="919"/>
    </row>
    <row r="2345" spans="1:22" ht="15" x14ac:dyDescent="0.2">
      <c r="A2345" s="728" t="s">
        <v>303</v>
      </c>
      <c r="B2345" s="729" t="s">
        <v>1587</v>
      </c>
      <c r="C2345" s="730">
        <f t="shared" ref="C2345:S2345" si="742">SUM(C2346:C2377)</f>
        <v>8404768.129999999</v>
      </c>
      <c r="D2345" s="730">
        <f t="shared" si="742"/>
        <v>9353894.5699999984</v>
      </c>
      <c r="E2345" s="730">
        <f t="shared" si="742"/>
        <v>9240745.9999999981</v>
      </c>
      <c r="F2345" s="730">
        <f t="shared" si="742"/>
        <v>9395929.0300000012</v>
      </c>
      <c r="G2345" s="730">
        <f t="shared" si="742"/>
        <v>10864016.92</v>
      </c>
      <c r="H2345" s="730">
        <f t="shared" si="742"/>
        <v>0</v>
      </c>
      <c r="I2345" s="730">
        <f t="shared" si="742"/>
        <v>0</v>
      </c>
      <c r="J2345" s="730">
        <f t="shared" si="742"/>
        <v>10864016.92</v>
      </c>
      <c r="K2345" s="730">
        <f t="shared" si="742"/>
        <v>242902.13</v>
      </c>
      <c r="L2345" s="730">
        <f t="shared" si="742"/>
        <v>1222490.6499999999</v>
      </c>
      <c r="M2345" s="730">
        <f t="shared" si="742"/>
        <v>9884428.4000000004</v>
      </c>
      <c r="N2345" s="730">
        <f t="shared" si="742"/>
        <v>0</v>
      </c>
      <c r="O2345" s="730">
        <f t="shared" si="742"/>
        <v>0</v>
      </c>
      <c r="P2345" s="730">
        <f t="shared" si="742"/>
        <v>9884428.4000000004</v>
      </c>
      <c r="Q2345" s="748">
        <f t="shared" si="742"/>
        <v>10025205.92</v>
      </c>
      <c r="R2345" s="748">
        <f t="shared" si="742"/>
        <v>6799191.8899999997</v>
      </c>
      <c r="S2345" s="748">
        <f t="shared" si="742"/>
        <v>11052758.27</v>
      </c>
      <c r="T2345" s="731"/>
      <c r="U2345" s="732">
        <f>SUM(U2346:U2377)</f>
        <v>9538948.3499999996</v>
      </c>
      <c r="V2345" s="733"/>
    </row>
    <row r="2346" spans="1:22" ht="15" x14ac:dyDescent="0.25">
      <c r="A2346" s="734">
        <v>1131</v>
      </c>
      <c r="B2346" s="735" t="s">
        <v>6</v>
      </c>
      <c r="C2346" s="736">
        <v>708428.63</v>
      </c>
      <c r="D2346" s="736">
        <v>737292.92</v>
      </c>
      <c r="E2346" s="749">
        <v>731661.92</v>
      </c>
      <c r="F2346" s="736">
        <v>794538.21</v>
      </c>
      <c r="G2346" s="736">
        <v>802177.1</v>
      </c>
      <c r="H2346" s="736"/>
      <c r="I2346" s="736"/>
      <c r="J2346" s="736">
        <f t="shared" ref="J2346:J2351" si="743">G2346+H2346-I2346</f>
        <v>802177.1</v>
      </c>
      <c r="K2346" s="736">
        <v>3613.31</v>
      </c>
      <c r="L2346" s="736"/>
      <c r="M2346" s="736">
        <f t="shared" ref="M2346:M2364" si="744">J2346+K2346-L2346</f>
        <v>805790.41</v>
      </c>
      <c r="N2346" s="736"/>
      <c r="O2346" s="736"/>
      <c r="P2346" s="736">
        <f t="shared" ref="P2346:P2364" si="745">M2346+N2346-O2346</f>
        <v>805790.41</v>
      </c>
      <c r="Q2346" s="738">
        <v>805790.41</v>
      </c>
      <c r="R2346" s="738">
        <v>585427.49</v>
      </c>
      <c r="S2346" s="751">
        <v>887388.32</v>
      </c>
      <c r="T2346" s="739">
        <v>1500521</v>
      </c>
      <c r="U2346" s="779">
        <v>844138.88</v>
      </c>
      <c r="V2346" s="741">
        <v>1500522</v>
      </c>
    </row>
    <row r="2347" spans="1:22" ht="15" x14ac:dyDescent="0.25">
      <c r="A2347" s="734">
        <v>1132</v>
      </c>
      <c r="B2347" s="735" t="s">
        <v>8</v>
      </c>
      <c r="C2347" s="736">
        <v>431362.02</v>
      </c>
      <c r="D2347" s="736">
        <v>459611.88</v>
      </c>
      <c r="E2347" s="749">
        <v>460951.88</v>
      </c>
      <c r="F2347" s="736">
        <v>474715.95</v>
      </c>
      <c r="G2347" s="736">
        <v>482827.8</v>
      </c>
      <c r="H2347" s="736"/>
      <c r="I2347" s="736"/>
      <c r="J2347" s="736">
        <f t="shared" si="743"/>
        <v>482827.8</v>
      </c>
      <c r="K2347" s="736">
        <v>19872.29</v>
      </c>
      <c r="L2347" s="736"/>
      <c r="M2347" s="736">
        <f t="shared" si="744"/>
        <v>502700.08999999997</v>
      </c>
      <c r="N2347" s="736"/>
      <c r="O2347" s="736"/>
      <c r="P2347" s="736">
        <f t="shared" si="745"/>
        <v>502700.08999999997</v>
      </c>
      <c r="Q2347" s="738">
        <v>488578.69</v>
      </c>
      <c r="R2347" s="738">
        <v>328731.59000000003</v>
      </c>
      <c r="S2347" s="751">
        <v>462192.64000000001</v>
      </c>
      <c r="T2347" s="739">
        <v>1500521</v>
      </c>
      <c r="U2347" s="779">
        <v>428646.74</v>
      </c>
      <c r="V2347" s="741">
        <v>1500522</v>
      </c>
    </row>
    <row r="2348" spans="1:22" ht="15" x14ac:dyDescent="0.25">
      <c r="A2348" s="734">
        <v>1212</v>
      </c>
      <c r="B2348" s="735" t="s">
        <v>53</v>
      </c>
      <c r="C2348" s="736">
        <v>3483421.23</v>
      </c>
      <c r="D2348" s="736">
        <v>3757942.8</v>
      </c>
      <c r="E2348" s="749">
        <v>3915371.52</v>
      </c>
      <c r="F2348" s="736">
        <v>3975357.7</v>
      </c>
      <c r="G2348" s="736">
        <v>4769892</v>
      </c>
      <c r="H2348" s="736"/>
      <c r="I2348" s="736"/>
      <c r="J2348" s="736">
        <f t="shared" si="743"/>
        <v>4769892</v>
      </c>
      <c r="K2348" s="736"/>
      <c r="L2348" s="736">
        <v>567007.82999999996</v>
      </c>
      <c r="M2348" s="736">
        <f t="shared" si="744"/>
        <v>4202884.17</v>
      </c>
      <c r="N2348" s="736"/>
      <c r="O2348" s="736"/>
      <c r="P2348" s="736">
        <f t="shared" si="745"/>
        <v>4202884.17</v>
      </c>
      <c r="Q2348" s="738">
        <v>4229316.58</v>
      </c>
      <c r="R2348" s="738">
        <v>3096488.74</v>
      </c>
      <c r="S2348" s="751">
        <v>4816353.5999999996</v>
      </c>
      <c r="T2348" s="739">
        <v>1500521</v>
      </c>
      <c r="U2348" s="779">
        <v>4248359.8899999997</v>
      </c>
      <c r="V2348" s="741">
        <v>1500522</v>
      </c>
    </row>
    <row r="2349" spans="1:22" ht="15" x14ac:dyDescent="0.25">
      <c r="A2349" s="734">
        <v>1321</v>
      </c>
      <c r="B2349" s="735" t="s">
        <v>9</v>
      </c>
      <c r="C2349" s="736">
        <v>80918.77</v>
      </c>
      <c r="D2349" s="736">
        <v>90349.56</v>
      </c>
      <c r="E2349" s="749">
        <v>112015.56</v>
      </c>
      <c r="F2349" s="736">
        <v>92632.51</v>
      </c>
      <c r="G2349" s="736">
        <v>92558.700000000012</v>
      </c>
      <c r="H2349" s="736"/>
      <c r="I2349" s="736"/>
      <c r="J2349" s="736">
        <f t="shared" si="743"/>
        <v>92558.700000000012</v>
      </c>
      <c r="K2349" s="736">
        <v>5212.3599999999997</v>
      </c>
      <c r="L2349" s="736"/>
      <c r="M2349" s="736">
        <f t="shared" si="744"/>
        <v>97771.060000000012</v>
      </c>
      <c r="N2349" s="736"/>
      <c r="O2349" s="736"/>
      <c r="P2349" s="736">
        <f t="shared" si="745"/>
        <v>97771.060000000012</v>
      </c>
      <c r="Q2349" s="738">
        <v>112888.68</v>
      </c>
      <c r="R2349" s="738">
        <v>64891.9</v>
      </c>
      <c r="S2349" s="751">
        <v>112731.74</v>
      </c>
      <c r="T2349" s="739">
        <v>1500521</v>
      </c>
      <c r="U2349" s="779">
        <v>126177.81</v>
      </c>
      <c r="V2349" s="741">
        <v>1500522</v>
      </c>
    </row>
    <row r="2350" spans="1:22" ht="15" x14ac:dyDescent="0.25">
      <c r="A2350" s="734">
        <v>1322</v>
      </c>
      <c r="B2350" s="735" t="s">
        <v>182</v>
      </c>
      <c r="C2350" s="736">
        <v>292799.05</v>
      </c>
      <c r="D2350" s="736">
        <v>297075</v>
      </c>
      <c r="E2350" s="749">
        <v>253725.03</v>
      </c>
      <c r="F2350" s="736">
        <v>264552.48</v>
      </c>
      <c r="G2350" s="736">
        <v>253725.1</v>
      </c>
      <c r="H2350" s="736"/>
      <c r="I2350" s="736"/>
      <c r="J2350" s="736">
        <f t="shared" si="743"/>
        <v>253725.1</v>
      </c>
      <c r="K2350" s="736"/>
      <c r="L2350" s="736">
        <v>7.0000000000000007E-2</v>
      </c>
      <c r="M2350" s="736">
        <f t="shared" si="744"/>
        <v>253725.03</v>
      </c>
      <c r="N2350" s="736"/>
      <c r="O2350" s="736"/>
      <c r="P2350" s="736">
        <f t="shared" si="745"/>
        <v>253725.03</v>
      </c>
      <c r="Q2350" s="738">
        <v>353725.03</v>
      </c>
      <c r="R2350" s="738">
        <v>259015.33</v>
      </c>
      <c r="S2350" s="751">
        <v>353725.03</v>
      </c>
      <c r="T2350" s="739">
        <v>1500521</v>
      </c>
      <c r="U2350" s="779">
        <v>353725.03</v>
      </c>
      <c r="V2350" s="741">
        <v>1500522</v>
      </c>
    </row>
    <row r="2351" spans="1:22" ht="15" x14ac:dyDescent="0.25">
      <c r="A2351" s="734">
        <v>1323</v>
      </c>
      <c r="B2351" s="735" t="s">
        <v>11</v>
      </c>
      <c r="C2351" s="736">
        <v>365217.87</v>
      </c>
      <c r="D2351" s="736">
        <v>391730.95</v>
      </c>
      <c r="E2351" s="749">
        <v>389582.25</v>
      </c>
      <c r="F2351" s="736">
        <v>386651.12</v>
      </c>
      <c r="G2351" s="736">
        <v>443214</v>
      </c>
      <c r="H2351" s="736"/>
      <c r="I2351" s="736"/>
      <c r="J2351" s="736">
        <f t="shared" si="743"/>
        <v>443214</v>
      </c>
      <c r="K2351" s="736"/>
      <c r="L2351" s="736">
        <v>16180.1</v>
      </c>
      <c r="M2351" s="736">
        <f t="shared" si="744"/>
        <v>427033.9</v>
      </c>
      <c r="N2351" s="736"/>
      <c r="O2351" s="736"/>
      <c r="P2351" s="736">
        <f t="shared" si="745"/>
        <v>427033.9</v>
      </c>
      <c r="Q2351" s="738">
        <v>436073.9</v>
      </c>
      <c r="R2351" s="738">
        <v>198338.28</v>
      </c>
      <c r="S2351" s="751">
        <v>463206.9</v>
      </c>
      <c r="T2351" s="739">
        <v>1500521</v>
      </c>
      <c r="U2351" s="779">
        <v>445954.96</v>
      </c>
      <c r="V2351" s="741">
        <v>1500522</v>
      </c>
    </row>
    <row r="2352" spans="1:22" ht="15" x14ac:dyDescent="0.25">
      <c r="A2352" s="739">
        <v>1331</v>
      </c>
      <c r="B2352" s="743" t="s">
        <v>183</v>
      </c>
      <c r="C2352" s="736"/>
      <c r="D2352" s="736"/>
      <c r="E2352" s="749"/>
      <c r="F2352" s="736"/>
      <c r="G2352" s="736"/>
      <c r="H2352" s="736"/>
      <c r="I2352" s="736"/>
      <c r="J2352" s="736"/>
      <c r="K2352" s="736"/>
      <c r="L2352" s="736"/>
      <c r="M2352" s="736">
        <f t="shared" si="744"/>
        <v>0</v>
      </c>
      <c r="N2352" s="736"/>
      <c r="O2352" s="736"/>
      <c r="P2352" s="738">
        <f t="shared" si="745"/>
        <v>0</v>
      </c>
      <c r="Q2352" s="738"/>
      <c r="R2352" s="738"/>
      <c r="S2352" s="751"/>
      <c r="T2352" s="739"/>
      <c r="U2352" s="780"/>
      <c r="V2352" s="739"/>
    </row>
    <row r="2353" spans="1:22" ht="15" x14ac:dyDescent="0.25">
      <c r="A2353" s="734">
        <v>1413</v>
      </c>
      <c r="B2353" s="735" t="s">
        <v>13</v>
      </c>
      <c r="C2353" s="736">
        <v>985477.23</v>
      </c>
      <c r="D2353" s="736">
        <v>1223639.5</v>
      </c>
      <c r="E2353" s="749">
        <v>1206535.5</v>
      </c>
      <c r="F2353" s="736">
        <v>1201094.1000000001</v>
      </c>
      <c r="G2353" s="736">
        <v>1520908.5</v>
      </c>
      <c r="H2353" s="736"/>
      <c r="I2353" s="736"/>
      <c r="J2353" s="736">
        <f t="shared" ref="J2353:J2360" si="746">G2353+H2353-I2353</f>
        <v>1520908.5</v>
      </c>
      <c r="K2353" s="736"/>
      <c r="L2353" s="736">
        <v>105318.2</v>
      </c>
      <c r="M2353" s="736">
        <f t="shared" si="744"/>
        <v>1415590.3</v>
      </c>
      <c r="N2353" s="736"/>
      <c r="O2353" s="736"/>
      <c r="P2353" s="736">
        <f t="shared" si="745"/>
        <v>1415590.3</v>
      </c>
      <c r="Q2353" s="738">
        <v>1392668.13</v>
      </c>
      <c r="R2353" s="738">
        <v>923793.89</v>
      </c>
      <c r="S2353" s="751">
        <v>1622934.6</v>
      </c>
      <c r="T2353" s="739">
        <v>1500521</v>
      </c>
      <c r="U2353" s="779">
        <v>1245664.01</v>
      </c>
      <c r="V2353" s="741">
        <v>1500522</v>
      </c>
    </row>
    <row r="2354" spans="1:22" ht="15" x14ac:dyDescent="0.25">
      <c r="A2354" s="734">
        <v>1421</v>
      </c>
      <c r="B2354" s="735" t="s">
        <v>15</v>
      </c>
      <c r="C2354" s="736">
        <v>254181.15</v>
      </c>
      <c r="D2354" s="736">
        <v>299681.53999999998</v>
      </c>
      <c r="E2354" s="749">
        <v>273273.53999999998</v>
      </c>
      <c r="F2354" s="736">
        <v>300038.90999999997</v>
      </c>
      <c r="G2354" s="736">
        <v>365181.5</v>
      </c>
      <c r="H2354" s="736"/>
      <c r="I2354" s="736"/>
      <c r="J2354" s="736">
        <f t="shared" si="746"/>
        <v>365181.5</v>
      </c>
      <c r="K2354" s="736"/>
      <c r="L2354" s="736">
        <v>26115.78</v>
      </c>
      <c r="M2354" s="736">
        <f t="shared" si="744"/>
        <v>339065.72</v>
      </c>
      <c r="N2354" s="736"/>
      <c r="O2354" s="736"/>
      <c r="P2354" s="736">
        <f t="shared" si="745"/>
        <v>339065.72</v>
      </c>
      <c r="Q2354" s="738">
        <v>339065.72</v>
      </c>
      <c r="R2354" s="738">
        <v>203993.25</v>
      </c>
      <c r="S2354" s="751">
        <v>376086.12</v>
      </c>
      <c r="T2354" s="739">
        <v>1500521</v>
      </c>
      <c r="U2354" s="779">
        <v>365844.17</v>
      </c>
      <c r="V2354" s="741">
        <v>1500522</v>
      </c>
    </row>
    <row r="2355" spans="1:22" ht="15" x14ac:dyDescent="0.25">
      <c r="A2355" s="734">
        <v>1431</v>
      </c>
      <c r="B2355" s="735" t="s">
        <v>16</v>
      </c>
      <c r="C2355" s="736">
        <v>272981.26</v>
      </c>
      <c r="D2355" s="736">
        <v>308671.59999999998</v>
      </c>
      <c r="E2355" s="749">
        <v>285603.59999999998</v>
      </c>
      <c r="F2355" s="736">
        <v>316375.89</v>
      </c>
      <c r="G2355" s="736">
        <v>376135</v>
      </c>
      <c r="H2355" s="736"/>
      <c r="I2355" s="736"/>
      <c r="J2355" s="736">
        <f t="shared" si="746"/>
        <v>376135</v>
      </c>
      <c r="K2355" s="736"/>
      <c r="L2355" s="736">
        <v>26966.68</v>
      </c>
      <c r="M2355" s="736">
        <f t="shared" si="744"/>
        <v>349168.32</v>
      </c>
      <c r="N2355" s="736"/>
      <c r="O2355" s="736"/>
      <c r="P2355" s="736">
        <f t="shared" si="745"/>
        <v>349168.32</v>
      </c>
      <c r="Q2355" s="738">
        <v>340055.94</v>
      </c>
      <c r="R2355" s="738">
        <v>209543.93</v>
      </c>
      <c r="S2355" s="751">
        <v>387368.16</v>
      </c>
      <c r="T2355" s="739">
        <v>1500521</v>
      </c>
      <c r="U2355" s="779">
        <v>368503.12</v>
      </c>
      <c r="V2355" s="741">
        <v>1500522</v>
      </c>
    </row>
    <row r="2356" spans="1:22" ht="15" x14ac:dyDescent="0.25">
      <c r="A2356" s="734">
        <v>1511</v>
      </c>
      <c r="B2356" s="735" t="s">
        <v>18</v>
      </c>
      <c r="C2356" s="736">
        <v>31179.46</v>
      </c>
      <c r="D2356" s="736">
        <v>34237.839999999997</v>
      </c>
      <c r="E2356" s="749">
        <v>34237.839999999997</v>
      </c>
      <c r="F2356" s="736">
        <v>34780.870000000003</v>
      </c>
      <c r="G2356" s="736">
        <v>35970.5</v>
      </c>
      <c r="H2356" s="736"/>
      <c r="I2356" s="736"/>
      <c r="J2356" s="736">
        <f t="shared" si="746"/>
        <v>35970.5</v>
      </c>
      <c r="K2356" s="736">
        <v>885.49</v>
      </c>
      <c r="L2356" s="736"/>
      <c r="M2356" s="736">
        <f t="shared" si="744"/>
        <v>36855.99</v>
      </c>
      <c r="N2356" s="736"/>
      <c r="O2356" s="736"/>
      <c r="P2356" s="736">
        <f t="shared" si="745"/>
        <v>36855.99</v>
      </c>
      <c r="Q2356" s="738">
        <v>36855.99</v>
      </c>
      <c r="R2356" s="738">
        <v>24576.639999999999</v>
      </c>
      <c r="S2356" s="751">
        <v>38220</v>
      </c>
      <c r="T2356" s="739">
        <v>1500521</v>
      </c>
      <c r="U2356" s="779">
        <v>34641.269999999997</v>
      </c>
      <c r="V2356" s="741">
        <v>1500522</v>
      </c>
    </row>
    <row r="2357" spans="1:22" ht="15" x14ac:dyDescent="0.25">
      <c r="A2357" s="734">
        <v>1541</v>
      </c>
      <c r="B2357" s="735" t="s">
        <v>19</v>
      </c>
      <c r="C2357" s="736">
        <v>230658.83</v>
      </c>
      <c r="D2357" s="736">
        <v>288873.78000000003</v>
      </c>
      <c r="E2357" s="749">
        <v>288709.38</v>
      </c>
      <c r="F2357" s="736">
        <v>292238.69</v>
      </c>
      <c r="G2357" s="736">
        <v>366367.19999999995</v>
      </c>
      <c r="H2357" s="736"/>
      <c r="I2357" s="736"/>
      <c r="J2357" s="736">
        <f t="shared" si="746"/>
        <v>366367.19999999995</v>
      </c>
      <c r="K2357" s="736">
        <v>11118.68</v>
      </c>
      <c r="L2357" s="736"/>
      <c r="M2357" s="736">
        <f t="shared" si="744"/>
        <v>377485.87999999995</v>
      </c>
      <c r="N2357" s="736"/>
      <c r="O2357" s="736"/>
      <c r="P2357" s="736">
        <f t="shared" si="745"/>
        <v>377485.87999999995</v>
      </c>
      <c r="Q2357" s="738">
        <v>377485.88</v>
      </c>
      <c r="R2357" s="738">
        <v>251901.16</v>
      </c>
      <c r="S2357" s="751">
        <v>438955.92</v>
      </c>
      <c r="T2357" s="739">
        <v>1500521</v>
      </c>
      <c r="U2357" s="779">
        <v>438955.92</v>
      </c>
      <c r="V2357" s="741">
        <v>1500522</v>
      </c>
    </row>
    <row r="2358" spans="1:22" ht="15" x14ac:dyDescent="0.2">
      <c r="A2358" s="734">
        <v>1592</v>
      </c>
      <c r="B2358" s="735" t="s">
        <v>20</v>
      </c>
      <c r="C2358" s="736">
        <v>466064.71</v>
      </c>
      <c r="D2358" s="736">
        <v>514987.2</v>
      </c>
      <c r="E2358" s="749">
        <v>509935.2</v>
      </c>
      <c r="F2358" s="736">
        <v>521071.1</v>
      </c>
      <c r="G2358" s="736">
        <v>541027.79999999993</v>
      </c>
      <c r="H2358" s="736"/>
      <c r="I2358" s="736"/>
      <c r="J2358" s="736">
        <f t="shared" si="746"/>
        <v>541027.79999999993</v>
      </c>
      <c r="K2358" s="736"/>
      <c r="L2358" s="736">
        <v>726.53</v>
      </c>
      <c r="M2358" s="736">
        <f t="shared" si="744"/>
        <v>540301.2699999999</v>
      </c>
      <c r="N2358" s="736"/>
      <c r="O2358" s="736"/>
      <c r="P2358" s="736">
        <f t="shared" si="745"/>
        <v>540301.2699999999</v>
      </c>
      <c r="Q2358" s="738">
        <v>577958.71</v>
      </c>
      <c r="R2358" s="738">
        <v>372043.38</v>
      </c>
      <c r="S2358" s="751">
        <v>561604.68000000005</v>
      </c>
      <c r="T2358" s="739">
        <v>1500521</v>
      </c>
      <c r="U2358" s="742">
        <v>530336.55000000005</v>
      </c>
      <c r="V2358" s="741">
        <v>1500522</v>
      </c>
    </row>
    <row r="2359" spans="1:22" ht="15" x14ac:dyDescent="0.2">
      <c r="A2359" s="734">
        <v>2111</v>
      </c>
      <c r="B2359" s="735" t="s">
        <v>22</v>
      </c>
      <c r="C2359" s="736">
        <v>9767.39</v>
      </c>
      <c r="D2359" s="736">
        <v>12000</v>
      </c>
      <c r="E2359" s="749">
        <v>8400</v>
      </c>
      <c r="F2359" s="736">
        <v>7693.61</v>
      </c>
      <c r="G2359" s="752">
        <v>8400</v>
      </c>
      <c r="H2359" s="752"/>
      <c r="I2359" s="752"/>
      <c r="J2359" s="736">
        <f t="shared" si="746"/>
        <v>8400</v>
      </c>
      <c r="K2359" s="736"/>
      <c r="L2359" s="752"/>
      <c r="M2359" s="736">
        <f t="shared" si="744"/>
        <v>8400</v>
      </c>
      <c r="N2359" s="736"/>
      <c r="O2359" s="736"/>
      <c r="P2359" s="736">
        <f t="shared" si="745"/>
        <v>8400</v>
      </c>
      <c r="Q2359" s="753">
        <v>8400</v>
      </c>
      <c r="R2359" s="738">
        <v>7501.51</v>
      </c>
      <c r="S2359" s="753">
        <v>12500</v>
      </c>
      <c r="T2359" s="739">
        <v>1100121</v>
      </c>
      <c r="U2359" s="740">
        <v>10000</v>
      </c>
      <c r="V2359" s="741">
        <v>1100122</v>
      </c>
    </row>
    <row r="2360" spans="1:22" ht="15" x14ac:dyDescent="0.2">
      <c r="A2360" s="739">
        <v>2112</v>
      </c>
      <c r="B2360" s="743" t="s">
        <v>39</v>
      </c>
      <c r="C2360" s="736"/>
      <c r="D2360" s="736">
        <v>30000</v>
      </c>
      <c r="E2360" s="749">
        <v>30000</v>
      </c>
      <c r="F2360" s="736">
        <v>29200.68</v>
      </c>
      <c r="G2360" s="736"/>
      <c r="H2360" s="736"/>
      <c r="I2360" s="736"/>
      <c r="J2360" s="736">
        <f t="shared" si="746"/>
        <v>0</v>
      </c>
      <c r="K2360" s="736"/>
      <c r="L2360" s="736"/>
      <c r="M2360" s="736">
        <f t="shared" si="744"/>
        <v>0</v>
      </c>
      <c r="N2360" s="736"/>
      <c r="O2360" s="736"/>
      <c r="P2360" s="738">
        <f t="shared" si="745"/>
        <v>0</v>
      </c>
      <c r="Q2360" s="738"/>
      <c r="R2360" s="738"/>
      <c r="S2360" s="738">
        <v>18000</v>
      </c>
      <c r="T2360" s="739">
        <v>1100121</v>
      </c>
      <c r="U2360" s="920"/>
      <c r="V2360" s="739">
        <v>1100122</v>
      </c>
    </row>
    <row r="2361" spans="1:22" ht="15" x14ac:dyDescent="0.2">
      <c r="A2361" s="739">
        <v>2121</v>
      </c>
      <c r="B2361" s="743" t="s">
        <v>24</v>
      </c>
      <c r="C2361" s="736">
        <v>1888.6</v>
      </c>
      <c r="D2361" s="736"/>
      <c r="E2361" s="749"/>
      <c r="F2361" s="736"/>
      <c r="G2361" s="736"/>
      <c r="H2361" s="736"/>
      <c r="I2361" s="736"/>
      <c r="J2361" s="736"/>
      <c r="K2361" s="736"/>
      <c r="L2361" s="736"/>
      <c r="M2361" s="736">
        <f t="shared" si="744"/>
        <v>0</v>
      </c>
      <c r="N2361" s="736"/>
      <c r="O2361" s="736"/>
      <c r="P2361" s="738">
        <f t="shared" si="745"/>
        <v>0</v>
      </c>
      <c r="Q2361" s="738"/>
      <c r="R2361" s="738">
        <v>4386</v>
      </c>
      <c r="S2361" s="738"/>
      <c r="T2361" s="739"/>
      <c r="U2361" s="745"/>
      <c r="V2361" s="739"/>
    </row>
    <row r="2362" spans="1:22" ht="15" x14ac:dyDescent="0.2">
      <c r="A2362" s="734">
        <v>2121</v>
      </c>
      <c r="B2362" s="735" t="s">
        <v>24</v>
      </c>
      <c r="C2362" s="736">
        <v>5520</v>
      </c>
      <c r="D2362" s="736">
        <v>6000</v>
      </c>
      <c r="E2362" s="749">
        <v>4200</v>
      </c>
      <c r="F2362" s="736">
        <v>3851</v>
      </c>
      <c r="G2362" s="752">
        <v>6000</v>
      </c>
      <c r="H2362" s="752"/>
      <c r="I2362" s="752"/>
      <c r="J2362" s="736">
        <f t="shared" ref="J2362:J2364" si="747">G2362+H2362-I2362</f>
        <v>6000</v>
      </c>
      <c r="K2362" s="752"/>
      <c r="L2362" s="752"/>
      <c r="M2362" s="736">
        <f t="shared" si="744"/>
        <v>6000</v>
      </c>
      <c r="N2362" s="736"/>
      <c r="O2362" s="736"/>
      <c r="P2362" s="736">
        <f t="shared" si="745"/>
        <v>6000</v>
      </c>
      <c r="Q2362" s="753">
        <v>4686</v>
      </c>
      <c r="R2362" s="738"/>
      <c r="S2362" s="753">
        <v>8000</v>
      </c>
      <c r="T2362" s="739">
        <v>1100121</v>
      </c>
      <c r="U2362" s="754">
        <v>8000</v>
      </c>
      <c r="V2362" s="741">
        <v>1100122</v>
      </c>
    </row>
    <row r="2363" spans="1:22" ht="15" x14ac:dyDescent="0.2">
      <c r="A2363" s="734">
        <v>2161</v>
      </c>
      <c r="B2363" s="735" t="s">
        <v>59</v>
      </c>
      <c r="C2363" s="736">
        <v>4232.32</v>
      </c>
      <c r="D2363" s="736">
        <v>10000</v>
      </c>
      <c r="E2363" s="749">
        <v>10000</v>
      </c>
      <c r="F2363" s="736">
        <v>8220.41</v>
      </c>
      <c r="G2363" s="752">
        <v>10000</v>
      </c>
      <c r="H2363" s="896"/>
      <c r="I2363" s="752"/>
      <c r="J2363" s="736">
        <f t="shared" si="747"/>
        <v>10000</v>
      </c>
      <c r="K2363" s="896">
        <v>137800</v>
      </c>
      <c r="L2363" s="752"/>
      <c r="M2363" s="736">
        <f t="shared" si="744"/>
        <v>147800</v>
      </c>
      <c r="N2363" s="736"/>
      <c r="O2363" s="736"/>
      <c r="P2363" s="736">
        <f t="shared" si="745"/>
        <v>147800</v>
      </c>
      <c r="Q2363" s="753">
        <v>147800</v>
      </c>
      <c r="R2363" s="738">
        <v>38412.480000000003</v>
      </c>
      <c r="S2363" s="753">
        <v>50000</v>
      </c>
      <c r="T2363" s="739">
        <v>1100121</v>
      </c>
      <c r="U2363" s="740">
        <v>50000</v>
      </c>
      <c r="V2363" s="741">
        <v>1100122</v>
      </c>
    </row>
    <row r="2364" spans="1:22" ht="15" x14ac:dyDescent="0.2">
      <c r="A2364" s="734">
        <v>2491</v>
      </c>
      <c r="B2364" s="735" t="s">
        <v>41</v>
      </c>
      <c r="C2364" s="736">
        <v>13614.45</v>
      </c>
      <c r="D2364" s="736">
        <v>5000</v>
      </c>
      <c r="E2364" s="749">
        <v>5000</v>
      </c>
      <c r="F2364" s="736">
        <v>4778.71</v>
      </c>
      <c r="G2364" s="752">
        <v>3000</v>
      </c>
      <c r="H2364" s="896"/>
      <c r="I2364" s="752"/>
      <c r="J2364" s="736">
        <f t="shared" si="747"/>
        <v>3000</v>
      </c>
      <c r="K2364" s="896">
        <v>4400</v>
      </c>
      <c r="L2364" s="752"/>
      <c r="M2364" s="736">
        <f t="shared" si="744"/>
        <v>7400</v>
      </c>
      <c r="N2364" s="736"/>
      <c r="O2364" s="736"/>
      <c r="P2364" s="736">
        <f t="shared" si="745"/>
        <v>7400</v>
      </c>
      <c r="Q2364" s="753">
        <v>7400</v>
      </c>
      <c r="R2364" s="738">
        <v>1711</v>
      </c>
      <c r="S2364" s="753">
        <v>5000</v>
      </c>
      <c r="T2364" s="739">
        <v>1100121</v>
      </c>
      <c r="U2364" s="740">
        <v>5000</v>
      </c>
      <c r="V2364" s="741">
        <v>1100122</v>
      </c>
    </row>
    <row r="2365" spans="1:22" ht="15" x14ac:dyDescent="0.2">
      <c r="A2365" s="739">
        <v>2711</v>
      </c>
      <c r="B2365" s="743" t="s">
        <v>27</v>
      </c>
      <c r="C2365" s="736"/>
      <c r="D2365" s="736"/>
      <c r="E2365" s="749"/>
      <c r="F2365" s="736"/>
      <c r="G2365" s="752"/>
      <c r="H2365" s="896"/>
      <c r="I2365" s="752"/>
      <c r="J2365" s="736"/>
      <c r="K2365" s="896"/>
      <c r="L2365" s="752"/>
      <c r="M2365" s="736"/>
      <c r="N2365" s="736"/>
      <c r="O2365" s="736"/>
      <c r="P2365" s="736"/>
      <c r="Q2365" s="753"/>
      <c r="R2365" s="738"/>
      <c r="S2365" s="753">
        <v>5000</v>
      </c>
      <c r="T2365" s="739"/>
      <c r="U2365" s="744"/>
      <c r="V2365" s="739"/>
    </row>
    <row r="2366" spans="1:22" ht="15" x14ac:dyDescent="0.2">
      <c r="A2366" s="734">
        <v>3141</v>
      </c>
      <c r="B2366" s="735" t="s">
        <v>48</v>
      </c>
      <c r="C2366" s="736">
        <v>8920.7199999999993</v>
      </c>
      <c r="D2366" s="736">
        <v>9000</v>
      </c>
      <c r="E2366" s="749">
        <v>9000</v>
      </c>
      <c r="F2366" s="736">
        <v>7291.35</v>
      </c>
      <c r="G2366" s="752">
        <v>10000</v>
      </c>
      <c r="H2366" s="752"/>
      <c r="I2366" s="752"/>
      <c r="J2366" s="736">
        <f t="shared" ref="J2366:J2368" si="748">G2366+H2366-I2366</f>
        <v>10000</v>
      </c>
      <c r="K2366" s="752"/>
      <c r="L2366" s="752"/>
      <c r="M2366" s="736">
        <f t="shared" ref="M2366:M2368" si="749">J2366+K2366-L2366</f>
        <v>10000</v>
      </c>
      <c r="N2366" s="736"/>
      <c r="O2366" s="736"/>
      <c r="P2366" s="736">
        <f t="shared" ref="P2366:P2368" si="750">M2366+N2366-O2366</f>
        <v>10000</v>
      </c>
      <c r="Q2366" s="753">
        <v>10000</v>
      </c>
      <c r="R2366" s="738">
        <v>5967.45</v>
      </c>
      <c r="S2366" s="753">
        <v>10000</v>
      </c>
      <c r="T2366" s="739">
        <v>1100121</v>
      </c>
      <c r="U2366" s="746">
        <v>10000</v>
      </c>
      <c r="V2366" s="741">
        <v>1100122</v>
      </c>
    </row>
    <row r="2367" spans="1:22" ht="15" x14ac:dyDescent="0.2">
      <c r="A2367" s="734">
        <v>3151</v>
      </c>
      <c r="B2367" s="735" t="s">
        <v>28</v>
      </c>
      <c r="C2367" s="736">
        <v>3066.47</v>
      </c>
      <c r="D2367" s="736">
        <v>4000</v>
      </c>
      <c r="E2367" s="749">
        <v>4000</v>
      </c>
      <c r="F2367" s="736">
        <v>3747.06</v>
      </c>
      <c r="G2367" s="752">
        <v>4000</v>
      </c>
      <c r="H2367" s="752"/>
      <c r="I2367" s="752"/>
      <c r="J2367" s="736">
        <f t="shared" si="748"/>
        <v>4000</v>
      </c>
      <c r="K2367" s="752"/>
      <c r="L2367" s="752"/>
      <c r="M2367" s="736">
        <f t="shared" si="749"/>
        <v>4000</v>
      </c>
      <c r="N2367" s="736"/>
      <c r="O2367" s="736"/>
      <c r="P2367" s="736">
        <f t="shared" si="750"/>
        <v>4000</v>
      </c>
      <c r="Q2367" s="753">
        <v>4000</v>
      </c>
      <c r="R2367" s="738">
        <v>2813.01</v>
      </c>
      <c r="S2367" s="753">
        <v>5000</v>
      </c>
      <c r="T2367" s="739">
        <v>1100121</v>
      </c>
      <c r="U2367" s="746">
        <v>5000</v>
      </c>
      <c r="V2367" s="741">
        <v>1100122</v>
      </c>
    </row>
    <row r="2368" spans="1:22" ht="30" x14ac:dyDescent="0.2">
      <c r="A2368" s="734">
        <v>3361</v>
      </c>
      <c r="B2368" s="735" t="s">
        <v>29</v>
      </c>
      <c r="C2368" s="736"/>
      <c r="D2368" s="736">
        <v>5000</v>
      </c>
      <c r="E2368" s="749">
        <v>5000</v>
      </c>
      <c r="F2368" s="736">
        <v>0</v>
      </c>
      <c r="G2368" s="752">
        <v>5000</v>
      </c>
      <c r="H2368" s="752"/>
      <c r="I2368" s="752"/>
      <c r="J2368" s="736">
        <f t="shared" si="748"/>
        <v>5000</v>
      </c>
      <c r="K2368" s="752"/>
      <c r="L2368" s="752"/>
      <c r="M2368" s="736">
        <f t="shared" si="749"/>
        <v>5000</v>
      </c>
      <c r="N2368" s="736"/>
      <c r="O2368" s="736"/>
      <c r="P2368" s="736">
        <f t="shared" si="750"/>
        <v>5000</v>
      </c>
      <c r="Q2368" s="753">
        <v>5000</v>
      </c>
      <c r="R2368" s="738"/>
      <c r="S2368" s="753">
        <v>10000</v>
      </c>
      <c r="T2368" s="739">
        <v>1100121</v>
      </c>
      <c r="U2368" s="754">
        <v>5000</v>
      </c>
      <c r="V2368" s="741">
        <v>1100122</v>
      </c>
    </row>
    <row r="2369" spans="1:22" ht="15" x14ac:dyDescent="0.2">
      <c r="A2369" s="739">
        <v>3511</v>
      </c>
      <c r="B2369" s="743" t="s">
        <v>49</v>
      </c>
      <c r="C2369" s="736"/>
      <c r="D2369" s="736"/>
      <c r="E2369" s="749"/>
      <c r="F2369" s="736"/>
      <c r="G2369" s="752"/>
      <c r="H2369" s="752"/>
      <c r="I2369" s="752"/>
      <c r="J2369" s="736"/>
      <c r="K2369" s="752"/>
      <c r="L2369" s="752"/>
      <c r="M2369" s="736"/>
      <c r="N2369" s="736"/>
      <c r="O2369" s="736"/>
      <c r="P2369" s="736"/>
      <c r="Q2369" s="753"/>
      <c r="R2369" s="738"/>
      <c r="S2369" s="914">
        <v>250000</v>
      </c>
      <c r="T2369" s="739"/>
      <c r="U2369" s="841">
        <v>0</v>
      </c>
      <c r="V2369" s="739"/>
    </row>
    <row r="2370" spans="1:22" ht="15" x14ac:dyDescent="0.2">
      <c r="A2370" s="739">
        <v>3581</v>
      </c>
      <c r="B2370" s="743" t="s">
        <v>153</v>
      </c>
      <c r="C2370" s="736">
        <v>593040</v>
      </c>
      <c r="D2370" s="736">
        <v>748800</v>
      </c>
      <c r="E2370" s="749">
        <v>598542.78</v>
      </c>
      <c r="F2370" s="736">
        <v>598542.78</v>
      </c>
      <c r="G2370" s="752">
        <v>632129.72</v>
      </c>
      <c r="H2370" s="752"/>
      <c r="I2370" s="896"/>
      <c r="J2370" s="736">
        <f t="shared" ref="J2370:J2373" si="751">G2370+H2370-I2370</f>
        <v>632129.72</v>
      </c>
      <c r="K2370" s="752"/>
      <c r="L2370" s="896">
        <v>480175.46</v>
      </c>
      <c r="M2370" s="736">
        <f t="shared" ref="M2370:M2373" si="752">J2370+K2370-L2370</f>
        <v>151954.25999999995</v>
      </c>
      <c r="N2370" s="736"/>
      <c r="O2370" s="736"/>
      <c r="P2370" s="736">
        <f t="shared" ref="P2370:P2373" si="753">M2370+N2370-O2370</f>
        <v>151954.25999999995</v>
      </c>
      <c r="Q2370" s="753">
        <v>151954.26</v>
      </c>
      <c r="R2370" s="738">
        <v>151954.26</v>
      </c>
      <c r="S2370" s="753"/>
      <c r="T2370" s="739">
        <v>1100121</v>
      </c>
      <c r="U2370" s="745"/>
      <c r="V2370" s="739">
        <v>1100122</v>
      </c>
    </row>
    <row r="2371" spans="1:22" ht="15" x14ac:dyDescent="0.2">
      <c r="A2371" s="739">
        <v>3611</v>
      </c>
      <c r="B2371" s="743" t="s">
        <v>66</v>
      </c>
      <c r="C2371" s="736">
        <v>152168.79999999999</v>
      </c>
      <c r="D2371" s="736">
        <v>80000</v>
      </c>
      <c r="E2371" s="749">
        <v>80000</v>
      </c>
      <c r="F2371" s="736">
        <v>67059.600000000006</v>
      </c>
      <c r="G2371" s="752">
        <v>80000</v>
      </c>
      <c r="H2371" s="752"/>
      <c r="I2371" s="752"/>
      <c r="J2371" s="736">
        <f t="shared" si="751"/>
        <v>80000</v>
      </c>
      <c r="K2371" s="752"/>
      <c r="L2371" s="752"/>
      <c r="M2371" s="736">
        <f t="shared" si="752"/>
        <v>80000</v>
      </c>
      <c r="N2371" s="736"/>
      <c r="O2371" s="736"/>
      <c r="P2371" s="736">
        <f t="shared" si="753"/>
        <v>80000</v>
      </c>
      <c r="Q2371" s="753">
        <v>80000</v>
      </c>
      <c r="R2371" s="738"/>
      <c r="S2371" s="753">
        <v>30000</v>
      </c>
      <c r="T2371" s="739">
        <v>1100121</v>
      </c>
      <c r="U2371" s="744"/>
      <c r="V2371" s="739">
        <v>1100122</v>
      </c>
    </row>
    <row r="2372" spans="1:22" ht="15" x14ac:dyDescent="0.2">
      <c r="A2372" s="734">
        <v>3852</v>
      </c>
      <c r="B2372" s="735" t="s">
        <v>32</v>
      </c>
      <c r="C2372" s="736">
        <v>9859.17</v>
      </c>
      <c r="D2372" s="736">
        <v>15000</v>
      </c>
      <c r="E2372" s="749">
        <v>15000</v>
      </c>
      <c r="F2372" s="736">
        <v>11496.3</v>
      </c>
      <c r="G2372" s="752">
        <v>15000</v>
      </c>
      <c r="H2372" s="752"/>
      <c r="I2372" s="752"/>
      <c r="J2372" s="736">
        <f t="shared" si="751"/>
        <v>15000</v>
      </c>
      <c r="K2372" s="752"/>
      <c r="L2372" s="752"/>
      <c r="M2372" s="736">
        <f t="shared" si="752"/>
        <v>15000</v>
      </c>
      <c r="N2372" s="736"/>
      <c r="O2372" s="736"/>
      <c r="P2372" s="736">
        <f t="shared" si="753"/>
        <v>15000</v>
      </c>
      <c r="Q2372" s="753">
        <v>15000</v>
      </c>
      <c r="R2372" s="738">
        <v>7723.82</v>
      </c>
      <c r="S2372" s="753">
        <v>15000</v>
      </c>
      <c r="T2372" s="739">
        <v>1100121</v>
      </c>
      <c r="U2372" s="740">
        <v>15000</v>
      </c>
      <c r="V2372" s="741">
        <v>1100122</v>
      </c>
    </row>
    <row r="2373" spans="1:22" ht="15" x14ac:dyDescent="0.2">
      <c r="A2373" s="739">
        <v>3921</v>
      </c>
      <c r="B2373" s="806" t="s">
        <v>33</v>
      </c>
      <c r="C2373" s="736"/>
      <c r="D2373" s="736"/>
      <c r="E2373" s="749"/>
      <c r="F2373" s="736"/>
      <c r="G2373" s="752">
        <v>40502</v>
      </c>
      <c r="H2373" s="752"/>
      <c r="I2373" s="752"/>
      <c r="J2373" s="736">
        <f t="shared" si="751"/>
        <v>40502</v>
      </c>
      <c r="K2373" s="752"/>
      <c r="L2373" s="752"/>
      <c r="M2373" s="736">
        <f t="shared" si="752"/>
        <v>40502</v>
      </c>
      <c r="N2373" s="736"/>
      <c r="O2373" s="736"/>
      <c r="P2373" s="736">
        <f t="shared" si="753"/>
        <v>40502</v>
      </c>
      <c r="Q2373" s="753">
        <v>40502</v>
      </c>
      <c r="R2373" s="738"/>
      <c r="S2373" s="753">
        <v>15000</v>
      </c>
      <c r="T2373" s="739">
        <v>1100121</v>
      </c>
      <c r="U2373" s="744"/>
      <c r="V2373" s="739">
        <v>1100122</v>
      </c>
    </row>
    <row r="2374" spans="1:22" ht="15" x14ac:dyDescent="0.2">
      <c r="A2374" s="739">
        <v>3921</v>
      </c>
      <c r="B2374" s="806" t="s">
        <v>33</v>
      </c>
      <c r="C2374" s="736"/>
      <c r="D2374" s="736"/>
      <c r="E2374" s="749"/>
      <c r="F2374" s="736"/>
      <c r="G2374" s="752"/>
      <c r="H2374" s="752"/>
      <c r="I2374" s="752"/>
      <c r="J2374" s="736"/>
      <c r="K2374" s="752"/>
      <c r="L2374" s="752"/>
      <c r="M2374" s="736"/>
      <c r="N2374" s="736"/>
      <c r="O2374" s="736"/>
      <c r="P2374" s="736"/>
      <c r="Q2374" s="753"/>
      <c r="R2374" s="738"/>
      <c r="S2374" s="753">
        <v>48490.559999999998</v>
      </c>
      <c r="T2374" s="739"/>
      <c r="U2374" s="744"/>
      <c r="V2374" s="739"/>
    </row>
    <row r="2375" spans="1:22" ht="15" x14ac:dyDescent="0.2">
      <c r="A2375" s="739">
        <v>5111</v>
      </c>
      <c r="B2375" s="743" t="s">
        <v>35</v>
      </c>
      <c r="C2375" s="736"/>
      <c r="D2375" s="736">
        <v>25000</v>
      </c>
      <c r="E2375" s="749">
        <v>10000</v>
      </c>
      <c r="F2375" s="736">
        <v>0</v>
      </c>
      <c r="G2375" s="752"/>
      <c r="H2375" s="752"/>
      <c r="I2375" s="752"/>
      <c r="J2375" s="736">
        <f>G2375+H2375-I2375</f>
        <v>0</v>
      </c>
      <c r="K2375" s="752"/>
      <c r="L2375" s="752"/>
      <c r="M2375" s="736">
        <f>J2375+K2375-L2375</f>
        <v>0</v>
      </c>
      <c r="N2375" s="736"/>
      <c r="O2375" s="736"/>
      <c r="P2375" s="738">
        <f>M2375+N2375-O2375</f>
        <v>0</v>
      </c>
      <c r="Q2375" s="753"/>
      <c r="R2375" s="738"/>
      <c r="S2375" s="753">
        <v>50000</v>
      </c>
      <c r="T2375" s="739">
        <v>1100121</v>
      </c>
      <c r="U2375" s="920"/>
      <c r="V2375" s="739">
        <v>1100122</v>
      </c>
    </row>
    <row r="2376" spans="1:22" ht="15" x14ac:dyDescent="0.2">
      <c r="A2376" s="739">
        <v>5151</v>
      </c>
      <c r="B2376" s="743" t="s">
        <v>1681</v>
      </c>
      <c r="C2376" s="736"/>
      <c r="D2376" s="736"/>
      <c r="E2376" s="749"/>
      <c r="F2376" s="736"/>
      <c r="G2376" s="752"/>
      <c r="H2376" s="752"/>
      <c r="I2376" s="752"/>
      <c r="J2376" s="736"/>
      <c r="K2376" s="752"/>
      <c r="L2376" s="752"/>
      <c r="M2376" s="736"/>
      <c r="N2376" s="736"/>
      <c r="O2376" s="736"/>
      <c r="P2376" s="738"/>
      <c r="Q2376" s="753"/>
      <c r="R2376" s="738"/>
      <c r="S2376" s="753"/>
      <c r="T2376" s="739"/>
      <c r="U2376" s="745"/>
      <c r="V2376" s="739"/>
    </row>
    <row r="2377" spans="1:22" ht="15" x14ac:dyDescent="0.2">
      <c r="A2377" s="739">
        <v>5691</v>
      </c>
      <c r="B2377" s="743" t="s">
        <v>112</v>
      </c>
      <c r="C2377" s="736"/>
      <c r="D2377" s="736"/>
      <c r="E2377" s="749"/>
      <c r="F2377" s="736"/>
      <c r="G2377" s="752"/>
      <c r="H2377" s="896"/>
      <c r="I2377" s="752"/>
      <c r="J2377" s="736">
        <f>G2377+H2377-I2377</f>
        <v>0</v>
      </c>
      <c r="K2377" s="896">
        <v>60000</v>
      </c>
      <c r="L2377" s="752"/>
      <c r="M2377" s="736">
        <f>J2377+K2377-L2377</f>
        <v>60000</v>
      </c>
      <c r="N2377" s="736"/>
      <c r="O2377" s="736"/>
      <c r="P2377" s="736">
        <f>M2377+N2377-O2377</f>
        <v>60000</v>
      </c>
      <c r="Q2377" s="753">
        <v>60000</v>
      </c>
      <c r="R2377" s="738">
        <v>59976.78</v>
      </c>
      <c r="S2377" s="753"/>
      <c r="T2377" s="739">
        <v>1100121</v>
      </c>
      <c r="U2377" s="745"/>
      <c r="V2377" s="739">
        <v>1100122</v>
      </c>
    </row>
    <row r="2378" spans="1:22" ht="15" x14ac:dyDescent="0.2">
      <c r="A2378" s="728" t="s">
        <v>304</v>
      </c>
      <c r="B2378" s="729" t="s">
        <v>1588</v>
      </c>
      <c r="C2378" s="730">
        <f t="shared" ref="C2378:S2378" si="754">SUM(C2379:C2418)</f>
        <v>70712356.910000011</v>
      </c>
      <c r="D2378" s="730">
        <f t="shared" si="754"/>
        <v>70394565.689999998</v>
      </c>
      <c r="E2378" s="730">
        <f t="shared" si="754"/>
        <v>73585466.430000007</v>
      </c>
      <c r="F2378" s="730">
        <f t="shared" si="754"/>
        <v>73883499.150000006</v>
      </c>
      <c r="G2378" s="730">
        <f t="shared" si="754"/>
        <v>68152799.799999997</v>
      </c>
      <c r="H2378" s="730">
        <f t="shared" si="754"/>
        <v>6897000</v>
      </c>
      <c r="I2378" s="730">
        <f t="shared" si="754"/>
        <v>2300000</v>
      </c>
      <c r="J2378" s="730">
        <f t="shared" si="754"/>
        <v>72749799.799999997</v>
      </c>
      <c r="K2378" s="730">
        <f t="shared" si="754"/>
        <v>2190771.0699999998</v>
      </c>
      <c r="L2378" s="730">
        <f t="shared" si="754"/>
        <v>1426339.17</v>
      </c>
      <c r="M2378" s="730">
        <f t="shared" si="754"/>
        <v>73514231.700000003</v>
      </c>
      <c r="N2378" s="730">
        <f t="shared" si="754"/>
        <v>4281193.7900000811</v>
      </c>
      <c r="O2378" s="730">
        <f t="shared" si="754"/>
        <v>1086851.7900000811</v>
      </c>
      <c r="P2378" s="730">
        <f t="shared" si="754"/>
        <v>76708573.700000003</v>
      </c>
      <c r="Q2378" s="748">
        <f t="shared" si="754"/>
        <v>76703670.170000002</v>
      </c>
      <c r="R2378" s="748">
        <f t="shared" si="754"/>
        <v>58672924.640000001</v>
      </c>
      <c r="S2378" s="748">
        <f t="shared" si="754"/>
        <v>86898328.189999998</v>
      </c>
      <c r="T2378" s="731"/>
      <c r="U2378" s="732">
        <f>SUM(U2379:U2418)</f>
        <v>70599778.650000006</v>
      </c>
      <c r="V2378" s="733"/>
    </row>
    <row r="2379" spans="1:22" ht="15" x14ac:dyDescent="0.25">
      <c r="A2379" s="734">
        <v>1131</v>
      </c>
      <c r="B2379" s="735" t="s">
        <v>6</v>
      </c>
      <c r="C2379" s="736">
        <v>7698577.4000000004</v>
      </c>
      <c r="D2379" s="736">
        <v>7977038.1600000001</v>
      </c>
      <c r="E2379" s="749">
        <v>7888734.5199999996</v>
      </c>
      <c r="F2379" s="736">
        <v>8781137.8300000001</v>
      </c>
      <c r="G2379" s="736">
        <v>8313674.0999999996</v>
      </c>
      <c r="H2379" s="736"/>
      <c r="I2379" s="736"/>
      <c r="J2379" s="736">
        <f t="shared" ref="J2379:J2409" si="755">G2379+H2379-I2379</f>
        <v>8313674.0999999996</v>
      </c>
      <c r="K2379" s="737">
        <v>287511.81</v>
      </c>
      <c r="L2379" s="736"/>
      <c r="M2379" s="736">
        <f t="shared" ref="M2379:M2409" si="756">J2379+K2379-L2379</f>
        <v>8601185.9100000001</v>
      </c>
      <c r="N2379" s="736"/>
      <c r="O2379" s="736"/>
      <c r="P2379" s="736">
        <f t="shared" ref="P2379:P2412" si="757">M2379+N2379-O2379</f>
        <v>8601185.9100000001</v>
      </c>
      <c r="Q2379" s="738">
        <v>8476837.0500000007</v>
      </c>
      <c r="R2379" s="738">
        <v>6098240.3399999999</v>
      </c>
      <c r="S2379" s="751">
        <v>8746559.6400000006</v>
      </c>
      <c r="T2379" s="739">
        <v>1500521</v>
      </c>
      <c r="U2379" s="779">
        <v>8713751.2200000007</v>
      </c>
      <c r="V2379" s="741">
        <v>1500522</v>
      </c>
    </row>
    <row r="2380" spans="1:22" ht="15" x14ac:dyDescent="0.25">
      <c r="A2380" s="734">
        <v>1132</v>
      </c>
      <c r="B2380" s="735" t="s">
        <v>8</v>
      </c>
      <c r="C2380" s="736">
        <v>34989.79</v>
      </c>
      <c r="D2380" s="736">
        <v>35060.480000000003</v>
      </c>
      <c r="E2380" s="749">
        <v>35060.480000000003</v>
      </c>
      <c r="F2380" s="736">
        <v>36828.17</v>
      </c>
      <c r="G2380" s="736"/>
      <c r="H2380" s="736"/>
      <c r="I2380" s="736"/>
      <c r="J2380" s="736">
        <f t="shared" si="755"/>
        <v>0</v>
      </c>
      <c r="K2380" s="737">
        <v>40000</v>
      </c>
      <c r="L2380" s="736"/>
      <c r="M2380" s="736">
        <f t="shared" si="756"/>
        <v>40000</v>
      </c>
      <c r="N2380" s="736"/>
      <c r="O2380" s="736"/>
      <c r="P2380" s="736">
        <f t="shared" si="757"/>
        <v>40000</v>
      </c>
      <c r="Q2380" s="738">
        <v>40000</v>
      </c>
      <c r="R2380" s="738">
        <v>19151.78</v>
      </c>
      <c r="S2380" s="751">
        <v>43305.08</v>
      </c>
      <c r="T2380" s="739">
        <v>1500521</v>
      </c>
      <c r="U2380" s="779">
        <v>31065.65</v>
      </c>
      <c r="V2380" s="741">
        <v>1500522</v>
      </c>
    </row>
    <row r="2381" spans="1:22" ht="15" x14ac:dyDescent="0.25">
      <c r="A2381" s="734">
        <v>1212</v>
      </c>
      <c r="B2381" s="735" t="s">
        <v>53</v>
      </c>
      <c r="C2381" s="736">
        <v>214050.99</v>
      </c>
      <c r="D2381" s="736">
        <v>524588.4</v>
      </c>
      <c r="E2381" s="749">
        <v>866483.77</v>
      </c>
      <c r="F2381" s="736">
        <v>839454.32</v>
      </c>
      <c r="G2381" s="736">
        <v>908272.8</v>
      </c>
      <c r="H2381" s="736"/>
      <c r="I2381" s="736"/>
      <c r="J2381" s="736">
        <f t="shared" si="755"/>
        <v>908272.8</v>
      </c>
      <c r="K2381" s="736"/>
      <c r="L2381" s="736">
        <v>170095.68</v>
      </c>
      <c r="M2381" s="736">
        <f t="shared" si="756"/>
        <v>738177.12000000011</v>
      </c>
      <c r="N2381" s="736"/>
      <c r="O2381" s="736"/>
      <c r="P2381" s="736">
        <f t="shared" si="757"/>
        <v>738177.12000000011</v>
      </c>
      <c r="Q2381" s="738">
        <v>738177.12</v>
      </c>
      <c r="R2381" s="738">
        <v>487067.51</v>
      </c>
      <c r="S2381" s="751">
        <v>710618.4</v>
      </c>
      <c r="T2381" s="739">
        <v>1500521</v>
      </c>
      <c r="U2381" s="779">
        <v>661860.84</v>
      </c>
      <c r="V2381" s="741">
        <v>1500522</v>
      </c>
    </row>
    <row r="2382" spans="1:22" ht="15" x14ac:dyDescent="0.25">
      <c r="A2382" s="734">
        <v>1321</v>
      </c>
      <c r="B2382" s="735" t="s">
        <v>9</v>
      </c>
      <c r="C2382" s="736">
        <v>654197.52</v>
      </c>
      <c r="D2382" s="736">
        <v>707877.47</v>
      </c>
      <c r="E2382" s="749">
        <v>682551.47</v>
      </c>
      <c r="F2382" s="736">
        <v>679879.49</v>
      </c>
      <c r="G2382" s="736">
        <v>712365.2</v>
      </c>
      <c r="H2382" s="736"/>
      <c r="I2382" s="736"/>
      <c r="J2382" s="736">
        <f t="shared" si="755"/>
        <v>712365.2</v>
      </c>
      <c r="K2382" s="737">
        <v>37601.74</v>
      </c>
      <c r="L2382" s="736"/>
      <c r="M2382" s="736">
        <f t="shared" si="756"/>
        <v>749966.94</v>
      </c>
      <c r="N2382" s="736"/>
      <c r="O2382" s="736"/>
      <c r="P2382" s="736">
        <f t="shared" si="757"/>
        <v>749966.94</v>
      </c>
      <c r="Q2382" s="738">
        <v>749966.94</v>
      </c>
      <c r="R2382" s="738">
        <v>359409.18</v>
      </c>
      <c r="S2382" s="751">
        <v>784501.39</v>
      </c>
      <c r="T2382" s="739">
        <v>1500521</v>
      </c>
      <c r="U2382" s="779">
        <v>724849.36</v>
      </c>
      <c r="V2382" s="741">
        <v>1500522</v>
      </c>
    </row>
    <row r="2383" spans="1:22" ht="15" x14ac:dyDescent="0.25">
      <c r="A2383" s="734">
        <v>1323</v>
      </c>
      <c r="B2383" s="735" t="s">
        <v>11</v>
      </c>
      <c r="C2383" s="736">
        <v>1851820.36</v>
      </c>
      <c r="D2383" s="736">
        <v>1984407.35</v>
      </c>
      <c r="E2383" s="749">
        <v>1985114.56</v>
      </c>
      <c r="F2383" s="736">
        <v>1967033.59</v>
      </c>
      <c r="G2383" s="736">
        <v>2000426.2000000002</v>
      </c>
      <c r="H2383" s="736"/>
      <c r="I2383" s="736"/>
      <c r="J2383" s="736">
        <f t="shared" si="755"/>
        <v>2000426.2000000002</v>
      </c>
      <c r="K2383" s="737">
        <v>123373.44</v>
      </c>
      <c r="L2383" s="736"/>
      <c r="M2383" s="736">
        <f t="shared" si="756"/>
        <v>2123799.64</v>
      </c>
      <c r="N2383" s="736"/>
      <c r="O2383" s="736"/>
      <c r="P2383" s="736">
        <f t="shared" si="757"/>
        <v>2123799.64</v>
      </c>
      <c r="Q2383" s="738">
        <v>2123799.64</v>
      </c>
      <c r="R2383" s="738">
        <v>1534767.59</v>
      </c>
      <c r="S2383" s="751">
        <v>2195261.6</v>
      </c>
      <c r="T2383" s="739">
        <v>1500521</v>
      </c>
      <c r="U2383" s="779">
        <v>2088462.24</v>
      </c>
      <c r="V2383" s="741">
        <v>1500522</v>
      </c>
    </row>
    <row r="2384" spans="1:22" ht="15" x14ac:dyDescent="0.25">
      <c r="A2384" s="734">
        <v>1413</v>
      </c>
      <c r="B2384" s="735" t="s">
        <v>13</v>
      </c>
      <c r="C2384" s="736">
        <v>2901275.53</v>
      </c>
      <c r="D2384" s="736">
        <v>3446499.38</v>
      </c>
      <c r="E2384" s="749">
        <v>3321205.38</v>
      </c>
      <c r="F2384" s="736">
        <v>3265056.81</v>
      </c>
      <c r="G2384" s="736">
        <v>3698496.4</v>
      </c>
      <c r="H2384" s="736"/>
      <c r="I2384" s="736"/>
      <c r="J2384" s="736">
        <f t="shared" si="755"/>
        <v>3698496.4</v>
      </c>
      <c r="K2384" s="737">
        <v>200866.92</v>
      </c>
      <c r="L2384" s="736"/>
      <c r="M2384" s="736">
        <f t="shared" si="756"/>
        <v>3899363.32</v>
      </c>
      <c r="N2384" s="736"/>
      <c r="O2384" s="736"/>
      <c r="P2384" s="736">
        <f t="shared" si="757"/>
        <v>3899363.32</v>
      </c>
      <c r="Q2384" s="738">
        <v>3813676.55</v>
      </c>
      <c r="R2384" s="738">
        <v>2617648.9700000002</v>
      </c>
      <c r="S2384" s="751">
        <v>4168768.68</v>
      </c>
      <c r="T2384" s="739">
        <v>1500521</v>
      </c>
      <c r="U2384" s="779">
        <v>3522095.33</v>
      </c>
      <c r="V2384" s="741">
        <v>1500522</v>
      </c>
    </row>
    <row r="2385" spans="1:22" ht="15" x14ac:dyDescent="0.25">
      <c r="A2385" s="734">
        <v>1421</v>
      </c>
      <c r="B2385" s="735" t="s">
        <v>15</v>
      </c>
      <c r="C2385" s="736">
        <v>827084.02</v>
      </c>
      <c r="D2385" s="736">
        <v>888809.16</v>
      </c>
      <c r="E2385" s="749">
        <v>804405.16</v>
      </c>
      <c r="F2385" s="736">
        <v>857452.56</v>
      </c>
      <c r="G2385" s="736">
        <v>915616.6</v>
      </c>
      <c r="H2385" s="736"/>
      <c r="I2385" s="736"/>
      <c r="J2385" s="736">
        <f t="shared" si="755"/>
        <v>915616.6</v>
      </c>
      <c r="K2385" s="737">
        <v>48059.65</v>
      </c>
      <c r="L2385" s="736"/>
      <c r="M2385" s="736">
        <f t="shared" si="756"/>
        <v>963676.25</v>
      </c>
      <c r="N2385" s="736"/>
      <c r="O2385" s="736"/>
      <c r="P2385" s="736">
        <f t="shared" si="757"/>
        <v>963676.25</v>
      </c>
      <c r="Q2385" s="738">
        <v>963676.25</v>
      </c>
      <c r="R2385" s="738">
        <v>599618.91</v>
      </c>
      <c r="S2385" s="751">
        <v>993197.04</v>
      </c>
      <c r="T2385" s="739">
        <v>1500521</v>
      </c>
      <c r="U2385" s="779">
        <v>1086072.7</v>
      </c>
      <c r="V2385" s="741">
        <v>1500522</v>
      </c>
    </row>
    <row r="2386" spans="1:22" ht="15" x14ac:dyDescent="0.25">
      <c r="A2386" s="734">
        <v>1431</v>
      </c>
      <c r="B2386" s="735" t="s">
        <v>16</v>
      </c>
      <c r="C2386" s="736">
        <v>871488.63</v>
      </c>
      <c r="D2386" s="736">
        <v>915472.94</v>
      </c>
      <c r="E2386" s="749">
        <v>839613.94</v>
      </c>
      <c r="F2386" s="736">
        <v>901380.01</v>
      </c>
      <c r="G2386" s="736">
        <v>943082.79999999993</v>
      </c>
      <c r="H2386" s="736"/>
      <c r="I2386" s="736"/>
      <c r="J2386" s="736">
        <f t="shared" si="755"/>
        <v>943082.79999999993</v>
      </c>
      <c r="K2386" s="737">
        <v>49305.16</v>
      </c>
      <c r="L2386" s="736"/>
      <c r="M2386" s="736">
        <f t="shared" si="756"/>
        <v>992387.96</v>
      </c>
      <c r="N2386" s="736"/>
      <c r="O2386" s="736"/>
      <c r="P2386" s="736">
        <f t="shared" si="757"/>
        <v>992387.96</v>
      </c>
      <c r="Q2386" s="738">
        <v>960933.52</v>
      </c>
      <c r="R2386" s="738">
        <v>613122.75</v>
      </c>
      <c r="S2386" s="751">
        <v>1022991.72</v>
      </c>
      <c r="T2386" s="739">
        <v>1500521</v>
      </c>
      <c r="U2386" s="779">
        <v>1098414.25</v>
      </c>
      <c r="V2386" s="741">
        <v>1500522</v>
      </c>
    </row>
    <row r="2387" spans="1:22" ht="15" x14ac:dyDescent="0.25">
      <c r="A2387" s="734">
        <v>1511</v>
      </c>
      <c r="B2387" s="735" t="s">
        <v>18</v>
      </c>
      <c r="C2387" s="736">
        <v>255599.3</v>
      </c>
      <c r="D2387" s="736">
        <v>285765.48</v>
      </c>
      <c r="E2387" s="749">
        <v>275616.48</v>
      </c>
      <c r="F2387" s="736">
        <v>285932</v>
      </c>
      <c r="G2387" s="736">
        <v>285994.8</v>
      </c>
      <c r="H2387" s="736"/>
      <c r="I2387" s="736"/>
      <c r="J2387" s="736">
        <f t="shared" si="755"/>
        <v>285994.8</v>
      </c>
      <c r="K2387" s="737">
        <v>18969.080000000002</v>
      </c>
      <c r="L2387" s="736"/>
      <c r="M2387" s="736">
        <f t="shared" si="756"/>
        <v>304963.88</v>
      </c>
      <c r="N2387" s="736"/>
      <c r="O2387" s="736"/>
      <c r="P2387" s="736">
        <f t="shared" si="757"/>
        <v>304963.88</v>
      </c>
      <c r="Q2387" s="738">
        <v>304963.88</v>
      </c>
      <c r="R2387" s="738">
        <v>211780.4</v>
      </c>
      <c r="S2387" s="751">
        <v>315249.48</v>
      </c>
      <c r="T2387" s="739">
        <v>1500521</v>
      </c>
      <c r="U2387" s="779">
        <v>303455.93</v>
      </c>
      <c r="V2387" s="741">
        <v>1500522</v>
      </c>
    </row>
    <row r="2388" spans="1:22" ht="15" x14ac:dyDescent="0.25">
      <c r="A2388" s="734">
        <v>1541</v>
      </c>
      <c r="B2388" s="735" t="s">
        <v>19</v>
      </c>
      <c r="C2388" s="736">
        <v>4766220.0599999996</v>
      </c>
      <c r="D2388" s="736">
        <v>5614493.5599999996</v>
      </c>
      <c r="E2388" s="749">
        <v>6370584.9500000002</v>
      </c>
      <c r="F2388" s="736">
        <v>5512411.1500000004</v>
      </c>
      <c r="G2388" s="736">
        <v>7038090.8999999994</v>
      </c>
      <c r="H2388" s="736"/>
      <c r="I2388" s="736"/>
      <c r="J2388" s="736">
        <f t="shared" si="755"/>
        <v>7038090.8999999994</v>
      </c>
      <c r="K2388" s="737">
        <v>347420.02</v>
      </c>
      <c r="L2388" s="736"/>
      <c r="M2388" s="736">
        <f t="shared" si="756"/>
        <v>7385510.9199999999</v>
      </c>
      <c r="N2388" s="736"/>
      <c r="O2388" s="736"/>
      <c r="P2388" s="736">
        <f t="shared" si="757"/>
        <v>7385510.9199999999</v>
      </c>
      <c r="Q2388" s="738">
        <v>7224418.0899999999</v>
      </c>
      <c r="R2388" s="738">
        <v>4415725.8</v>
      </c>
      <c r="S2388" s="751">
        <v>7341689.6799999997</v>
      </c>
      <c r="T2388" s="739">
        <v>1500521</v>
      </c>
      <c r="U2388" s="779">
        <v>7315224.7999999998</v>
      </c>
      <c r="V2388" s="741">
        <v>1500522</v>
      </c>
    </row>
    <row r="2389" spans="1:22" ht="15" x14ac:dyDescent="0.25">
      <c r="A2389" s="734">
        <v>1592</v>
      </c>
      <c r="B2389" s="735" t="s">
        <v>20</v>
      </c>
      <c r="C2389" s="736">
        <v>5614237.3700000001</v>
      </c>
      <c r="D2389" s="736">
        <v>6275261.7199999997</v>
      </c>
      <c r="E2389" s="749">
        <v>6055278.4699999997</v>
      </c>
      <c r="F2389" s="736">
        <v>6279292.21</v>
      </c>
      <c r="G2389" s="736">
        <v>6272084</v>
      </c>
      <c r="H2389" s="736"/>
      <c r="I2389" s="736"/>
      <c r="J2389" s="736">
        <f t="shared" si="755"/>
        <v>6272084</v>
      </c>
      <c r="K2389" s="737">
        <v>430981.81</v>
      </c>
      <c r="L2389" s="736"/>
      <c r="M2389" s="736">
        <f t="shared" si="756"/>
        <v>6703065.8099999996</v>
      </c>
      <c r="N2389" s="736"/>
      <c r="O2389" s="736"/>
      <c r="P2389" s="736">
        <f t="shared" si="757"/>
        <v>6703065.8099999996</v>
      </c>
      <c r="Q2389" s="738">
        <v>7100745.1799999997</v>
      </c>
      <c r="R2389" s="738">
        <v>4662215.62</v>
      </c>
      <c r="S2389" s="751">
        <v>6976085.4800000004</v>
      </c>
      <c r="T2389" s="739">
        <v>1500521</v>
      </c>
      <c r="U2389" s="779">
        <v>6694688.3300000001</v>
      </c>
      <c r="V2389" s="741">
        <v>1500522</v>
      </c>
    </row>
    <row r="2390" spans="1:22" ht="15" x14ac:dyDescent="0.2">
      <c r="A2390" s="739">
        <v>2111</v>
      </c>
      <c r="B2390" s="743" t="s">
        <v>1709</v>
      </c>
      <c r="C2390" s="736">
        <v>1064.5</v>
      </c>
      <c r="D2390" s="736"/>
      <c r="E2390" s="749"/>
      <c r="F2390" s="736"/>
      <c r="G2390" s="736"/>
      <c r="H2390" s="736"/>
      <c r="I2390" s="736"/>
      <c r="J2390" s="736">
        <f t="shared" si="755"/>
        <v>0</v>
      </c>
      <c r="K2390" s="736"/>
      <c r="L2390" s="736"/>
      <c r="M2390" s="736">
        <f t="shared" si="756"/>
        <v>0</v>
      </c>
      <c r="N2390" s="736"/>
      <c r="O2390" s="736"/>
      <c r="P2390" s="738">
        <f t="shared" si="757"/>
        <v>0</v>
      </c>
      <c r="Q2390" s="738"/>
      <c r="R2390" s="738"/>
      <c r="S2390" s="738"/>
      <c r="T2390" s="739"/>
      <c r="U2390" s="745"/>
      <c r="V2390" s="739"/>
    </row>
    <row r="2391" spans="1:22" ht="15" x14ac:dyDescent="0.2">
      <c r="A2391" s="739">
        <v>2112</v>
      </c>
      <c r="B2391" s="743" t="s">
        <v>39</v>
      </c>
      <c r="C2391" s="736">
        <v>21484.53</v>
      </c>
      <c r="D2391" s="736"/>
      <c r="E2391" s="749"/>
      <c r="F2391" s="736"/>
      <c r="G2391" s="736"/>
      <c r="H2391" s="736"/>
      <c r="I2391" s="736"/>
      <c r="J2391" s="736">
        <f t="shared" si="755"/>
        <v>0</v>
      </c>
      <c r="K2391" s="736"/>
      <c r="L2391" s="736"/>
      <c r="M2391" s="736">
        <f t="shared" si="756"/>
        <v>0</v>
      </c>
      <c r="N2391" s="736"/>
      <c r="O2391" s="736"/>
      <c r="P2391" s="738">
        <f t="shared" si="757"/>
        <v>0</v>
      </c>
      <c r="Q2391" s="738"/>
      <c r="R2391" s="738"/>
      <c r="S2391" s="738"/>
      <c r="T2391" s="739"/>
      <c r="U2391" s="921"/>
      <c r="V2391" s="739"/>
    </row>
    <row r="2392" spans="1:22" ht="15" x14ac:dyDescent="0.2">
      <c r="A2392" s="739">
        <v>2121</v>
      </c>
      <c r="B2392" s="743" t="s">
        <v>1807</v>
      </c>
      <c r="C2392" s="736">
        <v>2428.1999999999998</v>
      </c>
      <c r="D2392" s="736"/>
      <c r="E2392" s="749"/>
      <c r="F2392" s="736"/>
      <c r="G2392" s="736"/>
      <c r="H2392" s="736"/>
      <c r="I2392" s="736"/>
      <c r="J2392" s="736">
        <f t="shared" si="755"/>
        <v>0</v>
      </c>
      <c r="K2392" s="736"/>
      <c r="L2392" s="736"/>
      <c r="M2392" s="736">
        <f t="shared" si="756"/>
        <v>0</v>
      </c>
      <c r="N2392" s="736"/>
      <c r="O2392" s="736"/>
      <c r="P2392" s="738">
        <f t="shared" si="757"/>
        <v>0</v>
      </c>
      <c r="Q2392" s="738"/>
      <c r="R2392" s="738"/>
      <c r="S2392" s="738"/>
      <c r="T2392" s="739"/>
      <c r="U2392" s="745"/>
      <c r="V2392" s="739"/>
    </row>
    <row r="2393" spans="1:22" ht="15" x14ac:dyDescent="0.2">
      <c r="A2393" s="734">
        <v>2161</v>
      </c>
      <c r="B2393" s="735" t="s">
        <v>59</v>
      </c>
      <c r="C2393" s="736">
        <v>184278.9</v>
      </c>
      <c r="D2393" s="736">
        <v>220000</v>
      </c>
      <c r="E2393" s="749">
        <v>220000</v>
      </c>
      <c r="F2393" s="736">
        <v>138323.59</v>
      </c>
      <c r="G2393" s="752">
        <v>150000</v>
      </c>
      <c r="H2393" s="752"/>
      <c r="I2393" s="752"/>
      <c r="J2393" s="736">
        <f t="shared" si="755"/>
        <v>150000</v>
      </c>
      <c r="K2393" s="752"/>
      <c r="L2393" s="752"/>
      <c r="M2393" s="736">
        <f t="shared" si="756"/>
        <v>150000</v>
      </c>
      <c r="N2393" s="736"/>
      <c r="O2393" s="736"/>
      <c r="P2393" s="736">
        <f t="shared" si="757"/>
        <v>150000</v>
      </c>
      <c r="Q2393" s="753">
        <v>150000</v>
      </c>
      <c r="R2393" s="738">
        <v>84106.41</v>
      </c>
      <c r="S2393" s="753">
        <v>150000</v>
      </c>
      <c r="T2393" s="739">
        <v>1100121</v>
      </c>
      <c r="U2393" s="740">
        <v>150000</v>
      </c>
      <c r="V2393" s="741">
        <v>1100122</v>
      </c>
    </row>
    <row r="2394" spans="1:22" ht="15" x14ac:dyDescent="0.2">
      <c r="A2394" s="734">
        <v>2491</v>
      </c>
      <c r="B2394" s="735" t="s">
        <v>41</v>
      </c>
      <c r="C2394" s="736">
        <v>392895.57</v>
      </c>
      <c r="D2394" s="736">
        <v>900000</v>
      </c>
      <c r="E2394" s="749">
        <v>900000</v>
      </c>
      <c r="F2394" s="736">
        <v>606768.35</v>
      </c>
      <c r="G2394" s="752">
        <v>700000</v>
      </c>
      <c r="H2394" s="752"/>
      <c r="I2394" s="752"/>
      <c r="J2394" s="736">
        <f t="shared" si="755"/>
        <v>700000</v>
      </c>
      <c r="K2394" s="752"/>
      <c r="L2394" s="752"/>
      <c r="M2394" s="736">
        <f t="shared" si="756"/>
        <v>700000</v>
      </c>
      <c r="N2394" s="736"/>
      <c r="O2394" s="736"/>
      <c r="P2394" s="736">
        <f t="shared" si="757"/>
        <v>700000</v>
      </c>
      <c r="Q2394" s="753">
        <v>700000</v>
      </c>
      <c r="R2394" s="738">
        <v>361826.46</v>
      </c>
      <c r="S2394" s="753">
        <v>650000</v>
      </c>
      <c r="T2394" s="739">
        <v>1100121</v>
      </c>
      <c r="U2394" s="746">
        <v>600000</v>
      </c>
      <c r="V2394" s="741">
        <v>1100122</v>
      </c>
    </row>
    <row r="2395" spans="1:22" ht="15" x14ac:dyDescent="0.2">
      <c r="A2395" s="734">
        <v>2531</v>
      </c>
      <c r="B2395" s="735" t="s">
        <v>145</v>
      </c>
      <c r="C2395" s="736">
        <v>1987.85</v>
      </c>
      <c r="D2395" s="736">
        <v>2000</v>
      </c>
      <c r="E2395" s="749">
        <v>2000</v>
      </c>
      <c r="F2395" s="736">
        <v>1949.66</v>
      </c>
      <c r="G2395" s="752">
        <v>2000</v>
      </c>
      <c r="H2395" s="752"/>
      <c r="I2395" s="752"/>
      <c r="J2395" s="736">
        <f t="shared" si="755"/>
        <v>2000</v>
      </c>
      <c r="K2395" s="752"/>
      <c r="L2395" s="752"/>
      <c r="M2395" s="736">
        <f t="shared" si="756"/>
        <v>2000</v>
      </c>
      <c r="N2395" s="736"/>
      <c r="O2395" s="736"/>
      <c r="P2395" s="736">
        <f t="shared" si="757"/>
        <v>2000</v>
      </c>
      <c r="Q2395" s="753">
        <v>2000</v>
      </c>
      <c r="R2395" s="738">
        <v>1978.67</v>
      </c>
      <c r="S2395" s="753">
        <v>2000</v>
      </c>
      <c r="T2395" s="739">
        <v>1100121</v>
      </c>
      <c r="U2395" s="740">
        <v>2000</v>
      </c>
      <c r="V2395" s="741">
        <v>1100122</v>
      </c>
    </row>
    <row r="2396" spans="1:22" ht="30" x14ac:dyDescent="0.2">
      <c r="A2396" s="739">
        <v>2612</v>
      </c>
      <c r="B2396" s="743" t="s">
        <v>26</v>
      </c>
      <c r="C2396" s="736">
        <v>480740.43</v>
      </c>
      <c r="D2396" s="736">
        <v>18000000</v>
      </c>
      <c r="E2396" s="749">
        <v>16390000</v>
      </c>
      <c r="F2396" s="736">
        <v>0</v>
      </c>
      <c r="G2396" s="752"/>
      <c r="H2396" s="752"/>
      <c r="I2396" s="752"/>
      <c r="J2396" s="736">
        <f t="shared" si="755"/>
        <v>0</v>
      </c>
      <c r="K2396" s="896">
        <v>121680</v>
      </c>
      <c r="L2396" s="752"/>
      <c r="M2396" s="736">
        <f t="shared" si="756"/>
        <v>121680</v>
      </c>
      <c r="N2396" s="736"/>
      <c r="O2396" s="736"/>
      <c r="P2396" s="736">
        <f t="shared" si="757"/>
        <v>121680</v>
      </c>
      <c r="Q2396" s="753"/>
      <c r="R2396" s="738">
        <v>13182894.25</v>
      </c>
      <c r="S2396" s="738">
        <f>Q2396</f>
        <v>0</v>
      </c>
      <c r="T2396" s="739">
        <v>1100121</v>
      </c>
      <c r="U2396" s="744"/>
      <c r="V2396" s="739">
        <v>1100122</v>
      </c>
    </row>
    <row r="2397" spans="1:22" ht="30" x14ac:dyDescent="0.2">
      <c r="A2397" s="734">
        <v>2612</v>
      </c>
      <c r="B2397" s="735" t="s">
        <v>26</v>
      </c>
      <c r="C2397" s="736">
        <v>17674382.73</v>
      </c>
      <c r="D2397" s="736">
        <v>0</v>
      </c>
      <c r="E2397" s="749"/>
      <c r="F2397" s="736">
        <v>15493539.08</v>
      </c>
      <c r="G2397" s="752">
        <v>16500000</v>
      </c>
      <c r="H2397" s="896"/>
      <c r="I2397" s="752"/>
      <c r="J2397" s="736">
        <f t="shared" si="755"/>
        <v>16500000</v>
      </c>
      <c r="K2397" s="752"/>
      <c r="L2397" s="752"/>
      <c r="M2397" s="736">
        <f t="shared" si="756"/>
        <v>16500000</v>
      </c>
      <c r="N2397" s="736">
        <v>178320</v>
      </c>
      <c r="O2397" s="736">
        <v>500000</v>
      </c>
      <c r="P2397" s="736">
        <f t="shared" si="757"/>
        <v>16178320</v>
      </c>
      <c r="Q2397" s="753">
        <v>16300000</v>
      </c>
      <c r="R2397" s="738"/>
      <c r="S2397" s="738">
        <f>Q2397</f>
        <v>16300000</v>
      </c>
      <c r="T2397" s="739">
        <v>1100121</v>
      </c>
      <c r="U2397" s="746">
        <v>17500000</v>
      </c>
      <c r="V2397" s="741">
        <v>1100122</v>
      </c>
    </row>
    <row r="2398" spans="1:22" ht="15" x14ac:dyDescent="0.2">
      <c r="A2398" s="739">
        <v>2711</v>
      </c>
      <c r="B2398" s="743" t="s">
        <v>27</v>
      </c>
      <c r="C2398" s="736">
        <v>75000</v>
      </c>
      <c r="D2398" s="736"/>
      <c r="E2398" s="736"/>
      <c r="F2398" s="736"/>
      <c r="G2398" s="736"/>
      <c r="H2398" s="736"/>
      <c r="I2398" s="736"/>
      <c r="J2398" s="736">
        <f t="shared" si="755"/>
        <v>0</v>
      </c>
      <c r="K2398" s="736"/>
      <c r="L2398" s="736"/>
      <c r="M2398" s="736">
        <f t="shared" si="756"/>
        <v>0</v>
      </c>
      <c r="N2398" s="736"/>
      <c r="O2398" s="736"/>
      <c r="P2398" s="738">
        <f t="shared" si="757"/>
        <v>0</v>
      </c>
      <c r="Q2398" s="738"/>
      <c r="R2398" s="738"/>
      <c r="S2398" s="738">
        <v>215100</v>
      </c>
      <c r="T2398" s="739"/>
      <c r="U2398" s="744"/>
      <c r="V2398" s="739"/>
    </row>
    <row r="2399" spans="1:22" ht="15" x14ac:dyDescent="0.2">
      <c r="A2399" s="734">
        <v>2911</v>
      </c>
      <c r="B2399" s="735" t="s">
        <v>60</v>
      </c>
      <c r="C2399" s="736">
        <v>24542.74</v>
      </c>
      <c r="D2399" s="736">
        <v>20000</v>
      </c>
      <c r="E2399" s="749">
        <v>20000</v>
      </c>
      <c r="F2399" s="736">
        <v>17217.36</v>
      </c>
      <c r="G2399" s="752">
        <v>15000</v>
      </c>
      <c r="H2399" s="752"/>
      <c r="I2399" s="752"/>
      <c r="J2399" s="736">
        <f t="shared" si="755"/>
        <v>15000</v>
      </c>
      <c r="K2399" s="752"/>
      <c r="L2399" s="752"/>
      <c r="M2399" s="736">
        <f t="shared" si="756"/>
        <v>15000</v>
      </c>
      <c r="N2399" s="736"/>
      <c r="O2399" s="736"/>
      <c r="P2399" s="736">
        <f t="shared" si="757"/>
        <v>15000</v>
      </c>
      <c r="Q2399" s="753">
        <v>15000</v>
      </c>
      <c r="R2399" s="738">
        <v>12223.04</v>
      </c>
      <c r="S2399" s="753">
        <v>15000</v>
      </c>
      <c r="T2399" s="739">
        <v>1100121</v>
      </c>
      <c r="U2399" s="740">
        <v>15000</v>
      </c>
      <c r="V2399" s="741">
        <v>1100122</v>
      </c>
    </row>
    <row r="2400" spans="1:22" ht="15" x14ac:dyDescent="0.2">
      <c r="A2400" s="734">
        <v>3141</v>
      </c>
      <c r="B2400" s="735" t="s">
        <v>48</v>
      </c>
      <c r="C2400" s="736">
        <v>1288.1300000000001</v>
      </c>
      <c r="D2400" s="736">
        <v>2800</v>
      </c>
      <c r="E2400" s="749">
        <v>2800</v>
      </c>
      <c r="F2400" s="736">
        <v>831.17</v>
      </c>
      <c r="G2400" s="752">
        <v>3000</v>
      </c>
      <c r="H2400" s="752"/>
      <c r="I2400" s="752"/>
      <c r="J2400" s="736">
        <f t="shared" si="755"/>
        <v>3000</v>
      </c>
      <c r="K2400" s="752"/>
      <c r="L2400" s="752"/>
      <c r="M2400" s="736">
        <f t="shared" si="756"/>
        <v>3000</v>
      </c>
      <c r="N2400" s="736"/>
      <c r="O2400" s="736"/>
      <c r="P2400" s="736">
        <f t="shared" si="757"/>
        <v>3000</v>
      </c>
      <c r="Q2400" s="753">
        <v>3000</v>
      </c>
      <c r="R2400" s="738">
        <v>1420.32</v>
      </c>
      <c r="S2400" s="753">
        <v>3000</v>
      </c>
      <c r="T2400" s="739">
        <v>1100121</v>
      </c>
      <c r="U2400" s="746">
        <v>3000</v>
      </c>
      <c r="V2400" s="741">
        <v>1100122</v>
      </c>
    </row>
    <row r="2401" spans="1:22" ht="15" x14ac:dyDescent="0.2">
      <c r="A2401" s="739">
        <v>3511</v>
      </c>
      <c r="B2401" s="743" t="s">
        <v>49</v>
      </c>
      <c r="C2401" s="736">
        <v>54739.7</v>
      </c>
      <c r="D2401" s="736">
        <v>70000</v>
      </c>
      <c r="E2401" s="749">
        <v>70000</v>
      </c>
      <c r="F2401" s="736">
        <v>0</v>
      </c>
      <c r="G2401" s="736"/>
      <c r="H2401" s="736"/>
      <c r="I2401" s="736"/>
      <c r="J2401" s="736">
        <f t="shared" si="755"/>
        <v>0</v>
      </c>
      <c r="K2401" s="736"/>
      <c r="L2401" s="736"/>
      <c r="M2401" s="736">
        <f t="shared" si="756"/>
        <v>0</v>
      </c>
      <c r="N2401" s="736"/>
      <c r="O2401" s="736"/>
      <c r="P2401" s="738">
        <f t="shared" si="757"/>
        <v>0</v>
      </c>
      <c r="Q2401" s="738"/>
      <c r="R2401" s="738"/>
      <c r="S2401" s="738"/>
      <c r="T2401" s="739">
        <v>1100121</v>
      </c>
      <c r="U2401" s="745"/>
      <c r="V2401" s="739">
        <v>1100122</v>
      </c>
    </row>
    <row r="2402" spans="1:22" ht="15" x14ac:dyDescent="0.2">
      <c r="A2402" s="739">
        <v>3551</v>
      </c>
      <c r="B2402" s="743" t="s">
        <v>30</v>
      </c>
      <c r="C2402" s="736">
        <v>9926193.9399999995</v>
      </c>
      <c r="D2402" s="736">
        <v>11000000</v>
      </c>
      <c r="E2402" s="749">
        <v>13200000</v>
      </c>
      <c r="F2402" s="736">
        <v>0</v>
      </c>
      <c r="G2402" s="736"/>
      <c r="H2402" s="736"/>
      <c r="I2402" s="736"/>
      <c r="J2402" s="736">
        <f t="shared" si="755"/>
        <v>0</v>
      </c>
      <c r="K2402" s="736"/>
      <c r="L2402" s="736"/>
      <c r="M2402" s="736">
        <f t="shared" si="756"/>
        <v>0</v>
      </c>
      <c r="N2402" s="736"/>
      <c r="O2402" s="736"/>
      <c r="P2402" s="738">
        <f t="shared" si="757"/>
        <v>0</v>
      </c>
      <c r="Q2402" s="738"/>
      <c r="R2402" s="738">
        <v>14499548.369999999</v>
      </c>
      <c r="S2402" s="738">
        <f>Q2402</f>
        <v>0</v>
      </c>
      <c r="T2402" s="739">
        <v>1100121</v>
      </c>
      <c r="U2402" s="745"/>
      <c r="V2402" s="739">
        <v>1100122</v>
      </c>
    </row>
    <row r="2403" spans="1:22" ht="15" x14ac:dyDescent="0.2">
      <c r="A2403" s="734">
        <v>3551</v>
      </c>
      <c r="B2403" s="735" t="s">
        <v>30</v>
      </c>
      <c r="C2403" s="736"/>
      <c r="D2403" s="736">
        <v>0</v>
      </c>
      <c r="E2403" s="749"/>
      <c r="F2403" s="736">
        <v>14679093.18</v>
      </c>
      <c r="G2403" s="752">
        <v>14000000</v>
      </c>
      <c r="H2403" s="752"/>
      <c r="I2403" s="752"/>
      <c r="J2403" s="736">
        <f t="shared" si="755"/>
        <v>14000000</v>
      </c>
      <c r="K2403" s="752"/>
      <c r="L2403" s="752"/>
      <c r="M2403" s="736">
        <f t="shared" si="756"/>
        <v>14000000</v>
      </c>
      <c r="N2403" s="736">
        <v>3000000</v>
      </c>
      <c r="O2403" s="736"/>
      <c r="P2403" s="736">
        <f t="shared" si="757"/>
        <v>17000000</v>
      </c>
      <c r="Q2403" s="753">
        <v>17000000</v>
      </c>
      <c r="R2403" s="738"/>
      <c r="S2403" s="738">
        <f>Q2403</f>
        <v>17000000</v>
      </c>
      <c r="T2403" s="739">
        <v>1100121</v>
      </c>
      <c r="U2403" s="746">
        <v>18500000</v>
      </c>
      <c r="V2403" s="741">
        <v>1100122</v>
      </c>
    </row>
    <row r="2404" spans="1:22" ht="15" x14ac:dyDescent="0.2">
      <c r="A2404" s="734">
        <v>3571</v>
      </c>
      <c r="B2404" s="735" t="s">
        <v>65</v>
      </c>
      <c r="C2404" s="736">
        <v>29372.77</v>
      </c>
      <c r="D2404" s="736">
        <v>1256000</v>
      </c>
      <c r="E2404" s="749">
        <v>40000</v>
      </c>
      <c r="F2404" s="736">
        <v>30584.61</v>
      </c>
      <c r="G2404" s="752">
        <v>30000</v>
      </c>
      <c r="H2404" s="752"/>
      <c r="I2404" s="752"/>
      <c r="J2404" s="736">
        <f t="shared" si="755"/>
        <v>30000</v>
      </c>
      <c r="K2404" s="752"/>
      <c r="L2404" s="752"/>
      <c r="M2404" s="736">
        <f t="shared" si="756"/>
        <v>30000</v>
      </c>
      <c r="N2404" s="736"/>
      <c r="O2404" s="736"/>
      <c r="P2404" s="736">
        <f t="shared" si="757"/>
        <v>30000</v>
      </c>
      <c r="Q2404" s="753">
        <v>30000</v>
      </c>
      <c r="R2404" s="738">
        <v>27784.95</v>
      </c>
      <c r="S2404" s="753">
        <v>50000</v>
      </c>
      <c r="T2404" s="739">
        <v>1100121</v>
      </c>
      <c r="U2404" s="740">
        <v>40000</v>
      </c>
      <c r="V2404" s="741">
        <v>1100122</v>
      </c>
    </row>
    <row r="2405" spans="1:22" ht="15" x14ac:dyDescent="0.2">
      <c r="A2405" s="734">
        <v>3581</v>
      </c>
      <c r="B2405" s="735" t="s">
        <v>153</v>
      </c>
      <c r="C2405" s="736">
        <v>2414953.31</v>
      </c>
      <c r="D2405" s="736">
        <v>2953600</v>
      </c>
      <c r="E2405" s="749">
        <v>2579925.66</v>
      </c>
      <c r="F2405" s="736">
        <v>2579925</v>
      </c>
      <c r="G2405" s="752">
        <v>2724696</v>
      </c>
      <c r="H2405" s="752"/>
      <c r="I2405" s="896"/>
      <c r="J2405" s="736">
        <f t="shared" si="755"/>
        <v>2724696</v>
      </c>
      <c r="K2405" s="752"/>
      <c r="L2405" s="896">
        <f>2069721-813478.95</f>
        <v>1256242.05</v>
      </c>
      <c r="M2405" s="736">
        <f t="shared" si="756"/>
        <v>1468453.95</v>
      </c>
      <c r="N2405" s="736">
        <v>226022</v>
      </c>
      <c r="O2405" s="736"/>
      <c r="P2405" s="736">
        <f t="shared" si="757"/>
        <v>1694475.95</v>
      </c>
      <c r="Q2405" s="753">
        <v>1694475.95</v>
      </c>
      <c r="R2405" s="738">
        <v>1232475.04</v>
      </c>
      <c r="S2405" s="753">
        <v>1500000</v>
      </c>
      <c r="T2405" s="739">
        <v>1100121</v>
      </c>
      <c r="U2405" s="754">
        <v>1500000</v>
      </c>
      <c r="V2405" s="741">
        <v>1100122</v>
      </c>
    </row>
    <row r="2406" spans="1:22" ht="15" x14ac:dyDescent="0.2">
      <c r="A2406" s="734">
        <v>3921</v>
      </c>
      <c r="B2406" s="735" t="s">
        <v>33</v>
      </c>
      <c r="C2406" s="736">
        <v>51935.26</v>
      </c>
      <c r="D2406" s="736">
        <v>34840</v>
      </c>
      <c r="E2406" s="749">
        <v>34840</v>
      </c>
      <c r="F2406" s="736">
        <v>18588.939999999999</v>
      </c>
      <c r="G2406" s="752">
        <v>40000</v>
      </c>
      <c r="H2406" s="752"/>
      <c r="I2406" s="752"/>
      <c r="J2406" s="736">
        <f t="shared" si="755"/>
        <v>40000</v>
      </c>
      <c r="K2406" s="752"/>
      <c r="L2406" s="752"/>
      <c r="M2406" s="736">
        <f t="shared" si="756"/>
        <v>40000</v>
      </c>
      <c r="N2406" s="736"/>
      <c r="O2406" s="736"/>
      <c r="P2406" s="736">
        <f t="shared" si="757"/>
        <v>40000</v>
      </c>
      <c r="Q2406" s="753">
        <v>40000</v>
      </c>
      <c r="R2406" s="738">
        <v>35504.92</v>
      </c>
      <c r="S2406" s="753">
        <v>40000</v>
      </c>
      <c r="T2406" s="739">
        <v>1100121</v>
      </c>
      <c r="U2406" s="740">
        <v>49838</v>
      </c>
      <c r="V2406" s="741">
        <v>1100122</v>
      </c>
    </row>
    <row r="2407" spans="1:22" ht="15" x14ac:dyDescent="0.2">
      <c r="A2407" s="739">
        <v>5151</v>
      </c>
      <c r="B2407" s="743" t="s">
        <v>36</v>
      </c>
      <c r="C2407" s="736">
        <v>14800</v>
      </c>
      <c r="D2407" s="736">
        <v>0</v>
      </c>
      <c r="E2407" s="749">
        <v>15200</v>
      </c>
      <c r="F2407" s="736">
        <v>15200</v>
      </c>
      <c r="G2407" s="752">
        <v>0</v>
      </c>
      <c r="H2407" s="752"/>
      <c r="I2407" s="752"/>
      <c r="J2407" s="736">
        <f t="shared" si="755"/>
        <v>0</v>
      </c>
      <c r="K2407" s="752"/>
      <c r="L2407" s="752"/>
      <c r="M2407" s="736">
        <f t="shared" si="756"/>
        <v>0</v>
      </c>
      <c r="N2407" s="736"/>
      <c r="O2407" s="736"/>
      <c r="P2407" s="738">
        <f t="shared" si="757"/>
        <v>0</v>
      </c>
      <c r="Q2407" s="753">
        <v>0</v>
      </c>
      <c r="R2407" s="738"/>
      <c r="S2407" s="753">
        <v>50000</v>
      </c>
      <c r="T2407" s="739">
        <v>1100119</v>
      </c>
      <c r="U2407" s="922"/>
      <c r="V2407" s="739">
        <v>1100119</v>
      </c>
    </row>
    <row r="2408" spans="1:22" ht="15" x14ac:dyDescent="0.2">
      <c r="A2408" s="739">
        <v>5411</v>
      </c>
      <c r="B2408" s="743" t="s">
        <v>123</v>
      </c>
      <c r="C2408" s="736">
        <v>13105810.359999999</v>
      </c>
      <c r="D2408" s="736">
        <v>0</v>
      </c>
      <c r="E2408" s="749">
        <v>9996000</v>
      </c>
      <c r="F2408" s="736">
        <v>9996000</v>
      </c>
      <c r="G2408" s="752">
        <v>2300000</v>
      </c>
      <c r="H2408" s="752"/>
      <c r="I2408" s="752">
        <v>2300000</v>
      </c>
      <c r="J2408" s="736">
        <f t="shared" si="755"/>
        <v>0</v>
      </c>
      <c r="K2408" s="752"/>
      <c r="L2408" s="752"/>
      <c r="M2408" s="736">
        <f t="shared" si="756"/>
        <v>0</v>
      </c>
      <c r="N2408" s="736"/>
      <c r="O2408" s="736"/>
      <c r="P2408" s="738">
        <f t="shared" si="757"/>
        <v>0</v>
      </c>
      <c r="Q2408" s="753">
        <v>2297001.44</v>
      </c>
      <c r="R2408" s="738">
        <v>2297000</v>
      </c>
      <c r="S2408" s="753"/>
      <c r="T2408" s="739">
        <v>1100119</v>
      </c>
      <c r="U2408" s="745"/>
      <c r="V2408" s="739">
        <v>1100119</v>
      </c>
    </row>
    <row r="2409" spans="1:22" ht="15" x14ac:dyDescent="0.2">
      <c r="A2409" s="739">
        <v>5411</v>
      </c>
      <c r="B2409" s="743" t="s">
        <v>123</v>
      </c>
      <c r="C2409" s="736"/>
      <c r="D2409" s="736">
        <v>0</v>
      </c>
      <c r="E2409" s="749">
        <v>210000</v>
      </c>
      <c r="F2409" s="736">
        <v>208000</v>
      </c>
      <c r="G2409" s="752"/>
      <c r="H2409" s="896"/>
      <c r="I2409" s="752"/>
      <c r="J2409" s="736">
        <f t="shared" si="755"/>
        <v>0</v>
      </c>
      <c r="K2409" s="896">
        <f>410000</f>
        <v>410000</v>
      </c>
      <c r="L2409" s="752">
        <v>1.44</v>
      </c>
      <c r="M2409" s="736">
        <f t="shared" si="756"/>
        <v>409998.56</v>
      </c>
      <c r="N2409" s="736">
        <v>290000</v>
      </c>
      <c r="O2409" s="736">
        <v>586851.79000008106</v>
      </c>
      <c r="P2409" s="736">
        <f t="shared" si="757"/>
        <v>113146.76999991899</v>
      </c>
      <c r="Q2409" s="753">
        <v>113146.77</v>
      </c>
      <c r="R2409" s="738"/>
      <c r="S2409" s="753"/>
      <c r="T2409" s="739">
        <v>1100121</v>
      </c>
      <c r="U2409" s="745"/>
      <c r="V2409" s="739">
        <v>1100122</v>
      </c>
    </row>
    <row r="2410" spans="1:22" ht="15" x14ac:dyDescent="0.2">
      <c r="A2410" s="739">
        <v>5411</v>
      </c>
      <c r="B2410" s="743" t="s">
        <v>123</v>
      </c>
      <c r="C2410" s="736"/>
      <c r="D2410" s="736">
        <v>0</v>
      </c>
      <c r="E2410" s="749"/>
      <c r="F2410" s="736"/>
      <c r="G2410" s="752"/>
      <c r="H2410" s="896"/>
      <c r="I2410" s="752"/>
      <c r="J2410" s="736"/>
      <c r="K2410" s="896"/>
      <c r="L2410" s="752"/>
      <c r="M2410" s="736"/>
      <c r="N2410" s="736">
        <v>586851.79000008106</v>
      </c>
      <c r="O2410" s="736"/>
      <c r="P2410" s="736">
        <f t="shared" si="757"/>
        <v>586851.79000008106</v>
      </c>
      <c r="Q2410" s="753">
        <v>5186851.79</v>
      </c>
      <c r="R2410" s="738">
        <v>4850000</v>
      </c>
      <c r="S2410" s="753"/>
      <c r="T2410" s="739">
        <v>1100120</v>
      </c>
      <c r="U2410" s="745"/>
      <c r="V2410" s="739">
        <v>1100120</v>
      </c>
    </row>
    <row r="2411" spans="1:22" ht="15" x14ac:dyDescent="0.25">
      <c r="A2411" s="739">
        <v>5411</v>
      </c>
      <c r="B2411" s="743" t="s">
        <v>123</v>
      </c>
      <c r="C2411" s="736"/>
      <c r="D2411" s="736"/>
      <c r="E2411" s="749"/>
      <c r="F2411" s="736"/>
      <c r="G2411" s="752"/>
      <c r="H2411" s="759">
        <v>4600000</v>
      </c>
      <c r="I2411" s="752"/>
      <c r="J2411" s="736">
        <f t="shared" ref="J2411:J2418" si="758">G2411+H2411-I2411</f>
        <v>4600000</v>
      </c>
      <c r="K2411" s="759"/>
      <c r="L2411" s="752"/>
      <c r="M2411" s="736">
        <f t="shared" ref="M2411:M2418" si="759">J2411+K2411-L2411</f>
        <v>4600000</v>
      </c>
      <c r="N2411" s="736"/>
      <c r="O2411" s="736"/>
      <c r="P2411" s="736">
        <f t="shared" si="757"/>
        <v>4600000</v>
      </c>
      <c r="Q2411" s="753"/>
      <c r="R2411" s="738"/>
      <c r="S2411" s="753"/>
      <c r="T2411" s="739">
        <v>1100120</v>
      </c>
      <c r="U2411" s="745"/>
      <c r="V2411" s="739">
        <v>1100120</v>
      </c>
    </row>
    <row r="2412" spans="1:22" ht="15" x14ac:dyDescent="0.2">
      <c r="A2412" s="739">
        <v>5411</v>
      </c>
      <c r="B2412" s="743" t="s">
        <v>123</v>
      </c>
      <c r="C2412" s="736"/>
      <c r="D2412" s="736"/>
      <c r="E2412" s="749"/>
      <c r="F2412" s="736"/>
      <c r="G2412" s="752"/>
      <c r="H2412" s="832">
        <v>2297000</v>
      </c>
      <c r="I2412" s="752"/>
      <c r="J2412" s="736">
        <f t="shared" si="758"/>
        <v>2297000</v>
      </c>
      <c r="K2412" s="752">
        <v>1.44</v>
      </c>
      <c r="L2412" s="752"/>
      <c r="M2412" s="736">
        <f t="shared" si="759"/>
        <v>2297001.44</v>
      </c>
      <c r="N2412" s="736"/>
      <c r="O2412" s="736"/>
      <c r="P2412" s="736">
        <f t="shared" si="757"/>
        <v>2297001.44</v>
      </c>
      <c r="R2412" s="738"/>
      <c r="S2412" s="753"/>
      <c r="T2412" s="739">
        <v>1100119</v>
      </c>
      <c r="U2412" s="745"/>
      <c r="V2412" s="739">
        <v>1100119</v>
      </c>
    </row>
    <row r="2413" spans="1:22" ht="15" x14ac:dyDescent="0.2">
      <c r="A2413" s="739">
        <v>5411</v>
      </c>
      <c r="B2413" s="743" t="s">
        <v>123</v>
      </c>
      <c r="C2413" s="736"/>
      <c r="D2413" s="736">
        <v>6500000</v>
      </c>
      <c r="E2413" s="749">
        <v>0</v>
      </c>
      <c r="F2413" s="736">
        <v>0</v>
      </c>
      <c r="G2413" s="736"/>
      <c r="H2413" s="736"/>
      <c r="I2413" s="736"/>
      <c r="J2413" s="736">
        <f t="shared" si="758"/>
        <v>0</v>
      </c>
      <c r="K2413" s="736"/>
      <c r="L2413" s="736"/>
      <c r="M2413" s="736">
        <f t="shared" si="759"/>
        <v>0</v>
      </c>
      <c r="N2413" s="738"/>
      <c r="O2413" s="738"/>
      <c r="P2413" s="738"/>
      <c r="Q2413" s="738"/>
      <c r="R2413" s="738"/>
      <c r="S2413" s="747">
        <v>8400000</v>
      </c>
      <c r="T2413" s="739"/>
      <c r="U2413" s="750">
        <v>0</v>
      </c>
      <c r="V2413" s="739"/>
    </row>
    <row r="2414" spans="1:22" ht="15" x14ac:dyDescent="0.2">
      <c r="A2414" s="739">
        <v>5491</v>
      </c>
      <c r="B2414" s="743" t="s">
        <v>1735</v>
      </c>
      <c r="C2414" s="736">
        <v>150430</v>
      </c>
      <c r="D2414" s="736"/>
      <c r="E2414" s="749"/>
      <c r="F2414" s="736"/>
      <c r="G2414" s="736"/>
      <c r="H2414" s="736"/>
      <c r="I2414" s="736"/>
      <c r="J2414" s="736">
        <f t="shared" si="758"/>
        <v>0</v>
      </c>
      <c r="K2414" s="736"/>
      <c r="L2414" s="736"/>
      <c r="M2414" s="736">
        <f t="shared" si="759"/>
        <v>0</v>
      </c>
      <c r="N2414" s="736"/>
      <c r="O2414" s="736"/>
      <c r="P2414" s="738">
        <f t="shared" ref="P2414:P2418" si="760">M2414+N2414-O2414</f>
        <v>0</v>
      </c>
      <c r="Q2414" s="738"/>
      <c r="R2414" s="738"/>
      <c r="S2414" s="738"/>
      <c r="T2414" s="739"/>
      <c r="U2414" s="745"/>
      <c r="V2414" s="739"/>
    </row>
    <row r="2415" spans="1:22" ht="15" x14ac:dyDescent="0.2">
      <c r="A2415" s="739">
        <v>5651</v>
      </c>
      <c r="B2415" s="743" t="s">
        <v>105</v>
      </c>
      <c r="C2415" s="736"/>
      <c r="D2415" s="736">
        <v>213593.12</v>
      </c>
      <c r="E2415" s="749">
        <v>213593.12</v>
      </c>
      <c r="F2415" s="736">
        <v>145442.89000000001</v>
      </c>
      <c r="G2415" s="736"/>
      <c r="H2415" s="736"/>
      <c r="I2415" s="736"/>
      <c r="J2415" s="736">
        <f t="shared" si="758"/>
        <v>0</v>
      </c>
      <c r="K2415" s="736"/>
      <c r="L2415" s="736"/>
      <c r="M2415" s="736">
        <f t="shared" si="759"/>
        <v>0</v>
      </c>
      <c r="N2415" s="736"/>
      <c r="O2415" s="736"/>
      <c r="P2415" s="738">
        <f t="shared" si="760"/>
        <v>0</v>
      </c>
      <c r="Q2415" s="738"/>
      <c r="R2415" s="738"/>
      <c r="S2415" s="738"/>
      <c r="T2415" s="739">
        <v>1100121</v>
      </c>
      <c r="U2415" s="745"/>
      <c r="V2415" s="739">
        <v>1100122</v>
      </c>
    </row>
    <row r="2416" spans="1:22" ht="15" x14ac:dyDescent="0.2">
      <c r="A2416" s="739">
        <v>5691</v>
      </c>
      <c r="B2416" s="743" t="s">
        <v>112</v>
      </c>
      <c r="C2416" s="736"/>
      <c r="D2416" s="736"/>
      <c r="E2416" s="749"/>
      <c r="F2416" s="736"/>
      <c r="G2416" s="736"/>
      <c r="H2416" s="789"/>
      <c r="I2416" s="736"/>
      <c r="J2416" s="736">
        <f t="shared" si="758"/>
        <v>0</v>
      </c>
      <c r="K2416" s="789">
        <v>75000</v>
      </c>
      <c r="L2416" s="736"/>
      <c r="M2416" s="736">
        <f t="shared" si="759"/>
        <v>75000</v>
      </c>
      <c r="N2416" s="736"/>
      <c r="O2416" s="736"/>
      <c r="P2416" s="736">
        <f t="shared" si="760"/>
        <v>75000</v>
      </c>
      <c r="Q2416" s="738">
        <v>75000</v>
      </c>
      <c r="R2416" s="738">
        <v>57978.16</v>
      </c>
      <c r="S2416" s="738"/>
      <c r="T2416" s="739">
        <v>1100121</v>
      </c>
      <c r="U2416" s="745"/>
      <c r="V2416" s="739">
        <v>1100122</v>
      </c>
    </row>
    <row r="2417" spans="1:22" ht="15" x14ac:dyDescent="0.2">
      <c r="A2417" s="739">
        <v>5691</v>
      </c>
      <c r="B2417" s="743" t="s">
        <v>112</v>
      </c>
      <c r="C2417" s="736">
        <v>414487.02</v>
      </c>
      <c r="D2417" s="736">
        <v>0</v>
      </c>
      <c r="E2417" s="749">
        <v>0</v>
      </c>
      <c r="F2417" s="736">
        <v>0</v>
      </c>
      <c r="G2417" s="736"/>
      <c r="H2417" s="736"/>
      <c r="I2417" s="736"/>
      <c r="J2417" s="736">
        <f t="shared" si="758"/>
        <v>0</v>
      </c>
      <c r="K2417" s="736"/>
      <c r="L2417" s="736"/>
      <c r="M2417" s="736">
        <f t="shared" si="759"/>
        <v>0</v>
      </c>
      <c r="N2417" s="736"/>
      <c r="O2417" s="736"/>
      <c r="P2417" s="738">
        <f t="shared" si="760"/>
        <v>0</v>
      </c>
      <c r="Q2417" s="738"/>
      <c r="R2417" s="738"/>
      <c r="S2417" s="738"/>
      <c r="T2417" s="739">
        <v>1100119</v>
      </c>
      <c r="U2417" s="745"/>
      <c r="V2417" s="739">
        <v>1100119</v>
      </c>
    </row>
    <row r="2418" spans="1:22" ht="15" x14ac:dyDescent="0.2">
      <c r="A2418" s="739">
        <v>5691</v>
      </c>
      <c r="B2418" s="743" t="s">
        <v>112</v>
      </c>
      <c r="C2418" s="736"/>
      <c r="D2418" s="736">
        <v>566458.47</v>
      </c>
      <c r="E2418" s="749">
        <v>566458.47</v>
      </c>
      <c r="F2418" s="736">
        <v>546177.18000000005</v>
      </c>
      <c r="G2418" s="752">
        <v>600000</v>
      </c>
      <c r="H2418" s="752"/>
      <c r="I2418" s="752"/>
      <c r="J2418" s="736">
        <f t="shared" si="758"/>
        <v>600000</v>
      </c>
      <c r="K2418" s="752"/>
      <c r="L2418" s="752"/>
      <c r="M2418" s="736">
        <f t="shared" si="759"/>
        <v>600000</v>
      </c>
      <c r="N2418" s="736"/>
      <c r="O2418" s="736"/>
      <c r="P2418" s="736">
        <f t="shared" si="760"/>
        <v>600000</v>
      </c>
      <c r="Q2418" s="753">
        <v>600000</v>
      </c>
      <c r="R2418" s="738">
        <v>409435.2</v>
      </c>
      <c r="S2418" s="914">
        <v>9225000</v>
      </c>
      <c r="T2418" s="739">
        <v>1500521</v>
      </c>
      <c r="U2418" s="841">
        <v>0</v>
      </c>
      <c r="V2418" s="739">
        <v>1500522</v>
      </c>
    </row>
    <row r="2419" spans="1:22" ht="15" x14ac:dyDescent="0.2">
      <c r="A2419" s="728" t="s">
        <v>305</v>
      </c>
      <c r="B2419" s="729" t="s">
        <v>1589</v>
      </c>
      <c r="C2419" s="730">
        <f t="shared" ref="C2419:S2419" si="761">SUM(C2420:C2455)</f>
        <v>7964125.8300000001</v>
      </c>
      <c r="D2419" s="730">
        <f t="shared" si="761"/>
        <v>6391257.1600000001</v>
      </c>
      <c r="E2419" s="730">
        <f t="shared" si="761"/>
        <v>6310348.7000000002</v>
      </c>
      <c r="F2419" s="730">
        <f t="shared" si="761"/>
        <v>5618762.5300000003</v>
      </c>
      <c r="G2419" s="730">
        <f t="shared" si="761"/>
        <v>6409839.1999999993</v>
      </c>
      <c r="H2419" s="730">
        <f t="shared" si="761"/>
        <v>54062.54</v>
      </c>
      <c r="I2419" s="730">
        <f t="shared" si="761"/>
        <v>0</v>
      </c>
      <c r="J2419" s="730">
        <f t="shared" si="761"/>
        <v>6463901.7400000002</v>
      </c>
      <c r="K2419" s="730">
        <f t="shared" si="761"/>
        <v>28984.89</v>
      </c>
      <c r="L2419" s="730">
        <f t="shared" si="761"/>
        <v>0</v>
      </c>
      <c r="M2419" s="730">
        <f t="shared" si="761"/>
        <v>6492886.6299999999</v>
      </c>
      <c r="N2419" s="730">
        <f t="shared" si="761"/>
        <v>0</v>
      </c>
      <c r="O2419" s="730">
        <f t="shared" si="761"/>
        <v>0</v>
      </c>
      <c r="P2419" s="730">
        <f t="shared" si="761"/>
        <v>6492886.6299999999</v>
      </c>
      <c r="Q2419" s="748">
        <f t="shared" si="761"/>
        <v>6504428.1799999997</v>
      </c>
      <c r="R2419" s="748">
        <f t="shared" si="761"/>
        <v>3670005.6499999994</v>
      </c>
      <c r="S2419" s="748">
        <f t="shared" si="761"/>
        <v>6968479.1200000001</v>
      </c>
      <c r="T2419" s="731"/>
      <c r="U2419" s="732">
        <f>SUM(U2420:U2455)</f>
        <v>6259755.9100000001</v>
      </c>
      <c r="V2419" s="733"/>
    </row>
    <row r="2420" spans="1:22" ht="15" x14ac:dyDescent="0.25">
      <c r="A2420" s="734">
        <v>1131</v>
      </c>
      <c r="B2420" s="735" t="s">
        <v>6</v>
      </c>
      <c r="C2420" s="736">
        <v>296707.07</v>
      </c>
      <c r="D2420" s="736">
        <v>316763.71999999997</v>
      </c>
      <c r="E2420" s="749">
        <v>316763.71999999997</v>
      </c>
      <c r="F2420" s="736">
        <v>349099.95</v>
      </c>
      <c r="G2420" s="736">
        <v>344637.39999999997</v>
      </c>
      <c r="H2420" s="736"/>
      <c r="I2420" s="736"/>
      <c r="J2420" s="736">
        <f t="shared" ref="J2420:J2455" si="762">G2420+H2420-I2420</f>
        <v>344637.39999999997</v>
      </c>
      <c r="K2420" s="737">
        <v>1548.01</v>
      </c>
      <c r="L2420" s="736"/>
      <c r="M2420" s="736">
        <f t="shared" ref="M2420:M2455" si="763">J2420+K2420-L2420</f>
        <v>346185.41</v>
      </c>
      <c r="N2420" s="736"/>
      <c r="O2420" s="736"/>
      <c r="P2420" s="736">
        <f t="shared" ref="P2420:P2455" si="764">M2420+N2420-O2420</f>
        <v>346185.41</v>
      </c>
      <c r="Q2420" s="738">
        <v>355486.29</v>
      </c>
      <c r="R2420" s="738">
        <v>254403.06</v>
      </c>
      <c r="S2420" s="751">
        <v>412088.04</v>
      </c>
      <c r="T2420" s="739">
        <v>1500521</v>
      </c>
      <c r="U2420" s="779">
        <v>371563.14</v>
      </c>
      <c r="V2420" s="741">
        <v>1500522</v>
      </c>
    </row>
    <row r="2421" spans="1:22" ht="15" x14ac:dyDescent="0.25">
      <c r="A2421" s="734">
        <v>1132</v>
      </c>
      <c r="B2421" s="735" t="s">
        <v>8</v>
      </c>
      <c r="C2421" s="736">
        <v>44823.56</v>
      </c>
      <c r="D2421" s="736">
        <v>47855.08</v>
      </c>
      <c r="E2421" s="749">
        <v>47855.08</v>
      </c>
      <c r="F2421" s="736">
        <v>49122.41</v>
      </c>
      <c r="G2421" s="736">
        <v>50272.1</v>
      </c>
      <c r="H2421" s="736"/>
      <c r="I2421" s="736"/>
      <c r="J2421" s="736">
        <f t="shared" si="762"/>
        <v>50272.1</v>
      </c>
      <c r="K2421" s="737">
        <v>1772.03</v>
      </c>
      <c r="L2421" s="736"/>
      <c r="M2421" s="736">
        <f t="shared" si="763"/>
        <v>52044.13</v>
      </c>
      <c r="N2421" s="736"/>
      <c r="O2421" s="736"/>
      <c r="P2421" s="736">
        <f t="shared" si="764"/>
        <v>52044.13</v>
      </c>
      <c r="Q2421" s="738">
        <v>45762.26</v>
      </c>
      <c r="R2421" s="738">
        <v>31032.63</v>
      </c>
      <c r="S2421" s="751"/>
      <c r="T2421" s="739">
        <v>1500521</v>
      </c>
      <c r="U2421" s="779">
        <v>38438.14</v>
      </c>
      <c r="V2421" s="741">
        <v>1500522</v>
      </c>
    </row>
    <row r="2422" spans="1:22" ht="15" x14ac:dyDescent="0.25">
      <c r="A2422" s="734">
        <v>1321</v>
      </c>
      <c r="B2422" s="735" t="s">
        <v>9</v>
      </c>
      <c r="C2422" s="736">
        <v>27125.42</v>
      </c>
      <c r="D2422" s="736">
        <v>28693.439999999999</v>
      </c>
      <c r="E2422" s="749">
        <v>28693.439999999999</v>
      </c>
      <c r="F2422" s="736">
        <v>28693.439999999999</v>
      </c>
      <c r="G2422" s="736">
        <v>30118.5</v>
      </c>
      <c r="H2422" s="736"/>
      <c r="I2422" s="736"/>
      <c r="J2422" s="736">
        <f t="shared" si="762"/>
        <v>30118.5</v>
      </c>
      <c r="K2422" s="737">
        <v>1008.51</v>
      </c>
      <c r="L2422" s="736"/>
      <c r="M2422" s="736">
        <f t="shared" si="763"/>
        <v>31127.01</v>
      </c>
      <c r="N2422" s="736"/>
      <c r="O2422" s="736"/>
      <c r="P2422" s="736">
        <f t="shared" si="764"/>
        <v>31127.01</v>
      </c>
      <c r="Q2422" s="738">
        <v>31127.01</v>
      </c>
      <c r="R2422" s="738">
        <v>15063.54</v>
      </c>
      <c r="S2422" s="751">
        <v>32776.1</v>
      </c>
      <c r="T2422" s="739">
        <v>1500521</v>
      </c>
      <c r="U2422" s="779">
        <v>30906.27</v>
      </c>
      <c r="V2422" s="741">
        <v>1500522</v>
      </c>
    </row>
    <row r="2423" spans="1:22" ht="15" x14ac:dyDescent="0.25">
      <c r="A2423" s="734">
        <v>1323</v>
      </c>
      <c r="B2423" s="735" t="s">
        <v>11</v>
      </c>
      <c r="C2423" s="736">
        <v>73482</v>
      </c>
      <c r="D2423" s="736">
        <v>78024</v>
      </c>
      <c r="E2423" s="749">
        <v>78024</v>
      </c>
      <c r="F2423" s="736">
        <v>79200</v>
      </c>
      <c r="G2423" s="736">
        <v>81933.700000000012</v>
      </c>
      <c r="H2423" s="736"/>
      <c r="I2423" s="736"/>
      <c r="J2423" s="736">
        <f t="shared" si="762"/>
        <v>81933.700000000012</v>
      </c>
      <c r="K2423" s="737">
        <v>2743.31</v>
      </c>
      <c r="L2423" s="736"/>
      <c r="M2423" s="736">
        <f t="shared" si="763"/>
        <v>84677.010000000009</v>
      </c>
      <c r="N2423" s="736"/>
      <c r="O2423" s="736"/>
      <c r="P2423" s="736">
        <f t="shared" si="764"/>
        <v>84677.010000000009</v>
      </c>
      <c r="Q2423" s="738">
        <v>84677.01</v>
      </c>
      <c r="R2423" s="738">
        <v>62406</v>
      </c>
      <c r="S2423" s="751">
        <v>88185.5</v>
      </c>
      <c r="T2423" s="739">
        <v>1500521</v>
      </c>
      <c r="U2423" s="779">
        <v>83901.4</v>
      </c>
      <c r="V2423" s="741">
        <v>1500522</v>
      </c>
    </row>
    <row r="2424" spans="1:22" ht="15" x14ac:dyDescent="0.25">
      <c r="A2424" s="734">
        <v>1413</v>
      </c>
      <c r="B2424" s="735" t="s">
        <v>13</v>
      </c>
      <c r="C2424" s="736">
        <v>111125.39</v>
      </c>
      <c r="D2424" s="736">
        <v>123806.76</v>
      </c>
      <c r="E2424" s="749">
        <v>121345.76</v>
      </c>
      <c r="F2424" s="736">
        <v>119776.54</v>
      </c>
      <c r="G2424" s="736">
        <v>137530.1</v>
      </c>
      <c r="H2424" s="736"/>
      <c r="I2424" s="736"/>
      <c r="J2424" s="736">
        <f t="shared" si="762"/>
        <v>137530.1</v>
      </c>
      <c r="K2424" s="737">
        <v>4667.18</v>
      </c>
      <c r="L2424" s="736"/>
      <c r="M2424" s="736">
        <f t="shared" si="763"/>
        <v>142197.28</v>
      </c>
      <c r="N2424" s="736"/>
      <c r="O2424" s="736"/>
      <c r="P2424" s="736">
        <f t="shared" si="764"/>
        <v>142197.28</v>
      </c>
      <c r="Q2424" s="738">
        <v>142197.28</v>
      </c>
      <c r="R2424" s="738">
        <v>98108.04</v>
      </c>
      <c r="S2424" s="751">
        <v>154306.92000000001</v>
      </c>
      <c r="T2424" s="739">
        <v>1500521</v>
      </c>
      <c r="U2424" s="779">
        <v>132412.98000000001</v>
      </c>
      <c r="V2424" s="741">
        <v>1500522</v>
      </c>
    </row>
    <row r="2425" spans="1:22" ht="15" x14ac:dyDescent="0.25">
      <c r="A2425" s="734">
        <v>1421</v>
      </c>
      <c r="B2425" s="735" t="s">
        <v>15</v>
      </c>
      <c r="C2425" s="736">
        <v>31398.84</v>
      </c>
      <c r="D2425" s="736">
        <v>34268.959999999999</v>
      </c>
      <c r="E2425" s="749">
        <v>30956.959999999999</v>
      </c>
      <c r="F2425" s="736">
        <v>33179.08</v>
      </c>
      <c r="G2425" s="736">
        <v>36204.299999999996</v>
      </c>
      <c r="H2425" s="736"/>
      <c r="I2425" s="736"/>
      <c r="J2425" s="736">
        <f t="shared" si="762"/>
        <v>36204.299999999996</v>
      </c>
      <c r="K2425" s="737">
        <v>1201.25</v>
      </c>
      <c r="L2425" s="736"/>
      <c r="M2425" s="736">
        <f t="shared" si="763"/>
        <v>37405.549999999996</v>
      </c>
      <c r="N2425" s="736"/>
      <c r="O2425" s="736"/>
      <c r="P2425" s="736">
        <f t="shared" si="764"/>
        <v>37405.549999999996</v>
      </c>
      <c r="Q2425" s="738">
        <v>37405.550000000003</v>
      </c>
      <c r="R2425" s="738">
        <v>23827.54</v>
      </c>
      <c r="S2425" s="751">
        <v>38951.519999999997</v>
      </c>
      <c r="T2425" s="739">
        <v>1500521</v>
      </c>
      <c r="U2425" s="779">
        <v>43113.64</v>
      </c>
      <c r="V2425" s="741">
        <v>1500522</v>
      </c>
    </row>
    <row r="2426" spans="1:22" ht="15" x14ac:dyDescent="0.25">
      <c r="A2426" s="734">
        <v>1431</v>
      </c>
      <c r="B2426" s="735" t="s">
        <v>16</v>
      </c>
      <c r="C2426" s="736">
        <v>33324.910000000003</v>
      </c>
      <c r="D2426" s="736">
        <v>35296.959999999999</v>
      </c>
      <c r="E2426" s="749">
        <v>32465.96</v>
      </c>
      <c r="F2426" s="736">
        <v>35091.89</v>
      </c>
      <c r="G2426" s="736">
        <v>37290.5</v>
      </c>
      <c r="H2426" s="736"/>
      <c r="I2426" s="736"/>
      <c r="J2426" s="736">
        <f t="shared" si="762"/>
        <v>37290.5</v>
      </c>
      <c r="K2426" s="737">
        <v>1229.52</v>
      </c>
      <c r="L2426" s="736"/>
      <c r="M2426" s="736">
        <f t="shared" si="763"/>
        <v>38520.019999999997</v>
      </c>
      <c r="N2426" s="736"/>
      <c r="O2426" s="736"/>
      <c r="P2426" s="736">
        <f t="shared" si="764"/>
        <v>38520.019999999997</v>
      </c>
      <c r="Q2426" s="738">
        <v>38520.019999999997</v>
      </c>
      <c r="R2426" s="738">
        <v>24591.200000000001</v>
      </c>
      <c r="S2426" s="751">
        <v>40120.080000000002</v>
      </c>
      <c r="T2426" s="739">
        <v>1500521</v>
      </c>
      <c r="U2426" s="779">
        <v>43822.73</v>
      </c>
      <c r="V2426" s="741">
        <v>1500522</v>
      </c>
    </row>
    <row r="2427" spans="1:22" ht="15" x14ac:dyDescent="0.25">
      <c r="A2427" s="734">
        <v>1511</v>
      </c>
      <c r="B2427" s="735" t="s">
        <v>18</v>
      </c>
      <c r="C2427" s="736">
        <v>10196.06</v>
      </c>
      <c r="D2427" s="736">
        <v>11360.44</v>
      </c>
      <c r="E2427" s="749">
        <v>11360.44</v>
      </c>
      <c r="F2427" s="736">
        <v>11723.12</v>
      </c>
      <c r="G2427" s="736">
        <v>11935.6</v>
      </c>
      <c r="H2427" s="736"/>
      <c r="I2427" s="736"/>
      <c r="J2427" s="736">
        <f t="shared" si="762"/>
        <v>11935.6</v>
      </c>
      <c r="K2427" s="737">
        <v>399.89</v>
      </c>
      <c r="L2427" s="736"/>
      <c r="M2427" s="736">
        <f t="shared" si="763"/>
        <v>12335.49</v>
      </c>
      <c r="N2427" s="736"/>
      <c r="O2427" s="736"/>
      <c r="P2427" s="736">
        <f t="shared" si="764"/>
        <v>12335.49</v>
      </c>
      <c r="Q2427" s="738">
        <v>12335.49</v>
      </c>
      <c r="R2427" s="738">
        <v>8689.83</v>
      </c>
      <c r="S2427" s="751">
        <v>12841.92</v>
      </c>
      <c r="T2427" s="739">
        <v>1500521</v>
      </c>
      <c r="U2427" s="779">
        <v>12457.8</v>
      </c>
      <c r="V2427" s="741">
        <v>1500522</v>
      </c>
    </row>
    <row r="2428" spans="1:22" ht="15" x14ac:dyDescent="0.25">
      <c r="A2428" s="734">
        <v>1541</v>
      </c>
      <c r="B2428" s="735" t="s">
        <v>19</v>
      </c>
      <c r="C2428" s="736">
        <v>115494.64</v>
      </c>
      <c r="D2428" s="736">
        <v>143659.88</v>
      </c>
      <c r="E2428" s="749">
        <v>140529.92000000001</v>
      </c>
      <c r="F2428" s="736">
        <v>144786.31</v>
      </c>
      <c r="G2428" s="736">
        <v>190797.6</v>
      </c>
      <c r="H2428" s="736"/>
      <c r="I2428" s="736"/>
      <c r="J2428" s="736">
        <f t="shared" si="762"/>
        <v>190797.6</v>
      </c>
      <c r="K2428" s="737">
        <v>7262.79</v>
      </c>
      <c r="L2428" s="736"/>
      <c r="M2428" s="736">
        <f t="shared" si="763"/>
        <v>198060.39</v>
      </c>
      <c r="N2428" s="736"/>
      <c r="O2428" s="736"/>
      <c r="P2428" s="736">
        <f t="shared" si="764"/>
        <v>198060.39</v>
      </c>
      <c r="Q2428" s="738">
        <v>193920.06</v>
      </c>
      <c r="R2428" s="738">
        <v>120374.52</v>
      </c>
      <c r="S2428" s="751">
        <v>209056.64000000001</v>
      </c>
      <c r="T2428" s="739">
        <v>1500521</v>
      </c>
      <c r="U2428" s="779">
        <v>209056.64000000001</v>
      </c>
      <c r="V2428" s="741">
        <v>1500522</v>
      </c>
    </row>
    <row r="2429" spans="1:22" ht="15" x14ac:dyDescent="0.25">
      <c r="A2429" s="734">
        <v>1592</v>
      </c>
      <c r="B2429" s="735" t="s">
        <v>20</v>
      </c>
      <c r="C2429" s="736">
        <v>181756.43</v>
      </c>
      <c r="D2429" s="736">
        <v>203395.92</v>
      </c>
      <c r="E2429" s="749">
        <v>203395.92</v>
      </c>
      <c r="F2429" s="736">
        <v>209805.11</v>
      </c>
      <c r="G2429" s="736">
        <v>213682.6</v>
      </c>
      <c r="H2429" s="736"/>
      <c r="I2429" s="736"/>
      <c r="J2429" s="736">
        <f t="shared" si="762"/>
        <v>213682.6</v>
      </c>
      <c r="K2429" s="737">
        <v>7152.4</v>
      </c>
      <c r="L2429" s="736"/>
      <c r="M2429" s="736">
        <f t="shared" si="763"/>
        <v>220835</v>
      </c>
      <c r="N2429" s="736"/>
      <c r="O2429" s="736"/>
      <c r="P2429" s="736">
        <f t="shared" si="764"/>
        <v>220835</v>
      </c>
      <c r="Q2429" s="738">
        <v>236491.41</v>
      </c>
      <c r="R2429" s="738">
        <v>155347</v>
      </c>
      <c r="S2429" s="751">
        <v>229902.4</v>
      </c>
      <c r="T2429" s="739">
        <v>1500521</v>
      </c>
      <c r="U2429" s="779">
        <v>223083.17</v>
      </c>
      <c r="V2429" s="741">
        <v>1500522</v>
      </c>
    </row>
    <row r="2430" spans="1:22" ht="15" x14ac:dyDescent="0.2">
      <c r="A2430" s="739">
        <v>2111</v>
      </c>
      <c r="B2430" s="743" t="s">
        <v>1709</v>
      </c>
      <c r="C2430" s="736">
        <v>414.61</v>
      </c>
      <c r="D2430" s="736"/>
      <c r="E2430" s="736"/>
      <c r="F2430" s="736"/>
      <c r="G2430" s="736"/>
      <c r="H2430" s="736"/>
      <c r="I2430" s="736"/>
      <c r="J2430" s="736">
        <f t="shared" si="762"/>
        <v>0</v>
      </c>
      <c r="K2430" s="736"/>
      <c r="L2430" s="736"/>
      <c r="M2430" s="736">
        <f t="shared" si="763"/>
        <v>0</v>
      </c>
      <c r="N2430" s="736"/>
      <c r="O2430" s="736"/>
      <c r="P2430" s="738">
        <f t="shared" si="764"/>
        <v>0</v>
      </c>
      <c r="Q2430" s="738"/>
      <c r="R2430" s="738"/>
      <c r="S2430" s="738"/>
      <c r="T2430" s="739"/>
      <c r="U2430" s="745"/>
      <c r="V2430" s="739"/>
    </row>
    <row r="2431" spans="1:22" ht="15" x14ac:dyDescent="0.2">
      <c r="A2431" s="739">
        <v>2161</v>
      </c>
      <c r="B2431" s="743" t="s">
        <v>59</v>
      </c>
      <c r="C2431" s="736">
        <v>4995.99</v>
      </c>
      <c r="D2431" s="736">
        <v>5000</v>
      </c>
      <c r="E2431" s="749">
        <v>5000</v>
      </c>
      <c r="F2431" s="736">
        <v>0</v>
      </c>
      <c r="G2431" s="736"/>
      <c r="H2431" s="736"/>
      <c r="I2431" s="736"/>
      <c r="J2431" s="736">
        <f t="shared" si="762"/>
        <v>0</v>
      </c>
      <c r="K2431" s="736"/>
      <c r="L2431" s="736"/>
      <c r="M2431" s="736">
        <f t="shared" si="763"/>
        <v>0</v>
      </c>
      <c r="N2431" s="736"/>
      <c r="O2431" s="736"/>
      <c r="P2431" s="738">
        <f t="shared" si="764"/>
        <v>0</v>
      </c>
      <c r="Q2431" s="738"/>
      <c r="R2431" s="738"/>
      <c r="S2431" s="738"/>
      <c r="T2431" s="739">
        <v>1100121</v>
      </c>
      <c r="U2431" s="745"/>
      <c r="V2431" s="739">
        <v>1100122</v>
      </c>
    </row>
    <row r="2432" spans="1:22" ht="15" x14ac:dyDescent="0.2">
      <c r="A2432" s="734">
        <v>2221</v>
      </c>
      <c r="B2432" s="735" t="s">
        <v>152</v>
      </c>
      <c r="C2432" s="736">
        <v>19579.97</v>
      </c>
      <c r="D2432" s="736">
        <v>20000</v>
      </c>
      <c r="E2432" s="749">
        <v>15000</v>
      </c>
      <c r="F2432" s="736">
        <v>0</v>
      </c>
      <c r="G2432" s="752">
        <v>15000</v>
      </c>
      <c r="H2432" s="752"/>
      <c r="I2432" s="752"/>
      <c r="J2432" s="736">
        <f t="shared" si="762"/>
        <v>15000</v>
      </c>
      <c r="K2432" s="752"/>
      <c r="L2432" s="752"/>
      <c r="M2432" s="736">
        <f t="shared" si="763"/>
        <v>15000</v>
      </c>
      <c r="N2432" s="736"/>
      <c r="O2432" s="736"/>
      <c r="P2432" s="736">
        <f t="shared" si="764"/>
        <v>15000</v>
      </c>
      <c r="Q2432" s="753">
        <v>15000</v>
      </c>
      <c r="R2432" s="738">
        <v>7500</v>
      </c>
      <c r="S2432" s="753">
        <v>5000</v>
      </c>
      <c r="T2432" s="739">
        <v>1100121</v>
      </c>
      <c r="U2432" s="740">
        <v>10000</v>
      </c>
      <c r="V2432" s="741">
        <v>1100122</v>
      </c>
    </row>
    <row r="2433" spans="1:22" ht="15" x14ac:dyDescent="0.2">
      <c r="A2433" s="734">
        <v>2421</v>
      </c>
      <c r="B2433" s="735" t="s">
        <v>111</v>
      </c>
      <c r="C2433" s="736">
        <v>202586.53</v>
      </c>
      <c r="D2433" s="736">
        <v>240000</v>
      </c>
      <c r="E2433" s="749">
        <v>240000</v>
      </c>
      <c r="F2433" s="736">
        <v>239749.82</v>
      </c>
      <c r="G2433" s="752">
        <v>240000</v>
      </c>
      <c r="H2433" s="752"/>
      <c r="I2433" s="752"/>
      <c r="J2433" s="736">
        <f t="shared" si="762"/>
        <v>240000</v>
      </c>
      <c r="K2433" s="752"/>
      <c r="L2433" s="752"/>
      <c r="M2433" s="736">
        <f t="shared" si="763"/>
        <v>240000</v>
      </c>
      <c r="N2433" s="736"/>
      <c r="O2433" s="736"/>
      <c r="P2433" s="736">
        <f t="shared" si="764"/>
        <v>240000</v>
      </c>
      <c r="Q2433" s="753">
        <v>390000</v>
      </c>
      <c r="R2433" s="738">
        <v>206032.66</v>
      </c>
      <c r="S2433" s="753">
        <v>240000</v>
      </c>
      <c r="T2433" s="739">
        <v>1100121</v>
      </c>
      <c r="U2433" s="754">
        <v>280000</v>
      </c>
      <c r="V2433" s="741">
        <v>1100122</v>
      </c>
    </row>
    <row r="2434" spans="1:22" ht="15" x14ac:dyDescent="0.2">
      <c r="A2434" s="734">
        <v>2491</v>
      </c>
      <c r="B2434" s="735" t="s">
        <v>41</v>
      </c>
      <c r="C2434" s="736">
        <v>20630.5</v>
      </c>
      <c r="D2434" s="736">
        <v>0</v>
      </c>
      <c r="E2434" s="749">
        <v>3678.5</v>
      </c>
      <c r="F2434" s="736">
        <v>3678.5</v>
      </c>
      <c r="G2434" s="752">
        <v>10000</v>
      </c>
      <c r="H2434" s="752"/>
      <c r="I2434" s="752"/>
      <c r="J2434" s="736">
        <f t="shared" si="762"/>
        <v>10000</v>
      </c>
      <c r="K2434" s="752"/>
      <c r="L2434" s="752"/>
      <c r="M2434" s="736">
        <f t="shared" si="763"/>
        <v>10000</v>
      </c>
      <c r="N2434" s="736"/>
      <c r="O2434" s="736"/>
      <c r="P2434" s="736">
        <f t="shared" si="764"/>
        <v>10000</v>
      </c>
      <c r="Q2434" s="753">
        <v>10000</v>
      </c>
      <c r="R2434" s="738">
        <v>2146</v>
      </c>
      <c r="S2434" s="753">
        <v>60000</v>
      </c>
      <c r="T2434" s="739">
        <v>1100121</v>
      </c>
      <c r="U2434" s="740">
        <v>10000</v>
      </c>
      <c r="V2434" s="741">
        <v>1100122</v>
      </c>
    </row>
    <row r="2435" spans="1:22" ht="15" x14ac:dyDescent="0.2">
      <c r="A2435" s="739">
        <v>2522</v>
      </c>
      <c r="B2435" s="743" t="s">
        <v>147</v>
      </c>
      <c r="C2435" s="736"/>
      <c r="D2435" s="736">
        <v>8000</v>
      </c>
      <c r="E2435" s="749">
        <v>8000</v>
      </c>
      <c r="F2435" s="736">
        <v>0</v>
      </c>
      <c r="G2435" s="736"/>
      <c r="H2435" s="736"/>
      <c r="I2435" s="736"/>
      <c r="J2435" s="736">
        <f t="shared" si="762"/>
        <v>0</v>
      </c>
      <c r="K2435" s="736"/>
      <c r="L2435" s="736"/>
      <c r="M2435" s="736">
        <f t="shared" si="763"/>
        <v>0</v>
      </c>
      <c r="N2435" s="736"/>
      <c r="O2435" s="736"/>
      <c r="P2435" s="738">
        <f t="shared" si="764"/>
        <v>0</v>
      </c>
      <c r="Q2435" s="738"/>
      <c r="R2435" s="738"/>
      <c r="S2435" s="738"/>
      <c r="T2435" s="739">
        <v>1100121</v>
      </c>
      <c r="U2435" s="745"/>
      <c r="V2435" s="739">
        <v>1100122</v>
      </c>
    </row>
    <row r="2436" spans="1:22" ht="15" x14ac:dyDescent="0.25">
      <c r="A2436" s="739">
        <v>2531</v>
      </c>
      <c r="B2436" s="743" t="s">
        <v>145</v>
      </c>
      <c r="C2436" s="736"/>
      <c r="D2436" s="736"/>
      <c r="E2436" s="749"/>
      <c r="F2436" s="736"/>
      <c r="G2436" s="736"/>
      <c r="H2436" s="759">
        <v>2993.54</v>
      </c>
      <c r="I2436" s="736"/>
      <c r="J2436" s="736">
        <f t="shared" si="762"/>
        <v>2993.54</v>
      </c>
      <c r="K2436" s="759"/>
      <c r="L2436" s="736"/>
      <c r="M2436" s="736">
        <f t="shared" si="763"/>
        <v>2993.54</v>
      </c>
      <c r="N2436" s="736"/>
      <c r="O2436" s="736"/>
      <c r="P2436" s="736">
        <f t="shared" si="764"/>
        <v>2993.54</v>
      </c>
      <c r="Q2436" s="738"/>
      <c r="R2436" s="738"/>
      <c r="S2436" s="738"/>
      <c r="T2436" s="739">
        <v>1100120</v>
      </c>
      <c r="U2436" s="745"/>
      <c r="V2436" s="739">
        <v>1100120</v>
      </c>
    </row>
    <row r="2437" spans="1:22" ht="15" x14ac:dyDescent="0.2">
      <c r="A2437" s="739">
        <v>2531</v>
      </c>
      <c r="B2437" s="743" t="s">
        <v>145</v>
      </c>
      <c r="C2437" s="736">
        <v>2989.5</v>
      </c>
      <c r="D2437" s="736">
        <v>3000</v>
      </c>
      <c r="E2437" s="749">
        <v>3000</v>
      </c>
      <c r="F2437" s="736">
        <v>0</v>
      </c>
      <c r="G2437" s="736"/>
      <c r="H2437" s="736"/>
      <c r="I2437" s="736"/>
      <c r="J2437" s="736">
        <f t="shared" si="762"/>
        <v>0</v>
      </c>
      <c r="K2437" s="736"/>
      <c r="L2437" s="736"/>
      <c r="M2437" s="736">
        <f t="shared" si="763"/>
        <v>0</v>
      </c>
      <c r="N2437" s="736"/>
      <c r="O2437" s="736"/>
      <c r="P2437" s="738">
        <f t="shared" si="764"/>
        <v>0</v>
      </c>
      <c r="Q2437" s="738"/>
      <c r="R2437" s="738"/>
      <c r="S2437" s="738">
        <v>2000</v>
      </c>
      <c r="T2437" s="739">
        <v>1100121</v>
      </c>
      <c r="U2437" s="744"/>
      <c r="V2437" s="739">
        <v>1100122</v>
      </c>
    </row>
    <row r="2438" spans="1:22" ht="15" x14ac:dyDescent="0.2">
      <c r="A2438" s="739">
        <v>2711</v>
      </c>
      <c r="B2438" s="743" t="s">
        <v>27</v>
      </c>
      <c r="C2438" s="736"/>
      <c r="D2438" s="736">
        <v>10000</v>
      </c>
      <c r="E2438" s="749">
        <v>10000</v>
      </c>
      <c r="F2438" s="736">
        <v>10000</v>
      </c>
      <c r="G2438" s="736"/>
      <c r="H2438" s="736"/>
      <c r="I2438" s="736"/>
      <c r="J2438" s="736">
        <f t="shared" si="762"/>
        <v>0</v>
      </c>
      <c r="K2438" s="736"/>
      <c r="L2438" s="736"/>
      <c r="M2438" s="736">
        <f t="shared" si="763"/>
        <v>0</v>
      </c>
      <c r="N2438" s="736"/>
      <c r="O2438" s="736"/>
      <c r="P2438" s="738">
        <f t="shared" si="764"/>
        <v>0</v>
      </c>
      <c r="Q2438" s="738"/>
      <c r="R2438" s="738"/>
      <c r="S2438" s="738">
        <v>41250</v>
      </c>
      <c r="T2438" s="739">
        <v>1100121</v>
      </c>
      <c r="U2438" s="744"/>
      <c r="V2438" s="739">
        <v>1100122</v>
      </c>
    </row>
    <row r="2439" spans="1:22" ht="15" x14ac:dyDescent="0.2">
      <c r="A2439" s="734">
        <v>2722</v>
      </c>
      <c r="B2439" s="735" t="s">
        <v>1808</v>
      </c>
      <c r="C2439" s="736">
        <v>29999.919999999998</v>
      </c>
      <c r="D2439" s="736"/>
      <c r="E2439" s="749"/>
      <c r="F2439" s="736"/>
      <c r="G2439" s="752">
        <v>25000</v>
      </c>
      <c r="H2439" s="752"/>
      <c r="I2439" s="752"/>
      <c r="J2439" s="736">
        <f t="shared" si="762"/>
        <v>25000</v>
      </c>
      <c r="K2439" s="752"/>
      <c r="L2439" s="752"/>
      <c r="M2439" s="736">
        <f t="shared" si="763"/>
        <v>25000</v>
      </c>
      <c r="N2439" s="736"/>
      <c r="O2439" s="736"/>
      <c r="P2439" s="736">
        <f t="shared" si="764"/>
        <v>25000</v>
      </c>
      <c r="Q2439" s="753">
        <v>25000</v>
      </c>
      <c r="R2439" s="738">
        <v>12870.03</v>
      </c>
      <c r="S2439" s="753">
        <v>25000</v>
      </c>
      <c r="T2439" s="739">
        <v>1100121</v>
      </c>
      <c r="U2439" s="740">
        <v>25000</v>
      </c>
      <c r="V2439" s="741">
        <v>1100122</v>
      </c>
    </row>
    <row r="2440" spans="1:22" ht="15" x14ac:dyDescent="0.2">
      <c r="A2440" s="734">
        <v>2911</v>
      </c>
      <c r="B2440" s="735" t="s">
        <v>60</v>
      </c>
      <c r="C2440" s="736">
        <v>3450</v>
      </c>
      <c r="D2440" s="736">
        <v>7500</v>
      </c>
      <c r="E2440" s="749">
        <v>7500</v>
      </c>
      <c r="F2440" s="736">
        <v>0</v>
      </c>
      <c r="G2440" s="752">
        <v>5000</v>
      </c>
      <c r="H2440" s="752"/>
      <c r="I2440" s="752"/>
      <c r="J2440" s="736">
        <f t="shared" si="762"/>
        <v>5000</v>
      </c>
      <c r="K2440" s="752"/>
      <c r="L2440" s="752"/>
      <c r="M2440" s="736">
        <f t="shared" si="763"/>
        <v>5000</v>
      </c>
      <c r="N2440" s="736"/>
      <c r="O2440" s="736"/>
      <c r="P2440" s="736">
        <f t="shared" si="764"/>
        <v>5000</v>
      </c>
      <c r="Q2440" s="753">
        <v>5000</v>
      </c>
      <c r="R2440" s="738">
        <v>3538</v>
      </c>
      <c r="S2440" s="753">
        <v>8000</v>
      </c>
      <c r="T2440" s="739">
        <v>1100121</v>
      </c>
      <c r="U2440" s="740">
        <v>5000</v>
      </c>
      <c r="V2440" s="741">
        <v>1100122</v>
      </c>
    </row>
    <row r="2441" spans="1:22" ht="15" x14ac:dyDescent="0.2">
      <c r="A2441" s="734">
        <v>3111</v>
      </c>
      <c r="B2441" s="735" t="s">
        <v>47</v>
      </c>
      <c r="C2441" s="736">
        <v>50795</v>
      </c>
      <c r="D2441" s="736">
        <v>60000</v>
      </c>
      <c r="E2441" s="749">
        <v>48000</v>
      </c>
      <c r="F2441" s="736">
        <v>7137</v>
      </c>
      <c r="G2441" s="752">
        <v>60000</v>
      </c>
      <c r="H2441" s="752"/>
      <c r="I2441" s="752"/>
      <c r="J2441" s="736">
        <f t="shared" si="762"/>
        <v>60000</v>
      </c>
      <c r="K2441" s="752"/>
      <c r="L2441" s="752"/>
      <c r="M2441" s="736">
        <f t="shared" si="763"/>
        <v>60000</v>
      </c>
      <c r="N2441" s="736"/>
      <c r="O2441" s="736"/>
      <c r="P2441" s="736">
        <f t="shared" si="764"/>
        <v>60000</v>
      </c>
      <c r="Q2441" s="753">
        <v>60000</v>
      </c>
      <c r="R2441" s="738">
        <v>6520</v>
      </c>
      <c r="S2441" s="753">
        <v>60000</v>
      </c>
      <c r="T2441" s="739">
        <v>1100121</v>
      </c>
      <c r="U2441" s="746">
        <v>30000</v>
      </c>
      <c r="V2441" s="741">
        <v>1100122</v>
      </c>
    </row>
    <row r="2442" spans="1:22" ht="15" x14ac:dyDescent="0.2">
      <c r="A2442" s="739">
        <v>3131</v>
      </c>
      <c r="B2442" s="743" t="s">
        <v>61</v>
      </c>
      <c r="C2442" s="736"/>
      <c r="D2442" s="736">
        <v>2500</v>
      </c>
      <c r="E2442" s="749">
        <v>0</v>
      </c>
      <c r="F2442" s="736">
        <v>0</v>
      </c>
      <c r="G2442" s="736"/>
      <c r="H2442" s="736"/>
      <c r="I2442" s="736"/>
      <c r="J2442" s="736">
        <f t="shared" si="762"/>
        <v>0</v>
      </c>
      <c r="K2442" s="736"/>
      <c r="L2442" s="736"/>
      <c r="M2442" s="736">
        <f t="shared" si="763"/>
        <v>0</v>
      </c>
      <c r="N2442" s="736"/>
      <c r="O2442" s="736"/>
      <c r="P2442" s="738">
        <f t="shared" si="764"/>
        <v>0</v>
      </c>
      <c r="Q2442" s="738"/>
      <c r="R2442" s="738"/>
      <c r="S2442" s="738"/>
      <c r="T2442" s="739">
        <v>1100121</v>
      </c>
      <c r="U2442" s="744"/>
      <c r="V2442" s="739">
        <v>1100122</v>
      </c>
    </row>
    <row r="2443" spans="1:22" ht="15" x14ac:dyDescent="0.2">
      <c r="A2443" s="734">
        <v>3141</v>
      </c>
      <c r="B2443" s="735" t="s">
        <v>48</v>
      </c>
      <c r="C2443" s="736">
        <v>2167.84</v>
      </c>
      <c r="D2443" s="736">
        <v>3500</v>
      </c>
      <c r="E2443" s="749">
        <v>3500</v>
      </c>
      <c r="F2443" s="736">
        <v>3138.88</v>
      </c>
      <c r="G2443" s="752">
        <v>5000</v>
      </c>
      <c r="H2443" s="752"/>
      <c r="I2443" s="752"/>
      <c r="J2443" s="736">
        <f t="shared" si="762"/>
        <v>5000</v>
      </c>
      <c r="K2443" s="752"/>
      <c r="L2443" s="752"/>
      <c r="M2443" s="736">
        <f t="shared" si="763"/>
        <v>5000</v>
      </c>
      <c r="N2443" s="736"/>
      <c r="O2443" s="736"/>
      <c r="P2443" s="736">
        <f t="shared" si="764"/>
        <v>5000</v>
      </c>
      <c r="Q2443" s="753">
        <v>5000</v>
      </c>
      <c r="R2443" s="738"/>
      <c r="S2443" s="753">
        <v>5000</v>
      </c>
      <c r="T2443" s="739">
        <v>1100121</v>
      </c>
      <c r="U2443" s="746">
        <v>5000</v>
      </c>
      <c r="V2443" s="741">
        <v>1100122</v>
      </c>
    </row>
    <row r="2444" spans="1:22" ht="15" x14ac:dyDescent="0.2">
      <c r="A2444" s="734">
        <v>3151</v>
      </c>
      <c r="B2444" s="735" t="s">
        <v>28</v>
      </c>
      <c r="C2444" s="736">
        <v>7504.63</v>
      </c>
      <c r="D2444" s="736">
        <v>8800</v>
      </c>
      <c r="E2444" s="749">
        <v>12300</v>
      </c>
      <c r="F2444" s="736">
        <v>12201.88</v>
      </c>
      <c r="G2444" s="752">
        <v>16000</v>
      </c>
      <c r="H2444" s="752"/>
      <c r="I2444" s="752"/>
      <c r="J2444" s="736">
        <f t="shared" si="762"/>
        <v>16000</v>
      </c>
      <c r="K2444" s="752"/>
      <c r="L2444" s="752"/>
      <c r="M2444" s="736">
        <f t="shared" si="763"/>
        <v>16000</v>
      </c>
      <c r="N2444" s="736"/>
      <c r="O2444" s="736"/>
      <c r="P2444" s="736">
        <f t="shared" si="764"/>
        <v>16000</v>
      </c>
      <c r="Q2444" s="753">
        <v>16000</v>
      </c>
      <c r="R2444" s="738">
        <v>10202.459999999999</v>
      </c>
      <c r="S2444" s="753">
        <v>16000</v>
      </c>
      <c r="T2444" s="739">
        <v>1100121</v>
      </c>
      <c r="U2444" s="746">
        <v>18000</v>
      </c>
      <c r="V2444" s="741">
        <v>1100122</v>
      </c>
    </row>
    <row r="2445" spans="1:22" ht="15" x14ac:dyDescent="0.2">
      <c r="A2445" s="734">
        <v>3261</v>
      </c>
      <c r="B2445" s="735" t="s">
        <v>293</v>
      </c>
      <c r="C2445" s="736">
        <v>4636404</v>
      </c>
      <c r="D2445" s="736">
        <v>4784832</v>
      </c>
      <c r="E2445" s="749">
        <v>4687682</v>
      </c>
      <c r="F2445" s="736">
        <v>4099654.6</v>
      </c>
      <c r="G2445" s="752">
        <v>4719436.8</v>
      </c>
      <c r="H2445" s="752"/>
      <c r="I2445" s="752"/>
      <c r="J2445" s="736">
        <f t="shared" si="762"/>
        <v>4719436.8</v>
      </c>
      <c r="K2445" s="752"/>
      <c r="L2445" s="752"/>
      <c r="M2445" s="736">
        <f t="shared" si="763"/>
        <v>4719436.8</v>
      </c>
      <c r="N2445" s="736"/>
      <c r="O2445" s="736"/>
      <c r="P2445" s="736">
        <f t="shared" si="764"/>
        <v>4719436.8</v>
      </c>
      <c r="Q2445" s="753">
        <v>4569436.8</v>
      </c>
      <c r="R2445" s="738">
        <v>2544523.34</v>
      </c>
      <c r="S2445" s="753">
        <v>4500000</v>
      </c>
      <c r="T2445" s="739">
        <v>1100121</v>
      </c>
      <c r="U2445" s="754">
        <v>4500000</v>
      </c>
      <c r="V2445" s="741">
        <v>1100122</v>
      </c>
    </row>
    <row r="2446" spans="1:22" ht="15" x14ac:dyDescent="0.2">
      <c r="A2446" s="734">
        <v>3331</v>
      </c>
      <c r="B2446" s="735" t="s">
        <v>171</v>
      </c>
      <c r="C2446" s="736">
        <v>62558.62</v>
      </c>
      <c r="D2446" s="736">
        <v>80000</v>
      </c>
      <c r="E2446" s="749">
        <v>80000</v>
      </c>
      <c r="F2446" s="736">
        <v>61097.2</v>
      </c>
      <c r="G2446" s="752">
        <v>125000</v>
      </c>
      <c r="H2446" s="752"/>
      <c r="I2446" s="752"/>
      <c r="J2446" s="736">
        <f t="shared" si="762"/>
        <v>125000</v>
      </c>
      <c r="K2446" s="752"/>
      <c r="L2446" s="752"/>
      <c r="M2446" s="736">
        <f t="shared" si="763"/>
        <v>125000</v>
      </c>
      <c r="N2446" s="736"/>
      <c r="O2446" s="736"/>
      <c r="P2446" s="736">
        <f t="shared" si="764"/>
        <v>125000</v>
      </c>
      <c r="Q2446" s="753">
        <v>125000</v>
      </c>
      <c r="R2446" s="738"/>
      <c r="S2446" s="753">
        <v>150000</v>
      </c>
      <c r="T2446" s="739">
        <v>1100121</v>
      </c>
      <c r="U2446" s="754">
        <v>150000</v>
      </c>
      <c r="V2446" s="741">
        <v>1100122</v>
      </c>
    </row>
    <row r="2447" spans="1:22" ht="15" x14ac:dyDescent="0.25">
      <c r="A2447" s="739">
        <v>3571</v>
      </c>
      <c r="B2447" s="743" t="s">
        <v>65</v>
      </c>
      <c r="C2447" s="736"/>
      <c r="D2447" s="736"/>
      <c r="E2447" s="749"/>
      <c r="F2447" s="736"/>
      <c r="G2447" s="752"/>
      <c r="H2447" s="759">
        <v>7772</v>
      </c>
      <c r="I2447" s="752"/>
      <c r="J2447" s="736">
        <f t="shared" si="762"/>
        <v>7772</v>
      </c>
      <c r="K2447" s="759"/>
      <c r="L2447" s="752"/>
      <c r="M2447" s="736">
        <f t="shared" si="763"/>
        <v>7772</v>
      </c>
      <c r="N2447" s="736"/>
      <c r="O2447" s="736"/>
      <c r="P2447" s="736">
        <f t="shared" si="764"/>
        <v>7772</v>
      </c>
      <c r="Q2447" s="753">
        <v>7772</v>
      </c>
      <c r="R2447" s="738">
        <v>7772</v>
      </c>
      <c r="S2447" s="753"/>
      <c r="T2447" s="739">
        <v>1100120</v>
      </c>
      <c r="U2447" s="745"/>
      <c r="V2447" s="739">
        <v>1100120</v>
      </c>
    </row>
    <row r="2448" spans="1:22" ht="15" x14ac:dyDescent="0.2">
      <c r="A2448" s="739">
        <v>3571</v>
      </c>
      <c r="B2448" s="743" t="s">
        <v>65</v>
      </c>
      <c r="C2448" s="736">
        <v>34614.400000000001</v>
      </c>
      <c r="D2448" s="736">
        <v>35000</v>
      </c>
      <c r="E2448" s="749">
        <v>35000</v>
      </c>
      <c r="F2448" s="736">
        <v>24626.799999999999</v>
      </c>
      <c r="G2448" s="752">
        <v>35000</v>
      </c>
      <c r="H2448" s="752"/>
      <c r="I2448" s="752"/>
      <c r="J2448" s="736">
        <f t="shared" si="762"/>
        <v>35000</v>
      </c>
      <c r="K2448" s="752"/>
      <c r="L2448" s="752"/>
      <c r="M2448" s="736">
        <f t="shared" si="763"/>
        <v>35000</v>
      </c>
      <c r="N2448" s="736"/>
      <c r="O2448" s="736"/>
      <c r="P2448" s="736">
        <f t="shared" si="764"/>
        <v>35000</v>
      </c>
      <c r="Q2448" s="753">
        <v>35000</v>
      </c>
      <c r="R2448" s="738">
        <v>31760.799999999999</v>
      </c>
      <c r="S2448" s="753">
        <v>600000</v>
      </c>
      <c r="T2448" s="739">
        <v>1100121</v>
      </c>
      <c r="U2448" s="744"/>
      <c r="V2448" s="739">
        <v>1100122</v>
      </c>
    </row>
    <row r="2449" spans="1:22" ht="15" x14ac:dyDescent="0.2">
      <c r="A2449" s="739">
        <v>5411</v>
      </c>
      <c r="B2449" s="743" t="s">
        <v>123</v>
      </c>
      <c r="C2449" s="736">
        <v>1960000</v>
      </c>
      <c r="D2449" s="736"/>
      <c r="E2449" s="736"/>
      <c r="F2449" s="736"/>
      <c r="G2449" s="736"/>
      <c r="H2449" s="736"/>
      <c r="I2449" s="736"/>
      <c r="J2449" s="736">
        <f t="shared" si="762"/>
        <v>0</v>
      </c>
      <c r="K2449" s="736"/>
      <c r="L2449" s="736"/>
      <c r="M2449" s="736">
        <f t="shared" si="763"/>
        <v>0</v>
      </c>
      <c r="N2449" s="736"/>
      <c r="O2449" s="736"/>
      <c r="P2449" s="738">
        <f t="shared" si="764"/>
        <v>0</v>
      </c>
      <c r="Q2449" s="738"/>
      <c r="R2449" s="738"/>
      <c r="S2449" s="738"/>
      <c r="T2449" s="739"/>
      <c r="U2449" s="745"/>
      <c r="V2449" s="739"/>
    </row>
    <row r="2450" spans="1:22" ht="15" x14ac:dyDescent="0.2">
      <c r="A2450" s="739">
        <v>5691</v>
      </c>
      <c r="B2450" s="743" t="s">
        <v>112</v>
      </c>
      <c r="C2450" s="736"/>
      <c r="D2450" s="736">
        <v>0</v>
      </c>
      <c r="E2450" s="749">
        <v>12789</v>
      </c>
      <c r="F2450" s="736">
        <v>46930.43</v>
      </c>
      <c r="G2450" s="736"/>
      <c r="H2450" s="736"/>
      <c r="I2450" s="736"/>
      <c r="J2450" s="736">
        <f t="shared" si="762"/>
        <v>0</v>
      </c>
      <c r="K2450" s="736"/>
      <c r="L2450" s="736"/>
      <c r="M2450" s="736">
        <f t="shared" si="763"/>
        <v>0</v>
      </c>
      <c r="N2450" s="736"/>
      <c r="O2450" s="736"/>
      <c r="P2450" s="738">
        <f t="shared" si="764"/>
        <v>0</v>
      </c>
      <c r="Q2450" s="738"/>
      <c r="R2450" s="738"/>
      <c r="S2450" s="738"/>
      <c r="T2450" s="739">
        <v>1100118</v>
      </c>
      <c r="U2450" s="745"/>
      <c r="V2450" s="739">
        <v>1100118</v>
      </c>
    </row>
    <row r="2451" spans="1:22" ht="15" x14ac:dyDescent="0.2">
      <c r="A2451" s="739">
        <v>5691</v>
      </c>
      <c r="B2451" s="743" t="s">
        <v>112</v>
      </c>
      <c r="C2451" s="736"/>
      <c r="D2451" s="736">
        <v>0</v>
      </c>
      <c r="E2451" s="749">
        <v>97000</v>
      </c>
      <c r="F2451" s="736">
        <v>0</v>
      </c>
      <c r="G2451" s="736"/>
      <c r="H2451" s="736"/>
      <c r="I2451" s="736"/>
      <c r="J2451" s="736">
        <f t="shared" si="762"/>
        <v>0</v>
      </c>
      <c r="K2451" s="736"/>
      <c r="L2451" s="736"/>
      <c r="M2451" s="736">
        <f t="shared" si="763"/>
        <v>0</v>
      </c>
      <c r="N2451" s="736"/>
      <c r="O2451" s="736"/>
      <c r="P2451" s="738">
        <f t="shared" si="764"/>
        <v>0</v>
      </c>
      <c r="Q2451" s="738"/>
      <c r="R2451" s="738"/>
      <c r="S2451" s="738"/>
      <c r="T2451" s="739">
        <v>1100119</v>
      </c>
      <c r="U2451" s="745"/>
      <c r="V2451" s="739">
        <v>1100119</v>
      </c>
    </row>
    <row r="2452" spans="1:22" ht="15" x14ac:dyDescent="0.2">
      <c r="A2452" s="739">
        <v>5691</v>
      </c>
      <c r="B2452" s="743" t="s">
        <v>112</v>
      </c>
      <c r="C2452" s="736"/>
      <c r="D2452" s="736"/>
      <c r="E2452" s="749"/>
      <c r="F2452" s="736"/>
      <c r="G2452" s="736"/>
      <c r="H2452" s="736">
        <v>12789</v>
      </c>
      <c r="I2452" s="736"/>
      <c r="J2452" s="736">
        <f t="shared" si="762"/>
        <v>12789</v>
      </c>
      <c r="K2452" s="736"/>
      <c r="L2452" s="736"/>
      <c r="M2452" s="736">
        <f t="shared" si="763"/>
        <v>12789</v>
      </c>
      <c r="N2452" s="736"/>
      <c r="O2452" s="736"/>
      <c r="P2452" s="736">
        <f t="shared" si="764"/>
        <v>12789</v>
      </c>
      <c r="Q2452" s="738">
        <v>12789</v>
      </c>
      <c r="R2452" s="738">
        <v>12789</v>
      </c>
      <c r="S2452" s="738"/>
      <c r="T2452" s="739">
        <v>1100120</v>
      </c>
      <c r="U2452" s="745"/>
      <c r="V2452" s="739">
        <v>1100120</v>
      </c>
    </row>
    <row r="2453" spans="1:22" ht="15" x14ac:dyDescent="0.2">
      <c r="A2453" s="734">
        <v>5691</v>
      </c>
      <c r="B2453" s="735" t="s">
        <v>112</v>
      </c>
      <c r="C2453" s="736"/>
      <c r="D2453" s="736">
        <v>100000</v>
      </c>
      <c r="E2453" s="749"/>
      <c r="F2453" s="736">
        <v>50069.57</v>
      </c>
      <c r="G2453" s="752">
        <v>20000</v>
      </c>
      <c r="H2453" s="752"/>
      <c r="I2453" s="752"/>
      <c r="J2453" s="736">
        <f t="shared" si="762"/>
        <v>20000</v>
      </c>
      <c r="K2453" s="752"/>
      <c r="L2453" s="752"/>
      <c r="M2453" s="736">
        <f t="shared" si="763"/>
        <v>20000</v>
      </c>
      <c r="N2453" s="736"/>
      <c r="O2453" s="736"/>
      <c r="P2453" s="736">
        <f t="shared" si="764"/>
        <v>20000</v>
      </c>
      <c r="Q2453" s="753">
        <v>20000</v>
      </c>
      <c r="R2453" s="738"/>
      <c r="S2453" s="753">
        <v>38000</v>
      </c>
      <c r="T2453" s="739">
        <v>1500521</v>
      </c>
      <c r="U2453" s="746">
        <v>38000</v>
      </c>
      <c r="V2453" s="741">
        <v>1100122</v>
      </c>
    </row>
    <row r="2454" spans="1:22" ht="15" x14ac:dyDescent="0.25">
      <c r="A2454" s="739">
        <v>5911</v>
      </c>
      <c r="B2454" s="743" t="s">
        <v>68</v>
      </c>
      <c r="C2454" s="736"/>
      <c r="D2454" s="736"/>
      <c r="E2454" s="749"/>
      <c r="F2454" s="736"/>
      <c r="G2454" s="752"/>
      <c r="H2454" s="759">
        <v>30508</v>
      </c>
      <c r="I2454" s="752"/>
      <c r="J2454" s="736">
        <f t="shared" si="762"/>
        <v>30508</v>
      </c>
      <c r="K2454" s="759"/>
      <c r="L2454" s="752"/>
      <c r="M2454" s="736">
        <f t="shared" si="763"/>
        <v>30508</v>
      </c>
      <c r="N2454" s="736"/>
      <c r="O2454" s="736"/>
      <c r="P2454" s="736">
        <f t="shared" si="764"/>
        <v>30508</v>
      </c>
      <c r="Q2454" s="753">
        <v>30508</v>
      </c>
      <c r="R2454" s="738">
        <v>30508</v>
      </c>
      <c r="S2454" s="753"/>
      <c r="T2454" s="739">
        <v>1100120</v>
      </c>
      <c r="U2454" s="745"/>
      <c r="V2454" s="739">
        <v>1100120</v>
      </c>
    </row>
    <row r="2455" spans="1:22" ht="15" x14ac:dyDescent="0.2">
      <c r="A2455" s="739">
        <v>5911</v>
      </c>
      <c r="B2455" s="743" t="s">
        <v>68</v>
      </c>
      <c r="C2455" s="736"/>
      <c r="D2455" s="736">
        <v>0</v>
      </c>
      <c r="E2455" s="749">
        <v>30508</v>
      </c>
      <c r="F2455" s="736">
        <v>0</v>
      </c>
      <c r="G2455" s="736"/>
      <c r="H2455" s="736"/>
      <c r="I2455" s="736"/>
      <c r="J2455" s="736">
        <f t="shared" si="762"/>
        <v>0</v>
      </c>
      <c r="K2455" s="736"/>
      <c r="L2455" s="736"/>
      <c r="M2455" s="736">
        <f t="shared" si="763"/>
        <v>0</v>
      </c>
      <c r="N2455" s="736"/>
      <c r="O2455" s="736"/>
      <c r="P2455" s="738">
        <f t="shared" si="764"/>
        <v>0</v>
      </c>
      <c r="Q2455" s="738"/>
      <c r="R2455" s="738"/>
      <c r="S2455" s="738"/>
      <c r="T2455" s="739">
        <v>1100119</v>
      </c>
      <c r="U2455" s="745"/>
      <c r="V2455" s="739">
        <v>1100119</v>
      </c>
    </row>
    <row r="2456" spans="1:22" ht="15" x14ac:dyDescent="0.2">
      <c r="A2456" s="728" t="s">
        <v>306</v>
      </c>
      <c r="B2456" s="729" t="s">
        <v>1585</v>
      </c>
      <c r="C2456" s="730">
        <f t="shared" ref="C2456:S2456" si="765">SUM(C2457:C2500)</f>
        <v>110217156.35000002</v>
      </c>
      <c r="D2456" s="730">
        <f t="shared" si="765"/>
        <v>112875129.98</v>
      </c>
      <c r="E2456" s="730">
        <f t="shared" si="765"/>
        <v>105043488.67</v>
      </c>
      <c r="F2456" s="730">
        <f t="shared" si="765"/>
        <v>101797223.31999999</v>
      </c>
      <c r="G2456" s="730">
        <f t="shared" si="765"/>
        <v>92381487.600000009</v>
      </c>
      <c r="H2456" s="730">
        <f t="shared" si="765"/>
        <v>2061750</v>
      </c>
      <c r="I2456" s="730">
        <f t="shared" si="765"/>
        <v>2000000</v>
      </c>
      <c r="J2456" s="730">
        <f t="shared" si="765"/>
        <v>92443237.600000009</v>
      </c>
      <c r="K2456" s="730">
        <f t="shared" si="765"/>
        <v>491247.43</v>
      </c>
      <c r="L2456" s="730">
        <f t="shared" si="765"/>
        <v>2300000.02</v>
      </c>
      <c r="M2456" s="730">
        <f t="shared" si="765"/>
        <v>90634485.010000005</v>
      </c>
      <c r="N2456" s="730">
        <f t="shared" si="765"/>
        <v>1100000</v>
      </c>
      <c r="O2456" s="730">
        <f t="shared" si="765"/>
        <v>40000</v>
      </c>
      <c r="P2456" s="730">
        <f t="shared" si="765"/>
        <v>91694485.010000005</v>
      </c>
      <c r="Q2456" s="748">
        <f t="shared" si="765"/>
        <v>91690714.930000007</v>
      </c>
      <c r="R2456" s="748">
        <f t="shared" si="765"/>
        <v>63421272.630000003</v>
      </c>
      <c r="S2456" s="748">
        <f t="shared" si="765"/>
        <v>97310717.719999999</v>
      </c>
      <c r="T2456" s="731"/>
      <c r="U2456" s="732">
        <f>SUM(U2457:U2500)</f>
        <v>85873264.730000004</v>
      </c>
      <c r="V2456" s="733"/>
    </row>
    <row r="2457" spans="1:22" ht="15" x14ac:dyDescent="0.25">
      <c r="A2457" s="734">
        <v>1131</v>
      </c>
      <c r="B2457" s="735" t="s">
        <v>6</v>
      </c>
      <c r="C2457" s="736">
        <v>1177165.05</v>
      </c>
      <c r="D2457" s="736">
        <v>1281017.92</v>
      </c>
      <c r="E2457" s="749">
        <v>1272281.92</v>
      </c>
      <c r="F2457" s="736">
        <v>1391040.89</v>
      </c>
      <c r="G2457" s="736">
        <v>1393738.5</v>
      </c>
      <c r="H2457" s="736"/>
      <c r="I2457" s="736"/>
      <c r="J2457" s="736">
        <f t="shared" ref="J2457:J2476" si="766">G2457+H2457-I2457</f>
        <v>1393738.5</v>
      </c>
      <c r="K2457" s="737">
        <v>6268.38</v>
      </c>
      <c r="L2457" s="736"/>
      <c r="M2457" s="736">
        <f t="shared" ref="M2457:M2476" si="767">J2457+K2457-L2457</f>
        <v>1400006.88</v>
      </c>
      <c r="N2457" s="736"/>
      <c r="O2457" s="736"/>
      <c r="P2457" s="736">
        <f t="shared" ref="P2457:P2476" si="768">M2457+N2457-O2457</f>
        <v>1400006.88</v>
      </c>
      <c r="Q2457" s="738">
        <v>1394677.12</v>
      </c>
      <c r="R2457" s="738">
        <v>1015433.4</v>
      </c>
      <c r="S2457" s="751">
        <v>1447806.36</v>
      </c>
      <c r="T2457" s="739">
        <v>1500521</v>
      </c>
      <c r="U2457" s="779">
        <v>1453074.73</v>
      </c>
      <c r="V2457" s="741">
        <v>1500522</v>
      </c>
    </row>
    <row r="2458" spans="1:22" ht="15" x14ac:dyDescent="0.25">
      <c r="A2458" s="734">
        <v>1132</v>
      </c>
      <c r="B2458" s="735" t="s">
        <v>8</v>
      </c>
      <c r="C2458" s="736">
        <v>338808.96</v>
      </c>
      <c r="D2458" s="736">
        <v>361331.88</v>
      </c>
      <c r="E2458" s="749">
        <v>307683.88</v>
      </c>
      <c r="F2458" s="736">
        <v>254037.87</v>
      </c>
      <c r="G2458" s="736"/>
      <c r="H2458" s="736"/>
      <c r="I2458" s="736"/>
      <c r="J2458" s="736">
        <f t="shared" si="766"/>
        <v>0</v>
      </c>
      <c r="K2458" s="737">
        <v>195157.53</v>
      </c>
      <c r="L2458" s="736"/>
      <c r="M2458" s="736">
        <f t="shared" si="767"/>
        <v>195157.53</v>
      </c>
      <c r="N2458" s="736"/>
      <c r="O2458" s="736"/>
      <c r="P2458" s="736">
        <f t="shared" si="768"/>
        <v>195157.53</v>
      </c>
      <c r="Q2458" s="738">
        <v>202793.84</v>
      </c>
      <c r="R2458" s="738">
        <v>144732.84</v>
      </c>
      <c r="S2458" s="751">
        <v>364819</v>
      </c>
      <c r="T2458" s="739">
        <v>1500521</v>
      </c>
      <c r="U2458" s="779">
        <v>344006.6</v>
      </c>
      <c r="V2458" s="741">
        <v>1500522</v>
      </c>
    </row>
    <row r="2459" spans="1:22" ht="15" x14ac:dyDescent="0.25">
      <c r="A2459" s="734">
        <v>1321</v>
      </c>
      <c r="B2459" s="735" t="s">
        <v>9</v>
      </c>
      <c r="C2459" s="736">
        <v>104954.76</v>
      </c>
      <c r="D2459" s="736">
        <v>115121.42</v>
      </c>
      <c r="E2459" s="749">
        <v>105251.42</v>
      </c>
      <c r="F2459" s="736">
        <v>105251.42</v>
      </c>
      <c r="G2459" s="736">
        <v>101421</v>
      </c>
      <c r="H2459" s="736"/>
      <c r="I2459" s="736"/>
      <c r="J2459" s="736">
        <f t="shared" si="766"/>
        <v>101421</v>
      </c>
      <c r="K2459" s="737">
        <v>25121.32</v>
      </c>
      <c r="L2459" s="736"/>
      <c r="M2459" s="736">
        <f t="shared" si="767"/>
        <v>126542.32</v>
      </c>
      <c r="N2459" s="736"/>
      <c r="O2459" s="736"/>
      <c r="P2459" s="736">
        <f t="shared" si="768"/>
        <v>126542.32</v>
      </c>
      <c r="Q2459" s="738">
        <v>126542.32</v>
      </c>
      <c r="R2459" s="738">
        <v>51493.35</v>
      </c>
      <c r="S2459" s="751">
        <v>135165.79999999999</v>
      </c>
      <c r="T2459" s="739">
        <v>1500521</v>
      </c>
      <c r="U2459" s="779">
        <v>127454.79</v>
      </c>
      <c r="V2459" s="741">
        <v>1500522</v>
      </c>
    </row>
    <row r="2460" spans="1:22" ht="15" x14ac:dyDescent="0.25">
      <c r="A2460" s="734">
        <v>1322</v>
      </c>
      <c r="B2460" s="735" t="s">
        <v>182</v>
      </c>
      <c r="C2460" s="736">
        <v>5584.2</v>
      </c>
      <c r="D2460" s="736">
        <v>9600</v>
      </c>
      <c r="E2460" s="749">
        <v>8721.58</v>
      </c>
      <c r="F2460" s="736">
        <v>7675.01</v>
      </c>
      <c r="G2460" s="736">
        <v>8721.6</v>
      </c>
      <c r="H2460" s="736"/>
      <c r="I2460" s="736"/>
      <c r="J2460" s="736">
        <f t="shared" si="766"/>
        <v>8721.6</v>
      </c>
      <c r="K2460" s="736"/>
      <c r="L2460" s="736">
        <v>0.02</v>
      </c>
      <c r="M2460" s="736">
        <f t="shared" si="767"/>
        <v>8721.58</v>
      </c>
      <c r="N2460" s="736"/>
      <c r="O2460" s="736"/>
      <c r="P2460" s="736">
        <f t="shared" si="768"/>
        <v>8721.58</v>
      </c>
      <c r="Q2460" s="738">
        <v>8721.58</v>
      </c>
      <c r="R2460" s="738">
        <v>673.03</v>
      </c>
      <c r="S2460" s="751">
        <v>8721.58</v>
      </c>
      <c r="T2460" s="739">
        <v>1500521</v>
      </c>
      <c r="U2460" s="779">
        <v>8721.58</v>
      </c>
      <c r="V2460" s="741">
        <v>1500522</v>
      </c>
    </row>
    <row r="2461" spans="1:22" ht="15" x14ac:dyDescent="0.25">
      <c r="A2461" s="734">
        <v>1323</v>
      </c>
      <c r="B2461" s="735" t="s">
        <v>11</v>
      </c>
      <c r="C2461" s="736">
        <v>300410</v>
      </c>
      <c r="D2461" s="736">
        <v>323585</v>
      </c>
      <c r="E2461" s="749">
        <v>363968</v>
      </c>
      <c r="F2461" s="736">
        <v>300995</v>
      </c>
      <c r="G2461" s="736">
        <v>277293.19999999995</v>
      </c>
      <c r="H2461" s="736"/>
      <c r="I2461" s="736"/>
      <c r="J2461" s="736">
        <f t="shared" si="766"/>
        <v>277293.19999999995</v>
      </c>
      <c r="K2461" s="737">
        <v>99803.88</v>
      </c>
      <c r="L2461" s="736"/>
      <c r="M2461" s="736">
        <f t="shared" si="767"/>
        <v>377097.07999999996</v>
      </c>
      <c r="N2461" s="736"/>
      <c r="O2461" s="736"/>
      <c r="P2461" s="736">
        <f t="shared" si="768"/>
        <v>377097.07999999996</v>
      </c>
      <c r="Q2461" s="738">
        <v>365153.53</v>
      </c>
      <c r="R2461" s="738">
        <v>244896.46</v>
      </c>
      <c r="S2461" s="751">
        <v>358790</v>
      </c>
      <c r="T2461" s="739">
        <v>1500521</v>
      </c>
      <c r="U2461" s="779">
        <v>330153.90000000002</v>
      </c>
      <c r="V2461" s="741">
        <v>1500522</v>
      </c>
    </row>
    <row r="2462" spans="1:22" ht="15" x14ac:dyDescent="0.25">
      <c r="A2462" s="734">
        <v>1331</v>
      </c>
      <c r="B2462" s="735" t="s">
        <v>183</v>
      </c>
      <c r="C2462" s="736">
        <v>1675.91</v>
      </c>
      <c r="D2462" s="736">
        <v>135000</v>
      </c>
      <c r="E2462" s="749">
        <v>45500</v>
      </c>
      <c r="F2462" s="736">
        <v>19599.71</v>
      </c>
      <c r="G2462" s="736">
        <v>45500</v>
      </c>
      <c r="H2462" s="736"/>
      <c r="I2462" s="736"/>
      <c r="J2462" s="736">
        <f t="shared" si="766"/>
        <v>45500</v>
      </c>
      <c r="K2462" s="736"/>
      <c r="L2462" s="736"/>
      <c r="M2462" s="736">
        <f t="shared" si="767"/>
        <v>45500</v>
      </c>
      <c r="N2462" s="736"/>
      <c r="O2462" s="736"/>
      <c r="P2462" s="736">
        <f t="shared" si="768"/>
        <v>45500</v>
      </c>
      <c r="Q2462" s="738">
        <v>45500</v>
      </c>
      <c r="R2462" s="738"/>
      <c r="S2462" s="751">
        <v>45500</v>
      </c>
      <c r="T2462" s="739">
        <v>1500521</v>
      </c>
      <c r="U2462" s="779">
        <v>45500</v>
      </c>
      <c r="V2462" s="741">
        <v>1500522</v>
      </c>
    </row>
    <row r="2463" spans="1:22" ht="15" x14ac:dyDescent="0.25">
      <c r="A2463" s="734">
        <v>1413</v>
      </c>
      <c r="B2463" s="735" t="s">
        <v>13</v>
      </c>
      <c r="C2463" s="736">
        <v>384866.86</v>
      </c>
      <c r="D2463" s="736">
        <v>471715.98</v>
      </c>
      <c r="E2463" s="749">
        <v>434620.68</v>
      </c>
      <c r="F2463" s="736">
        <v>429353.58</v>
      </c>
      <c r="G2463" s="736">
        <v>457538.69999999995</v>
      </c>
      <c r="H2463" s="736"/>
      <c r="I2463" s="736"/>
      <c r="J2463" s="736">
        <f t="shared" si="766"/>
        <v>457538.69999999995</v>
      </c>
      <c r="K2463" s="737">
        <v>16986.349999999999</v>
      </c>
      <c r="L2463" s="736"/>
      <c r="M2463" s="736">
        <f t="shared" si="767"/>
        <v>474525.04999999993</v>
      </c>
      <c r="N2463" s="736"/>
      <c r="O2463" s="736"/>
      <c r="P2463" s="736">
        <f t="shared" si="768"/>
        <v>474525.04999999993</v>
      </c>
      <c r="Q2463" s="738">
        <v>474525.05</v>
      </c>
      <c r="R2463" s="738">
        <v>361811.29</v>
      </c>
      <c r="S2463" s="751">
        <v>599557.56000000006</v>
      </c>
      <c r="T2463" s="739">
        <v>1500521</v>
      </c>
      <c r="U2463" s="779">
        <v>490824.4</v>
      </c>
      <c r="V2463" s="741">
        <v>1500522</v>
      </c>
    </row>
    <row r="2464" spans="1:22" ht="15" x14ac:dyDescent="0.25">
      <c r="A2464" s="734">
        <v>1421</v>
      </c>
      <c r="B2464" s="735" t="s">
        <v>15</v>
      </c>
      <c r="C2464" s="736">
        <v>127925.88</v>
      </c>
      <c r="D2464" s="736">
        <v>136929.35999999999</v>
      </c>
      <c r="E2464" s="749">
        <v>116045.36</v>
      </c>
      <c r="F2464" s="736">
        <v>123518.48</v>
      </c>
      <c r="G2464" s="736">
        <v>122471</v>
      </c>
      <c r="H2464" s="736"/>
      <c r="I2464" s="736"/>
      <c r="J2464" s="736">
        <f t="shared" si="766"/>
        <v>122471</v>
      </c>
      <c r="K2464" s="737">
        <v>4595.01</v>
      </c>
      <c r="L2464" s="736"/>
      <c r="M2464" s="736">
        <f t="shared" si="767"/>
        <v>127066.01</v>
      </c>
      <c r="N2464" s="736"/>
      <c r="O2464" s="736"/>
      <c r="P2464" s="736">
        <f t="shared" si="768"/>
        <v>127066.01</v>
      </c>
      <c r="Q2464" s="738">
        <v>127066.01</v>
      </c>
      <c r="R2464" s="738">
        <v>90818.51</v>
      </c>
      <c r="S2464" s="751">
        <v>157822.79999999999</v>
      </c>
      <c r="T2464" s="739">
        <v>1500521</v>
      </c>
      <c r="U2464" s="779">
        <v>166569.85999999999</v>
      </c>
      <c r="V2464" s="741">
        <v>1500522</v>
      </c>
    </row>
    <row r="2465" spans="1:22" ht="15" x14ac:dyDescent="0.25">
      <c r="A2465" s="734">
        <v>1431</v>
      </c>
      <c r="B2465" s="735" t="s">
        <v>16</v>
      </c>
      <c r="C2465" s="736">
        <v>129222.71</v>
      </c>
      <c r="D2465" s="736">
        <v>141037.34</v>
      </c>
      <c r="E2465" s="749">
        <v>121398.34</v>
      </c>
      <c r="F2465" s="736">
        <v>130232.18</v>
      </c>
      <c r="G2465" s="736">
        <v>126144.6</v>
      </c>
      <c r="H2465" s="736"/>
      <c r="I2465" s="736"/>
      <c r="J2465" s="736">
        <f t="shared" si="766"/>
        <v>126144.6</v>
      </c>
      <c r="K2465" s="737">
        <v>4706.63</v>
      </c>
      <c r="L2465" s="736"/>
      <c r="M2465" s="736">
        <f t="shared" si="767"/>
        <v>130851.23000000001</v>
      </c>
      <c r="N2465" s="736"/>
      <c r="O2465" s="736"/>
      <c r="P2465" s="736">
        <f t="shared" si="768"/>
        <v>130851.23000000001</v>
      </c>
      <c r="Q2465" s="738">
        <v>130851.23</v>
      </c>
      <c r="R2465" s="738">
        <v>93625.08</v>
      </c>
      <c r="S2465" s="751">
        <v>162557.16</v>
      </c>
      <c r="T2465" s="739">
        <v>1500521</v>
      </c>
      <c r="U2465" s="779">
        <v>168437.51</v>
      </c>
      <c r="V2465" s="741">
        <v>1500522</v>
      </c>
    </row>
    <row r="2466" spans="1:22" ht="15" x14ac:dyDescent="0.25">
      <c r="A2466" s="734">
        <v>1511</v>
      </c>
      <c r="B2466" s="735" t="s">
        <v>18</v>
      </c>
      <c r="C2466" s="736">
        <v>41647.599999999999</v>
      </c>
      <c r="D2466" s="736">
        <v>47101.599999999999</v>
      </c>
      <c r="E2466" s="749">
        <v>43277.9</v>
      </c>
      <c r="F2466" s="736">
        <v>44617.53</v>
      </c>
      <c r="G2466" s="736">
        <v>40451.4</v>
      </c>
      <c r="H2466" s="736"/>
      <c r="I2466" s="736"/>
      <c r="J2466" s="736">
        <f t="shared" si="766"/>
        <v>40451.4</v>
      </c>
      <c r="K2466" s="737">
        <v>1355.34</v>
      </c>
      <c r="L2466" s="736"/>
      <c r="M2466" s="736">
        <f t="shared" si="767"/>
        <v>41806.74</v>
      </c>
      <c r="N2466" s="736"/>
      <c r="O2466" s="736"/>
      <c r="P2466" s="736">
        <f t="shared" si="768"/>
        <v>41806.74</v>
      </c>
      <c r="Q2466" s="738">
        <v>41806.74</v>
      </c>
      <c r="R2466" s="738">
        <v>32982.28</v>
      </c>
      <c r="S2466" s="751">
        <v>52241.279999999999</v>
      </c>
      <c r="T2466" s="739">
        <v>1500521</v>
      </c>
      <c r="U2466" s="779">
        <v>47818.75</v>
      </c>
      <c r="V2466" s="741">
        <v>1500522</v>
      </c>
    </row>
    <row r="2467" spans="1:22" ht="15" x14ac:dyDescent="0.25">
      <c r="A2467" s="734">
        <v>1541</v>
      </c>
      <c r="B2467" s="735" t="s">
        <v>19</v>
      </c>
      <c r="C2467" s="736">
        <v>513242.04</v>
      </c>
      <c r="D2467" s="736">
        <v>603940.48</v>
      </c>
      <c r="E2467" s="749">
        <v>601247.1</v>
      </c>
      <c r="F2467" s="736">
        <v>620031.23</v>
      </c>
      <c r="G2467" s="736">
        <v>813338.7</v>
      </c>
      <c r="H2467" s="736"/>
      <c r="I2467" s="736"/>
      <c r="J2467" s="736">
        <f t="shared" si="766"/>
        <v>813338.7</v>
      </c>
      <c r="K2467" s="737">
        <v>30959.69</v>
      </c>
      <c r="L2467" s="736"/>
      <c r="M2467" s="736">
        <f t="shared" si="767"/>
        <v>844298.3899999999</v>
      </c>
      <c r="N2467" s="736"/>
      <c r="O2467" s="736"/>
      <c r="P2467" s="736">
        <f t="shared" si="768"/>
        <v>844298.3899999999</v>
      </c>
      <c r="Q2467" s="738">
        <v>844298.39</v>
      </c>
      <c r="R2467" s="738">
        <v>491533.73</v>
      </c>
      <c r="S2467" s="751">
        <v>828209.46</v>
      </c>
      <c r="T2467" s="739">
        <v>1500521</v>
      </c>
      <c r="U2467" s="779">
        <v>828209.46</v>
      </c>
      <c r="V2467" s="741">
        <v>1500522</v>
      </c>
    </row>
    <row r="2468" spans="1:22" ht="15" x14ac:dyDescent="0.25">
      <c r="A2468" s="734">
        <v>1592</v>
      </c>
      <c r="B2468" s="735" t="s">
        <v>20</v>
      </c>
      <c r="C2468" s="736">
        <v>621534.82999999996</v>
      </c>
      <c r="D2468" s="736">
        <v>713349</v>
      </c>
      <c r="E2468" s="749">
        <v>675455.55</v>
      </c>
      <c r="F2468" s="736">
        <v>697770.62</v>
      </c>
      <c r="G2468" s="736">
        <v>676661.5</v>
      </c>
      <c r="H2468" s="736"/>
      <c r="I2468" s="736"/>
      <c r="J2468" s="736">
        <f t="shared" si="766"/>
        <v>676661.5</v>
      </c>
      <c r="K2468" s="737">
        <v>106293.3</v>
      </c>
      <c r="L2468" s="736"/>
      <c r="M2468" s="736">
        <f t="shared" si="767"/>
        <v>782954.8</v>
      </c>
      <c r="N2468" s="736"/>
      <c r="O2468" s="736"/>
      <c r="P2468" s="736">
        <f t="shared" si="768"/>
        <v>782954.8</v>
      </c>
      <c r="Q2468" s="738">
        <v>788821.72</v>
      </c>
      <c r="R2468" s="738">
        <v>516511.49</v>
      </c>
      <c r="S2468" s="751">
        <v>799365.84</v>
      </c>
      <c r="T2468" s="739">
        <v>1500521</v>
      </c>
      <c r="U2468" s="779">
        <v>746184.15</v>
      </c>
      <c r="V2468" s="741">
        <v>1500522</v>
      </c>
    </row>
    <row r="2469" spans="1:22" ht="15" x14ac:dyDescent="0.2">
      <c r="A2469" s="734">
        <v>2111</v>
      </c>
      <c r="B2469" s="735" t="s">
        <v>22</v>
      </c>
      <c r="C2469" s="736">
        <v>17727</v>
      </c>
      <c r="D2469" s="736">
        <v>15000</v>
      </c>
      <c r="E2469" s="749">
        <v>10500</v>
      </c>
      <c r="F2469" s="736">
        <v>7342.87</v>
      </c>
      <c r="G2469" s="752">
        <v>10500</v>
      </c>
      <c r="H2469" s="752"/>
      <c r="I2469" s="752"/>
      <c r="J2469" s="736">
        <f t="shared" si="766"/>
        <v>10500</v>
      </c>
      <c r="K2469" s="752"/>
      <c r="L2469" s="752"/>
      <c r="M2469" s="736">
        <f t="shared" si="767"/>
        <v>10500</v>
      </c>
      <c r="N2469" s="736"/>
      <c r="O2469" s="736"/>
      <c r="P2469" s="736">
        <f t="shared" si="768"/>
        <v>10500</v>
      </c>
      <c r="Q2469" s="753">
        <v>10500</v>
      </c>
      <c r="R2469" s="738">
        <v>5903.58</v>
      </c>
      <c r="S2469" s="753">
        <v>16000</v>
      </c>
      <c r="T2469" s="739">
        <v>1100121</v>
      </c>
      <c r="U2469" s="740">
        <v>10500</v>
      </c>
      <c r="V2469" s="741">
        <v>1100122</v>
      </c>
    </row>
    <row r="2470" spans="1:22" ht="15" x14ac:dyDescent="0.2">
      <c r="A2470" s="739">
        <v>2112</v>
      </c>
      <c r="B2470" s="743" t="s">
        <v>39</v>
      </c>
      <c r="C2470" s="736">
        <v>16149.73</v>
      </c>
      <c r="D2470" s="736">
        <v>16700</v>
      </c>
      <c r="E2470" s="749">
        <v>16700</v>
      </c>
      <c r="F2470" s="736">
        <v>15475.99</v>
      </c>
      <c r="G2470" s="752">
        <v>26500</v>
      </c>
      <c r="H2470" s="752"/>
      <c r="I2470" s="752"/>
      <c r="J2470" s="736">
        <f t="shared" si="766"/>
        <v>26500</v>
      </c>
      <c r="K2470" s="752"/>
      <c r="L2470" s="752"/>
      <c r="M2470" s="736">
        <f t="shared" si="767"/>
        <v>26500</v>
      </c>
      <c r="N2470" s="736"/>
      <c r="O2470" s="736"/>
      <c r="P2470" s="736">
        <f t="shared" si="768"/>
        <v>26500</v>
      </c>
      <c r="Q2470" s="753">
        <v>26500</v>
      </c>
      <c r="R2470" s="738">
        <v>25920</v>
      </c>
      <c r="S2470" s="753">
        <v>56400</v>
      </c>
      <c r="T2470" s="739">
        <v>1100121</v>
      </c>
      <c r="U2470" s="922"/>
      <c r="V2470" s="739">
        <v>1100122</v>
      </c>
    </row>
    <row r="2471" spans="1:22" ht="15" x14ac:dyDescent="0.2">
      <c r="A2471" s="734">
        <v>2161</v>
      </c>
      <c r="B2471" s="735" t="s">
        <v>59</v>
      </c>
      <c r="C2471" s="736">
        <v>4986.5200000000004</v>
      </c>
      <c r="D2471" s="736">
        <v>5000</v>
      </c>
      <c r="E2471" s="749">
        <v>10000</v>
      </c>
      <c r="F2471" s="736">
        <v>9948.35</v>
      </c>
      <c r="G2471" s="752">
        <v>8000</v>
      </c>
      <c r="H2471" s="752"/>
      <c r="I2471" s="752"/>
      <c r="J2471" s="736">
        <f t="shared" si="766"/>
        <v>8000</v>
      </c>
      <c r="K2471" s="752"/>
      <c r="L2471" s="752"/>
      <c r="M2471" s="736">
        <f t="shared" si="767"/>
        <v>8000</v>
      </c>
      <c r="N2471" s="736"/>
      <c r="O2471" s="736"/>
      <c r="P2471" s="736">
        <f t="shared" si="768"/>
        <v>8000</v>
      </c>
      <c r="Q2471" s="753">
        <v>8000</v>
      </c>
      <c r="R2471" s="738">
        <v>7971.88</v>
      </c>
      <c r="S2471" s="753">
        <v>12000</v>
      </c>
      <c r="T2471" s="739">
        <v>1100121</v>
      </c>
      <c r="U2471" s="740">
        <v>10000</v>
      </c>
      <c r="V2471" s="741">
        <v>1100122</v>
      </c>
    </row>
    <row r="2472" spans="1:22" ht="15" x14ac:dyDescent="0.2">
      <c r="A2472" s="739">
        <v>2421</v>
      </c>
      <c r="B2472" s="743" t="s">
        <v>111</v>
      </c>
      <c r="C2472" s="736"/>
      <c r="D2472" s="736">
        <v>0</v>
      </c>
      <c r="E2472" s="749">
        <v>0</v>
      </c>
      <c r="F2472" s="736">
        <v>0</v>
      </c>
      <c r="G2472" s="736"/>
      <c r="H2472" s="736"/>
      <c r="I2472" s="736"/>
      <c r="J2472" s="736">
        <f t="shared" si="766"/>
        <v>0</v>
      </c>
      <c r="K2472" s="736"/>
      <c r="L2472" s="736"/>
      <c r="M2472" s="736">
        <f t="shared" si="767"/>
        <v>0</v>
      </c>
      <c r="N2472" s="736"/>
      <c r="O2472" s="736"/>
      <c r="P2472" s="738">
        <f t="shared" si="768"/>
        <v>0</v>
      </c>
      <c r="Q2472" s="738"/>
      <c r="R2472" s="738"/>
      <c r="S2472" s="738"/>
      <c r="T2472" s="739">
        <v>1100121</v>
      </c>
      <c r="U2472" s="745"/>
      <c r="V2472" s="739">
        <v>1100122</v>
      </c>
    </row>
    <row r="2473" spans="1:22" ht="15" x14ac:dyDescent="0.2">
      <c r="A2473" s="734">
        <v>2461</v>
      </c>
      <c r="B2473" s="735" t="s">
        <v>115</v>
      </c>
      <c r="C2473" s="736">
        <v>3078553.98</v>
      </c>
      <c r="D2473" s="736">
        <v>4000000</v>
      </c>
      <c r="E2473" s="749">
        <v>4000000</v>
      </c>
      <c r="F2473" s="736">
        <v>4385455.7299999995</v>
      </c>
      <c r="G2473" s="752">
        <v>4000000</v>
      </c>
      <c r="H2473" s="752"/>
      <c r="I2473" s="752"/>
      <c r="J2473" s="736">
        <f t="shared" si="766"/>
        <v>4000000</v>
      </c>
      <c r="K2473" s="752"/>
      <c r="L2473" s="752"/>
      <c r="M2473" s="736">
        <f t="shared" si="767"/>
        <v>4000000</v>
      </c>
      <c r="N2473" s="736"/>
      <c r="O2473" s="736"/>
      <c r="P2473" s="736">
        <f t="shared" si="768"/>
        <v>4000000</v>
      </c>
      <c r="Q2473" s="753">
        <v>4000000</v>
      </c>
      <c r="R2473" s="738">
        <v>3998846.82</v>
      </c>
      <c r="S2473" s="914">
        <v>5565309.6399999997</v>
      </c>
      <c r="T2473" s="739">
        <v>2510221</v>
      </c>
      <c r="U2473" s="754">
        <v>4500000</v>
      </c>
      <c r="V2473" s="741">
        <v>2510222</v>
      </c>
    </row>
    <row r="2474" spans="1:22" ht="15" x14ac:dyDescent="0.25">
      <c r="A2474" s="739">
        <v>2491</v>
      </c>
      <c r="B2474" s="743" t="s">
        <v>41</v>
      </c>
      <c r="C2474" s="736">
        <v>12918.94</v>
      </c>
      <c r="D2474" s="736"/>
      <c r="E2474" s="749"/>
      <c r="F2474" s="736"/>
      <c r="G2474" s="752"/>
      <c r="H2474" s="759">
        <v>66750</v>
      </c>
      <c r="I2474" s="752"/>
      <c r="J2474" s="736">
        <f t="shared" si="766"/>
        <v>66750</v>
      </c>
      <c r="K2474" s="759"/>
      <c r="L2474" s="752"/>
      <c r="M2474" s="736">
        <f t="shared" si="767"/>
        <v>66750</v>
      </c>
      <c r="N2474" s="736"/>
      <c r="O2474" s="736"/>
      <c r="P2474" s="736">
        <f t="shared" si="768"/>
        <v>66750</v>
      </c>
      <c r="Q2474" s="753">
        <v>66750</v>
      </c>
      <c r="R2474" s="738">
        <v>66750</v>
      </c>
      <c r="S2474" s="753"/>
      <c r="T2474" s="739">
        <v>1100120</v>
      </c>
      <c r="U2474" s="745"/>
      <c r="V2474" s="739">
        <v>1100120</v>
      </c>
    </row>
    <row r="2475" spans="1:22" ht="15" x14ac:dyDescent="0.2">
      <c r="A2475" s="734">
        <v>2491</v>
      </c>
      <c r="B2475" s="735" t="s">
        <v>41</v>
      </c>
      <c r="C2475" s="736">
        <v>234339.97</v>
      </c>
      <c r="D2475" s="736">
        <v>279000</v>
      </c>
      <c r="E2475" s="749">
        <v>371999.97000000009</v>
      </c>
      <c r="F2475" s="736">
        <v>131853.38</v>
      </c>
      <c r="G2475" s="752">
        <v>279000</v>
      </c>
      <c r="H2475" s="752"/>
      <c r="I2475" s="752"/>
      <c r="J2475" s="736">
        <f t="shared" si="766"/>
        <v>279000</v>
      </c>
      <c r="K2475" s="752"/>
      <c r="L2475" s="752"/>
      <c r="M2475" s="736">
        <f t="shared" si="767"/>
        <v>279000</v>
      </c>
      <c r="N2475" s="736"/>
      <c r="O2475" s="736"/>
      <c r="P2475" s="736">
        <f t="shared" si="768"/>
        <v>279000</v>
      </c>
      <c r="Q2475" s="753">
        <v>279000</v>
      </c>
      <c r="R2475" s="738">
        <v>98009.01</v>
      </c>
      <c r="S2475" s="753">
        <v>543000</v>
      </c>
      <c r="T2475" s="739">
        <v>1100121</v>
      </c>
      <c r="U2475" s="740">
        <v>280000</v>
      </c>
      <c r="V2475" s="741">
        <v>1100122</v>
      </c>
    </row>
    <row r="2476" spans="1:22" ht="30" x14ac:dyDescent="0.2">
      <c r="A2476" s="734">
        <v>2612</v>
      </c>
      <c r="B2476" s="735" t="s">
        <v>26</v>
      </c>
      <c r="C2476" s="736">
        <v>750982.57</v>
      </c>
      <c r="D2476" s="736">
        <v>600000</v>
      </c>
      <c r="E2476" s="749">
        <v>600000</v>
      </c>
      <c r="F2476" s="736">
        <v>641107.82999999996</v>
      </c>
      <c r="G2476" s="752">
        <v>600000</v>
      </c>
      <c r="H2476" s="752"/>
      <c r="I2476" s="752"/>
      <c r="J2476" s="736">
        <f t="shared" si="766"/>
        <v>600000</v>
      </c>
      <c r="K2476" s="752"/>
      <c r="L2476" s="752"/>
      <c r="M2476" s="736">
        <f t="shared" si="767"/>
        <v>600000</v>
      </c>
      <c r="N2476" s="736">
        <f>400000+500000</f>
        <v>900000</v>
      </c>
      <c r="O2476" s="736"/>
      <c r="P2476" s="736">
        <f t="shared" si="768"/>
        <v>1500000</v>
      </c>
      <c r="Q2476" s="753">
        <v>1500000</v>
      </c>
      <c r="R2476" s="738">
        <v>914025.29</v>
      </c>
      <c r="S2476" s="738">
        <f>Q2476</f>
        <v>1500000</v>
      </c>
      <c r="T2476" s="739">
        <v>1100121</v>
      </c>
      <c r="U2476" s="746">
        <v>1200000</v>
      </c>
      <c r="V2476" s="741">
        <v>1100122</v>
      </c>
    </row>
    <row r="2477" spans="1:22" ht="15" x14ac:dyDescent="0.2">
      <c r="A2477" s="739">
        <v>2711</v>
      </c>
      <c r="B2477" s="743" t="s">
        <v>27</v>
      </c>
      <c r="C2477" s="736"/>
      <c r="D2477" s="736"/>
      <c r="E2477" s="749"/>
      <c r="F2477" s="736"/>
      <c r="G2477" s="752"/>
      <c r="H2477" s="752"/>
      <c r="I2477" s="752"/>
      <c r="J2477" s="736"/>
      <c r="K2477" s="752"/>
      <c r="L2477" s="752"/>
      <c r="M2477" s="736"/>
      <c r="N2477" s="736"/>
      <c r="O2477" s="736"/>
      <c r="P2477" s="736"/>
      <c r="Q2477" s="753"/>
      <c r="R2477" s="738"/>
      <c r="S2477" s="753">
        <v>12000</v>
      </c>
      <c r="T2477" s="739"/>
      <c r="U2477" s="744"/>
      <c r="V2477" s="739"/>
    </row>
    <row r="2478" spans="1:22" ht="15" x14ac:dyDescent="0.2">
      <c r="A2478" s="734">
        <v>2721</v>
      </c>
      <c r="B2478" s="735" t="s">
        <v>1808</v>
      </c>
      <c r="C2478" s="736"/>
      <c r="D2478" s="736"/>
      <c r="E2478" s="749"/>
      <c r="F2478" s="736"/>
      <c r="G2478" s="752"/>
      <c r="H2478" s="752"/>
      <c r="I2478" s="752"/>
      <c r="J2478" s="736"/>
      <c r="K2478" s="752"/>
      <c r="L2478" s="752"/>
      <c r="M2478" s="736"/>
      <c r="N2478" s="736"/>
      <c r="O2478" s="736"/>
      <c r="P2478" s="736"/>
      <c r="Q2478" s="753"/>
      <c r="R2478" s="738"/>
      <c r="S2478" s="753">
        <v>6000</v>
      </c>
      <c r="T2478" s="739"/>
      <c r="U2478" s="754">
        <v>6000</v>
      </c>
      <c r="V2478" s="741">
        <v>1100122</v>
      </c>
    </row>
    <row r="2479" spans="1:22" ht="15" x14ac:dyDescent="0.2">
      <c r="A2479" s="734">
        <v>2911</v>
      </c>
      <c r="B2479" s="735" t="s">
        <v>60</v>
      </c>
      <c r="C2479" s="736">
        <v>7282.48</v>
      </c>
      <c r="D2479" s="736">
        <v>10000</v>
      </c>
      <c r="E2479" s="749">
        <v>97877</v>
      </c>
      <c r="F2479" s="736">
        <v>94449</v>
      </c>
      <c r="G2479" s="752">
        <v>40000</v>
      </c>
      <c r="H2479" s="752"/>
      <c r="I2479" s="752"/>
      <c r="J2479" s="736">
        <f t="shared" ref="J2479:J2500" si="769">G2479+H2479-I2479</f>
        <v>40000</v>
      </c>
      <c r="K2479" s="752"/>
      <c r="L2479" s="752"/>
      <c r="M2479" s="736">
        <f t="shared" ref="M2479:M2500" si="770">J2479+K2479-L2479</f>
        <v>40000</v>
      </c>
      <c r="N2479" s="736"/>
      <c r="O2479" s="736"/>
      <c r="P2479" s="736">
        <f t="shared" ref="P2479:P2500" si="771">M2479+N2479-O2479</f>
        <v>40000</v>
      </c>
      <c r="Q2479" s="753">
        <v>40000</v>
      </c>
      <c r="R2479" s="738">
        <v>6385</v>
      </c>
      <c r="S2479" s="753">
        <v>79000</v>
      </c>
      <c r="T2479" s="739">
        <v>1100121</v>
      </c>
      <c r="U2479" s="740">
        <v>30000</v>
      </c>
      <c r="V2479" s="741">
        <v>1100122</v>
      </c>
    </row>
    <row r="2480" spans="1:22" ht="15" x14ac:dyDescent="0.2">
      <c r="A2480" s="739">
        <v>3112</v>
      </c>
      <c r="B2480" s="743" t="s">
        <v>307</v>
      </c>
      <c r="C2480" s="736">
        <v>13345740.18</v>
      </c>
      <c r="D2480" s="736">
        <v>0</v>
      </c>
      <c r="E2480" s="749">
        <v>90000000</v>
      </c>
      <c r="F2480" s="736">
        <v>0</v>
      </c>
      <c r="G2480" s="736"/>
      <c r="H2480" s="736"/>
      <c r="I2480" s="736"/>
      <c r="J2480" s="736">
        <f t="shared" si="769"/>
        <v>0</v>
      </c>
      <c r="K2480" s="736"/>
      <c r="L2480" s="736"/>
      <c r="M2480" s="736">
        <f t="shared" si="770"/>
        <v>0</v>
      </c>
      <c r="N2480" s="736"/>
      <c r="O2480" s="736"/>
      <c r="P2480" s="738">
        <f t="shared" si="771"/>
        <v>0</v>
      </c>
      <c r="Q2480" s="738"/>
      <c r="R2480" s="738"/>
      <c r="S2480" s="738"/>
      <c r="T2480" s="739">
        <v>1100118</v>
      </c>
      <c r="U2480" s="745"/>
      <c r="V2480" s="739">
        <v>1100118</v>
      </c>
    </row>
    <row r="2481" spans="1:22" ht="15" x14ac:dyDescent="0.2">
      <c r="A2481" s="739">
        <v>3112</v>
      </c>
      <c r="B2481" s="743" t="s">
        <v>307</v>
      </c>
      <c r="C2481" s="736">
        <v>60885229.25</v>
      </c>
      <c r="D2481" s="736">
        <v>0</v>
      </c>
      <c r="E2481" s="736"/>
      <c r="F2481" s="736">
        <v>18451238.539999999</v>
      </c>
      <c r="G2481" s="736"/>
      <c r="H2481" s="736"/>
      <c r="I2481" s="736"/>
      <c r="J2481" s="736">
        <f t="shared" si="769"/>
        <v>0</v>
      </c>
      <c r="K2481" s="736"/>
      <c r="L2481" s="736"/>
      <c r="M2481" s="736">
        <f t="shared" si="770"/>
        <v>0</v>
      </c>
      <c r="N2481" s="736"/>
      <c r="O2481" s="736"/>
      <c r="P2481" s="738">
        <f t="shared" si="771"/>
        <v>0</v>
      </c>
      <c r="Q2481" s="738"/>
      <c r="R2481" s="738"/>
      <c r="S2481" s="738"/>
      <c r="T2481" s="739">
        <v>1100119</v>
      </c>
      <c r="U2481" s="745"/>
      <c r="V2481" s="739">
        <v>1100119</v>
      </c>
    </row>
    <row r="2482" spans="1:22" ht="15" x14ac:dyDescent="0.2">
      <c r="A2482" s="739">
        <v>3112</v>
      </c>
      <c r="B2482" s="743" t="s">
        <v>307</v>
      </c>
      <c r="C2482" s="736">
        <v>23971425.57</v>
      </c>
      <c r="D2482" s="736">
        <v>97000000</v>
      </c>
      <c r="E2482" s="736"/>
      <c r="F2482" s="736">
        <v>59265953.189999998</v>
      </c>
      <c r="G2482" s="736"/>
      <c r="H2482" s="736"/>
      <c r="I2482" s="736"/>
      <c r="J2482" s="736">
        <f t="shared" si="769"/>
        <v>0</v>
      </c>
      <c r="K2482" s="736"/>
      <c r="L2482" s="736"/>
      <c r="M2482" s="736">
        <f t="shared" si="770"/>
        <v>0</v>
      </c>
      <c r="N2482" s="736"/>
      <c r="O2482" s="736"/>
      <c r="P2482" s="738">
        <f t="shared" si="771"/>
        <v>0</v>
      </c>
      <c r="Q2482" s="738"/>
      <c r="R2482" s="738"/>
      <c r="S2482" s="738"/>
      <c r="T2482" s="739">
        <v>1100121</v>
      </c>
      <c r="U2482" s="745"/>
      <c r="V2482" s="739">
        <v>1100122</v>
      </c>
    </row>
    <row r="2483" spans="1:22" ht="15" x14ac:dyDescent="0.2">
      <c r="A2483" s="739">
        <v>3112</v>
      </c>
      <c r="B2483" s="743" t="s">
        <v>307</v>
      </c>
      <c r="C2483" s="736"/>
      <c r="D2483" s="736">
        <v>0</v>
      </c>
      <c r="E2483" s="736"/>
      <c r="F2483" s="736">
        <v>1423416.45</v>
      </c>
      <c r="G2483" s="736"/>
      <c r="H2483" s="736"/>
      <c r="I2483" s="736"/>
      <c r="J2483" s="736">
        <f t="shared" si="769"/>
        <v>0</v>
      </c>
      <c r="K2483" s="736"/>
      <c r="L2483" s="736"/>
      <c r="M2483" s="736">
        <f t="shared" si="770"/>
        <v>0</v>
      </c>
      <c r="N2483" s="736"/>
      <c r="O2483" s="736"/>
      <c r="P2483" s="738">
        <f t="shared" si="771"/>
        <v>0</v>
      </c>
      <c r="Q2483" s="738"/>
      <c r="R2483" s="738"/>
      <c r="S2483" s="738"/>
      <c r="T2483" s="739">
        <v>1500521</v>
      </c>
      <c r="U2483" s="745"/>
      <c r="V2483" s="739">
        <v>1500522</v>
      </c>
    </row>
    <row r="2484" spans="1:22" ht="15" x14ac:dyDescent="0.2">
      <c r="A2484" s="734">
        <v>3112</v>
      </c>
      <c r="B2484" s="735" t="s">
        <v>307</v>
      </c>
      <c r="C2484" s="736"/>
      <c r="D2484" s="736">
        <v>0</v>
      </c>
      <c r="E2484" s="736"/>
      <c r="F2484" s="736">
        <v>7035015.3799999999</v>
      </c>
      <c r="G2484" s="752">
        <v>75000000</v>
      </c>
      <c r="H2484" s="752"/>
      <c r="I2484" s="752"/>
      <c r="J2484" s="736">
        <f t="shared" si="769"/>
        <v>75000000</v>
      </c>
      <c r="K2484" s="752"/>
      <c r="L2484" s="752"/>
      <c r="M2484" s="736">
        <f t="shared" si="770"/>
        <v>75000000</v>
      </c>
      <c r="N2484" s="736"/>
      <c r="O2484" s="736"/>
      <c r="P2484" s="736">
        <f t="shared" si="771"/>
        <v>75000000</v>
      </c>
      <c r="Q2484" s="753">
        <v>75000000</v>
      </c>
      <c r="R2484" s="738">
        <v>50252570.170000002</v>
      </c>
      <c r="S2484" s="914">
        <v>75000000</v>
      </c>
      <c r="T2484" s="739">
        <v>2510221</v>
      </c>
      <c r="U2484" s="742">
        <f>70000000+692400</f>
        <v>70692400</v>
      </c>
      <c r="V2484" s="741">
        <v>2510222</v>
      </c>
    </row>
    <row r="2485" spans="1:22" ht="15" x14ac:dyDescent="0.2">
      <c r="A2485" s="734">
        <v>3141</v>
      </c>
      <c r="B2485" s="735" t="s">
        <v>48</v>
      </c>
      <c r="C2485" s="736">
        <v>6952.91</v>
      </c>
      <c r="D2485" s="736">
        <v>11000</v>
      </c>
      <c r="E2485" s="749">
        <v>9500</v>
      </c>
      <c r="F2485" s="736">
        <v>8076.83</v>
      </c>
      <c r="G2485" s="752">
        <v>9000</v>
      </c>
      <c r="H2485" s="752"/>
      <c r="I2485" s="752"/>
      <c r="J2485" s="736">
        <f t="shared" si="769"/>
        <v>9000</v>
      </c>
      <c r="K2485" s="752"/>
      <c r="L2485" s="752"/>
      <c r="M2485" s="736">
        <f t="shared" si="770"/>
        <v>9000</v>
      </c>
      <c r="N2485" s="736"/>
      <c r="O2485" s="736"/>
      <c r="P2485" s="736">
        <f t="shared" si="771"/>
        <v>9000</v>
      </c>
      <c r="Q2485" s="753">
        <v>9000</v>
      </c>
      <c r="R2485" s="738">
        <v>6710.1</v>
      </c>
      <c r="S2485" s="753">
        <v>11000</v>
      </c>
      <c r="T2485" s="739">
        <v>1100121</v>
      </c>
      <c r="U2485" s="746">
        <v>10000</v>
      </c>
      <c r="V2485" s="741">
        <v>1100122</v>
      </c>
    </row>
    <row r="2486" spans="1:22" ht="15" x14ac:dyDescent="0.2">
      <c r="A2486" s="734">
        <v>3151</v>
      </c>
      <c r="B2486" s="735" t="s">
        <v>28</v>
      </c>
      <c r="C2486" s="736">
        <v>2797.45</v>
      </c>
      <c r="D2486" s="736">
        <v>4000</v>
      </c>
      <c r="E2486" s="749">
        <v>4000</v>
      </c>
      <c r="F2486" s="736">
        <v>2949.04</v>
      </c>
      <c r="G2486" s="752">
        <v>4000</v>
      </c>
      <c r="H2486" s="752"/>
      <c r="I2486" s="752"/>
      <c r="J2486" s="736">
        <f t="shared" si="769"/>
        <v>4000</v>
      </c>
      <c r="K2486" s="752"/>
      <c r="L2486" s="752"/>
      <c r="M2486" s="736">
        <f t="shared" si="770"/>
        <v>4000</v>
      </c>
      <c r="N2486" s="736"/>
      <c r="O2486" s="736"/>
      <c r="P2486" s="736">
        <f t="shared" si="771"/>
        <v>4000</v>
      </c>
      <c r="Q2486" s="753">
        <v>4000</v>
      </c>
      <c r="R2486" s="738">
        <v>2262.83</v>
      </c>
      <c r="S2486" s="753">
        <v>3000</v>
      </c>
      <c r="T2486" s="739">
        <v>1100121</v>
      </c>
      <c r="U2486" s="746">
        <v>5000</v>
      </c>
      <c r="V2486" s="741">
        <v>1100122</v>
      </c>
    </row>
    <row r="2487" spans="1:22" ht="15" x14ac:dyDescent="0.2">
      <c r="A2487" s="734">
        <v>3421</v>
      </c>
      <c r="B2487" s="735" t="s">
        <v>261</v>
      </c>
      <c r="C2487" s="736">
        <v>2700316.29</v>
      </c>
      <c r="D2487" s="736">
        <v>3800000</v>
      </c>
      <c r="E2487" s="749">
        <v>2900000</v>
      </c>
      <c r="F2487" s="736">
        <v>3141809.69</v>
      </c>
      <c r="G2487" s="752">
        <v>3000000</v>
      </c>
      <c r="H2487" s="752"/>
      <c r="I2487" s="752"/>
      <c r="J2487" s="736">
        <f t="shared" si="769"/>
        <v>3000000</v>
      </c>
      <c r="K2487" s="752"/>
      <c r="L2487" s="752"/>
      <c r="M2487" s="736">
        <f t="shared" si="770"/>
        <v>3000000</v>
      </c>
      <c r="N2487" s="736"/>
      <c r="O2487" s="736"/>
      <c r="P2487" s="736">
        <f t="shared" si="771"/>
        <v>3000000</v>
      </c>
      <c r="Q2487" s="753">
        <v>3000000</v>
      </c>
      <c r="R2487" s="738">
        <v>2148221.84</v>
      </c>
      <c r="S2487" s="753"/>
      <c r="T2487" s="739">
        <v>1100121</v>
      </c>
      <c r="U2487" s="742">
        <f>3000000</f>
        <v>3000000</v>
      </c>
      <c r="V2487" s="741">
        <v>1100122</v>
      </c>
    </row>
    <row r="2488" spans="1:22" ht="15" x14ac:dyDescent="0.2">
      <c r="A2488" s="739">
        <v>3511</v>
      </c>
      <c r="B2488" s="743" t="s">
        <v>49</v>
      </c>
      <c r="C2488" s="736">
        <v>244072.37</v>
      </c>
      <c r="D2488" s="736">
        <v>0</v>
      </c>
      <c r="E2488" s="749">
        <v>88636.97</v>
      </c>
      <c r="F2488" s="736">
        <v>88636.97</v>
      </c>
      <c r="G2488" s="752"/>
      <c r="H2488" s="752"/>
      <c r="I2488" s="752"/>
      <c r="J2488" s="736">
        <f t="shared" si="769"/>
        <v>0</v>
      </c>
      <c r="K2488" s="752"/>
      <c r="L2488" s="752"/>
      <c r="M2488" s="736">
        <f t="shared" si="770"/>
        <v>0</v>
      </c>
      <c r="N2488" s="736"/>
      <c r="O2488" s="736"/>
      <c r="P2488" s="738">
        <f t="shared" si="771"/>
        <v>0</v>
      </c>
      <c r="Q2488" s="753"/>
      <c r="R2488" s="738"/>
      <c r="S2488" s="753"/>
      <c r="T2488" s="739">
        <v>1100119</v>
      </c>
      <c r="U2488" s="921"/>
      <c r="V2488" s="739">
        <v>1100119</v>
      </c>
    </row>
    <row r="2489" spans="1:22" ht="15" x14ac:dyDescent="0.2">
      <c r="A2489" s="734">
        <v>3511</v>
      </c>
      <c r="B2489" s="735" t="s">
        <v>49</v>
      </c>
      <c r="C2489" s="736"/>
      <c r="D2489" s="736">
        <v>100000</v>
      </c>
      <c r="E2489" s="749">
        <v>49367</v>
      </c>
      <c r="F2489" s="736">
        <v>49366.63</v>
      </c>
      <c r="G2489" s="752">
        <v>30000</v>
      </c>
      <c r="H2489" s="752"/>
      <c r="I2489" s="752"/>
      <c r="J2489" s="736">
        <f t="shared" si="769"/>
        <v>30000</v>
      </c>
      <c r="K2489" s="752"/>
      <c r="L2489" s="752"/>
      <c r="M2489" s="736">
        <f t="shared" si="770"/>
        <v>30000</v>
      </c>
      <c r="N2489" s="736"/>
      <c r="O2489" s="736"/>
      <c r="P2489" s="736">
        <f t="shared" si="771"/>
        <v>30000</v>
      </c>
      <c r="Q2489" s="753">
        <v>30000</v>
      </c>
      <c r="R2489" s="738">
        <v>5800</v>
      </c>
      <c r="S2489" s="753">
        <v>659268.96</v>
      </c>
      <c r="T2489" s="739">
        <v>1100121</v>
      </c>
      <c r="U2489" s="746">
        <v>50000</v>
      </c>
      <c r="V2489" s="741">
        <v>1100122</v>
      </c>
    </row>
    <row r="2490" spans="1:22" ht="15" x14ac:dyDescent="0.2">
      <c r="A2490" s="734">
        <v>3551</v>
      </c>
      <c r="B2490" s="735" t="s">
        <v>30</v>
      </c>
      <c r="C2490" s="736">
        <v>377806.01</v>
      </c>
      <c r="D2490" s="736">
        <v>420000</v>
      </c>
      <c r="E2490" s="749">
        <v>300000</v>
      </c>
      <c r="F2490" s="736">
        <v>443374.42</v>
      </c>
      <c r="G2490" s="752">
        <v>300000</v>
      </c>
      <c r="H2490" s="752"/>
      <c r="I2490" s="752"/>
      <c r="J2490" s="736">
        <f t="shared" si="769"/>
        <v>300000</v>
      </c>
      <c r="K2490" s="752"/>
      <c r="L2490" s="752"/>
      <c r="M2490" s="736">
        <f t="shared" si="770"/>
        <v>300000</v>
      </c>
      <c r="N2490" s="736">
        <v>200000</v>
      </c>
      <c r="O2490" s="736"/>
      <c r="P2490" s="736">
        <f t="shared" si="771"/>
        <v>500000</v>
      </c>
      <c r="Q2490" s="753">
        <v>499500</v>
      </c>
      <c r="R2490" s="738">
        <v>495473.03</v>
      </c>
      <c r="S2490" s="738">
        <f>Q2490</f>
        <v>499500</v>
      </c>
      <c r="T2490" s="739">
        <v>1100121</v>
      </c>
      <c r="U2490" s="746">
        <v>700000</v>
      </c>
      <c r="V2490" s="741">
        <v>1100122</v>
      </c>
    </row>
    <row r="2491" spans="1:22" ht="15" x14ac:dyDescent="0.2">
      <c r="A2491" s="734">
        <v>3571</v>
      </c>
      <c r="B2491" s="735" t="s">
        <v>65</v>
      </c>
      <c r="C2491" s="736">
        <v>69484</v>
      </c>
      <c r="D2491" s="736">
        <v>100000</v>
      </c>
      <c r="E2491" s="749">
        <v>62756</v>
      </c>
      <c r="F2491" s="736">
        <v>62756</v>
      </c>
      <c r="G2491" s="752">
        <v>70000</v>
      </c>
      <c r="H2491" s="752"/>
      <c r="I2491" s="752"/>
      <c r="J2491" s="736">
        <f t="shared" si="769"/>
        <v>70000</v>
      </c>
      <c r="K2491" s="752"/>
      <c r="L2491" s="752"/>
      <c r="M2491" s="736">
        <f t="shared" si="770"/>
        <v>70000</v>
      </c>
      <c r="N2491" s="736"/>
      <c r="O2491" s="736"/>
      <c r="P2491" s="736">
        <f t="shared" si="771"/>
        <v>70000</v>
      </c>
      <c r="Q2491" s="753">
        <v>70000</v>
      </c>
      <c r="R2491" s="738">
        <v>69999.039999999994</v>
      </c>
      <c r="S2491" s="753">
        <v>129776</v>
      </c>
      <c r="T2491" s="739">
        <v>1100121</v>
      </c>
      <c r="U2491" s="740">
        <v>100000</v>
      </c>
      <c r="V2491" s="741">
        <v>1100122</v>
      </c>
    </row>
    <row r="2492" spans="1:22" ht="15" x14ac:dyDescent="0.2">
      <c r="A2492" s="734">
        <v>3821</v>
      </c>
      <c r="B2492" s="735" t="s">
        <v>31</v>
      </c>
      <c r="C2492" s="736">
        <v>731897.36</v>
      </c>
      <c r="D2492" s="736">
        <v>700000</v>
      </c>
      <c r="E2492" s="749">
        <v>500000</v>
      </c>
      <c r="F2492" s="736">
        <v>491300</v>
      </c>
      <c r="G2492" s="752">
        <v>500000</v>
      </c>
      <c r="H2492" s="752"/>
      <c r="I2492" s="752"/>
      <c r="J2492" s="736">
        <f t="shared" si="769"/>
        <v>500000</v>
      </c>
      <c r="K2492" s="752"/>
      <c r="L2492" s="752"/>
      <c r="M2492" s="736">
        <f t="shared" si="770"/>
        <v>500000</v>
      </c>
      <c r="N2492" s="736"/>
      <c r="O2492" s="736"/>
      <c r="P2492" s="736">
        <f t="shared" si="771"/>
        <v>500000</v>
      </c>
      <c r="Q2492" s="753">
        <v>500000</v>
      </c>
      <c r="R2492" s="738">
        <v>177874.4</v>
      </c>
      <c r="S2492" s="753">
        <v>1200000</v>
      </c>
      <c r="T2492" s="739">
        <v>1100121</v>
      </c>
      <c r="U2492" s="746">
        <v>500000</v>
      </c>
      <c r="V2492" s="741">
        <v>1100122</v>
      </c>
    </row>
    <row r="2493" spans="1:22" ht="15" x14ac:dyDescent="0.2">
      <c r="A2493" s="734">
        <v>3852</v>
      </c>
      <c r="B2493" s="735" t="s">
        <v>32</v>
      </c>
      <c r="C2493" s="736">
        <v>7694.92</v>
      </c>
      <c r="D2493" s="736">
        <v>8500</v>
      </c>
      <c r="E2493" s="749">
        <v>10500</v>
      </c>
      <c r="F2493" s="736">
        <v>12448.71</v>
      </c>
      <c r="G2493" s="752">
        <v>10000</v>
      </c>
      <c r="H2493" s="752"/>
      <c r="I2493" s="752"/>
      <c r="J2493" s="736">
        <f t="shared" si="769"/>
        <v>10000</v>
      </c>
      <c r="K2493" s="752"/>
      <c r="L2493" s="752"/>
      <c r="M2493" s="736">
        <f t="shared" si="770"/>
        <v>10000</v>
      </c>
      <c r="N2493" s="736"/>
      <c r="O2493" s="736"/>
      <c r="P2493" s="736">
        <f t="shared" si="771"/>
        <v>10000</v>
      </c>
      <c r="Q2493" s="753">
        <v>10000</v>
      </c>
      <c r="R2493" s="738">
        <v>9755.67</v>
      </c>
      <c r="S2493" s="753">
        <v>15000</v>
      </c>
      <c r="T2493" s="739">
        <v>1100121</v>
      </c>
      <c r="U2493" s="740">
        <v>15000</v>
      </c>
      <c r="V2493" s="741">
        <v>1100122</v>
      </c>
    </row>
    <row r="2494" spans="1:22" ht="15" x14ac:dyDescent="0.2">
      <c r="A2494" s="734">
        <v>3921</v>
      </c>
      <c r="B2494" s="735" t="s">
        <v>33</v>
      </c>
      <c r="C2494" s="736">
        <v>3760.05</v>
      </c>
      <c r="D2494" s="736">
        <v>5200</v>
      </c>
      <c r="E2494" s="749">
        <v>5200</v>
      </c>
      <c r="F2494" s="736">
        <v>2103.9699999999998</v>
      </c>
      <c r="G2494" s="752">
        <v>5207.3999999999996</v>
      </c>
      <c r="H2494" s="752"/>
      <c r="I2494" s="752"/>
      <c r="J2494" s="736">
        <f t="shared" si="769"/>
        <v>5207.3999999999996</v>
      </c>
      <c r="K2494" s="752"/>
      <c r="L2494" s="752"/>
      <c r="M2494" s="736">
        <f t="shared" si="770"/>
        <v>5207.3999999999996</v>
      </c>
      <c r="N2494" s="736"/>
      <c r="O2494" s="736"/>
      <c r="P2494" s="736">
        <f t="shared" si="771"/>
        <v>5207.3999999999996</v>
      </c>
      <c r="Q2494" s="753">
        <v>5707.4</v>
      </c>
      <c r="R2494" s="738">
        <v>5259.91</v>
      </c>
      <c r="S2494" s="753">
        <v>7408.28</v>
      </c>
      <c r="T2494" s="739">
        <v>1100121</v>
      </c>
      <c r="U2494" s="746">
        <v>7409</v>
      </c>
      <c r="V2494" s="741">
        <v>1100122</v>
      </c>
    </row>
    <row r="2495" spans="1:22" ht="15" x14ac:dyDescent="0.2">
      <c r="A2495" s="808">
        <v>5151</v>
      </c>
      <c r="B2495" s="806" t="s">
        <v>36</v>
      </c>
      <c r="C2495" s="736"/>
      <c r="D2495" s="736"/>
      <c r="E2495" s="749"/>
      <c r="F2495" s="736"/>
      <c r="G2495" s="752">
        <v>40000</v>
      </c>
      <c r="H2495" s="752"/>
      <c r="I2495" s="752"/>
      <c r="J2495" s="736">
        <f t="shared" si="769"/>
        <v>40000</v>
      </c>
      <c r="K2495" s="752"/>
      <c r="L2495" s="752"/>
      <c r="M2495" s="736">
        <f t="shared" si="770"/>
        <v>40000</v>
      </c>
      <c r="N2495" s="736"/>
      <c r="O2495" s="736">
        <v>40000</v>
      </c>
      <c r="P2495" s="738">
        <f t="shared" si="771"/>
        <v>0</v>
      </c>
      <c r="Q2495" s="753"/>
      <c r="R2495" s="738"/>
      <c r="S2495" s="753">
        <v>35998</v>
      </c>
      <c r="T2495" s="739">
        <v>1500521</v>
      </c>
      <c r="U2495" s="922"/>
      <c r="V2495" s="739">
        <v>1500522</v>
      </c>
    </row>
    <row r="2496" spans="1:22" ht="15" x14ac:dyDescent="0.2">
      <c r="A2496" s="739">
        <v>5411</v>
      </c>
      <c r="B2496" s="743" t="s">
        <v>123</v>
      </c>
      <c r="C2496" s="736"/>
      <c r="D2496" s="736">
        <v>0</v>
      </c>
      <c r="E2496" s="749">
        <v>1650000</v>
      </c>
      <c r="F2496" s="736">
        <v>1650000</v>
      </c>
      <c r="G2496" s="736"/>
      <c r="H2496" s="736"/>
      <c r="I2496" s="736"/>
      <c r="J2496" s="736">
        <f t="shared" si="769"/>
        <v>0</v>
      </c>
      <c r="K2496" s="736"/>
      <c r="L2496" s="736"/>
      <c r="M2496" s="736">
        <f t="shared" si="770"/>
        <v>0</v>
      </c>
      <c r="N2496" s="736"/>
      <c r="O2496" s="736"/>
      <c r="P2496" s="738">
        <f t="shared" si="771"/>
        <v>0</v>
      </c>
      <c r="Q2496" s="738"/>
      <c r="R2496" s="738">
        <v>1995000</v>
      </c>
      <c r="S2496" s="738"/>
      <c r="T2496" s="739">
        <v>1100119</v>
      </c>
      <c r="U2496" s="745"/>
      <c r="V2496" s="739">
        <v>1100119</v>
      </c>
    </row>
    <row r="2497" spans="1:22" ht="15" x14ac:dyDescent="0.2">
      <c r="A2497" s="739">
        <v>5411</v>
      </c>
      <c r="B2497" s="743" t="s">
        <v>123</v>
      </c>
      <c r="C2497" s="736"/>
      <c r="D2497" s="736">
        <v>0</v>
      </c>
      <c r="E2497" s="749">
        <v>250000</v>
      </c>
      <c r="F2497" s="736">
        <v>249000</v>
      </c>
      <c r="G2497" s="752">
        <v>2300000</v>
      </c>
      <c r="H2497" s="752"/>
      <c r="I2497" s="896"/>
      <c r="J2497" s="736">
        <f t="shared" si="769"/>
        <v>2300000</v>
      </c>
      <c r="K2497" s="752"/>
      <c r="L2497" s="896">
        <v>2300000</v>
      </c>
      <c r="M2497" s="736">
        <f t="shared" si="770"/>
        <v>0</v>
      </c>
      <c r="N2497" s="736"/>
      <c r="O2497" s="736"/>
      <c r="P2497" s="738">
        <f t="shared" si="771"/>
        <v>0</v>
      </c>
      <c r="Q2497" s="753">
        <v>1995000</v>
      </c>
      <c r="R2497" s="738"/>
      <c r="S2497" s="914">
        <v>6900000</v>
      </c>
      <c r="T2497" s="808">
        <v>1500521</v>
      </c>
      <c r="U2497" s="922">
        <v>0</v>
      </c>
      <c r="V2497" s="808">
        <v>1500522</v>
      </c>
    </row>
    <row r="2498" spans="1:22" ht="15" x14ac:dyDescent="0.2">
      <c r="A2498" s="739">
        <v>5411</v>
      </c>
      <c r="B2498" s="743" t="s">
        <v>123</v>
      </c>
      <c r="C2498" s="736"/>
      <c r="D2498" s="736"/>
      <c r="E2498" s="749"/>
      <c r="F2498" s="736"/>
      <c r="G2498" s="752"/>
      <c r="H2498" s="752">
        <v>1995000</v>
      </c>
      <c r="I2498" s="752"/>
      <c r="J2498" s="736">
        <f t="shared" si="769"/>
        <v>1995000</v>
      </c>
      <c r="K2498" s="752"/>
      <c r="L2498" s="752"/>
      <c r="M2498" s="736">
        <f t="shared" si="770"/>
        <v>1995000</v>
      </c>
      <c r="N2498" s="736"/>
      <c r="O2498" s="736"/>
      <c r="P2498" s="736">
        <f t="shared" si="771"/>
        <v>1995000</v>
      </c>
      <c r="Q2498" s="753"/>
      <c r="R2498" s="738"/>
      <c r="S2498" s="753"/>
      <c r="T2498" s="808">
        <v>1100119</v>
      </c>
      <c r="U2498" s="745"/>
      <c r="V2498" s="808">
        <v>1100119</v>
      </c>
    </row>
    <row r="2499" spans="1:22" ht="15" x14ac:dyDescent="0.2">
      <c r="A2499" s="739">
        <v>5411</v>
      </c>
      <c r="B2499" s="743" t="s">
        <v>123</v>
      </c>
      <c r="C2499" s="736"/>
      <c r="D2499" s="736">
        <v>1450000</v>
      </c>
      <c r="E2499" s="749">
        <v>0</v>
      </c>
      <c r="F2499" s="736">
        <v>0</v>
      </c>
      <c r="G2499" s="752">
        <v>2000000</v>
      </c>
      <c r="H2499" s="752"/>
      <c r="I2499" s="752">
        <v>2000000</v>
      </c>
      <c r="J2499" s="736">
        <f t="shared" si="769"/>
        <v>0</v>
      </c>
      <c r="K2499" s="752"/>
      <c r="L2499" s="752"/>
      <c r="M2499" s="736">
        <f t="shared" si="770"/>
        <v>0</v>
      </c>
      <c r="N2499" s="736"/>
      <c r="O2499" s="736"/>
      <c r="P2499" s="738">
        <f t="shared" si="771"/>
        <v>0</v>
      </c>
      <c r="Q2499" s="753"/>
      <c r="R2499" s="738"/>
      <c r="S2499" s="753"/>
      <c r="T2499" s="808">
        <v>1100119</v>
      </c>
      <c r="U2499" s="745"/>
      <c r="V2499" s="808">
        <v>1100119</v>
      </c>
    </row>
    <row r="2500" spans="1:22" ht="15" x14ac:dyDescent="0.2">
      <c r="A2500" s="739">
        <v>5691</v>
      </c>
      <c r="B2500" s="743" t="s">
        <v>112</v>
      </c>
      <c r="C2500" s="736"/>
      <c r="D2500" s="736">
        <v>11000</v>
      </c>
      <c r="E2500" s="749">
        <v>11000</v>
      </c>
      <c r="F2500" s="736">
        <v>10020.83</v>
      </c>
      <c r="G2500" s="752">
        <v>86000</v>
      </c>
      <c r="H2500" s="752"/>
      <c r="I2500" s="752"/>
      <c r="J2500" s="736">
        <f t="shared" si="769"/>
        <v>86000</v>
      </c>
      <c r="K2500" s="752"/>
      <c r="L2500" s="752"/>
      <c r="M2500" s="736">
        <f t="shared" si="770"/>
        <v>86000</v>
      </c>
      <c r="N2500" s="736"/>
      <c r="O2500" s="736"/>
      <c r="P2500" s="736">
        <f t="shared" si="771"/>
        <v>86000</v>
      </c>
      <c r="Q2500" s="753">
        <v>86000</v>
      </c>
      <c r="R2500" s="738">
        <v>84022.6</v>
      </c>
      <c r="S2500" s="753">
        <v>99500</v>
      </c>
      <c r="T2500" s="739">
        <v>1500521</v>
      </c>
      <c r="U2500" s="922"/>
      <c r="V2500" s="739">
        <v>1500522</v>
      </c>
    </row>
    <row r="2501" spans="1:22" ht="15" x14ac:dyDescent="0.2">
      <c r="A2501" s="728" t="s">
        <v>308</v>
      </c>
      <c r="B2501" s="729" t="s">
        <v>1582</v>
      </c>
      <c r="C2501" s="730">
        <f t="shared" ref="C2501:S2501" si="772">SUM(C2502:C2547)</f>
        <v>8033808.4499999983</v>
      </c>
      <c r="D2501" s="730">
        <f t="shared" si="772"/>
        <v>11267797.149999999</v>
      </c>
      <c r="E2501" s="730">
        <f t="shared" si="772"/>
        <v>9337879.0599999987</v>
      </c>
      <c r="F2501" s="730">
        <f t="shared" si="772"/>
        <v>8493043.2300000004</v>
      </c>
      <c r="G2501" s="730">
        <f t="shared" si="772"/>
        <v>10019132.620000001</v>
      </c>
      <c r="H2501" s="730">
        <f t="shared" si="772"/>
        <v>0</v>
      </c>
      <c r="I2501" s="730">
        <f t="shared" si="772"/>
        <v>0</v>
      </c>
      <c r="J2501" s="730">
        <f t="shared" si="772"/>
        <v>10019132.620000001</v>
      </c>
      <c r="K2501" s="730">
        <f t="shared" si="772"/>
        <v>154024.44</v>
      </c>
      <c r="L2501" s="730">
        <f t="shared" si="772"/>
        <v>13825.08</v>
      </c>
      <c r="M2501" s="730">
        <f t="shared" si="772"/>
        <v>10159331.98</v>
      </c>
      <c r="N2501" s="730">
        <f t="shared" si="772"/>
        <v>40000</v>
      </c>
      <c r="O2501" s="730">
        <f t="shared" si="772"/>
        <v>35000</v>
      </c>
      <c r="P2501" s="730">
        <f t="shared" si="772"/>
        <v>10164331.98</v>
      </c>
      <c r="Q2501" s="748">
        <f t="shared" si="772"/>
        <v>9994592.7199999988</v>
      </c>
      <c r="R2501" s="748">
        <f t="shared" si="772"/>
        <v>5889166.7799999993</v>
      </c>
      <c r="S2501" s="748">
        <f t="shared" si="772"/>
        <v>10797504.670000002</v>
      </c>
      <c r="T2501" s="731"/>
      <c r="U2501" s="732">
        <f>SUM(U2502:U2547)</f>
        <v>9928617.1799999997</v>
      </c>
      <c r="V2501" s="733"/>
    </row>
    <row r="2502" spans="1:22" ht="15" x14ac:dyDescent="0.25">
      <c r="A2502" s="734">
        <v>1131</v>
      </c>
      <c r="B2502" s="735" t="s">
        <v>6</v>
      </c>
      <c r="C2502" s="736">
        <v>1547778.92</v>
      </c>
      <c r="D2502" s="736">
        <v>1667862.56</v>
      </c>
      <c r="E2502" s="749">
        <v>1566004.04</v>
      </c>
      <c r="F2502" s="736">
        <v>1714560.53</v>
      </c>
      <c r="G2502" s="736">
        <v>1814679.6</v>
      </c>
      <c r="H2502" s="736"/>
      <c r="I2502" s="736"/>
      <c r="J2502" s="736">
        <f t="shared" ref="J2502:J2517" si="773">G2502+H2502-I2502</f>
        <v>1814679.6</v>
      </c>
      <c r="K2502" s="736">
        <v>8172.22</v>
      </c>
      <c r="L2502" s="736"/>
      <c r="M2502" s="736">
        <f t="shared" ref="M2502:M2519" si="774">J2502+K2502-L2502</f>
        <v>1822851.82</v>
      </c>
      <c r="N2502" s="736"/>
      <c r="O2502" s="736"/>
      <c r="P2502" s="736">
        <f t="shared" ref="P2502:P2519" si="775">M2502+N2502-O2502</f>
        <v>1822851.82</v>
      </c>
      <c r="Q2502" s="738">
        <v>1792463.96</v>
      </c>
      <c r="R2502" s="738">
        <v>1216415.8999999999</v>
      </c>
      <c r="S2502" s="751">
        <v>1942948.28</v>
      </c>
      <c r="T2502" s="739">
        <v>1500521</v>
      </c>
      <c r="U2502" s="779">
        <v>1756393.55</v>
      </c>
      <c r="V2502" s="741">
        <v>1500522</v>
      </c>
    </row>
    <row r="2503" spans="1:22" ht="15" x14ac:dyDescent="0.25">
      <c r="A2503" s="734">
        <v>1132</v>
      </c>
      <c r="B2503" s="735" t="s">
        <v>8</v>
      </c>
      <c r="C2503" s="736">
        <v>328259.27</v>
      </c>
      <c r="D2503" s="736">
        <v>727231.96</v>
      </c>
      <c r="E2503" s="749">
        <v>727231.96</v>
      </c>
      <c r="F2503" s="736">
        <v>720041.3</v>
      </c>
      <c r="G2503" s="736">
        <v>716770.6</v>
      </c>
      <c r="H2503" s="736"/>
      <c r="I2503" s="736"/>
      <c r="J2503" s="736">
        <f t="shared" si="773"/>
        <v>716770.6</v>
      </c>
      <c r="K2503" s="736">
        <v>19673.990000000002</v>
      </c>
      <c r="L2503" s="736"/>
      <c r="M2503" s="736">
        <f t="shared" si="774"/>
        <v>736444.59</v>
      </c>
      <c r="N2503" s="736"/>
      <c r="O2503" s="736"/>
      <c r="P2503" s="736">
        <f t="shared" si="775"/>
        <v>736444.59</v>
      </c>
      <c r="Q2503" s="738">
        <v>736444.59</v>
      </c>
      <c r="R2503" s="738">
        <v>521570.83</v>
      </c>
      <c r="S2503" s="751">
        <v>801375.12</v>
      </c>
      <c r="T2503" s="739">
        <v>1500521</v>
      </c>
      <c r="U2503" s="779">
        <v>803395.3</v>
      </c>
      <c r="V2503" s="741">
        <v>1500522</v>
      </c>
    </row>
    <row r="2504" spans="1:22" ht="15" x14ac:dyDescent="0.25">
      <c r="A2504" s="734">
        <v>1212</v>
      </c>
      <c r="B2504" s="735" t="s">
        <v>53</v>
      </c>
      <c r="C2504" s="736">
        <v>665282.39</v>
      </c>
      <c r="D2504" s="736">
        <v>650232</v>
      </c>
      <c r="E2504" s="749">
        <v>749227.54</v>
      </c>
      <c r="F2504" s="736">
        <v>741827.02</v>
      </c>
      <c r="G2504" s="736">
        <v>838641.6</v>
      </c>
      <c r="H2504" s="736"/>
      <c r="I2504" s="736"/>
      <c r="J2504" s="736">
        <f t="shared" si="773"/>
        <v>838641.6</v>
      </c>
      <c r="K2504" s="736">
        <v>20169</v>
      </c>
      <c r="L2504" s="736"/>
      <c r="M2504" s="736">
        <f t="shared" si="774"/>
        <v>858810.6</v>
      </c>
      <c r="N2504" s="736"/>
      <c r="O2504" s="736"/>
      <c r="P2504" s="736">
        <f t="shared" si="775"/>
        <v>858810.6</v>
      </c>
      <c r="Q2504" s="738">
        <v>821540.61</v>
      </c>
      <c r="R2504" s="738">
        <v>504395.77</v>
      </c>
      <c r="S2504" s="751">
        <v>679924.8</v>
      </c>
      <c r="T2504" s="739">
        <v>1500521</v>
      </c>
      <c r="U2504" s="779">
        <v>688375.75</v>
      </c>
      <c r="V2504" s="741">
        <v>1500522</v>
      </c>
    </row>
    <row r="2505" spans="1:22" ht="15" x14ac:dyDescent="0.25">
      <c r="A2505" s="734">
        <v>1321</v>
      </c>
      <c r="B2505" s="735" t="s">
        <v>9</v>
      </c>
      <c r="C2505" s="736">
        <v>127676.97</v>
      </c>
      <c r="D2505" s="736">
        <v>148051.99</v>
      </c>
      <c r="E2505" s="749">
        <v>151337.99</v>
      </c>
      <c r="F2505" s="736">
        <v>148611.1</v>
      </c>
      <c r="G2505" s="736">
        <v>152007.80000000002</v>
      </c>
      <c r="H2505" s="736"/>
      <c r="I2505" s="736"/>
      <c r="J2505" s="736">
        <f t="shared" si="773"/>
        <v>152007.80000000002</v>
      </c>
      <c r="K2505" s="736">
        <v>4607.0200000000004</v>
      </c>
      <c r="L2505" s="736"/>
      <c r="M2505" s="736">
        <f t="shared" si="774"/>
        <v>156614.82</v>
      </c>
      <c r="N2505" s="736"/>
      <c r="O2505" s="736"/>
      <c r="P2505" s="736">
        <f t="shared" si="775"/>
        <v>156614.82</v>
      </c>
      <c r="Q2505" s="738">
        <v>156614.82</v>
      </c>
      <c r="R2505" s="738">
        <v>73389.37</v>
      </c>
      <c r="S2505" s="751">
        <v>169551.05</v>
      </c>
      <c r="T2505" s="739">
        <v>1500521</v>
      </c>
      <c r="U2505" s="779">
        <v>152073.48000000001</v>
      </c>
      <c r="V2505" s="741">
        <v>1500522</v>
      </c>
    </row>
    <row r="2506" spans="1:22" ht="15" x14ac:dyDescent="0.25">
      <c r="A2506" s="734">
        <v>1323</v>
      </c>
      <c r="B2506" s="735" t="s">
        <v>11</v>
      </c>
      <c r="C2506" s="736">
        <v>392650.8</v>
      </c>
      <c r="D2506" s="736">
        <v>447762</v>
      </c>
      <c r="E2506" s="749">
        <v>528998</v>
      </c>
      <c r="F2506" s="736">
        <v>436001.86</v>
      </c>
      <c r="G2506" s="736">
        <v>465319.9</v>
      </c>
      <c r="H2506" s="736"/>
      <c r="I2506" s="736"/>
      <c r="J2506" s="736">
        <f t="shared" si="773"/>
        <v>465319.9</v>
      </c>
      <c r="K2506" s="736">
        <v>12936.21</v>
      </c>
      <c r="L2506" s="736"/>
      <c r="M2506" s="736">
        <f t="shared" si="774"/>
        <v>478256.11000000004</v>
      </c>
      <c r="N2506" s="736"/>
      <c r="O2506" s="736"/>
      <c r="P2506" s="736">
        <f t="shared" si="775"/>
        <v>478256.11000000004</v>
      </c>
      <c r="Q2506" s="738">
        <v>478256.11</v>
      </c>
      <c r="R2506" s="738">
        <v>314319.21000000002</v>
      </c>
      <c r="S2506" s="751">
        <v>511631.7</v>
      </c>
      <c r="T2506" s="739">
        <v>1500521</v>
      </c>
      <c r="U2506" s="779">
        <v>451469.83</v>
      </c>
      <c r="V2506" s="741">
        <v>1500522</v>
      </c>
    </row>
    <row r="2507" spans="1:22" ht="15" x14ac:dyDescent="0.25">
      <c r="A2507" s="734">
        <v>1331</v>
      </c>
      <c r="B2507" s="735" t="s">
        <v>183</v>
      </c>
      <c r="C2507" s="736">
        <v>259251.47</v>
      </c>
      <c r="D2507" s="736">
        <v>245000</v>
      </c>
      <c r="E2507" s="749">
        <v>289213.82</v>
      </c>
      <c r="F2507" s="736">
        <v>292271.78999999998</v>
      </c>
      <c r="G2507" s="736">
        <v>289213.89999999997</v>
      </c>
      <c r="H2507" s="736"/>
      <c r="I2507" s="736"/>
      <c r="J2507" s="736">
        <f t="shared" si="773"/>
        <v>289213.89999999997</v>
      </c>
      <c r="K2507" s="736"/>
      <c r="L2507" s="736">
        <v>0.08</v>
      </c>
      <c r="M2507" s="736">
        <f t="shared" si="774"/>
        <v>289213.81999999995</v>
      </c>
      <c r="N2507" s="736"/>
      <c r="O2507" s="736"/>
      <c r="P2507" s="736">
        <f t="shared" si="775"/>
        <v>289213.81999999995</v>
      </c>
      <c r="Q2507" s="738">
        <v>289213.82</v>
      </c>
      <c r="R2507" s="738">
        <v>127053.81</v>
      </c>
      <c r="S2507" s="751">
        <v>289213.82</v>
      </c>
      <c r="T2507" s="739">
        <v>1500521</v>
      </c>
      <c r="U2507" s="779">
        <v>289213.82</v>
      </c>
      <c r="V2507" s="741">
        <v>1500522</v>
      </c>
    </row>
    <row r="2508" spans="1:22" ht="15" x14ac:dyDescent="0.25">
      <c r="A2508" s="734">
        <v>1413</v>
      </c>
      <c r="B2508" s="735" t="s">
        <v>13</v>
      </c>
      <c r="C2508" s="736">
        <v>516892.4</v>
      </c>
      <c r="D2508" s="736">
        <v>672134.82</v>
      </c>
      <c r="E2508" s="749">
        <v>627101.81999999995</v>
      </c>
      <c r="F2508" s="736">
        <v>605448.23</v>
      </c>
      <c r="G2508" s="736">
        <v>784187.9</v>
      </c>
      <c r="H2508" s="736"/>
      <c r="I2508" s="736"/>
      <c r="J2508" s="736">
        <f t="shared" si="773"/>
        <v>784187.9</v>
      </c>
      <c r="K2508" s="736">
        <v>23392.55</v>
      </c>
      <c r="L2508" s="736"/>
      <c r="M2508" s="736">
        <f t="shared" si="774"/>
        <v>807580.45000000007</v>
      </c>
      <c r="N2508" s="736"/>
      <c r="O2508" s="736"/>
      <c r="P2508" s="736">
        <f t="shared" si="775"/>
        <v>807580.45000000007</v>
      </c>
      <c r="Q2508" s="738">
        <v>783839.91</v>
      </c>
      <c r="R2508" s="738">
        <v>484049.91</v>
      </c>
      <c r="S2508" s="751">
        <v>888425.4</v>
      </c>
      <c r="T2508" s="739">
        <v>1500521</v>
      </c>
      <c r="U2508" s="779">
        <v>651134.28</v>
      </c>
      <c r="V2508" s="741">
        <v>1500522</v>
      </c>
    </row>
    <row r="2509" spans="1:22" ht="15" x14ac:dyDescent="0.25">
      <c r="A2509" s="734">
        <v>1421</v>
      </c>
      <c r="B2509" s="735" t="s">
        <v>15</v>
      </c>
      <c r="C2509" s="736">
        <v>171853.08</v>
      </c>
      <c r="D2509" s="736">
        <v>208526.12</v>
      </c>
      <c r="E2509" s="749">
        <v>193979.51</v>
      </c>
      <c r="F2509" s="736">
        <v>186572.39</v>
      </c>
      <c r="G2509" s="736">
        <v>228457.5</v>
      </c>
      <c r="H2509" s="736"/>
      <c r="I2509" s="736"/>
      <c r="J2509" s="736">
        <f t="shared" si="773"/>
        <v>228457.5</v>
      </c>
      <c r="K2509" s="736">
        <v>6526.73</v>
      </c>
      <c r="L2509" s="736"/>
      <c r="M2509" s="736">
        <f t="shared" si="774"/>
        <v>234984.23</v>
      </c>
      <c r="N2509" s="736"/>
      <c r="O2509" s="736"/>
      <c r="P2509" s="736">
        <f t="shared" si="775"/>
        <v>234984.23</v>
      </c>
      <c r="Q2509" s="738">
        <v>234984.23</v>
      </c>
      <c r="R2509" s="738">
        <v>129455.8</v>
      </c>
      <c r="S2509" s="751">
        <v>244285.92</v>
      </c>
      <c r="T2509" s="739">
        <v>1500521</v>
      </c>
      <c r="U2509" s="779">
        <v>233324.33</v>
      </c>
      <c r="V2509" s="741">
        <v>1500522</v>
      </c>
    </row>
    <row r="2510" spans="1:22" ht="15" x14ac:dyDescent="0.25">
      <c r="A2510" s="734">
        <v>1431</v>
      </c>
      <c r="B2510" s="735" t="s">
        <v>16</v>
      </c>
      <c r="C2510" s="736">
        <v>181912.03</v>
      </c>
      <c r="D2510" s="736">
        <v>214781.38</v>
      </c>
      <c r="E2510" s="749">
        <v>199798.58</v>
      </c>
      <c r="F2510" s="736">
        <v>197462.85</v>
      </c>
      <c r="G2510" s="736">
        <v>235311.2</v>
      </c>
      <c r="H2510" s="736"/>
      <c r="I2510" s="736"/>
      <c r="J2510" s="736">
        <f t="shared" si="773"/>
        <v>235311.2</v>
      </c>
      <c r="K2510" s="736">
        <v>6674.41</v>
      </c>
      <c r="L2510" s="736"/>
      <c r="M2510" s="736">
        <f t="shared" si="774"/>
        <v>241985.61000000002</v>
      </c>
      <c r="N2510" s="736"/>
      <c r="O2510" s="736"/>
      <c r="P2510" s="736">
        <f t="shared" si="775"/>
        <v>241985.61000000002</v>
      </c>
      <c r="Q2510" s="738">
        <v>241985.61</v>
      </c>
      <c r="R2510" s="738">
        <v>133032.98000000001</v>
      </c>
      <c r="S2510" s="751">
        <v>251614.44</v>
      </c>
      <c r="T2510" s="739">
        <v>1500521</v>
      </c>
      <c r="U2510" s="779">
        <v>234980.98</v>
      </c>
      <c r="V2510" s="741">
        <v>1500522</v>
      </c>
    </row>
    <row r="2511" spans="1:22" ht="15" x14ac:dyDescent="0.25">
      <c r="A2511" s="734">
        <v>1511</v>
      </c>
      <c r="B2511" s="735" t="s">
        <v>18</v>
      </c>
      <c r="C2511" s="736">
        <v>46799.27</v>
      </c>
      <c r="D2511" s="736">
        <v>61246.64</v>
      </c>
      <c r="E2511" s="749">
        <v>56910.34</v>
      </c>
      <c r="F2511" s="736">
        <v>58963.71</v>
      </c>
      <c r="G2511" s="736">
        <v>62666.299999999996</v>
      </c>
      <c r="H2511" s="736"/>
      <c r="I2511" s="736"/>
      <c r="J2511" s="736">
        <f t="shared" si="773"/>
        <v>62666.299999999996</v>
      </c>
      <c r="K2511" s="736">
        <v>1716.01</v>
      </c>
      <c r="L2511" s="736"/>
      <c r="M2511" s="736">
        <f t="shared" si="774"/>
        <v>64382.31</v>
      </c>
      <c r="N2511" s="736"/>
      <c r="O2511" s="736"/>
      <c r="P2511" s="736">
        <f t="shared" si="775"/>
        <v>64382.31</v>
      </c>
      <c r="Q2511" s="738">
        <v>64382.31</v>
      </c>
      <c r="R2511" s="738">
        <v>43277.08</v>
      </c>
      <c r="S2511" s="751">
        <v>70368.479999999996</v>
      </c>
      <c r="T2511" s="739">
        <v>1500521</v>
      </c>
      <c r="U2511" s="779">
        <v>61736.19</v>
      </c>
      <c r="V2511" s="741">
        <v>1500522</v>
      </c>
    </row>
    <row r="2512" spans="1:22" ht="15" x14ac:dyDescent="0.25">
      <c r="A2512" s="734">
        <v>1541</v>
      </c>
      <c r="B2512" s="735" t="s">
        <v>19</v>
      </c>
      <c r="C2512" s="736">
        <v>519546.45</v>
      </c>
      <c r="D2512" s="736">
        <v>572165.88</v>
      </c>
      <c r="E2512" s="749">
        <v>719810.82</v>
      </c>
      <c r="F2512" s="736">
        <v>590929.4</v>
      </c>
      <c r="G2512" s="736">
        <v>745758.2</v>
      </c>
      <c r="H2512" s="736"/>
      <c r="I2512" s="736"/>
      <c r="J2512" s="736">
        <f t="shared" si="773"/>
        <v>745758.2</v>
      </c>
      <c r="K2512" s="736">
        <v>28385.91</v>
      </c>
      <c r="L2512" s="736"/>
      <c r="M2512" s="736">
        <f t="shared" si="774"/>
        <v>774144.11</v>
      </c>
      <c r="N2512" s="736"/>
      <c r="O2512" s="736"/>
      <c r="P2512" s="736">
        <f t="shared" si="775"/>
        <v>774144.11</v>
      </c>
      <c r="Q2512" s="738">
        <v>774144.11</v>
      </c>
      <c r="R2512" s="738">
        <v>388777.23</v>
      </c>
      <c r="S2512" s="751">
        <v>644993.69999999995</v>
      </c>
      <c r="T2512" s="739">
        <v>1500521</v>
      </c>
      <c r="U2512" s="779">
        <v>647458.30000000005</v>
      </c>
      <c r="V2512" s="741">
        <v>1500522</v>
      </c>
    </row>
    <row r="2513" spans="1:22" ht="15" x14ac:dyDescent="0.25">
      <c r="A2513" s="734">
        <v>1591</v>
      </c>
      <c r="B2513" s="735" t="s">
        <v>184</v>
      </c>
      <c r="C2513" s="736">
        <v>1335354.57</v>
      </c>
      <c r="D2513" s="736">
        <v>1730000</v>
      </c>
      <c r="E2513" s="749">
        <v>1677720</v>
      </c>
      <c r="F2513" s="736">
        <v>1086348.8999999999</v>
      </c>
      <c r="G2513" s="736">
        <v>1677720</v>
      </c>
      <c r="H2513" s="736"/>
      <c r="I2513" s="736"/>
      <c r="J2513" s="736">
        <f t="shared" si="773"/>
        <v>1677720</v>
      </c>
      <c r="K2513" s="736"/>
      <c r="L2513" s="736"/>
      <c r="M2513" s="736">
        <f t="shared" si="774"/>
        <v>1677720</v>
      </c>
      <c r="N2513" s="736"/>
      <c r="O2513" s="736"/>
      <c r="P2513" s="736">
        <f t="shared" si="775"/>
        <v>1677720</v>
      </c>
      <c r="Q2513" s="738">
        <v>1572720</v>
      </c>
      <c r="R2513" s="738">
        <v>643355.03</v>
      </c>
      <c r="S2513" s="751">
        <v>1572720</v>
      </c>
      <c r="T2513" s="739">
        <v>1500521</v>
      </c>
      <c r="U2513" s="779">
        <v>1572720</v>
      </c>
      <c r="V2513" s="741">
        <v>1500522</v>
      </c>
    </row>
    <row r="2514" spans="1:22" ht="15" x14ac:dyDescent="0.25">
      <c r="A2514" s="734">
        <v>1592</v>
      </c>
      <c r="B2514" s="735" t="s">
        <v>20</v>
      </c>
      <c r="C2514" s="736">
        <v>531221.72</v>
      </c>
      <c r="D2514" s="736">
        <v>667375.80000000005</v>
      </c>
      <c r="E2514" s="749">
        <v>595580.64</v>
      </c>
      <c r="F2514" s="736">
        <v>617498.41</v>
      </c>
      <c r="G2514" s="736">
        <v>664241.79999999993</v>
      </c>
      <c r="H2514" s="736"/>
      <c r="I2514" s="736"/>
      <c r="J2514" s="736">
        <f t="shared" si="773"/>
        <v>664241.79999999993</v>
      </c>
      <c r="K2514" s="737">
        <v>8770.39</v>
      </c>
      <c r="L2514" s="736"/>
      <c r="M2514" s="736">
        <f t="shared" si="774"/>
        <v>673012.19</v>
      </c>
      <c r="N2514" s="736"/>
      <c r="O2514" s="736"/>
      <c r="P2514" s="736">
        <f t="shared" si="775"/>
        <v>673012.19</v>
      </c>
      <c r="Q2514" s="738">
        <v>701647.53</v>
      </c>
      <c r="R2514" s="738">
        <v>457645.37</v>
      </c>
      <c r="S2514" s="751">
        <v>774111.52</v>
      </c>
      <c r="T2514" s="739">
        <v>1500521</v>
      </c>
      <c r="U2514" s="779">
        <v>655082.37</v>
      </c>
      <c r="V2514" s="741">
        <v>1500522</v>
      </c>
    </row>
    <row r="2515" spans="1:22" ht="15" x14ac:dyDescent="0.2">
      <c r="A2515" s="734">
        <v>2111</v>
      </c>
      <c r="B2515" s="735" t="s">
        <v>22</v>
      </c>
      <c r="C2515" s="736">
        <v>13490</v>
      </c>
      <c r="D2515" s="736">
        <v>15000</v>
      </c>
      <c r="E2515" s="749">
        <v>10500</v>
      </c>
      <c r="F2515" s="736">
        <v>9032.68</v>
      </c>
      <c r="G2515" s="752">
        <v>11000</v>
      </c>
      <c r="H2515" s="752"/>
      <c r="I2515" s="752"/>
      <c r="J2515" s="736">
        <f t="shared" si="773"/>
        <v>11000</v>
      </c>
      <c r="K2515" s="752"/>
      <c r="L2515" s="752"/>
      <c r="M2515" s="736">
        <f t="shared" si="774"/>
        <v>11000</v>
      </c>
      <c r="N2515" s="736"/>
      <c r="O2515" s="736"/>
      <c r="P2515" s="736">
        <f t="shared" si="775"/>
        <v>11000</v>
      </c>
      <c r="Q2515" s="753">
        <v>9718.7900000000009</v>
      </c>
      <c r="R2515" s="738">
        <v>8304.7800000000007</v>
      </c>
      <c r="S2515" s="753">
        <v>15000</v>
      </c>
      <c r="T2515" s="739">
        <v>1100121</v>
      </c>
      <c r="U2515" s="740">
        <v>15000</v>
      </c>
      <c r="V2515" s="741">
        <v>1100122</v>
      </c>
    </row>
    <row r="2516" spans="1:22" ht="15" x14ac:dyDescent="0.2">
      <c r="A2516" s="739">
        <v>2112</v>
      </c>
      <c r="B2516" s="743" t="s">
        <v>39</v>
      </c>
      <c r="C2516" s="736">
        <v>4000</v>
      </c>
      <c r="D2516" s="736">
        <v>62500</v>
      </c>
      <c r="E2516" s="749">
        <v>51500</v>
      </c>
      <c r="F2516" s="736">
        <v>45003.65</v>
      </c>
      <c r="G2516" s="752"/>
      <c r="H2516" s="752"/>
      <c r="I2516" s="752"/>
      <c r="J2516" s="736">
        <f t="shared" si="773"/>
        <v>0</v>
      </c>
      <c r="K2516" s="752">
        <v>9000</v>
      </c>
      <c r="L2516" s="752"/>
      <c r="M2516" s="736">
        <f t="shared" si="774"/>
        <v>9000</v>
      </c>
      <c r="N2516" s="736"/>
      <c r="O2516" s="736"/>
      <c r="P2516" s="736">
        <f t="shared" si="775"/>
        <v>9000</v>
      </c>
      <c r="Q2516" s="753">
        <v>9000</v>
      </c>
      <c r="R2516" s="738">
        <v>9000</v>
      </c>
      <c r="S2516" s="753">
        <v>58320</v>
      </c>
      <c r="T2516" s="739">
        <v>1100121</v>
      </c>
      <c r="U2516" s="922"/>
      <c r="V2516" s="739">
        <v>1100122</v>
      </c>
    </row>
    <row r="2517" spans="1:22" ht="15" x14ac:dyDescent="0.2">
      <c r="A2517" s="734">
        <v>2121</v>
      </c>
      <c r="B2517" s="735" t="s">
        <v>24</v>
      </c>
      <c r="C2517" s="736">
        <v>4501</v>
      </c>
      <c r="D2517" s="736">
        <v>10000</v>
      </c>
      <c r="E2517" s="749">
        <v>7000</v>
      </c>
      <c r="F2517" s="736">
        <v>6350</v>
      </c>
      <c r="G2517" s="752">
        <v>7000</v>
      </c>
      <c r="H2517" s="752"/>
      <c r="I2517" s="752"/>
      <c r="J2517" s="736">
        <f t="shared" si="773"/>
        <v>7000</v>
      </c>
      <c r="K2517" s="752"/>
      <c r="L2517" s="752"/>
      <c r="M2517" s="736">
        <f t="shared" si="774"/>
        <v>7000</v>
      </c>
      <c r="N2517" s="736"/>
      <c r="O2517" s="736"/>
      <c r="P2517" s="736">
        <f t="shared" si="775"/>
        <v>7000</v>
      </c>
      <c r="Q2517" s="753">
        <v>6305</v>
      </c>
      <c r="R2517" s="738">
        <v>5855</v>
      </c>
      <c r="S2517" s="753">
        <v>8000</v>
      </c>
      <c r="T2517" s="739">
        <v>1100121</v>
      </c>
      <c r="U2517" s="740">
        <v>8000</v>
      </c>
      <c r="V2517" s="741">
        <v>1100122</v>
      </c>
    </row>
    <row r="2518" spans="1:22" ht="15" x14ac:dyDescent="0.2">
      <c r="A2518" s="734">
        <v>2151</v>
      </c>
      <c r="B2518" s="735" t="s">
        <v>25</v>
      </c>
      <c r="C2518" s="736"/>
      <c r="D2518" s="736"/>
      <c r="E2518" s="749"/>
      <c r="F2518" s="736"/>
      <c r="G2518" s="752"/>
      <c r="H2518" s="752"/>
      <c r="I2518" s="752"/>
      <c r="J2518" s="736"/>
      <c r="K2518" s="752">
        <v>4000</v>
      </c>
      <c r="L2518" s="752"/>
      <c r="M2518" s="736">
        <f t="shared" si="774"/>
        <v>4000</v>
      </c>
      <c r="N2518" s="736"/>
      <c r="O2518" s="736"/>
      <c r="P2518" s="736">
        <f t="shared" si="775"/>
        <v>4000</v>
      </c>
      <c r="Q2518" s="753">
        <v>4000</v>
      </c>
      <c r="R2518" s="738"/>
      <c r="S2518" s="753">
        <v>4500</v>
      </c>
      <c r="T2518" s="739">
        <v>1100121</v>
      </c>
      <c r="U2518" s="740">
        <v>4500</v>
      </c>
      <c r="V2518" s="741">
        <v>1100122</v>
      </c>
    </row>
    <row r="2519" spans="1:22" ht="15" x14ac:dyDescent="0.2">
      <c r="A2519" s="734">
        <v>2161</v>
      </c>
      <c r="B2519" s="735" t="s">
        <v>59</v>
      </c>
      <c r="C2519" s="736">
        <v>9995.81</v>
      </c>
      <c r="D2519" s="736">
        <v>12000</v>
      </c>
      <c r="E2519" s="749">
        <v>19500</v>
      </c>
      <c r="F2519" s="736">
        <v>15998.45</v>
      </c>
      <c r="G2519" s="752">
        <v>23000</v>
      </c>
      <c r="H2519" s="752"/>
      <c r="I2519" s="752"/>
      <c r="J2519" s="736">
        <f>G2519+H2519-I2519</f>
        <v>23000</v>
      </c>
      <c r="K2519" s="752"/>
      <c r="L2519" s="752"/>
      <c r="M2519" s="736">
        <f t="shared" si="774"/>
        <v>23000</v>
      </c>
      <c r="N2519" s="736"/>
      <c r="O2519" s="736"/>
      <c r="P2519" s="736">
        <f t="shared" si="775"/>
        <v>23000</v>
      </c>
      <c r="Q2519" s="753">
        <v>23000</v>
      </c>
      <c r="R2519" s="738">
        <v>20535.97</v>
      </c>
      <c r="S2519" s="753">
        <v>30000</v>
      </c>
      <c r="T2519" s="739">
        <v>1100121</v>
      </c>
      <c r="U2519" s="740">
        <v>30000</v>
      </c>
      <c r="V2519" s="741">
        <v>1100122</v>
      </c>
    </row>
    <row r="2520" spans="1:22" ht="15" x14ac:dyDescent="0.2">
      <c r="A2520" s="739">
        <v>2421</v>
      </c>
      <c r="B2520" s="743" t="s">
        <v>111</v>
      </c>
      <c r="C2520" s="736"/>
      <c r="D2520" s="736"/>
      <c r="E2520" s="749"/>
      <c r="F2520" s="736"/>
      <c r="G2520" s="752"/>
      <c r="H2520" s="752"/>
      <c r="I2520" s="752"/>
      <c r="J2520" s="736"/>
      <c r="K2520" s="752"/>
      <c r="L2520" s="752"/>
      <c r="M2520" s="736"/>
      <c r="N2520" s="736"/>
      <c r="O2520" s="736"/>
      <c r="P2520" s="736"/>
      <c r="Q2520" s="753"/>
      <c r="R2520" s="738"/>
      <c r="S2520" s="753">
        <v>10000</v>
      </c>
      <c r="T2520" s="739"/>
      <c r="U2520" s="745"/>
      <c r="V2520" s="739"/>
    </row>
    <row r="2521" spans="1:22" ht="15" x14ac:dyDescent="0.2">
      <c r="A2521" s="734">
        <v>2491</v>
      </c>
      <c r="B2521" s="735" t="s">
        <v>41</v>
      </c>
      <c r="C2521" s="736"/>
      <c r="D2521" s="736">
        <v>40000</v>
      </c>
      <c r="E2521" s="749">
        <v>51000</v>
      </c>
      <c r="F2521" s="736">
        <v>43008.05</v>
      </c>
      <c r="G2521" s="752">
        <v>35000</v>
      </c>
      <c r="H2521" s="752"/>
      <c r="I2521" s="752"/>
      <c r="J2521" s="736">
        <f t="shared" ref="J2521:J2525" si="776">G2521+H2521-I2521</f>
        <v>35000</v>
      </c>
      <c r="K2521" s="752"/>
      <c r="L2521" s="752">
        <f>9000+4000</f>
        <v>13000</v>
      </c>
      <c r="M2521" s="736">
        <f t="shared" ref="M2521:M2525" si="777">J2521+K2521-L2521</f>
        <v>22000</v>
      </c>
      <c r="N2521" s="736"/>
      <c r="O2521" s="736"/>
      <c r="P2521" s="736">
        <f t="shared" ref="P2521:P2525" si="778">M2521+N2521-O2521</f>
        <v>22000</v>
      </c>
      <c r="Q2521" s="753">
        <v>37000</v>
      </c>
      <c r="R2521" s="738">
        <v>36200.93</v>
      </c>
      <c r="S2521" s="753">
        <v>45000</v>
      </c>
      <c r="T2521" s="739">
        <v>1100121</v>
      </c>
      <c r="U2521" s="740">
        <v>40000</v>
      </c>
      <c r="V2521" s="741">
        <v>1100122</v>
      </c>
    </row>
    <row r="2522" spans="1:22" ht="15" x14ac:dyDescent="0.2">
      <c r="A2522" s="739">
        <v>2212</v>
      </c>
      <c r="B2522" s="743" t="s">
        <v>40</v>
      </c>
      <c r="C2522" s="736">
        <v>168</v>
      </c>
      <c r="D2522" s="736"/>
      <c r="E2522" s="736"/>
      <c r="F2522" s="736"/>
      <c r="G2522" s="736"/>
      <c r="H2522" s="736"/>
      <c r="I2522" s="736"/>
      <c r="J2522" s="736">
        <f t="shared" si="776"/>
        <v>0</v>
      </c>
      <c r="K2522" s="736"/>
      <c r="L2522" s="736"/>
      <c r="M2522" s="736">
        <f t="shared" si="777"/>
        <v>0</v>
      </c>
      <c r="N2522" s="736"/>
      <c r="O2522" s="736"/>
      <c r="P2522" s="738">
        <f t="shared" si="778"/>
        <v>0</v>
      </c>
      <c r="Q2522" s="738"/>
      <c r="R2522" s="738"/>
      <c r="S2522" s="738"/>
      <c r="T2522" s="739"/>
      <c r="U2522" s="745"/>
      <c r="V2522" s="739"/>
    </row>
    <row r="2523" spans="1:22" ht="15" x14ac:dyDescent="0.2">
      <c r="A2523" s="739">
        <v>2491</v>
      </c>
      <c r="B2523" s="743" t="s">
        <v>41</v>
      </c>
      <c r="C2523" s="736">
        <v>10559.87</v>
      </c>
      <c r="D2523" s="736"/>
      <c r="E2523" s="736"/>
      <c r="F2523" s="736"/>
      <c r="G2523" s="736"/>
      <c r="H2523" s="736"/>
      <c r="I2523" s="736"/>
      <c r="J2523" s="736">
        <f t="shared" si="776"/>
        <v>0</v>
      </c>
      <c r="K2523" s="736"/>
      <c r="L2523" s="736"/>
      <c r="M2523" s="736">
        <f t="shared" si="777"/>
        <v>0</v>
      </c>
      <c r="N2523" s="736">
        <v>15000</v>
      </c>
      <c r="O2523" s="736"/>
      <c r="P2523" s="736">
        <f t="shared" si="778"/>
        <v>15000</v>
      </c>
      <c r="Q2523" s="738"/>
      <c r="R2523" s="738"/>
      <c r="S2523" s="738"/>
      <c r="T2523" s="739">
        <v>1100121</v>
      </c>
      <c r="U2523" s="745"/>
      <c r="V2523" s="739">
        <v>1100122</v>
      </c>
    </row>
    <row r="2524" spans="1:22" ht="30" x14ac:dyDescent="0.2">
      <c r="A2524" s="734">
        <v>2612</v>
      </c>
      <c r="B2524" s="735" t="s">
        <v>26</v>
      </c>
      <c r="C2524" s="736">
        <v>185985.35</v>
      </c>
      <c r="D2524" s="736">
        <v>146362</v>
      </c>
      <c r="E2524" s="749">
        <v>145000</v>
      </c>
      <c r="F2524" s="736">
        <v>145288.38</v>
      </c>
      <c r="G2524" s="749">
        <v>170000</v>
      </c>
      <c r="H2524" s="749"/>
      <c r="I2524" s="749"/>
      <c r="J2524" s="736">
        <f t="shared" si="776"/>
        <v>170000</v>
      </c>
      <c r="K2524" s="752"/>
      <c r="L2524" s="749"/>
      <c r="M2524" s="736">
        <f t="shared" si="777"/>
        <v>170000</v>
      </c>
      <c r="N2524" s="736"/>
      <c r="O2524" s="736">
        <v>20000</v>
      </c>
      <c r="P2524" s="736">
        <f t="shared" si="778"/>
        <v>150000</v>
      </c>
      <c r="Q2524" s="783">
        <v>150000</v>
      </c>
      <c r="R2524" s="738">
        <v>133265.71</v>
      </c>
      <c r="S2524" s="738">
        <f>Q2524</f>
        <v>150000</v>
      </c>
      <c r="T2524" s="739">
        <v>1100121</v>
      </c>
      <c r="U2524" s="746">
        <v>180000</v>
      </c>
      <c r="V2524" s="741">
        <v>1100122</v>
      </c>
    </row>
    <row r="2525" spans="1:22" ht="15" x14ac:dyDescent="0.2">
      <c r="A2525" s="734">
        <v>2614</v>
      </c>
      <c r="B2525" s="735" t="s">
        <v>116</v>
      </c>
      <c r="C2525" s="736"/>
      <c r="D2525" s="736">
        <v>2000000</v>
      </c>
      <c r="E2525" s="749">
        <v>0</v>
      </c>
      <c r="F2525" s="736">
        <v>0</v>
      </c>
      <c r="G2525" s="752">
        <v>40000</v>
      </c>
      <c r="H2525" s="752"/>
      <c r="I2525" s="752"/>
      <c r="J2525" s="736">
        <f t="shared" si="776"/>
        <v>40000</v>
      </c>
      <c r="K2525" s="752"/>
      <c r="L2525" s="752"/>
      <c r="M2525" s="736">
        <f t="shared" si="777"/>
        <v>40000</v>
      </c>
      <c r="N2525" s="736">
        <v>10000</v>
      </c>
      <c r="O2525" s="736"/>
      <c r="P2525" s="736">
        <f t="shared" si="778"/>
        <v>50000</v>
      </c>
      <c r="Q2525" s="753">
        <v>50000</v>
      </c>
      <c r="R2525" s="738"/>
      <c r="S2525" s="738">
        <f>Q2525</f>
        <v>50000</v>
      </c>
      <c r="T2525" s="739">
        <v>1100121</v>
      </c>
      <c r="U2525" s="746">
        <v>50000</v>
      </c>
      <c r="V2525" s="741">
        <v>1100122</v>
      </c>
    </row>
    <row r="2526" spans="1:22" ht="15" x14ac:dyDescent="0.2">
      <c r="A2526" s="739">
        <v>2711</v>
      </c>
      <c r="B2526" s="743" t="s">
        <v>27</v>
      </c>
      <c r="C2526" s="736"/>
      <c r="D2526" s="736"/>
      <c r="E2526" s="749"/>
      <c r="F2526" s="736"/>
      <c r="G2526" s="752"/>
      <c r="H2526" s="752"/>
      <c r="I2526" s="752"/>
      <c r="J2526" s="736"/>
      <c r="K2526" s="752"/>
      <c r="L2526" s="752"/>
      <c r="M2526" s="736"/>
      <c r="N2526" s="736"/>
      <c r="O2526" s="736"/>
      <c r="P2526" s="736"/>
      <c r="Q2526" s="753"/>
      <c r="R2526" s="738"/>
      <c r="S2526" s="753">
        <v>75000</v>
      </c>
      <c r="T2526" s="739"/>
      <c r="U2526" s="744"/>
      <c r="V2526" s="739"/>
    </row>
    <row r="2527" spans="1:22" ht="15" x14ac:dyDescent="0.2">
      <c r="A2527" s="734">
        <v>3111</v>
      </c>
      <c r="B2527" s="735" t="s">
        <v>47</v>
      </c>
      <c r="C2527" s="736">
        <v>46498</v>
      </c>
      <c r="D2527" s="736">
        <v>55000</v>
      </c>
      <c r="E2527" s="749">
        <v>55000</v>
      </c>
      <c r="F2527" s="736">
        <v>38577</v>
      </c>
      <c r="G2527" s="752">
        <v>50000</v>
      </c>
      <c r="H2527" s="752"/>
      <c r="I2527" s="752"/>
      <c r="J2527" s="736">
        <f t="shared" ref="J2527:J2537" si="779">G2527+H2527-I2527</f>
        <v>50000</v>
      </c>
      <c r="K2527" s="752"/>
      <c r="L2527" s="752"/>
      <c r="M2527" s="736">
        <f t="shared" ref="M2527:M2537" si="780">J2527+K2527-L2527</f>
        <v>50000</v>
      </c>
      <c r="N2527" s="736"/>
      <c r="O2527" s="736"/>
      <c r="P2527" s="736">
        <f t="shared" ref="P2527:P2537" si="781">M2527+N2527-O2527</f>
        <v>50000</v>
      </c>
      <c r="Q2527" s="753">
        <v>50000</v>
      </c>
      <c r="R2527" s="738">
        <v>33768</v>
      </c>
      <c r="S2527" s="753">
        <v>55000</v>
      </c>
      <c r="T2527" s="739">
        <v>1100121</v>
      </c>
      <c r="U2527" s="746">
        <v>50000</v>
      </c>
      <c r="V2527" s="741">
        <v>1100122</v>
      </c>
    </row>
    <row r="2528" spans="1:22" ht="15" x14ac:dyDescent="0.2">
      <c r="A2528" s="734">
        <v>3141</v>
      </c>
      <c r="B2528" s="735" t="s">
        <v>48</v>
      </c>
      <c r="C2528" s="736">
        <v>36872.29</v>
      </c>
      <c r="D2528" s="736">
        <v>51500</v>
      </c>
      <c r="E2528" s="749">
        <v>51500</v>
      </c>
      <c r="F2528" s="736">
        <v>27443.3</v>
      </c>
      <c r="G2528" s="752">
        <v>48000</v>
      </c>
      <c r="H2528" s="752"/>
      <c r="I2528" s="752"/>
      <c r="J2528" s="736">
        <f t="shared" si="779"/>
        <v>48000</v>
      </c>
      <c r="K2528" s="752"/>
      <c r="L2528" s="752"/>
      <c r="M2528" s="736">
        <f t="shared" si="780"/>
        <v>48000</v>
      </c>
      <c r="N2528" s="736"/>
      <c r="O2528" s="736"/>
      <c r="P2528" s="736">
        <f t="shared" si="781"/>
        <v>48000</v>
      </c>
      <c r="Q2528" s="753">
        <v>48000</v>
      </c>
      <c r="R2528" s="738">
        <v>11823.24</v>
      </c>
      <c r="S2528" s="753">
        <v>50000</v>
      </c>
      <c r="T2528" s="739">
        <v>1100121</v>
      </c>
      <c r="U2528" s="746">
        <v>25000</v>
      </c>
      <c r="V2528" s="741">
        <v>1100122</v>
      </c>
    </row>
    <row r="2529" spans="1:22" ht="15" x14ac:dyDescent="0.2">
      <c r="A2529" s="734">
        <v>3151</v>
      </c>
      <c r="B2529" s="735" t="s">
        <v>28</v>
      </c>
      <c r="C2529" s="736">
        <v>9685.76</v>
      </c>
      <c r="D2529" s="736">
        <v>15000</v>
      </c>
      <c r="E2529" s="749">
        <v>15000</v>
      </c>
      <c r="F2529" s="736">
        <v>14991.51</v>
      </c>
      <c r="G2529" s="752">
        <v>16000</v>
      </c>
      <c r="H2529" s="752"/>
      <c r="I2529" s="752"/>
      <c r="J2529" s="736">
        <f t="shared" si="779"/>
        <v>16000</v>
      </c>
      <c r="K2529" s="752"/>
      <c r="L2529" s="752"/>
      <c r="M2529" s="736">
        <f t="shared" si="780"/>
        <v>16000</v>
      </c>
      <c r="N2529" s="736"/>
      <c r="O2529" s="736"/>
      <c r="P2529" s="736">
        <f t="shared" si="781"/>
        <v>16000</v>
      </c>
      <c r="Q2529" s="753">
        <v>16000</v>
      </c>
      <c r="R2529" s="738">
        <v>9922.34</v>
      </c>
      <c r="S2529" s="753">
        <v>18000</v>
      </c>
      <c r="T2529" s="739">
        <v>1100121</v>
      </c>
      <c r="U2529" s="746">
        <v>15000</v>
      </c>
      <c r="V2529" s="741">
        <v>1100122</v>
      </c>
    </row>
    <row r="2530" spans="1:22" ht="15" x14ac:dyDescent="0.2">
      <c r="A2530" s="734">
        <v>3161</v>
      </c>
      <c r="B2530" s="735" t="s">
        <v>157</v>
      </c>
      <c r="C2530" s="736">
        <v>478012.8</v>
      </c>
      <c r="D2530" s="736">
        <v>500000</v>
      </c>
      <c r="E2530" s="749">
        <v>500000</v>
      </c>
      <c r="F2530" s="736">
        <v>414120</v>
      </c>
      <c r="G2530" s="752">
        <v>605267.52</v>
      </c>
      <c r="H2530" s="752"/>
      <c r="I2530" s="752"/>
      <c r="J2530" s="736">
        <f t="shared" si="779"/>
        <v>605267.52</v>
      </c>
      <c r="K2530" s="752"/>
      <c r="L2530" s="752"/>
      <c r="M2530" s="736">
        <f t="shared" si="780"/>
        <v>605267.52</v>
      </c>
      <c r="N2530" s="736"/>
      <c r="O2530" s="736"/>
      <c r="P2530" s="736">
        <f t="shared" si="781"/>
        <v>605267.52</v>
      </c>
      <c r="Q2530" s="753">
        <v>605267.52</v>
      </c>
      <c r="R2530" s="738">
        <v>332514</v>
      </c>
      <c r="S2530" s="753">
        <v>600000</v>
      </c>
      <c r="T2530" s="739">
        <v>1100121</v>
      </c>
      <c r="U2530" s="746">
        <v>600000</v>
      </c>
      <c r="V2530" s="741">
        <v>1100122</v>
      </c>
    </row>
    <row r="2531" spans="1:22" ht="15" x14ac:dyDescent="0.2">
      <c r="A2531" s="734">
        <v>3221</v>
      </c>
      <c r="B2531" s="735" t="s">
        <v>99</v>
      </c>
      <c r="C2531" s="736">
        <v>229330.56</v>
      </c>
      <c r="D2531" s="736">
        <v>238504</v>
      </c>
      <c r="E2531" s="749">
        <v>235904</v>
      </c>
      <c r="F2531" s="736">
        <v>235820.64</v>
      </c>
      <c r="G2531" s="752">
        <v>244074.4</v>
      </c>
      <c r="H2531" s="752"/>
      <c r="I2531" s="752"/>
      <c r="J2531" s="736">
        <f t="shared" si="779"/>
        <v>244074.4</v>
      </c>
      <c r="K2531" s="752"/>
      <c r="L2531" s="752">
        <v>825</v>
      </c>
      <c r="M2531" s="736">
        <f t="shared" si="780"/>
        <v>243249.4</v>
      </c>
      <c r="N2531" s="736"/>
      <c r="O2531" s="736"/>
      <c r="P2531" s="736">
        <f t="shared" si="781"/>
        <v>243249.4</v>
      </c>
      <c r="Q2531" s="753">
        <v>243249.4</v>
      </c>
      <c r="R2531" s="738">
        <v>182436.75</v>
      </c>
      <c r="S2531" s="753">
        <v>250000</v>
      </c>
      <c r="T2531" s="739">
        <v>1100121</v>
      </c>
      <c r="U2531" s="740">
        <v>255412</v>
      </c>
      <c r="V2531" s="741">
        <v>1100122</v>
      </c>
    </row>
    <row r="2532" spans="1:22" ht="15" x14ac:dyDescent="0.2">
      <c r="A2532" s="739">
        <v>3391</v>
      </c>
      <c r="B2532" s="743" t="s">
        <v>118</v>
      </c>
      <c r="C2532" s="736">
        <v>201908</v>
      </c>
      <c r="D2532" s="736"/>
      <c r="E2532" s="749"/>
      <c r="F2532" s="736"/>
      <c r="G2532" s="736"/>
      <c r="H2532" s="736"/>
      <c r="I2532" s="736"/>
      <c r="J2532" s="736">
        <f t="shared" si="779"/>
        <v>0</v>
      </c>
      <c r="K2532" s="736"/>
      <c r="L2532" s="736"/>
      <c r="M2532" s="736">
        <f t="shared" si="780"/>
        <v>0</v>
      </c>
      <c r="N2532" s="736"/>
      <c r="O2532" s="736"/>
      <c r="P2532" s="738">
        <f t="shared" si="781"/>
        <v>0</v>
      </c>
      <c r="Q2532" s="738"/>
      <c r="R2532" s="738"/>
      <c r="S2532" s="738"/>
      <c r="T2532" s="739"/>
      <c r="U2532" s="745"/>
      <c r="V2532" s="739"/>
    </row>
    <row r="2533" spans="1:22" ht="15" x14ac:dyDescent="0.2">
      <c r="A2533" s="734">
        <v>3511</v>
      </c>
      <c r="B2533" s="735" t="s">
        <v>49</v>
      </c>
      <c r="C2533" s="736">
        <v>15369.99</v>
      </c>
      <c r="D2533" s="736">
        <v>25000</v>
      </c>
      <c r="E2533" s="749">
        <v>17600</v>
      </c>
      <c r="F2533" s="736">
        <v>15759.76</v>
      </c>
      <c r="G2533" s="752">
        <v>17500</v>
      </c>
      <c r="H2533" s="752"/>
      <c r="I2533" s="752"/>
      <c r="J2533" s="736">
        <f t="shared" si="779"/>
        <v>17500</v>
      </c>
      <c r="K2533" s="752"/>
      <c r="L2533" s="752"/>
      <c r="M2533" s="736">
        <f t="shared" si="780"/>
        <v>17500</v>
      </c>
      <c r="N2533" s="736"/>
      <c r="O2533" s="736">
        <v>15000</v>
      </c>
      <c r="P2533" s="736">
        <f t="shared" si="781"/>
        <v>2500</v>
      </c>
      <c r="Q2533" s="753">
        <v>2500</v>
      </c>
      <c r="R2533" s="738"/>
      <c r="S2533" s="753">
        <v>25000</v>
      </c>
      <c r="T2533" s="739">
        <v>1100121</v>
      </c>
      <c r="U2533" s="740">
        <v>25000</v>
      </c>
      <c r="V2533" s="741">
        <v>1100122</v>
      </c>
    </row>
    <row r="2534" spans="1:22" ht="15" x14ac:dyDescent="0.2">
      <c r="A2534" s="734">
        <v>3511</v>
      </c>
      <c r="B2534" s="735" t="s">
        <v>49</v>
      </c>
      <c r="C2534" s="736"/>
      <c r="D2534" s="736"/>
      <c r="E2534" s="749"/>
      <c r="F2534" s="736"/>
      <c r="G2534" s="752"/>
      <c r="H2534" s="752"/>
      <c r="I2534" s="752"/>
      <c r="J2534" s="736"/>
      <c r="K2534" s="752"/>
      <c r="L2534" s="752"/>
      <c r="M2534" s="736"/>
      <c r="N2534" s="736"/>
      <c r="O2534" s="736"/>
      <c r="P2534" s="736"/>
      <c r="Q2534" s="753"/>
      <c r="R2534" s="738"/>
      <c r="S2534" s="753"/>
      <c r="T2534" s="739"/>
      <c r="U2534" s="740">
        <v>280000</v>
      </c>
      <c r="V2534" s="741">
        <v>1100121</v>
      </c>
    </row>
    <row r="2535" spans="1:22" ht="15" x14ac:dyDescent="0.2">
      <c r="A2535" s="739">
        <v>3521</v>
      </c>
      <c r="B2535" s="743" t="s">
        <v>120</v>
      </c>
      <c r="C2535" s="736"/>
      <c r="D2535" s="736">
        <v>0</v>
      </c>
      <c r="E2535" s="749">
        <v>7400</v>
      </c>
      <c r="F2535" s="736">
        <v>7308</v>
      </c>
      <c r="G2535" s="736"/>
      <c r="H2535" s="736"/>
      <c r="I2535" s="736"/>
      <c r="J2535" s="736">
        <f t="shared" si="779"/>
        <v>0</v>
      </c>
      <c r="K2535" s="736"/>
      <c r="L2535" s="736"/>
      <c r="M2535" s="736">
        <f t="shared" si="780"/>
        <v>0</v>
      </c>
      <c r="N2535" s="736"/>
      <c r="O2535" s="736"/>
      <c r="P2535" s="738">
        <f t="shared" si="781"/>
        <v>0</v>
      </c>
      <c r="Q2535" s="738"/>
      <c r="R2535" s="738"/>
      <c r="S2535" s="738"/>
      <c r="T2535" s="739">
        <v>1100121</v>
      </c>
      <c r="U2535" s="745"/>
      <c r="V2535" s="739">
        <v>1100122</v>
      </c>
    </row>
    <row r="2536" spans="1:22" ht="15" x14ac:dyDescent="0.2">
      <c r="A2536" s="734">
        <v>3551</v>
      </c>
      <c r="B2536" s="735" t="s">
        <v>30</v>
      </c>
      <c r="C2536" s="736">
        <v>24817.38</v>
      </c>
      <c r="D2536" s="736">
        <v>25000</v>
      </c>
      <c r="E2536" s="749">
        <v>25000</v>
      </c>
      <c r="F2536" s="736">
        <v>28316.47</v>
      </c>
      <c r="G2536" s="752">
        <v>25000</v>
      </c>
      <c r="H2536" s="752"/>
      <c r="I2536" s="752"/>
      <c r="J2536" s="736">
        <f t="shared" si="779"/>
        <v>25000</v>
      </c>
      <c r="K2536" s="752"/>
      <c r="L2536" s="752"/>
      <c r="M2536" s="736">
        <f t="shared" si="780"/>
        <v>25000</v>
      </c>
      <c r="N2536" s="736">
        <v>15000</v>
      </c>
      <c r="O2536" s="736"/>
      <c r="P2536" s="736">
        <f t="shared" si="781"/>
        <v>40000</v>
      </c>
      <c r="Q2536" s="753">
        <v>40000</v>
      </c>
      <c r="R2536" s="738">
        <v>31226.16</v>
      </c>
      <c r="S2536" s="738">
        <f>Q2536</f>
        <v>40000</v>
      </c>
      <c r="T2536" s="739">
        <v>1100121</v>
      </c>
      <c r="U2536" s="746">
        <v>45000</v>
      </c>
      <c r="V2536" s="741">
        <v>1100122</v>
      </c>
    </row>
    <row r="2537" spans="1:22" ht="15" x14ac:dyDescent="0.2">
      <c r="A2537" s="739">
        <v>3571</v>
      </c>
      <c r="B2537" s="822" t="s">
        <v>65</v>
      </c>
      <c r="C2537" s="736">
        <v>58000</v>
      </c>
      <c r="D2537" s="736"/>
      <c r="E2537" s="736"/>
      <c r="F2537" s="736"/>
      <c r="G2537" s="736"/>
      <c r="H2537" s="736"/>
      <c r="I2537" s="736"/>
      <c r="J2537" s="736">
        <f t="shared" si="779"/>
        <v>0</v>
      </c>
      <c r="K2537" s="736"/>
      <c r="L2537" s="736"/>
      <c r="M2537" s="736">
        <f t="shared" si="780"/>
        <v>0</v>
      </c>
      <c r="N2537" s="736"/>
      <c r="O2537" s="736"/>
      <c r="P2537" s="738">
        <f t="shared" si="781"/>
        <v>0</v>
      </c>
      <c r="Q2537" s="738"/>
      <c r="R2537" s="738"/>
      <c r="S2537" s="738">
        <v>15000</v>
      </c>
      <c r="T2537" s="739"/>
      <c r="U2537" s="745"/>
      <c r="V2537" s="739"/>
    </row>
    <row r="2538" spans="1:22" ht="15" x14ac:dyDescent="0.2">
      <c r="A2538" s="734">
        <v>3611</v>
      </c>
      <c r="B2538" s="755" t="s">
        <v>66</v>
      </c>
      <c r="C2538" s="736"/>
      <c r="D2538" s="736"/>
      <c r="E2538" s="736"/>
      <c r="F2538" s="736"/>
      <c r="G2538" s="736"/>
      <c r="H2538" s="736"/>
      <c r="I2538" s="736"/>
      <c r="J2538" s="736"/>
      <c r="K2538" s="736"/>
      <c r="L2538" s="736"/>
      <c r="M2538" s="736"/>
      <c r="N2538" s="736"/>
      <c r="O2538" s="736"/>
      <c r="P2538" s="738"/>
      <c r="Q2538" s="738"/>
      <c r="R2538" s="738"/>
      <c r="S2538" s="738">
        <v>50000</v>
      </c>
      <c r="T2538" s="739"/>
      <c r="U2538" s="740">
        <v>50000</v>
      </c>
      <c r="V2538" s="741">
        <v>1100122</v>
      </c>
    </row>
    <row r="2539" spans="1:22" ht="15" x14ac:dyDescent="0.2">
      <c r="A2539" s="739">
        <v>3721</v>
      </c>
      <c r="B2539" s="743" t="s">
        <v>50</v>
      </c>
      <c r="C2539" s="736"/>
      <c r="D2539" s="736">
        <v>5000</v>
      </c>
      <c r="E2539" s="749">
        <v>5000</v>
      </c>
      <c r="F2539" s="736">
        <v>200</v>
      </c>
      <c r="G2539" s="736"/>
      <c r="H2539" s="736"/>
      <c r="I2539" s="736"/>
      <c r="J2539" s="736">
        <f t="shared" ref="J2539:J2541" si="782">G2539+H2539-I2539</f>
        <v>0</v>
      </c>
      <c r="K2539" s="736"/>
      <c r="L2539" s="736"/>
      <c r="M2539" s="736">
        <f t="shared" ref="M2539:M2541" si="783">J2539+K2539-L2539</f>
        <v>0</v>
      </c>
      <c r="N2539" s="736"/>
      <c r="O2539" s="736"/>
      <c r="P2539" s="738">
        <f t="shared" ref="P2539:P2541" si="784">M2539+N2539-O2539</f>
        <v>0</v>
      </c>
      <c r="Q2539" s="738"/>
      <c r="R2539" s="738"/>
      <c r="S2539" s="738"/>
      <c r="T2539" s="739">
        <v>1100121</v>
      </c>
      <c r="U2539" s="745"/>
      <c r="V2539" s="739">
        <v>1100122</v>
      </c>
    </row>
    <row r="2540" spans="1:22" ht="15" x14ac:dyDescent="0.2">
      <c r="A2540" s="734">
        <v>3751</v>
      </c>
      <c r="B2540" s="735" t="s">
        <v>44</v>
      </c>
      <c r="C2540" s="736">
        <v>1460</v>
      </c>
      <c r="D2540" s="736">
        <v>10000</v>
      </c>
      <c r="E2540" s="749">
        <v>10000</v>
      </c>
      <c r="F2540" s="736">
        <v>9369.09</v>
      </c>
      <c r="G2540" s="752">
        <v>10000</v>
      </c>
      <c r="H2540" s="752"/>
      <c r="I2540" s="752"/>
      <c r="J2540" s="736">
        <f t="shared" si="782"/>
        <v>10000</v>
      </c>
      <c r="K2540" s="752"/>
      <c r="L2540" s="752"/>
      <c r="M2540" s="736">
        <f t="shared" si="783"/>
        <v>10000</v>
      </c>
      <c r="N2540" s="736"/>
      <c r="O2540" s="736"/>
      <c r="P2540" s="736">
        <f t="shared" si="784"/>
        <v>10000</v>
      </c>
      <c r="Q2540" s="753">
        <v>10000</v>
      </c>
      <c r="R2540" s="738"/>
      <c r="S2540" s="753">
        <v>10000</v>
      </c>
      <c r="T2540" s="739">
        <v>1100121</v>
      </c>
      <c r="U2540" s="740">
        <v>10000</v>
      </c>
      <c r="V2540" s="741">
        <v>1100122</v>
      </c>
    </row>
    <row r="2541" spans="1:22" ht="15" x14ac:dyDescent="0.2">
      <c r="A2541" s="734">
        <v>3791</v>
      </c>
      <c r="B2541" s="735" t="s">
        <v>45</v>
      </c>
      <c r="C2541" s="736">
        <v>2723</v>
      </c>
      <c r="D2541" s="736">
        <v>5000</v>
      </c>
      <c r="E2541" s="749">
        <v>5000</v>
      </c>
      <c r="F2541" s="736">
        <v>979</v>
      </c>
      <c r="G2541" s="752">
        <v>2000</v>
      </c>
      <c r="H2541" s="752"/>
      <c r="I2541" s="752"/>
      <c r="J2541" s="736">
        <f t="shared" si="782"/>
        <v>2000</v>
      </c>
      <c r="K2541" s="752"/>
      <c r="L2541" s="752"/>
      <c r="M2541" s="736">
        <f t="shared" si="783"/>
        <v>2000</v>
      </c>
      <c r="N2541" s="736"/>
      <c r="O2541" s="736"/>
      <c r="P2541" s="736">
        <f t="shared" si="784"/>
        <v>2000</v>
      </c>
      <c r="Q2541" s="753">
        <v>2000</v>
      </c>
      <c r="R2541" s="738">
        <v>167</v>
      </c>
      <c r="S2541" s="753">
        <v>10000</v>
      </c>
      <c r="T2541" s="739">
        <v>1100121</v>
      </c>
      <c r="U2541" s="740">
        <v>5000</v>
      </c>
      <c r="V2541" s="741">
        <v>1100122</v>
      </c>
    </row>
    <row r="2542" spans="1:22" ht="15" x14ac:dyDescent="0.2">
      <c r="A2542" s="739">
        <v>3821</v>
      </c>
      <c r="B2542" s="743" t="s">
        <v>31</v>
      </c>
      <c r="C2542" s="736"/>
      <c r="D2542" s="736"/>
      <c r="E2542" s="749"/>
      <c r="F2542" s="736"/>
      <c r="G2542" s="752"/>
      <c r="H2542" s="752"/>
      <c r="I2542" s="752"/>
      <c r="J2542" s="736"/>
      <c r="K2542" s="752"/>
      <c r="L2542" s="752"/>
      <c r="M2542" s="736"/>
      <c r="N2542" s="736"/>
      <c r="O2542" s="736"/>
      <c r="P2542" s="736"/>
      <c r="Q2542" s="753"/>
      <c r="R2542" s="738"/>
      <c r="S2542" s="753">
        <v>15000</v>
      </c>
      <c r="T2542" s="739"/>
      <c r="U2542" s="745"/>
      <c r="V2542" s="739"/>
    </row>
    <row r="2543" spans="1:22" ht="15" x14ac:dyDescent="0.2">
      <c r="A2543" s="734">
        <v>3852</v>
      </c>
      <c r="B2543" s="735" t="s">
        <v>32</v>
      </c>
      <c r="C2543" s="736">
        <v>37301.300000000003</v>
      </c>
      <c r="D2543" s="736">
        <v>38000</v>
      </c>
      <c r="E2543" s="749">
        <v>41500</v>
      </c>
      <c r="F2543" s="736">
        <v>38413.760000000002</v>
      </c>
      <c r="G2543" s="752">
        <v>38000</v>
      </c>
      <c r="H2543" s="752"/>
      <c r="I2543" s="752"/>
      <c r="J2543" s="736">
        <f t="shared" ref="J2543:J2544" si="785">G2543+H2543-I2543</f>
        <v>38000</v>
      </c>
      <c r="K2543" s="752"/>
      <c r="L2543" s="752"/>
      <c r="M2543" s="736">
        <f t="shared" ref="M2543:M2544" si="786">J2543+K2543-L2543</f>
        <v>38000</v>
      </c>
      <c r="N2543" s="736"/>
      <c r="O2543" s="736"/>
      <c r="P2543" s="736">
        <f t="shared" ref="P2543:P2544" si="787">M2543+N2543-O2543</f>
        <v>38000</v>
      </c>
      <c r="Q2543" s="753">
        <v>38000</v>
      </c>
      <c r="R2543" s="738">
        <v>35567.64</v>
      </c>
      <c r="S2543" s="753">
        <v>42000</v>
      </c>
      <c r="T2543" s="739">
        <v>1100121</v>
      </c>
      <c r="U2543" s="740">
        <v>42000</v>
      </c>
      <c r="V2543" s="741">
        <v>1100122</v>
      </c>
    </row>
    <row r="2544" spans="1:22" ht="15" x14ac:dyDescent="0.2">
      <c r="A2544" s="734">
        <v>3921</v>
      </c>
      <c r="B2544" s="735" t="s">
        <v>33</v>
      </c>
      <c r="C2544" s="736"/>
      <c r="D2544" s="736">
        <v>1560</v>
      </c>
      <c r="E2544" s="749">
        <v>1560</v>
      </c>
      <c r="F2544" s="736">
        <v>526</v>
      </c>
      <c r="G2544" s="752">
        <v>2314.4</v>
      </c>
      <c r="H2544" s="752"/>
      <c r="I2544" s="752"/>
      <c r="J2544" s="736">
        <f t="shared" si="785"/>
        <v>2314.4</v>
      </c>
      <c r="K2544" s="752"/>
      <c r="L2544" s="752"/>
      <c r="M2544" s="736">
        <f t="shared" si="786"/>
        <v>2314.4</v>
      </c>
      <c r="N2544" s="736"/>
      <c r="O2544" s="736"/>
      <c r="P2544" s="736">
        <f t="shared" si="787"/>
        <v>2314.4</v>
      </c>
      <c r="Q2544" s="753">
        <v>2314.4</v>
      </c>
      <c r="R2544" s="738">
        <v>1840.97</v>
      </c>
      <c r="S2544" s="753">
        <v>3500</v>
      </c>
      <c r="T2544" s="739">
        <v>1100121</v>
      </c>
      <c r="U2544" s="740">
        <v>1347</v>
      </c>
      <c r="V2544" s="741">
        <v>1100122</v>
      </c>
    </row>
    <row r="2545" spans="1:22" ht="15" x14ac:dyDescent="0.2">
      <c r="A2545" s="739">
        <v>3921</v>
      </c>
      <c r="B2545" s="743" t="s">
        <v>33</v>
      </c>
      <c r="C2545" s="736"/>
      <c r="D2545" s="736"/>
      <c r="E2545" s="749"/>
      <c r="F2545" s="736"/>
      <c r="G2545" s="752"/>
      <c r="H2545" s="752"/>
      <c r="I2545" s="752"/>
      <c r="J2545" s="736"/>
      <c r="K2545" s="752"/>
      <c r="L2545" s="752"/>
      <c r="M2545" s="736"/>
      <c r="N2545" s="736"/>
      <c r="O2545" s="736"/>
      <c r="P2545" s="736"/>
      <c r="Q2545" s="753"/>
      <c r="R2545" s="738"/>
      <c r="S2545" s="753">
        <v>2020.44</v>
      </c>
      <c r="T2545" s="739"/>
      <c r="U2545" s="744"/>
      <c r="V2545" s="739"/>
    </row>
    <row r="2546" spans="1:22" ht="15" x14ac:dyDescent="0.2">
      <c r="A2546" s="739">
        <v>5111</v>
      </c>
      <c r="B2546" s="743" t="s">
        <v>1809</v>
      </c>
      <c r="C2546" s="736"/>
      <c r="D2546" s="736"/>
      <c r="E2546" s="749"/>
      <c r="F2546" s="736"/>
      <c r="G2546" s="752"/>
      <c r="H2546" s="752"/>
      <c r="I2546" s="752"/>
      <c r="J2546" s="736"/>
      <c r="K2546" s="752"/>
      <c r="L2546" s="752"/>
      <c r="M2546" s="736"/>
      <c r="N2546" s="736"/>
      <c r="O2546" s="736"/>
      <c r="P2546" s="736"/>
      <c r="Q2546" s="753"/>
      <c r="R2546" s="738"/>
      <c r="S2546" s="753">
        <v>186000</v>
      </c>
      <c r="T2546" s="739"/>
      <c r="U2546" s="922">
        <v>0</v>
      </c>
      <c r="V2546" s="739"/>
    </row>
    <row r="2547" spans="1:22" ht="15" x14ac:dyDescent="0.2">
      <c r="A2547" s="739">
        <v>5151</v>
      </c>
      <c r="B2547" s="743" t="s">
        <v>36</v>
      </c>
      <c r="C2547" s="736">
        <v>38650</v>
      </c>
      <c r="D2547" s="736"/>
      <c r="E2547" s="736"/>
      <c r="F2547" s="736"/>
      <c r="G2547" s="736"/>
      <c r="H2547" s="736"/>
      <c r="I2547" s="736"/>
      <c r="J2547" s="736">
        <f>G2547+H2547-I2547</f>
        <v>0</v>
      </c>
      <c r="K2547" s="736"/>
      <c r="L2547" s="736"/>
      <c r="M2547" s="736">
        <f>J2547+K2547-L2547</f>
        <v>0</v>
      </c>
      <c r="N2547" s="736"/>
      <c r="O2547" s="736"/>
      <c r="P2547" s="738">
        <f>M2547+N2547-O2547</f>
        <v>0</v>
      </c>
      <c r="Q2547" s="738"/>
      <c r="R2547" s="738"/>
      <c r="S2547" s="738">
        <v>139000</v>
      </c>
      <c r="T2547" s="739"/>
      <c r="U2547" s="922"/>
      <c r="V2547" s="739"/>
    </row>
    <row r="2548" spans="1:22" ht="15" x14ac:dyDescent="0.2">
      <c r="A2548" s="728" t="s">
        <v>309</v>
      </c>
      <c r="B2548" s="729" t="s">
        <v>1583</v>
      </c>
      <c r="C2548" s="730">
        <f t="shared" ref="C2548:S2548" si="788">SUM(C2549:C2613)</f>
        <v>43956768.020000011</v>
      </c>
      <c r="D2548" s="730">
        <f t="shared" si="788"/>
        <v>49104236.089999996</v>
      </c>
      <c r="E2548" s="730">
        <f t="shared" si="788"/>
        <v>56456352.900000006</v>
      </c>
      <c r="F2548" s="730">
        <f t="shared" si="788"/>
        <v>55652476.640000001</v>
      </c>
      <c r="G2548" s="730">
        <f t="shared" si="788"/>
        <v>50796095.700000003</v>
      </c>
      <c r="H2548" s="730">
        <f t="shared" si="788"/>
        <v>4568129.43</v>
      </c>
      <c r="I2548" s="730">
        <f t="shared" si="788"/>
        <v>0</v>
      </c>
      <c r="J2548" s="730">
        <f t="shared" si="788"/>
        <v>55364225.130000003</v>
      </c>
      <c r="K2548" s="730">
        <f t="shared" si="788"/>
        <v>2305133.5800000005</v>
      </c>
      <c r="L2548" s="730">
        <f t="shared" si="788"/>
        <v>2607186.2000000002</v>
      </c>
      <c r="M2548" s="730">
        <f t="shared" si="788"/>
        <v>55062172.510000005</v>
      </c>
      <c r="N2548" s="730">
        <f t="shared" si="788"/>
        <v>2340013.58</v>
      </c>
      <c r="O2548" s="730">
        <f t="shared" si="788"/>
        <v>693553.58000000007</v>
      </c>
      <c r="P2548" s="730">
        <f t="shared" si="788"/>
        <v>56708632.510000013</v>
      </c>
      <c r="Q2548" s="748">
        <f t="shared" si="788"/>
        <v>57325009.880000003</v>
      </c>
      <c r="R2548" s="748">
        <f>SUM(R2549:R2613)</f>
        <v>39680775.509999998</v>
      </c>
      <c r="S2548" s="748">
        <f t="shared" si="788"/>
        <v>72429186.790000007</v>
      </c>
      <c r="T2548" s="731"/>
      <c r="U2548" s="732">
        <f>SUM(U2549:U2613)</f>
        <v>56755061.840000004</v>
      </c>
      <c r="V2548" s="733"/>
    </row>
    <row r="2549" spans="1:22" ht="15" x14ac:dyDescent="0.25">
      <c r="A2549" s="734">
        <v>1131</v>
      </c>
      <c r="B2549" s="735" t="s">
        <v>6</v>
      </c>
      <c r="C2549" s="736">
        <v>5986678.25</v>
      </c>
      <c r="D2549" s="736">
        <v>6309943.6399999997</v>
      </c>
      <c r="E2549" s="749">
        <v>6200659.9000000004</v>
      </c>
      <c r="F2549" s="736">
        <v>6747155.3200000003</v>
      </c>
      <c r="G2549" s="736">
        <v>6642196</v>
      </c>
      <c r="H2549" s="736"/>
      <c r="I2549" s="736"/>
      <c r="J2549" s="736">
        <f t="shared" ref="J2549:J2559" si="789">G2549+H2549-I2549</f>
        <v>6642196</v>
      </c>
      <c r="K2549" s="736">
        <v>68169.649999999994</v>
      </c>
      <c r="L2549" s="736"/>
      <c r="M2549" s="736">
        <f t="shared" ref="M2549:M2559" si="790">J2549+K2549-L2549</f>
        <v>6710365.6500000004</v>
      </c>
      <c r="N2549" s="736"/>
      <c r="O2549" s="736"/>
      <c r="P2549" s="736">
        <f t="shared" ref="P2549:P2559" si="791">M2549+N2549-O2549</f>
        <v>6710365.6500000004</v>
      </c>
      <c r="Q2549" s="738">
        <v>6657670.3300000001</v>
      </c>
      <c r="R2549" s="738">
        <v>4791157.1399999997</v>
      </c>
      <c r="S2549" s="751">
        <v>7091684.5999999996</v>
      </c>
      <c r="T2549" s="739">
        <v>1500521</v>
      </c>
      <c r="U2549" s="779">
        <v>6878379.4699999997</v>
      </c>
      <c r="V2549" s="741">
        <v>1500522</v>
      </c>
    </row>
    <row r="2550" spans="1:22" ht="15" x14ac:dyDescent="0.25">
      <c r="A2550" s="734">
        <v>1132</v>
      </c>
      <c r="B2550" s="735" t="s">
        <v>8</v>
      </c>
      <c r="C2550" s="736">
        <v>736269.68</v>
      </c>
      <c r="D2550" s="736">
        <v>825577.48</v>
      </c>
      <c r="E2550" s="749">
        <v>825577.48</v>
      </c>
      <c r="F2550" s="736">
        <v>827030.01</v>
      </c>
      <c r="G2550" s="736">
        <v>830458.79999999993</v>
      </c>
      <c r="H2550" s="736"/>
      <c r="I2550" s="736"/>
      <c r="J2550" s="736">
        <f t="shared" si="789"/>
        <v>830458.79999999993</v>
      </c>
      <c r="K2550" s="736">
        <v>17961.12</v>
      </c>
      <c r="L2550" s="736"/>
      <c r="M2550" s="736">
        <f t="shared" si="790"/>
        <v>848419.91999999993</v>
      </c>
      <c r="N2550" s="736"/>
      <c r="O2550" s="736"/>
      <c r="P2550" s="736">
        <f t="shared" si="791"/>
        <v>848419.91999999993</v>
      </c>
      <c r="Q2550" s="738">
        <v>848419.92</v>
      </c>
      <c r="R2550" s="738">
        <v>601354.37</v>
      </c>
      <c r="S2550" s="751">
        <v>965542.76</v>
      </c>
      <c r="T2550" s="739">
        <v>1500521</v>
      </c>
      <c r="U2550" s="779">
        <v>862639.29</v>
      </c>
      <c r="V2550" s="741">
        <v>1500522</v>
      </c>
    </row>
    <row r="2551" spans="1:22" ht="15" x14ac:dyDescent="0.25">
      <c r="A2551" s="734">
        <v>1212</v>
      </c>
      <c r="B2551" s="735" t="s">
        <v>53</v>
      </c>
      <c r="C2551" s="736">
        <v>4361506.05</v>
      </c>
      <c r="D2551" s="736">
        <v>9127753.1999999993</v>
      </c>
      <c r="E2551" s="749">
        <v>9591373.6899999995</v>
      </c>
      <c r="F2551" s="736">
        <v>9525770.0299999993</v>
      </c>
      <c r="G2551" s="736">
        <v>9949478.4000000004</v>
      </c>
      <c r="H2551" s="736"/>
      <c r="I2551" s="736"/>
      <c r="J2551" s="736">
        <f t="shared" si="789"/>
        <v>9949478.4000000004</v>
      </c>
      <c r="K2551" s="736">
        <v>617663.16</v>
      </c>
      <c r="L2551" s="736"/>
      <c r="M2551" s="736">
        <f t="shared" si="790"/>
        <v>10567141.560000001</v>
      </c>
      <c r="N2551" s="736"/>
      <c r="O2551" s="736"/>
      <c r="P2551" s="736">
        <f t="shared" si="791"/>
        <v>10567141.560000001</v>
      </c>
      <c r="Q2551" s="738">
        <v>10567141.560000001</v>
      </c>
      <c r="R2551" s="738">
        <v>7316498.8499999996</v>
      </c>
      <c r="S2551" s="751">
        <v>10440979.199999999</v>
      </c>
      <c r="T2551" s="739">
        <v>1500521</v>
      </c>
      <c r="U2551" s="779">
        <v>9800320.5899999999</v>
      </c>
      <c r="V2551" s="741">
        <v>1500522</v>
      </c>
    </row>
    <row r="2552" spans="1:22" ht="15" x14ac:dyDescent="0.25">
      <c r="A2552" s="734">
        <v>1321</v>
      </c>
      <c r="B2552" s="735" t="s">
        <v>9</v>
      </c>
      <c r="C2552" s="736">
        <v>535845.79</v>
      </c>
      <c r="D2552" s="736">
        <v>605860.66</v>
      </c>
      <c r="E2552" s="749">
        <v>624831.66</v>
      </c>
      <c r="F2552" s="736">
        <v>582468.11</v>
      </c>
      <c r="G2552" s="736">
        <v>605849.59999999998</v>
      </c>
      <c r="H2552" s="736"/>
      <c r="I2552" s="736"/>
      <c r="J2552" s="736">
        <f t="shared" si="789"/>
        <v>605849.59999999998</v>
      </c>
      <c r="K2552" s="736">
        <v>27207.79</v>
      </c>
      <c r="L2552" s="736"/>
      <c r="M2552" s="736">
        <f t="shared" si="790"/>
        <v>633057.39</v>
      </c>
      <c r="N2552" s="736"/>
      <c r="O2552" s="736"/>
      <c r="P2552" s="736">
        <f t="shared" si="791"/>
        <v>633057.39</v>
      </c>
      <c r="Q2552" s="738">
        <v>633057.39</v>
      </c>
      <c r="R2552" s="738">
        <v>328333.78999999998</v>
      </c>
      <c r="S2552" s="751">
        <v>693517.21</v>
      </c>
      <c r="T2552" s="739">
        <v>1500521</v>
      </c>
      <c r="U2552" s="779">
        <v>666546.5</v>
      </c>
      <c r="V2552" s="741">
        <v>1500522</v>
      </c>
    </row>
    <row r="2553" spans="1:22" ht="15" x14ac:dyDescent="0.25">
      <c r="A2553" s="734">
        <v>1322</v>
      </c>
      <c r="B2553" s="735" t="s">
        <v>182</v>
      </c>
      <c r="C2553" s="736">
        <v>101495.65</v>
      </c>
      <c r="D2553" s="736">
        <v>105400</v>
      </c>
      <c r="E2553" s="749">
        <v>105400</v>
      </c>
      <c r="F2553" s="736">
        <v>92389.74</v>
      </c>
      <c r="G2553" s="736">
        <v>105400</v>
      </c>
      <c r="H2553" s="736"/>
      <c r="I2553" s="736"/>
      <c r="J2553" s="736">
        <f t="shared" si="789"/>
        <v>105400</v>
      </c>
      <c r="K2553" s="736"/>
      <c r="L2553" s="736"/>
      <c r="M2553" s="736">
        <f t="shared" si="790"/>
        <v>105400</v>
      </c>
      <c r="N2553" s="736"/>
      <c r="O2553" s="736"/>
      <c r="P2553" s="736">
        <f t="shared" si="791"/>
        <v>105400</v>
      </c>
      <c r="Q2553" s="738">
        <v>105400</v>
      </c>
      <c r="R2553" s="738">
        <v>49233.03</v>
      </c>
      <c r="S2553" s="751">
        <v>105400</v>
      </c>
      <c r="T2553" s="739">
        <v>1500521</v>
      </c>
      <c r="U2553" s="779">
        <v>105400</v>
      </c>
      <c r="V2553" s="741">
        <v>1500522</v>
      </c>
    </row>
    <row r="2554" spans="1:22" ht="15" x14ac:dyDescent="0.25">
      <c r="A2554" s="734">
        <v>1323</v>
      </c>
      <c r="B2554" s="735" t="s">
        <v>11</v>
      </c>
      <c r="C2554" s="736">
        <v>1660130.61</v>
      </c>
      <c r="D2554" s="736">
        <v>1961320.55</v>
      </c>
      <c r="E2554" s="749">
        <v>1956591.66</v>
      </c>
      <c r="F2554" s="736">
        <v>1924501.12</v>
      </c>
      <c r="G2554" s="736">
        <v>2019019.3</v>
      </c>
      <c r="H2554" s="736"/>
      <c r="I2554" s="736"/>
      <c r="J2554" s="736">
        <f t="shared" si="789"/>
        <v>2019019.3</v>
      </c>
      <c r="K2554" s="736">
        <v>91424.46</v>
      </c>
      <c r="L2554" s="736"/>
      <c r="M2554" s="736">
        <f t="shared" si="790"/>
        <v>2110443.7600000002</v>
      </c>
      <c r="N2554" s="736"/>
      <c r="O2554" s="736"/>
      <c r="P2554" s="736">
        <f t="shared" si="791"/>
        <v>2110443.7600000002</v>
      </c>
      <c r="Q2554" s="738">
        <v>2110443.7599999998</v>
      </c>
      <c r="R2554" s="738">
        <v>1256263.3899999999</v>
      </c>
      <c r="S2554" s="751">
        <v>2220359.7999999998</v>
      </c>
      <c r="T2554" s="739">
        <v>1500521</v>
      </c>
      <c r="U2554" s="779">
        <v>2096306.51</v>
      </c>
      <c r="V2554" s="741">
        <v>1500522</v>
      </c>
    </row>
    <row r="2555" spans="1:22" ht="15" x14ac:dyDescent="0.25">
      <c r="A2555" s="734">
        <v>1413</v>
      </c>
      <c r="B2555" s="735" t="s">
        <v>13</v>
      </c>
      <c r="C2555" s="736">
        <v>3181072.23</v>
      </c>
      <c r="D2555" s="736">
        <v>4719463.04</v>
      </c>
      <c r="E2555" s="749">
        <v>4209350.1399999997</v>
      </c>
      <c r="F2555" s="736">
        <v>3822025.85</v>
      </c>
      <c r="G2555" s="736">
        <v>5190545</v>
      </c>
      <c r="H2555" s="736"/>
      <c r="I2555" s="736"/>
      <c r="J2555" s="736">
        <f t="shared" si="789"/>
        <v>5190545</v>
      </c>
      <c r="K2555" s="736">
        <v>284795.18</v>
      </c>
      <c r="L2555" s="736"/>
      <c r="M2555" s="736">
        <f t="shared" si="790"/>
        <v>5475340.1799999997</v>
      </c>
      <c r="N2555" s="736"/>
      <c r="O2555" s="736"/>
      <c r="P2555" s="736">
        <f t="shared" si="791"/>
        <v>5475340.1799999997</v>
      </c>
      <c r="Q2555" s="738">
        <v>5330281.25</v>
      </c>
      <c r="R2555" s="738">
        <v>3294965.01</v>
      </c>
      <c r="S2555" s="751">
        <v>5811777</v>
      </c>
      <c r="T2555" s="739">
        <v>1500521</v>
      </c>
      <c r="U2555" s="779">
        <v>4430372.0199999996</v>
      </c>
      <c r="V2555" s="741">
        <v>1500522</v>
      </c>
    </row>
    <row r="2556" spans="1:22" ht="15" x14ac:dyDescent="0.25">
      <c r="A2556" s="734">
        <v>1421</v>
      </c>
      <c r="B2556" s="735" t="s">
        <v>15</v>
      </c>
      <c r="C2556" s="736">
        <v>894560.02</v>
      </c>
      <c r="D2556" s="736">
        <v>960946.28</v>
      </c>
      <c r="E2556" s="749">
        <v>951907.98</v>
      </c>
      <c r="F2556" s="736">
        <v>984750.47</v>
      </c>
      <c r="G2556" s="736">
        <v>1247670.9000000001</v>
      </c>
      <c r="H2556" s="736"/>
      <c r="I2556" s="736"/>
      <c r="J2556" s="736">
        <f t="shared" si="789"/>
        <v>1247670.9000000001</v>
      </c>
      <c r="K2556" s="736">
        <v>65644.58</v>
      </c>
      <c r="L2556" s="736"/>
      <c r="M2556" s="736">
        <f t="shared" si="790"/>
        <v>1313315.4800000002</v>
      </c>
      <c r="N2556" s="736"/>
      <c r="O2556" s="736"/>
      <c r="P2556" s="736">
        <f t="shared" si="791"/>
        <v>1313315.4800000002</v>
      </c>
      <c r="Q2556" s="738">
        <v>1291796.21</v>
      </c>
      <c r="R2556" s="738">
        <v>743967.97</v>
      </c>
      <c r="S2556" s="751">
        <v>1351851.72</v>
      </c>
      <c r="T2556" s="739">
        <v>1500521</v>
      </c>
      <c r="U2556" s="779">
        <v>1341454.67</v>
      </c>
      <c r="V2556" s="741">
        <v>1500522</v>
      </c>
    </row>
    <row r="2557" spans="1:22" ht="15" x14ac:dyDescent="0.25">
      <c r="A2557" s="734">
        <v>1431</v>
      </c>
      <c r="B2557" s="735" t="s">
        <v>16</v>
      </c>
      <c r="C2557" s="736">
        <v>951143.97</v>
      </c>
      <c r="D2557" s="736">
        <v>1216766.3600000001</v>
      </c>
      <c r="E2557" s="749">
        <v>1117275.06</v>
      </c>
      <c r="F2557" s="736">
        <v>1036927.98</v>
      </c>
      <c r="G2557" s="736">
        <v>1285094.9000000001</v>
      </c>
      <c r="H2557" s="736"/>
      <c r="I2557" s="736"/>
      <c r="J2557" s="736">
        <f t="shared" si="789"/>
        <v>1285094.9000000001</v>
      </c>
      <c r="K2557" s="736">
        <v>67350.78</v>
      </c>
      <c r="L2557" s="736"/>
      <c r="M2557" s="736">
        <f t="shared" si="790"/>
        <v>1352445.6800000002</v>
      </c>
      <c r="N2557" s="736"/>
      <c r="O2557" s="736"/>
      <c r="P2557" s="736">
        <f t="shared" si="791"/>
        <v>1352445.6800000002</v>
      </c>
      <c r="Q2557" s="738">
        <v>1310825.77</v>
      </c>
      <c r="R2557" s="738">
        <v>762560.37</v>
      </c>
      <c r="S2557" s="751">
        <v>1392402.96</v>
      </c>
      <c r="T2557" s="739">
        <v>1500521</v>
      </c>
      <c r="U2557" s="779">
        <v>1345202.21</v>
      </c>
      <c r="V2557" s="741">
        <v>1500522</v>
      </c>
    </row>
    <row r="2558" spans="1:22" ht="15" x14ac:dyDescent="0.25">
      <c r="A2558" s="734">
        <v>1511</v>
      </c>
      <c r="B2558" s="735" t="s">
        <v>18</v>
      </c>
      <c r="C2558" s="736">
        <v>206058.18</v>
      </c>
      <c r="D2558" s="736">
        <v>230179.04</v>
      </c>
      <c r="E2558" s="749">
        <v>220422.64</v>
      </c>
      <c r="F2558" s="736">
        <v>228033.64</v>
      </c>
      <c r="G2558" s="736">
        <v>233881</v>
      </c>
      <c r="H2558" s="736"/>
      <c r="I2558" s="736"/>
      <c r="J2558" s="736">
        <f t="shared" si="789"/>
        <v>233881</v>
      </c>
      <c r="K2558" s="736">
        <v>9051.7999999999993</v>
      </c>
      <c r="L2558" s="736"/>
      <c r="M2558" s="736">
        <f t="shared" si="790"/>
        <v>242932.8</v>
      </c>
      <c r="N2558" s="736"/>
      <c r="O2558" s="736"/>
      <c r="P2558" s="736">
        <f t="shared" si="791"/>
        <v>242932.8</v>
      </c>
      <c r="Q2558" s="738">
        <v>242932.8</v>
      </c>
      <c r="R2558" s="738">
        <v>169629.88</v>
      </c>
      <c r="S2558" s="751">
        <v>259950.6</v>
      </c>
      <c r="T2558" s="739">
        <v>1500521</v>
      </c>
      <c r="U2558" s="779">
        <v>244006.06</v>
      </c>
      <c r="V2558" s="741">
        <v>1500522</v>
      </c>
    </row>
    <row r="2559" spans="1:22" ht="15" x14ac:dyDescent="0.25">
      <c r="A2559" s="734">
        <v>1541</v>
      </c>
      <c r="B2559" s="735" t="s">
        <v>19</v>
      </c>
      <c r="C2559" s="736">
        <v>3322212.59</v>
      </c>
      <c r="D2559" s="736">
        <v>3958379.36</v>
      </c>
      <c r="E2559" s="749">
        <v>4586023.6399999997</v>
      </c>
      <c r="F2559" s="736">
        <v>3856013.12</v>
      </c>
      <c r="G2559" s="736">
        <v>4989264.8</v>
      </c>
      <c r="H2559" s="736"/>
      <c r="I2559" s="736"/>
      <c r="J2559" s="736">
        <f t="shared" si="789"/>
        <v>4989264.8</v>
      </c>
      <c r="K2559" s="736">
        <v>187970.79</v>
      </c>
      <c r="L2559" s="736"/>
      <c r="M2559" s="736">
        <f t="shared" si="790"/>
        <v>5177235.59</v>
      </c>
      <c r="N2559" s="736"/>
      <c r="O2559" s="736"/>
      <c r="P2559" s="736">
        <f t="shared" si="791"/>
        <v>5177235.59</v>
      </c>
      <c r="Q2559" s="738">
        <v>5120104.72</v>
      </c>
      <c r="R2559" s="738">
        <v>3086456.54</v>
      </c>
      <c r="S2559" s="751">
        <v>5173106.38</v>
      </c>
      <c r="T2559" s="739">
        <v>1500521</v>
      </c>
      <c r="U2559" s="779">
        <v>5456404.5899999999</v>
      </c>
      <c r="V2559" s="741">
        <v>1500522</v>
      </c>
    </row>
    <row r="2560" spans="1:22" ht="15" x14ac:dyDescent="0.25">
      <c r="A2560" s="739">
        <v>1551</v>
      </c>
      <c r="B2560" s="743" t="s">
        <v>1810</v>
      </c>
      <c r="C2560" s="736"/>
      <c r="D2560" s="736"/>
      <c r="E2560" s="749"/>
      <c r="F2560" s="736"/>
      <c r="G2560" s="736"/>
      <c r="H2560" s="736"/>
      <c r="I2560" s="736"/>
      <c r="J2560" s="736"/>
      <c r="K2560" s="736"/>
      <c r="L2560" s="736"/>
      <c r="M2560" s="736"/>
      <c r="N2560" s="736"/>
      <c r="O2560" s="736"/>
      <c r="P2560" s="736"/>
      <c r="Q2560" s="738">
        <v>0</v>
      </c>
      <c r="R2560" s="738"/>
      <c r="S2560" s="751"/>
      <c r="T2560" s="739"/>
      <c r="U2560" s="780"/>
      <c r="V2560" s="739"/>
    </row>
    <row r="2561" spans="1:22" ht="15" x14ac:dyDescent="0.25">
      <c r="A2561" s="734">
        <v>1592</v>
      </c>
      <c r="B2561" s="735" t="s">
        <v>20</v>
      </c>
      <c r="C2561" s="736">
        <v>3956020.32</v>
      </c>
      <c r="D2561" s="736">
        <v>4374140.68</v>
      </c>
      <c r="E2561" s="749">
        <v>4211348.68</v>
      </c>
      <c r="F2561" s="736">
        <v>4333822.8099999996</v>
      </c>
      <c r="G2561" s="736">
        <v>4450497</v>
      </c>
      <c r="H2561" s="736"/>
      <c r="I2561" s="736"/>
      <c r="J2561" s="736">
        <f t="shared" ref="J2561:J2567" si="792">G2561+H2561-I2561</f>
        <v>4450497</v>
      </c>
      <c r="K2561" s="736">
        <v>182708.07</v>
      </c>
      <c r="L2561" s="736"/>
      <c r="M2561" s="736">
        <f t="shared" ref="M2561:M2567" si="793">J2561+K2561-L2561</f>
        <v>4633205.07</v>
      </c>
      <c r="N2561" s="736"/>
      <c r="O2561" s="736"/>
      <c r="P2561" s="736">
        <f t="shared" ref="P2561:P2597" si="794">M2561+N2561-O2561</f>
        <v>4633205.07</v>
      </c>
      <c r="Q2561" s="738">
        <v>4903988.21</v>
      </c>
      <c r="R2561" s="738">
        <v>3228629.96</v>
      </c>
      <c r="S2561" s="751">
        <v>4939894.96</v>
      </c>
      <c r="T2561" s="739">
        <v>1500521</v>
      </c>
      <c r="U2561" s="779">
        <v>4653566.93</v>
      </c>
      <c r="V2561" s="741">
        <v>1500522</v>
      </c>
    </row>
    <row r="2562" spans="1:22" ht="15" x14ac:dyDescent="0.2">
      <c r="A2562" s="734">
        <v>2111</v>
      </c>
      <c r="B2562" s="735" t="s">
        <v>22</v>
      </c>
      <c r="C2562" s="736">
        <v>9327</v>
      </c>
      <c r="D2562" s="736">
        <v>12000</v>
      </c>
      <c r="E2562" s="749">
        <v>8400</v>
      </c>
      <c r="F2562" s="736">
        <v>7344.54</v>
      </c>
      <c r="G2562" s="752">
        <v>8400</v>
      </c>
      <c r="H2562" s="752"/>
      <c r="I2562" s="752"/>
      <c r="J2562" s="736">
        <f t="shared" si="792"/>
        <v>8400</v>
      </c>
      <c r="K2562" s="752"/>
      <c r="L2562" s="752"/>
      <c r="M2562" s="736">
        <f t="shared" si="793"/>
        <v>8400</v>
      </c>
      <c r="N2562" s="736"/>
      <c r="O2562" s="736"/>
      <c r="P2562" s="736">
        <f t="shared" si="794"/>
        <v>8400</v>
      </c>
      <c r="Q2562" s="753">
        <v>5259.52</v>
      </c>
      <c r="R2562" s="738">
        <v>3410.77</v>
      </c>
      <c r="S2562" s="753">
        <v>10920</v>
      </c>
      <c r="T2562" s="739">
        <v>1100121</v>
      </c>
      <c r="U2562" s="740">
        <v>8400</v>
      </c>
      <c r="V2562" s="741">
        <v>1100122</v>
      </c>
    </row>
    <row r="2563" spans="1:22" ht="15" x14ac:dyDescent="0.2">
      <c r="A2563" s="739">
        <v>2112</v>
      </c>
      <c r="B2563" s="743" t="s">
        <v>39</v>
      </c>
      <c r="C2563" s="736">
        <v>15545.99</v>
      </c>
      <c r="D2563" s="736">
        <v>7327.84</v>
      </c>
      <c r="E2563" s="749">
        <v>19895.440000000002</v>
      </c>
      <c r="F2563" s="736">
        <v>6846.01</v>
      </c>
      <c r="G2563" s="752">
        <v>10000</v>
      </c>
      <c r="H2563" s="752"/>
      <c r="I2563" s="752"/>
      <c r="J2563" s="736">
        <f t="shared" si="792"/>
        <v>10000</v>
      </c>
      <c r="K2563" s="752"/>
      <c r="L2563" s="752"/>
      <c r="M2563" s="736">
        <f t="shared" si="793"/>
        <v>10000</v>
      </c>
      <c r="N2563" s="736">
        <v>7000</v>
      </c>
      <c r="O2563" s="736"/>
      <c r="P2563" s="736">
        <f t="shared" si="794"/>
        <v>17000</v>
      </c>
      <c r="Q2563" s="753">
        <v>17000</v>
      </c>
      <c r="R2563" s="738">
        <v>10090</v>
      </c>
      <c r="S2563" s="753">
        <v>66985</v>
      </c>
      <c r="T2563" s="739">
        <v>1100121</v>
      </c>
      <c r="U2563" s="922"/>
      <c r="V2563" s="739">
        <v>1100122</v>
      </c>
    </row>
    <row r="2564" spans="1:22" ht="15" x14ac:dyDescent="0.2">
      <c r="A2564" s="734">
        <v>2121</v>
      </c>
      <c r="B2564" s="735" t="s">
        <v>24</v>
      </c>
      <c r="C2564" s="736">
        <v>8544</v>
      </c>
      <c r="D2564" s="736">
        <v>5000</v>
      </c>
      <c r="E2564" s="749">
        <v>250</v>
      </c>
      <c r="F2564" s="736">
        <v>0</v>
      </c>
      <c r="G2564" s="752">
        <v>3500</v>
      </c>
      <c r="H2564" s="752"/>
      <c r="I2564" s="752"/>
      <c r="J2564" s="736">
        <f t="shared" si="792"/>
        <v>3500</v>
      </c>
      <c r="K2564" s="752"/>
      <c r="L2564" s="752"/>
      <c r="M2564" s="736">
        <f t="shared" si="793"/>
        <v>3500</v>
      </c>
      <c r="N2564" s="736"/>
      <c r="O2564" s="736"/>
      <c r="P2564" s="736">
        <f t="shared" si="794"/>
        <v>3500</v>
      </c>
      <c r="Q2564" s="753">
        <v>2708</v>
      </c>
      <c r="R2564" s="738">
        <v>2533</v>
      </c>
      <c r="S2564" s="753">
        <v>3500</v>
      </c>
      <c r="T2564" s="739">
        <v>1100121</v>
      </c>
      <c r="U2564" s="740">
        <v>3500</v>
      </c>
      <c r="V2564" s="741">
        <v>1100122</v>
      </c>
    </row>
    <row r="2565" spans="1:22" ht="15" x14ac:dyDescent="0.2">
      <c r="A2565" s="734">
        <v>2161</v>
      </c>
      <c r="B2565" s="735" t="s">
        <v>59</v>
      </c>
      <c r="C2565" s="736">
        <v>27038</v>
      </c>
      <c r="D2565" s="736">
        <v>30000</v>
      </c>
      <c r="E2565" s="749">
        <v>181746.93</v>
      </c>
      <c r="F2565" s="736">
        <v>142975.75</v>
      </c>
      <c r="G2565" s="752">
        <v>180000</v>
      </c>
      <c r="H2565" s="752"/>
      <c r="I2565" s="752"/>
      <c r="J2565" s="736">
        <f t="shared" si="792"/>
        <v>180000</v>
      </c>
      <c r="K2565" s="752"/>
      <c r="L2565" s="752"/>
      <c r="M2565" s="736">
        <f t="shared" si="793"/>
        <v>180000</v>
      </c>
      <c r="N2565" s="736"/>
      <c r="O2565" s="736">
        <f>45000+5800</f>
        <v>50800</v>
      </c>
      <c r="P2565" s="736">
        <f t="shared" si="794"/>
        <v>129200</v>
      </c>
      <c r="Q2565" s="753">
        <v>129200</v>
      </c>
      <c r="R2565" s="738">
        <v>42451.44</v>
      </c>
      <c r="S2565" s="753">
        <v>180000</v>
      </c>
      <c r="T2565" s="739">
        <v>1100121</v>
      </c>
      <c r="U2565" s="740">
        <v>130000</v>
      </c>
      <c r="V2565" s="741">
        <v>1100122</v>
      </c>
    </row>
    <row r="2566" spans="1:22" ht="15" x14ac:dyDescent="0.2">
      <c r="A2566" s="734">
        <v>2221</v>
      </c>
      <c r="B2566" s="735" t="s">
        <v>152</v>
      </c>
      <c r="C2566" s="789"/>
      <c r="D2566" s="736">
        <v>9900</v>
      </c>
      <c r="E2566" s="749">
        <v>9900</v>
      </c>
      <c r="F2566" s="736">
        <v>9774</v>
      </c>
      <c r="G2566" s="752">
        <v>9900</v>
      </c>
      <c r="H2566" s="752"/>
      <c r="I2566" s="752"/>
      <c r="J2566" s="736">
        <f t="shared" si="792"/>
        <v>9900</v>
      </c>
      <c r="K2566" s="752"/>
      <c r="L2566" s="752"/>
      <c r="M2566" s="736">
        <f t="shared" si="793"/>
        <v>9900</v>
      </c>
      <c r="N2566" s="736"/>
      <c r="O2566" s="736"/>
      <c r="P2566" s="736">
        <f t="shared" si="794"/>
        <v>9900</v>
      </c>
      <c r="Q2566" s="753">
        <v>9900</v>
      </c>
      <c r="R2566" s="738">
        <v>9899.17</v>
      </c>
      <c r="S2566" s="753">
        <v>19800</v>
      </c>
      <c r="T2566" s="739">
        <v>1100121</v>
      </c>
      <c r="U2566" s="740">
        <v>15000</v>
      </c>
      <c r="V2566" s="741">
        <v>1100122</v>
      </c>
    </row>
    <row r="2567" spans="1:22" ht="15" x14ac:dyDescent="0.2">
      <c r="A2567" s="734">
        <v>2391</v>
      </c>
      <c r="B2567" s="735" t="s">
        <v>110</v>
      </c>
      <c r="C2567" s="832">
        <v>580894</v>
      </c>
      <c r="D2567" s="736">
        <v>700000</v>
      </c>
      <c r="E2567" s="749">
        <v>2110769.4700000002</v>
      </c>
      <c r="F2567" s="736">
        <v>1523179.5</v>
      </c>
      <c r="G2567" s="752">
        <v>700000</v>
      </c>
      <c r="H2567" s="752"/>
      <c r="I2567" s="752"/>
      <c r="J2567" s="736">
        <f t="shared" si="792"/>
        <v>700000</v>
      </c>
      <c r="K2567" s="752"/>
      <c r="L2567" s="752"/>
      <c r="M2567" s="736">
        <f t="shared" si="793"/>
        <v>700000</v>
      </c>
      <c r="N2567" s="736"/>
      <c r="O2567" s="736"/>
      <c r="P2567" s="736">
        <f t="shared" si="794"/>
        <v>700000</v>
      </c>
      <c r="Q2567" s="753">
        <v>435665</v>
      </c>
      <c r="R2567" s="738">
        <v>217108.16</v>
      </c>
      <c r="S2567" s="753">
        <v>1000000</v>
      </c>
      <c r="T2567" s="739">
        <v>1100121</v>
      </c>
      <c r="U2567" s="740">
        <v>800000</v>
      </c>
      <c r="V2567" s="741">
        <v>1100122</v>
      </c>
    </row>
    <row r="2568" spans="1:22" ht="15" x14ac:dyDescent="0.2">
      <c r="A2568" s="739">
        <v>2391</v>
      </c>
      <c r="B2568" s="743" t="s">
        <v>110</v>
      </c>
      <c r="C2568" s="832"/>
      <c r="D2568" s="736"/>
      <c r="E2568" s="749"/>
      <c r="F2568" s="736"/>
      <c r="G2568" s="752"/>
      <c r="H2568" s="752"/>
      <c r="I2568" s="752"/>
      <c r="J2568" s="736"/>
      <c r="K2568" s="752"/>
      <c r="L2568" s="752"/>
      <c r="M2568" s="736"/>
      <c r="N2568" s="736">
        <v>101460</v>
      </c>
      <c r="O2568" s="736"/>
      <c r="P2568" s="736">
        <f t="shared" si="794"/>
        <v>101460</v>
      </c>
      <c r="Q2568" s="753">
        <v>671587.2</v>
      </c>
      <c r="R2568" s="738"/>
      <c r="S2568" s="753"/>
      <c r="T2568" s="739">
        <v>1100121</v>
      </c>
      <c r="U2568" s="745"/>
      <c r="V2568" s="739">
        <v>1100122</v>
      </c>
    </row>
    <row r="2569" spans="1:22" ht="15" x14ac:dyDescent="0.2">
      <c r="A2569" s="739">
        <v>2391</v>
      </c>
      <c r="B2569" s="743" t="s">
        <v>110</v>
      </c>
      <c r="C2569" s="832"/>
      <c r="D2569" s="736"/>
      <c r="E2569" s="749"/>
      <c r="F2569" s="736"/>
      <c r="G2569" s="752"/>
      <c r="H2569" s="752"/>
      <c r="I2569" s="752"/>
      <c r="J2569" s="736"/>
      <c r="K2569" s="752"/>
      <c r="L2569" s="752"/>
      <c r="M2569" s="736"/>
      <c r="N2569" s="736"/>
      <c r="O2569" s="736"/>
      <c r="P2569" s="736"/>
      <c r="Q2569" s="753"/>
      <c r="R2569" s="738">
        <v>622947.4</v>
      </c>
      <c r="S2569" s="753"/>
      <c r="T2569" s="739">
        <v>2510221</v>
      </c>
      <c r="U2569" s="745"/>
      <c r="V2569" s="739">
        <v>2510222</v>
      </c>
    </row>
    <row r="2570" spans="1:22" ht="15" x14ac:dyDescent="0.2">
      <c r="A2570" s="734">
        <v>2421</v>
      </c>
      <c r="B2570" s="735" t="s">
        <v>111</v>
      </c>
      <c r="C2570" s="736">
        <v>395548.22</v>
      </c>
      <c r="D2570" s="736">
        <v>350000</v>
      </c>
      <c r="E2570" s="749">
        <v>535533.59000000008</v>
      </c>
      <c r="F2570" s="736">
        <v>462014.29</v>
      </c>
      <c r="G2570" s="752">
        <v>350000</v>
      </c>
      <c r="H2570" s="752"/>
      <c r="I2570" s="752"/>
      <c r="J2570" s="736">
        <f t="shared" ref="J2570:J2578" si="795">G2570+H2570-I2570</f>
        <v>350000</v>
      </c>
      <c r="K2570" s="752"/>
      <c r="L2570" s="753">
        <v>7186.2</v>
      </c>
      <c r="M2570" s="736">
        <f t="shared" ref="M2570:M2589" si="796">J2570+K2570-L2570</f>
        <v>342813.8</v>
      </c>
      <c r="N2570" s="736"/>
      <c r="O2570" s="736">
        <f>35500+11975.38</f>
        <v>47475.38</v>
      </c>
      <c r="P2570" s="736">
        <f t="shared" si="794"/>
        <v>295338.42</v>
      </c>
      <c r="Q2570" s="753">
        <v>222482.22</v>
      </c>
      <c r="R2570" s="738">
        <v>112651.07</v>
      </c>
      <c r="S2570" s="753">
        <v>850000</v>
      </c>
      <c r="T2570" s="739">
        <v>1100121</v>
      </c>
      <c r="U2570" s="740">
        <v>100000</v>
      </c>
      <c r="V2570" s="741">
        <v>1100122</v>
      </c>
    </row>
    <row r="2571" spans="1:22" ht="15" x14ac:dyDescent="0.2">
      <c r="A2571" s="734">
        <v>2461</v>
      </c>
      <c r="B2571" s="735" t="s">
        <v>115</v>
      </c>
      <c r="C2571" s="736">
        <v>38925.19</v>
      </c>
      <c r="D2571" s="736">
        <v>30000</v>
      </c>
      <c r="E2571" s="749">
        <v>30000</v>
      </c>
      <c r="F2571" s="736">
        <v>29897.14</v>
      </c>
      <c r="G2571" s="752">
        <v>40000</v>
      </c>
      <c r="H2571" s="752"/>
      <c r="I2571" s="752"/>
      <c r="J2571" s="736">
        <f t="shared" si="795"/>
        <v>40000</v>
      </c>
      <c r="K2571" s="752"/>
      <c r="L2571" s="752"/>
      <c r="M2571" s="736">
        <f t="shared" si="796"/>
        <v>40000</v>
      </c>
      <c r="N2571" s="736">
        <v>45000</v>
      </c>
      <c r="O2571" s="736"/>
      <c r="P2571" s="736">
        <f t="shared" si="794"/>
        <v>85000</v>
      </c>
      <c r="Q2571" s="753">
        <v>85000</v>
      </c>
      <c r="R2571" s="738">
        <v>42058.47</v>
      </c>
      <c r="S2571" s="753">
        <v>150000</v>
      </c>
      <c r="T2571" s="739">
        <v>1100121</v>
      </c>
      <c r="U2571" s="740">
        <v>100000</v>
      </c>
      <c r="V2571" s="741">
        <v>1100122</v>
      </c>
    </row>
    <row r="2572" spans="1:22" ht="15" x14ac:dyDescent="0.25">
      <c r="A2572" s="739">
        <v>2491</v>
      </c>
      <c r="B2572" s="743" t="s">
        <v>41</v>
      </c>
      <c r="C2572" s="736">
        <v>50000</v>
      </c>
      <c r="D2572" s="736"/>
      <c r="E2572" s="749"/>
      <c r="F2572" s="736"/>
      <c r="G2572" s="752"/>
      <c r="H2572" s="759">
        <v>5550</v>
      </c>
      <c r="I2572" s="752"/>
      <c r="J2572" s="736">
        <f t="shared" si="795"/>
        <v>5550</v>
      </c>
      <c r="K2572" s="759"/>
      <c r="L2572" s="752"/>
      <c r="M2572" s="736">
        <f t="shared" si="796"/>
        <v>5550</v>
      </c>
      <c r="N2572" s="736"/>
      <c r="O2572" s="736"/>
      <c r="P2572" s="736">
        <f t="shared" si="794"/>
        <v>5550</v>
      </c>
      <c r="Q2572" s="753">
        <v>21291.439999999999</v>
      </c>
      <c r="R2572" s="738">
        <v>21291.439999999999</v>
      </c>
      <c r="S2572" s="753"/>
      <c r="T2572" s="739">
        <v>1100120</v>
      </c>
      <c r="U2572" s="745"/>
      <c r="V2572" s="739">
        <v>1100120</v>
      </c>
    </row>
    <row r="2573" spans="1:22" ht="15" x14ac:dyDescent="0.25">
      <c r="A2573" s="739">
        <v>2491</v>
      </c>
      <c r="B2573" s="743" t="s">
        <v>41</v>
      </c>
      <c r="C2573" s="759">
        <v>17491</v>
      </c>
      <c r="D2573" s="736"/>
      <c r="E2573" s="749"/>
      <c r="F2573" s="736"/>
      <c r="G2573" s="752"/>
      <c r="H2573" s="759">
        <v>6838</v>
      </c>
      <c r="I2573" s="752"/>
      <c r="J2573" s="736">
        <f t="shared" si="795"/>
        <v>6838</v>
      </c>
      <c r="K2573" s="759"/>
      <c r="L2573" s="752"/>
      <c r="M2573" s="736">
        <f t="shared" si="796"/>
        <v>6838</v>
      </c>
      <c r="N2573" s="736"/>
      <c r="O2573" s="736"/>
      <c r="P2573" s="736">
        <f t="shared" si="794"/>
        <v>6838</v>
      </c>
      <c r="Q2573" s="753"/>
      <c r="R2573" s="738"/>
      <c r="S2573" s="753"/>
      <c r="T2573" s="739">
        <v>1100120</v>
      </c>
      <c r="U2573" s="745"/>
      <c r="V2573" s="739">
        <v>1100120</v>
      </c>
    </row>
    <row r="2574" spans="1:22" ht="15" x14ac:dyDescent="0.25">
      <c r="A2574" s="739">
        <v>2491</v>
      </c>
      <c r="B2574" s="743" t="s">
        <v>41</v>
      </c>
      <c r="C2574" s="759">
        <v>1169055</v>
      </c>
      <c r="D2574" s="736"/>
      <c r="E2574" s="749"/>
      <c r="F2574" s="736"/>
      <c r="G2574" s="752"/>
      <c r="H2574" s="759">
        <v>15741.43</v>
      </c>
      <c r="I2574" s="752"/>
      <c r="J2574" s="736">
        <f t="shared" si="795"/>
        <v>15741.43</v>
      </c>
      <c r="K2574" s="759"/>
      <c r="L2574" s="752"/>
      <c r="M2574" s="736">
        <f t="shared" si="796"/>
        <v>15741.43</v>
      </c>
      <c r="N2574" s="736"/>
      <c r="O2574" s="736"/>
      <c r="P2574" s="736">
        <f t="shared" si="794"/>
        <v>15741.43</v>
      </c>
      <c r="Q2574" s="753"/>
      <c r="R2574" s="738"/>
      <c r="S2574" s="753"/>
      <c r="T2574" s="739">
        <v>1100120</v>
      </c>
      <c r="U2574" s="745"/>
      <c r="V2574" s="739">
        <v>1100120</v>
      </c>
    </row>
    <row r="2575" spans="1:22" ht="15" x14ac:dyDescent="0.2">
      <c r="A2575" s="734">
        <v>2491</v>
      </c>
      <c r="B2575" s="735" t="s">
        <v>41</v>
      </c>
      <c r="C2575" s="736"/>
      <c r="D2575" s="736">
        <v>1500000</v>
      </c>
      <c r="E2575" s="749">
        <v>2367931.2000000002</v>
      </c>
      <c r="F2575" s="736">
        <v>2484623.42</v>
      </c>
      <c r="G2575" s="752">
        <v>1500000</v>
      </c>
      <c r="H2575" s="752"/>
      <c r="I2575" s="752"/>
      <c r="J2575" s="736">
        <f t="shared" si="795"/>
        <v>1500000</v>
      </c>
      <c r="K2575" s="752"/>
      <c r="L2575" s="752"/>
      <c r="M2575" s="736">
        <f t="shared" si="796"/>
        <v>1500000</v>
      </c>
      <c r="N2575" s="736">
        <v>45000</v>
      </c>
      <c r="O2575" s="736"/>
      <c r="P2575" s="736">
        <f t="shared" si="794"/>
        <v>1545000</v>
      </c>
      <c r="Q2575" s="753">
        <v>1993766</v>
      </c>
      <c r="R2575" s="738">
        <v>1751799.07</v>
      </c>
      <c r="S2575" s="753">
        <v>2300000</v>
      </c>
      <c r="T2575" s="739">
        <v>1100121</v>
      </c>
      <c r="U2575" s="746">
        <v>1500000</v>
      </c>
      <c r="V2575" s="741">
        <v>1100122</v>
      </c>
    </row>
    <row r="2576" spans="1:22" ht="15" x14ac:dyDescent="0.2">
      <c r="A2576" s="734">
        <v>2521</v>
      </c>
      <c r="B2576" s="735" t="s">
        <v>310</v>
      </c>
      <c r="C2576" s="736">
        <v>63260</v>
      </c>
      <c r="D2576" s="736">
        <v>60000</v>
      </c>
      <c r="E2576" s="749">
        <v>60000</v>
      </c>
      <c r="F2576" s="736">
        <v>37458</v>
      </c>
      <c r="G2576" s="752">
        <v>60000</v>
      </c>
      <c r="H2576" s="752"/>
      <c r="I2576" s="752"/>
      <c r="J2576" s="736">
        <f t="shared" si="795"/>
        <v>60000</v>
      </c>
      <c r="K2576" s="752"/>
      <c r="L2576" s="752"/>
      <c r="M2576" s="736">
        <f t="shared" si="796"/>
        <v>60000</v>
      </c>
      <c r="N2576" s="736"/>
      <c r="O2576" s="736"/>
      <c r="P2576" s="736">
        <f t="shared" si="794"/>
        <v>60000</v>
      </c>
      <c r="Q2576" s="753">
        <v>90500</v>
      </c>
      <c r="R2576" s="738">
        <v>59929.4</v>
      </c>
      <c r="S2576" s="753">
        <v>100000</v>
      </c>
      <c r="T2576" s="739">
        <v>1100121</v>
      </c>
      <c r="U2576" s="740">
        <v>100000</v>
      </c>
      <c r="V2576" s="741">
        <v>1100122</v>
      </c>
    </row>
    <row r="2577" spans="1:22" ht="15" x14ac:dyDescent="0.2">
      <c r="A2577" s="734">
        <v>2522</v>
      </c>
      <c r="B2577" s="735" t="s">
        <v>147</v>
      </c>
      <c r="C2577" s="736">
        <v>58680.82</v>
      </c>
      <c r="D2577" s="736">
        <v>150000</v>
      </c>
      <c r="E2577" s="749">
        <v>88208.63</v>
      </c>
      <c r="F2577" s="736">
        <v>63773</v>
      </c>
      <c r="G2577" s="752">
        <v>150000</v>
      </c>
      <c r="H2577" s="752"/>
      <c r="I2577" s="752"/>
      <c r="J2577" s="736">
        <f t="shared" si="795"/>
        <v>150000</v>
      </c>
      <c r="K2577" s="752"/>
      <c r="L2577" s="752"/>
      <c r="M2577" s="736">
        <f t="shared" si="796"/>
        <v>150000</v>
      </c>
      <c r="N2577" s="736"/>
      <c r="O2577" s="736"/>
      <c r="P2577" s="736">
        <f t="shared" si="794"/>
        <v>150000</v>
      </c>
      <c r="Q2577" s="753">
        <v>106642</v>
      </c>
      <c r="R2577" s="738">
        <v>82641.509999999995</v>
      </c>
      <c r="S2577" s="753">
        <v>220000</v>
      </c>
      <c r="T2577" s="739">
        <v>1100121</v>
      </c>
      <c r="U2577" s="746">
        <v>150000</v>
      </c>
      <c r="V2577" s="741">
        <v>1100122</v>
      </c>
    </row>
    <row r="2578" spans="1:22" ht="30" x14ac:dyDescent="0.2">
      <c r="A2578" s="734">
        <v>2612</v>
      </c>
      <c r="B2578" s="735" t="s">
        <v>26</v>
      </c>
      <c r="C2578" s="736">
        <v>6011340</v>
      </c>
      <c r="D2578" s="736">
        <v>3600000</v>
      </c>
      <c r="E2578" s="749">
        <v>5500000</v>
      </c>
      <c r="F2578" s="736">
        <v>5982483.0199999996</v>
      </c>
      <c r="G2578" s="752">
        <v>6000000</v>
      </c>
      <c r="H2578" s="752"/>
      <c r="I2578" s="752"/>
      <c r="J2578" s="736">
        <f t="shared" si="795"/>
        <v>6000000</v>
      </c>
      <c r="K2578" s="752"/>
      <c r="L2578" s="752">
        <v>500000</v>
      </c>
      <c r="M2578" s="736">
        <f t="shared" si="796"/>
        <v>5500000</v>
      </c>
      <c r="N2578" s="736">
        <v>500000</v>
      </c>
      <c r="O2578" s="736"/>
      <c r="P2578" s="736">
        <f t="shared" si="794"/>
        <v>6000000</v>
      </c>
      <c r="Q2578" s="753">
        <v>6000000</v>
      </c>
      <c r="R2578" s="738">
        <v>5927048.3200000003</v>
      </c>
      <c r="S2578" s="738">
        <f>Q2578</f>
        <v>6000000</v>
      </c>
      <c r="T2578" s="739">
        <v>1100121</v>
      </c>
      <c r="U2578" s="746">
        <v>6500000</v>
      </c>
      <c r="V2578" s="741">
        <v>1100122</v>
      </c>
    </row>
    <row r="2579" spans="1:22" ht="15" x14ac:dyDescent="0.2">
      <c r="A2579" s="734">
        <v>2614</v>
      </c>
      <c r="B2579" s="735" t="s">
        <v>1763</v>
      </c>
      <c r="C2579" s="736"/>
      <c r="D2579" s="736"/>
      <c r="E2579" s="749"/>
      <c r="F2579" s="736"/>
      <c r="G2579" s="752"/>
      <c r="H2579" s="752"/>
      <c r="I2579" s="752"/>
      <c r="J2579" s="736"/>
      <c r="K2579" s="752">
        <v>500000</v>
      </c>
      <c r="L2579" s="752"/>
      <c r="M2579" s="736">
        <f t="shared" si="796"/>
        <v>500000</v>
      </c>
      <c r="N2579" s="736"/>
      <c r="O2579" s="736"/>
      <c r="P2579" s="736">
        <f t="shared" si="794"/>
        <v>500000</v>
      </c>
      <c r="Q2579" s="753">
        <v>500000</v>
      </c>
      <c r="R2579" s="738"/>
      <c r="S2579" s="738">
        <f>Q2579</f>
        <v>500000</v>
      </c>
      <c r="T2579" s="739">
        <v>1100121</v>
      </c>
      <c r="U2579" s="746">
        <v>500000</v>
      </c>
      <c r="V2579" s="741">
        <v>1100122</v>
      </c>
    </row>
    <row r="2580" spans="1:22" ht="15" x14ac:dyDescent="0.2">
      <c r="A2580" s="739">
        <v>2711</v>
      </c>
      <c r="B2580" s="743" t="s">
        <v>27</v>
      </c>
      <c r="C2580" s="736">
        <v>150000</v>
      </c>
      <c r="D2580" s="736">
        <v>200000</v>
      </c>
      <c r="E2580" s="749">
        <v>200000</v>
      </c>
      <c r="F2580" s="736">
        <v>100000</v>
      </c>
      <c r="G2580" s="736"/>
      <c r="H2580" s="736"/>
      <c r="I2580" s="736"/>
      <c r="J2580" s="736">
        <f t="shared" ref="J2580:J2581" si="797">G2580+H2580-I2580</f>
        <v>0</v>
      </c>
      <c r="K2580" s="736"/>
      <c r="L2580" s="736"/>
      <c r="M2580" s="736">
        <f t="shared" si="796"/>
        <v>0</v>
      </c>
      <c r="N2580" s="736"/>
      <c r="O2580" s="736"/>
      <c r="P2580" s="738">
        <f t="shared" si="794"/>
        <v>0</v>
      </c>
      <c r="Q2580" s="738"/>
      <c r="R2580" s="738"/>
      <c r="S2580" s="738">
        <v>905834.18</v>
      </c>
      <c r="T2580" s="739">
        <v>1100121</v>
      </c>
      <c r="U2580" s="922"/>
      <c r="V2580" s="739">
        <v>1100122</v>
      </c>
    </row>
    <row r="2581" spans="1:22" ht="15" x14ac:dyDescent="0.2">
      <c r="A2581" s="734">
        <v>2911</v>
      </c>
      <c r="B2581" s="735" t="s">
        <v>60</v>
      </c>
      <c r="C2581" s="736">
        <v>39604.75</v>
      </c>
      <c r="D2581" s="736">
        <v>80000</v>
      </c>
      <c r="E2581" s="749">
        <v>64361.32</v>
      </c>
      <c r="F2581" s="736">
        <v>64322.65</v>
      </c>
      <c r="G2581" s="752">
        <v>80000</v>
      </c>
      <c r="H2581" s="752"/>
      <c r="I2581" s="752"/>
      <c r="J2581" s="736">
        <f t="shared" si="797"/>
        <v>80000</v>
      </c>
      <c r="K2581" s="752"/>
      <c r="L2581" s="752"/>
      <c r="M2581" s="736">
        <f t="shared" si="796"/>
        <v>80000</v>
      </c>
      <c r="N2581" s="736"/>
      <c r="O2581" s="736"/>
      <c r="P2581" s="736">
        <f t="shared" si="794"/>
        <v>80000</v>
      </c>
      <c r="Q2581" s="753">
        <v>80000</v>
      </c>
      <c r="R2581" s="738">
        <v>77742.95</v>
      </c>
      <c r="S2581" s="753">
        <v>94756</v>
      </c>
      <c r="T2581" s="739">
        <v>1100121</v>
      </c>
      <c r="U2581" s="740">
        <v>94756</v>
      </c>
      <c r="V2581" s="741">
        <v>1100122</v>
      </c>
    </row>
    <row r="2582" spans="1:22" ht="15" x14ac:dyDescent="0.2">
      <c r="A2582" s="739">
        <v>3131</v>
      </c>
      <c r="B2582" s="743" t="s">
        <v>1811</v>
      </c>
      <c r="C2582" s="736"/>
      <c r="D2582" s="736"/>
      <c r="E2582" s="749"/>
      <c r="F2582" s="736"/>
      <c r="G2582" s="752"/>
      <c r="H2582" s="752"/>
      <c r="I2582" s="752"/>
      <c r="J2582" s="736"/>
      <c r="K2582" s="752">
        <v>178000</v>
      </c>
      <c r="L2582" s="752"/>
      <c r="M2582" s="736">
        <f t="shared" si="796"/>
        <v>178000</v>
      </c>
      <c r="N2582" s="736"/>
      <c r="O2582" s="736"/>
      <c r="P2582" s="736">
        <f t="shared" si="794"/>
        <v>178000</v>
      </c>
      <c r="Q2582" s="753">
        <v>177545</v>
      </c>
      <c r="R2582" s="738">
        <v>177545</v>
      </c>
      <c r="S2582" s="753"/>
      <c r="T2582" s="739">
        <v>1100120</v>
      </c>
      <c r="U2582" s="745"/>
      <c r="V2582" s="739">
        <v>1100120</v>
      </c>
    </row>
    <row r="2583" spans="1:22" ht="15" x14ac:dyDescent="0.2">
      <c r="A2583" s="734">
        <v>3111</v>
      </c>
      <c r="B2583" s="735" t="s">
        <v>47</v>
      </c>
      <c r="C2583" s="736">
        <v>697126</v>
      </c>
      <c r="D2583" s="736">
        <v>780000</v>
      </c>
      <c r="E2583" s="749">
        <v>780000</v>
      </c>
      <c r="F2583" s="736">
        <v>693824</v>
      </c>
      <c r="G2583" s="749">
        <v>780000</v>
      </c>
      <c r="H2583" s="749"/>
      <c r="I2583" s="749"/>
      <c r="J2583" s="736">
        <f t="shared" ref="J2583:J2589" si="798">G2583+H2583-I2583</f>
        <v>780000</v>
      </c>
      <c r="K2583" s="749"/>
      <c r="L2583" s="749"/>
      <c r="M2583" s="736">
        <f t="shared" si="796"/>
        <v>780000</v>
      </c>
      <c r="N2583" s="736"/>
      <c r="O2583" s="736"/>
      <c r="P2583" s="736">
        <f t="shared" si="794"/>
        <v>780000</v>
      </c>
      <c r="Q2583" s="783">
        <v>780000</v>
      </c>
      <c r="R2583" s="738">
        <v>429936</v>
      </c>
      <c r="S2583" s="784">
        <v>12000</v>
      </c>
      <c r="T2583" s="739">
        <v>1100121</v>
      </c>
      <c r="U2583" s="746">
        <v>700000</v>
      </c>
      <c r="V2583" s="741">
        <v>1100122</v>
      </c>
    </row>
    <row r="2584" spans="1:22" ht="15" x14ac:dyDescent="0.2">
      <c r="A2584" s="734">
        <v>3131</v>
      </c>
      <c r="B2584" s="735" t="s">
        <v>61</v>
      </c>
      <c r="C2584" s="736">
        <v>199892</v>
      </c>
      <c r="D2584" s="736">
        <v>326000</v>
      </c>
      <c r="E2584" s="749">
        <v>226000</v>
      </c>
      <c r="F2584" s="736">
        <v>213514.95</v>
      </c>
      <c r="G2584" s="749">
        <v>250000</v>
      </c>
      <c r="H2584" s="749"/>
      <c r="I2584" s="749"/>
      <c r="J2584" s="736">
        <f t="shared" si="798"/>
        <v>250000</v>
      </c>
      <c r="K2584" s="749"/>
      <c r="L2584" s="749"/>
      <c r="M2584" s="736">
        <f t="shared" si="796"/>
        <v>250000</v>
      </c>
      <c r="N2584" s="736"/>
      <c r="O2584" s="736"/>
      <c r="P2584" s="736">
        <f t="shared" si="794"/>
        <v>250000</v>
      </c>
      <c r="Q2584" s="783">
        <v>250000</v>
      </c>
      <c r="R2584" s="738">
        <v>154548.93</v>
      </c>
      <c r="S2584" s="784">
        <v>428000</v>
      </c>
      <c r="T2584" s="739">
        <v>1100121</v>
      </c>
      <c r="U2584" s="746">
        <v>500000</v>
      </c>
      <c r="V2584" s="741">
        <v>1100122</v>
      </c>
    </row>
    <row r="2585" spans="1:22" ht="15" x14ac:dyDescent="0.2">
      <c r="A2585" s="734">
        <v>3141</v>
      </c>
      <c r="B2585" s="735" t="s">
        <v>48</v>
      </c>
      <c r="C2585" s="736">
        <v>20527.560000000001</v>
      </c>
      <c r="D2585" s="736">
        <v>26000</v>
      </c>
      <c r="E2585" s="749">
        <v>21000</v>
      </c>
      <c r="F2585" s="736">
        <v>17919.169999999998</v>
      </c>
      <c r="G2585" s="749">
        <v>23100</v>
      </c>
      <c r="H2585" s="749"/>
      <c r="I2585" s="749"/>
      <c r="J2585" s="736">
        <f t="shared" si="798"/>
        <v>23100</v>
      </c>
      <c r="K2585" s="749"/>
      <c r="L2585" s="749"/>
      <c r="M2585" s="736">
        <f t="shared" si="796"/>
        <v>23100</v>
      </c>
      <c r="N2585" s="736"/>
      <c r="O2585" s="736"/>
      <c r="P2585" s="736">
        <f t="shared" si="794"/>
        <v>23100</v>
      </c>
      <c r="Q2585" s="783">
        <v>23100</v>
      </c>
      <c r="R2585" s="738">
        <v>13980.04</v>
      </c>
      <c r="S2585" s="784">
        <v>23100</v>
      </c>
      <c r="T2585" s="739">
        <v>1100121</v>
      </c>
      <c r="U2585" s="746">
        <v>23000</v>
      </c>
      <c r="V2585" s="741">
        <v>1100122</v>
      </c>
    </row>
    <row r="2586" spans="1:22" ht="15" x14ac:dyDescent="0.2">
      <c r="A2586" s="734">
        <v>3151</v>
      </c>
      <c r="B2586" s="735" t="s">
        <v>28</v>
      </c>
      <c r="C2586" s="736">
        <v>3286.46</v>
      </c>
      <c r="D2586" s="736">
        <v>4000</v>
      </c>
      <c r="E2586" s="749">
        <v>4000</v>
      </c>
      <c r="F2586" s="736">
        <v>3402.72</v>
      </c>
      <c r="G2586" s="749">
        <v>4000</v>
      </c>
      <c r="H2586" s="749"/>
      <c r="I2586" s="749"/>
      <c r="J2586" s="736">
        <f t="shared" si="798"/>
        <v>4000</v>
      </c>
      <c r="K2586" s="749"/>
      <c r="L2586" s="749"/>
      <c r="M2586" s="736">
        <f t="shared" si="796"/>
        <v>4000</v>
      </c>
      <c r="N2586" s="736"/>
      <c r="O2586" s="736"/>
      <c r="P2586" s="736">
        <f t="shared" si="794"/>
        <v>4000</v>
      </c>
      <c r="Q2586" s="783">
        <v>4000</v>
      </c>
      <c r="R2586" s="738">
        <v>2812.99</v>
      </c>
      <c r="S2586" s="784">
        <v>4000</v>
      </c>
      <c r="T2586" s="739">
        <v>1100121</v>
      </c>
      <c r="U2586" s="746">
        <v>4500</v>
      </c>
      <c r="V2586" s="741">
        <v>1100122</v>
      </c>
    </row>
    <row r="2587" spans="1:22" ht="30" x14ac:dyDescent="0.2">
      <c r="A2587" s="734">
        <v>3361</v>
      </c>
      <c r="B2587" s="735" t="s">
        <v>29</v>
      </c>
      <c r="C2587" s="736">
        <v>4800.17</v>
      </c>
      <c r="D2587" s="736">
        <v>5000</v>
      </c>
      <c r="E2587" s="749">
        <v>10568</v>
      </c>
      <c r="F2587" s="736">
        <v>10164.01</v>
      </c>
      <c r="G2587" s="749">
        <v>5000</v>
      </c>
      <c r="H2587" s="749"/>
      <c r="I2587" s="749"/>
      <c r="J2587" s="736">
        <f t="shared" si="798"/>
        <v>5000</v>
      </c>
      <c r="K2587" s="749"/>
      <c r="L2587" s="749"/>
      <c r="M2587" s="736">
        <f t="shared" si="796"/>
        <v>5000</v>
      </c>
      <c r="N2587" s="736"/>
      <c r="O2587" s="736"/>
      <c r="P2587" s="736">
        <f t="shared" si="794"/>
        <v>5000</v>
      </c>
      <c r="Q2587" s="783">
        <v>5000</v>
      </c>
      <c r="R2587" s="738">
        <v>1802.64</v>
      </c>
      <c r="S2587" s="784">
        <v>5000</v>
      </c>
      <c r="T2587" s="739">
        <v>1100121</v>
      </c>
      <c r="U2587" s="740">
        <v>5000</v>
      </c>
      <c r="V2587" s="741">
        <v>1100122</v>
      </c>
    </row>
    <row r="2588" spans="1:22" ht="15" x14ac:dyDescent="0.2">
      <c r="A2588" s="734">
        <v>3511</v>
      </c>
      <c r="B2588" s="735" t="s">
        <v>49</v>
      </c>
      <c r="C2588" s="736"/>
      <c r="D2588" s="736">
        <v>0</v>
      </c>
      <c r="E2588" s="749">
        <v>162211.63</v>
      </c>
      <c r="F2588" s="736">
        <v>12211.63</v>
      </c>
      <c r="G2588" s="752">
        <v>30000</v>
      </c>
      <c r="H2588" s="752"/>
      <c r="I2588" s="752"/>
      <c r="J2588" s="736">
        <f t="shared" si="798"/>
        <v>30000</v>
      </c>
      <c r="K2588" s="752"/>
      <c r="L2588" s="752"/>
      <c r="M2588" s="736">
        <f t="shared" si="796"/>
        <v>30000</v>
      </c>
      <c r="N2588" s="736">
        <v>5800</v>
      </c>
      <c r="O2588" s="736"/>
      <c r="P2588" s="736">
        <f t="shared" si="794"/>
        <v>35800</v>
      </c>
      <c r="Q2588" s="753">
        <v>35800</v>
      </c>
      <c r="R2588" s="738">
        <v>29923.59</v>
      </c>
      <c r="S2588" s="753">
        <v>70000</v>
      </c>
      <c r="T2588" s="739">
        <v>1100121</v>
      </c>
      <c r="U2588" s="740">
        <v>30000</v>
      </c>
      <c r="V2588" s="741">
        <v>1100122</v>
      </c>
    </row>
    <row r="2589" spans="1:22" ht="15" x14ac:dyDescent="0.2">
      <c r="A2589" s="734">
        <v>3551</v>
      </c>
      <c r="B2589" s="735" t="s">
        <v>30</v>
      </c>
      <c r="C2589" s="736"/>
      <c r="D2589" s="736"/>
      <c r="E2589" s="749"/>
      <c r="F2589" s="736"/>
      <c r="G2589" s="752"/>
      <c r="H2589" s="752">
        <v>390000</v>
      </c>
      <c r="I2589" s="752"/>
      <c r="J2589" s="736">
        <f t="shared" si="798"/>
        <v>390000</v>
      </c>
      <c r="K2589" s="752"/>
      <c r="L2589" s="752"/>
      <c r="M2589" s="736">
        <f t="shared" si="796"/>
        <v>390000</v>
      </c>
      <c r="N2589" s="736"/>
      <c r="O2589" s="736">
        <v>390000</v>
      </c>
      <c r="P2589" s="738">
        <f t="shared" si="794"/>
        <v>0</v>
      </c>
      <c r="Q2589" s="753">
        <v>3492650</v>
      </c>
      <c r="R2589" s="738">
        <v>3260513.08</v>
      </c>
      <c r="S2589" s="738">
        <f>Q2589</f>
        <v>3492650</v>
      </c>
      <c r="T2589" s="739">
        <v>1100121</v>
      </c>
      <c r="U2589" s="746">
        <v>3800000</v>
      </c>
      <c r="V2589" s="741">
        <v>1100122</v>
      </c>
    </row>
    <row r="2590" spans="1:22" ht="15" x14ac:dyDescent="0.2">
      <c r="A2590" s="739">
        <v>5691</v>
      </c>
      <c r="B2590" s="743" t="s">
        <v>1713</v>
      </c>
      <c r="C2590" s="736"/>
      <c r="D2590" s="736"/>
      <c r="E2590" s="749"/>
      <c r="F2590" s="736"/>
      <c r="G2590" s="752"/>
      <c r="H2590" s="752"/>
      <c r="I2590" s="752"/>
      <c r="J2590" s="736"/>
      <c r="K2590" s="752"/>
      <c r="L2590" s="752"/>
      <c r="M2590" s="736"/>
      <c r="N2590" s="736">
        <v>390000</v>
      </c>
      <c r="O2590" s="736"/>
      <c r="P2590" s="736">
        <f t="shared" si="794"/>
        <v>390000</v>
      </c>
      <c r="Q2590" s="753">
        <v>390000</v>
      </c>
      <c r="R2590" s="738"/>
      <c r="S2590" s="753"/>
      <c r="T2590" s="739">
        <v>1100120</v>
      </c>
      <c r="U2590" s="745"/>
      <c r="V2590" s="739">
        <v>1100120</v>
      </c>
    </row>
    <row r="2591" spans="1:22" ht="15" x14ac:dyDescent="0.2">
      <c r="A2591" s="734">
        <v>5691</v>
      </c>
      <c r="B2591" s="735" t="s">
        <v>1713</v>
      </c>
      <c r="C2591" s="736"/>
      <c r="D2591" s="736"/>
      <c r="E2591" s="749"/>
      <c r="F2591" s="736"/>
      <c r="G2591" s="752"/>
      <c r="H2591" s="752"/>
      <c r="I2591" s="752"/>
      <c r="J2591" s="736"/>
      <c r="K2591" s="752"/>
      <c r="L2591" s="752"/>
      <c r="M2591" s="736"/>
      <c r="N2591" s="736">
        <v>11975.38</v>
      </c>
      <c r="O2591" s="736"/>
      <c r="P2591" s="736">
        <f t="shared" si="794"/>
        <v>11975.38</v>
      </c>
      <c r="Q2591" s="753">
        <v>47661.58</v>
      </c>
      <c r="R2591" s="738"/>
      <c r="S2591" s="753"/>
      <c r="T2591" s="739">
        <v>1100121</v>
      </c>
      <c r="U2591" s="740">
        <v>420000</v>
      </c>
      <c r="V2591" s="741">
        <v>1100121</v>
      </c>
    </row>
    <row r="2592" spans="1:22" ht="15" x14ac:dyDescent="0.2">
      <c r="A2592" s="739">
        <v>3551</v>
      </c>
      <c r="B2592" s="743" t="s">
        <v>30</v>
      </c>
      <c r="C2592" s="736">
        <v>2799996.01</v>
      </c>
      <c r="D2592" s="736">
        <v>2900000</v>
      </c>
      <c r="E2592" s="749">
        <v>2700000</v>
      </c>
      <c r="F2592" s="736">
        <v>3097296.68</v>
      </c>
      <c r="G2592" s="752">
        <v>3000000</v>
      </c>
      <c r="H2592" s="752"/>
      <c r="I2592" s="752"/>
      <c r="J2592" s="736">
        <f t="shared" ref="J2592:J2597" si="799">G2592+H2592-I2592</f>
        <v>3000000</v>
      </c>
      <c r="K2592" s="752"/>
      <c r="L2592" s="752"/>
      <c r="M2592" s="736">
        <f t="shared" ref="M2592:M2597" si="800">J2592+K2592-L2592</f>
        <v>3000000</v>
      </c>
      <c r="N2592" s="736">
        <v>500000</v>
      </c>
      <c r="O2592" s="736"/>
      <c r="P2592" s="736">
        <f t="shared" si="794"/>
        <v>3500000</v>
      </c>
      <c r="Q2592" s="753"/>
      <c r="R2592" s="738"/>
      <c r="S2592" s="738">
        <f>Q2592</f>
        <v>0</v>
      </c>
      <c r="T2592" s="739">
        <v>1100121</v>
      </c>
      <c r="U2592" s="744"/>
      <c r="V2592" s="739">
        <v>1100122</v>
      </c>
    </row>
    <row r="2593" spans="1:22" ht="15" x14ac:dyDescent="0.2">
      <c r="A2593" s="734">
        <v>3571</v>
      </c>
      <c r="B2593" s="735" t="s">
        <v>65</v>
      </c>
      <c r="C2593" s="736">
        <v>17655.2</v>
      </c>
      <c r="D2593" s="736">
        <v>30000</v>
      </c>
      <c r="E2593" s="749">
        <v>30000</v>
      </c>
      <c r="F2593" s="736">
        <v>13490</v>
      </c>
      <c r="G2593" s="752">
        <v>30000</v>
      </c>
      <c r="H2593" s="752"/>
      <c r="I2593" s="752"/>
      <c r="J2593" s="736">
        <f t="shared" si="799"/>
        <v>30000</v>
      </c>
      <c r="K2593" s="752"/>
      <c r="L2593" s="752"/>
      <c r="M2593" s="736">
        <f t="shared" si="800"/>
        <v>30000</v>
      </c>
      <c r="N2593" s="736"/>
      <c r="O2593" s="736"/>
      <c r="P2593" s="736">
        <f t="shared" si="794"/>
        <v>30000</v>
      </c>
      <c r="Q2593" s="753">
        <v>30000</v>
      </c>
      <c r="R2593" s="738">
        <v>24422.639999999999</v>
      </c>
      <c r="S2593" s="753">
        <v>45000</v>
      </c>
      <c r="T2593" s="739">
        <v>1100121</v>
      </c>
      <c r="U2593" s="740">
        <v>45000</v>
      </c>
      <c r="V2593" s="741">
        <v>1100122</v>
      </c>
    </row>
    <row r="2594" spans="1:22" ht="15" x14ac:dyDescent="0.2">
      <c r="A2594" s="739">
        <v>3611</v>
      </c>
      <c r="B2594" s="743" t="s">
        <v>66</v>
      </c>
      <c r="C2594" s="736"/>
      <c r="D2594" s="736">
        <v>80000</v>
      </c>
      <c r="E2594" s="749">
        <v>0</v>
      </c>
      <c r="F2594" s="736">
        <v>0</v>
      </c>
      <c r="G2594" s="736"/>
      <c r="H2594" s="736"/>
      <c r="I2594" s="736"/>
      <c r="J2594" s="736">
        <f t="shared" si="799"/>
        <v>0</v>
      </c>
      <c r="K2594" s="736"/>
      <c r="L2594" s="736"/>
      <c r="M2594" s="736">
        <f t="shared" si="800"/>
        <v>0</v>
      </c>
      <c r="N2594" s="736"/>
      <c r="O2594" s="736"/>
      <c r="P2594" s="738">
        <f t="shared" si="794"/>
        <v>0</v>
      </c>
      <c r="Q2594" s="738"/>
      <c r="R2594" s="738"/>
      <c r="S2594" s="738"/>
      <c r="T2594" s="739">
        <v>1100121</v>
      </c>
      <c r="U2594" s="745"/>
      <c r="V2594" s="739">
        <v>1100122</v>
      </c>
    </row>
    <row r="2595" spans="1:22" ht="15" x14ac:dyDescent="0.2">
      <c r="A2595" s="734">
        <v>3852</v>
      </c>
      <c r="B2595" s="735" t="s">
        <v>32</v>
      </c>
      <c r="C2595" s="736">
        <v>11010.85</v>
      </c>
      <c r="D2595" s="736">
        <v>10000</v>
      </c>
      <c r="E2595" s="749">
        <v>16000</v>
      </c>
      <c r="F2595" s="736">
        <v>10353.9</v>
      </c>
      <c r="G2595" s="752">
        <v>12000</v>
      </c>
      <c r="H2595" s="752"/>
      <c r="I2595" s="752"/>
      <c r="J2595" s="736">
        <f t="shared" si="799"/>
        <v>12000</v>
      </c>
      <c r="K2595" s="752"/>
      <c r="L2595" s="752"/>
      <c r="M2595" s="736">
        <f t="shared" si="800"/>
        <v>12000</v>
      </c>
      <c r="N2595" s="736"/>
      <c r="O2595" s="736"/>
      <c r="P2595" s="736">
        <f t="shared" si="794"/>
        <v>12000</v>
      </c>
      <c r="Q2595" s="753">
        <v>18000</v>
      </c>
      <c r="R2595" s="738">
        <v>12301.12</v>
      </c>
      <c r="S2595" s="753">
        <v>30000</v>
      </c>
      <c r="T2595" s="739">
        <v>1100121</v>
      </c>
      <c r="U2595" s="740">
        <v>15000</v>
      </c>
      <c r="V2595" s="741">
        <v>1100122</v>
      </c>
    </row>
    <row r="2596" spans="1:22" ht="15" x14ac:dyDescent="0.2">
      <c r="A2596" s="734">
        <v>3921</v>
      </c>
      <c r="B2596" s="735" t="s">
        <v>33</v>
      </c>
      <c r="C2596" s="736"/>
      <c r="D2596" s="736">
        <v>20280</v>
      </c>
      <c r="E2596" s="749">
        <v>20280</v>
      </c>
      <c r="F2596" s="736">
        <v>9439.9</v>
      </c>
      <c r="G2596" s="752">
        <v>20840</v>
      </c>
      <c r="H2596" s="752"/>
      <c r="I2596" s="752"/>
      <c r="J2596" s="736">
        <f t="shared" si="799"/>
        <v>20840</v>
      </c>
      <c r="K2596" s="752"/>
      <c r="L2596" s="752"/>
      <c r="M2596" s="736">
        <f t="shared" si="800"/>
        <v>20840</v>
      </c>
      <c r="N2596" s="736"/>
      <c r="O2596" s="736"/>
      <c r="P2596" s="736">
        <f t="shared" si="794"/>
        <v>20840</v>
      </c>
      <c r="Q2596" s="753">
        <v>28190</v>
      </c>
      <c r="R2596" s="738">
        <v>20250.759999999998</v>
      </c>
      <c r="S2596" s="753">
        <v>28286.16</v>
      </c>
      <c r="T2596" s="739">
        <v>1100121</v>
      </c>
      <c r="U2596" s="740">
        <v>30307</v>
      </c>
      <c r="V2596" s="741">
        <v>1100122</v>
      </c>
    </row>
    <row r="2597" spans="1:22" ht="15" x14ac:dyDescent="0.2">
      <c r="A2597" s="739">
        <v>5111</v>
      </c>
      <c r="B2597" s="743" t="s">
        <v>35</v>
      </c>
      <c r="C2597" s="736"/>
      <c r="D2597" s="736">
        <v>13049.4</v>
      </c>
      <c r="E2597" s="736"/>
      <c r="F2597" s="736">
        <v>0</v>
      </c>
      <c r="G2597" s="736"/>
      <c r="H2597" s="736"/>
      <c r="I2597" s="736"/>
      <c r="J2597" s="736">
        <f t="shared" si="799"/>
        <v>0</v>
      </c>
      <c r="K2597" s="736"/>
      <c r="L2597" s="736"/>
      <c r="M2597" s="736">
        <f t="shared" si="800"/>
        <v>0</v>
      </c>
      <c r="N2597" s="736"/>
      <c r="O2597" s="736"/>
      <c r="P2597" s="738">
        <f t="shared" si="794"/>
        <v>0</v>
      </c>
      <c r="Q2597" s="738"/>
      <c r="R2597" s="738"/>
      <c r="S2597" s="738">
        <v>144054</v>
      </c>
      <c r="T2597" s="739">
        <v>1100121</v>
      </c>
      <c r="U2597" s="922"/>
      <c r="V2597" s="739">
        <v>1100122</v>
      </c>
    </row>
    <row r="2598" spans="1:22" ht="15" x14ac:dyDescent="0.2">
      <c r="A2598" s="739">
        <v>5211</v>
      </c>
      <c r="B2598" s="743" t="s">
        <v>71</v>
      </c>
      <c r="C2598" s="736"/>
      <c r="D2598" s="736"/>
      <c r="E2598" s="736"/>
      <c r="F2598" s="736"/>
      <c r="G2598" s="736"/>
      <c r="H2598" s="736"/>
      <c r="I2598" s="736"/>
      <c r="J2598" s="736"/>
      <c r="K2598" s="736"/>
      <c r="L2598" s="736"/>
      <c r="M2598" s="736"/>
      <c r="N2598" s="736"/>
      <c r="O2598" s="736"/>
      <c r="P2598" s="738"/>
      <c r="Q2598" s="738"/>
      <c r="R2598" s="738"/>
      <c r="S2598" s="738">
        <v>15828</v>
      </c>
      <c r="T2598" s="739"/>
      <c r="U2598" s="922"/>
      <c r="V2598" s="739"/>
    </row>
    <row r="2599" spans="1:22" ht="15" x14ac:dyDescent="0.2">
      <c r="A2599" s="739">
        <v>5151</v>
      </c>
      <c r="B2599" s="743" t="s">
        <v>36</v>
      </c>
      <c r="C2599" s="736">
        <v>18699.990000000002</v>
      </c>
      <c r="D2599" s="736"/>
      <c r="E2599" s="736"/>
      <c r="F2599" s="736"/>
      <c r="G2599" s="736"/>
      <c r="H2599" s="736"/>
      <c r="I2599" s="736"/>
      <c r="J2599" s="736">
        <f t="shared" ref="J2599:J2605" si="801">G2599+H2599-I2599</f>
        <v>0</v>
      </c>
      <c r="K2599" s="736"/>
      <c r="L2599" s="736"/>
      <c r="M2599" s="736">
        <f t="shared" ref="M2599:M2605" si="802">J2599+K2599-L2599</f>
        <v>0</v>
      </c>
      <c r="N2599" s="736"/>
      <c r="O2599" s="736"/>
      <c r="P2599" s="738">
        <f t="shared" ref="P2599:P2600" si="803">M2599+N2599-O2599</f>
        <v>0</v>
      </c>
      <c r="Q2599" s="738"/>
      <c r="R2599" s="738"/>
      <c r="S2599" s="738"/>
      <c r="T2599" s="739"/>
      <c r="U2599" s="921"/>
      <c r="V2599" s="739"/>
    </row>
    <row r="2600" spans="1:22" ht="15" x14ac:dyDescent="0.2">
      <c r="A2600" s="734">
        <v>5411</v>
      </c>
      <c r="B2600" s="735" t="s">
        <v>123</v>
      </c>
      <c r="C2600" s="736">
        <v>3600000</v>
      </c>
      <c r="D2600" s="736">
        <v>0</v>
      </c>
      <c r="E2600" s="749">
        <v>5399000</v>
      </c>
      <c r="F2600" s="736">
        <v>5399000</v>
      </c>
      <c r="G2600" s="736"/>
      <c r="H2600" s="736"/>
      <c r="I2600" s="736"/>
      <c r="J2600" s="736">
        <f t="shared" si="801"/>
        <v>0</v>
      </c>
      <c r="K2600" s="736"/>
      <c r="L2600" s="736"/>
      <c r="M2600" s="736">
        <f t="shared" si="802"/>
        <v>0</v>
      </c>
      <c r="N2600" s="736"/>
      <c r="O2600" s="736"/>
      <c r="P2600" s="738">
        <f t="shared" si="803"/>
        <v>0</v>
      </c>
      <c r="Q2600" s="738"/>
      <c r="R2600" s="738"/>
      <c r="S2600" s="738"/>
      <c r="T2600" s="739">
        <v>1100119</v>
      </c>
      <c r="U2600" s="740">
        <v>3200000</v>
      </c>
      <c r="V2600" s="741">
        <v>2610122</v>
      </c>
    </row>
    <row r="2601" spans="1:22" ht="15" x14ac:dyDescent="0.25">
      <c r="A2601" s="739">
        <v>5411</v>
      </c>
      <c r="B2601" s="743" t="s">
        <v>123</v>
      </c>
      <c r="C2601" s="736"/>
      <c r="D2601" s="736"/>
      <c r="E2601" s="749"/>
      <c r="F2601" s="736"/>
      <c r="G2601" s="736"/>
      <c r="H2601" s="736">
        <v>2100000</v>
      </c>
      <c r="I2601" s="736"/>
      <c r="J2601" s="736">
        <f t="shared" si="801"/>
        <v>2100000</v>
      </c>
      <c r="K2601" s="759"/>
      <c r="L2601" s="736">
        <v>2100000</v>
      </c>
      <c r="M2601" s="736">
        <f t="shared" si="802"/>
        <v>0</v>
      </c>
      <c r="N2601" s="736">
        <f>400000+205278.2</f>
        <v>605278.19999999995</v>
      </c>
      <c r="O2601" s="736"/>
      <c r="P2601" s="736">
        <f>M2413+N2601-O2601</f>
        <v>605278.19999999995</v>
      </c>
      <c r="Q2601" s="738">
        <v>1044721.8</v>
      </c>
      <c r="R2601" s="738"/>
      <c r="S2601" s="747">
        <v>8151000</v>
      </c>
      <c r="T2601" s="739">
        <v>1100121</v>
      </c>
      <c r="U2601" s="744">
        <v>0</v>
      </c>
      <c r="V2601" s="739">
        <v>1100122</v>
      </c>
    </row>
    <row r="2602" spans="1:22" ht="15" x14ac:dyDescent="0.25">
      <c r="A2602" s="739">
        <v>5411</v>
      </c>
      <c r="B2602" s="743" t="s">
        <v>123</v>
      </c>
      <c r="C2602" s="736"/>
      <c r="D2602" s="736"/>
      <c r="E2602" s="749"/>
      <c r="F2602" s="736"/>
      <c r="G2602" s="736"/>
      <c r="H2602" s="736">
        <v>1150000</v>
      </c>
      <c r="I2602" s="736"/>
      <c r="J2602" s="736">
        <f t="shared" si="801"/>
        <v>1150000</v>
      </c>
      <c r="K2602" s="759"/>
      <c r="L2602" s="736"/>
      <c r="M2602" s="736">
        <f t="shared" si="802"/>
        <v>1150000</v>
      </c>
      <c r="N2602" s="736">
        <v>100000</v>
      </c>
      <c r="O2602" s="736">
        <v>205278.2</v>
      </c>
      <c r="P2602" s="736">
        <f t="shared" ref="P2602:P2605" si="804">M2602+N2602-O2602</f>
        <v>1044721.8</v>
      </c>
      <c r="Q2602" s="738">
        <v>605278.19999999995</v>
      </c>
      <c r="R2602" s="738"/>
      <c r="S2602" s="738"/>
      <c r="T2602" s="739">
        <v>1100120</v>
      </c>
      <c r="U2602" s="745"/>
      <c r="V2602" s="739">
        <v>1100120</v>
      </c>
    </row>
    <row r="2603" spans="1:22" ht="15" x14ac:dyDescent="0.2">
      <c r="A2603" s="739">
        <v>5411</v>
      </c>
      <c r="B2603" s="743" t="s">
        <v>123</v>
      </c>
      <c r="C2603" s="736"/>
      <c r="D2603" s="736">
        <v>0</v>
      </c>
      <c r="E2603" s="749">
        <v>40000</v>
      </c>
      <c r="F2603" s="736">
        <v>34416</v>
      </c>
      <c r="G2603" s="736"/>
      <c r="H2603" s="736"/>
      <c r="I2603" s="736"/>
      <c r="J2603" s="736">
        <f t="shared" si="801"/>
        <v>0</v>
      </c>
      <c r="K2603" s="736"/>
      <c r="L2603" s="736"/>
      <c r="M2603" s="736">
        <f t="shared" si="802"/>
        <v>0</v>
      </c>
      <c r="N2603" s="736"/>
      <c r="O2603" s="736"/>
      <c r="P2603" s="738">
        <f t="shared" si="804"/>
        <v>0</v>
      </c>
      <c r="Q2603" s="738"/>
      <c r="R2603" s="738"/>
      <c r="S2603" s="738"/>
      <c r="T2603" s="739">
        <v>1100121</v>
      </c>
      <c r="U2603" s="745"/>
      <c r="V2603" s="739">
        <v>1100122</v>
      </c>
    </row>
    <row r="2604" spans="1:22" ht="15" x14ac:dyDescent="0.2">
      <c r="A2604" s="739">
        <v>5411</v>
      </c>
      <c r="B2604" s="743" t="s">
        <v>123</v>
      </c>
      <c r="C2604" s="736"/>
      <c r="D2604" s="736">
        <v>2500000</v>
      </c>
      <c r="E2604" s="736"/>
      <c r="F2604" s="736">
        <v>0</v>
      </c>
      <c r="G2604" s="736"/>
      <c r="H2604" s="736"/>
      <c r="I2604" s="736"/>
      <c r="J2604" s="736">
        <f t="shared" si="801"/>
        <v>0</v>
      </c>
      <c r="K2604" s="736"/>
      <c r="L2604" s="736"/>
      <c r="M2604" s="736">
        <f t="shared" si="802"/>
        <v>0</v>
      </c>
      <c r="N2604" s="736"/>
      <c r="O2604" s="736"/>
      <c r="P2604" s="738">
        <f t="shared" si="804"/>
        <v>0</v>
      </c>
      <c r="Q2604" s="738"/>
      <c r="R2604" s="738"/>
      <c r="S2604" s="738"/>
      <c r="T2604" s="739">
        <v>1500521</v>
      </c>
      <c r="U2604" s="921"/>
      <c r="V2604" s="739">
        <v>1500522</v>
      </c>
    </row>
    <row r="2605" spans="1:22" ht="15" x14ac:dyDescent="0.2">
      <c r="A2605" s="739">
        <v>5421</v>
      </c>
      <c r="B2605" s="822" t="s">
        <v>1800</v>
      </c>
      <c r="C2605" s="736">
        <v>280000</v>
      </c>
      <c r="D2605" s="736"/>
      <c r="E2605" s="736"/>
      <c r="F2605" s="736"/>
      <c r="G2605" s="736"/>
      <c r="H2605" s="736"/>
      <c r="I2605" s="736"/>
      <c r="J2605" s="736">
        <f t="shared" si="801"/>
        <v>0</v>
      </c>
      <c r="K2605" s="736"/>
      <c r="L2605" s="736"/>
      <c r="M2605" s="736">
        <f t="shared" si="802"/>
        <v>0</v>
      </c>
      <c r="N2605" s="736"/>
      <c r="O2605" s="736"/>
      <c r="P2605" s="738">
        <f t="shared" si="804"/>
        <v>0</v>
      </c>
      <c r="Q2605" s="738"/>
      <c r="R2605" s="738"/>
      <c r="S2605" s="738"/>
      <c r="T2605" s="739"/>
      <c r="U2605" s="745"/>
      <c r="V2605" s="739"/>
    </row>
    <row r="2606" spans="1:22" ht="15" x14ac:dyDescent="0.2">
      <c r="A2606" s="739">
        <v>5491</v>
      </c>
      <c r="B2606" s="822" t="s">
        <v>1735</v>
      </c>
      <c r="C2606" s="736"/>
      <c r="D2606" s="736"/>
      <c r="E2606" s="736"/>
      <c r="F2606" s="736"/>
      <c r="G2606" s="736"/>
      <c r="H2606" s="736"/>
      <c r="I2606" s="736"/>
      <c r="J2606" s="736"/>
      <c r="K2606" s="736"/>
      <c r="L2606" s="736"/>
      <c r="M2606" s="736"/>
      <c r="N2606" s="736"/>
      <c r="O2606" s="736"/>
      <c r="P2606" s="738"/>
      <c r="Q2606" s="738"/>
      <c r="R2606" s="738"/>
      <c r="S2606" s="738">
        <v>52980</v>
      </c>
      <c r="T2606" s="739"/>
      <c r="U2606" s="922"/>
      <c r="V2606" s="739"/>
    </row>
    <row r="2607" spans="1:22" ht="15" x14ac:dyDescent="0.2">
      <c r="A2607" s="739">
        <v>5611</v>
      </c>
      <c r="B2607" s="743" t="s">
        <v>311</v>
      </c>
      <c r="C2607" s="736">
        <v>1276531</v>
      </c>
      <c r="D2607" s="736">
        <v>189542.28</v>
      </c>
      <c r="E2607" s="749">
        <v>180990</v>
      </c>
      <c r="F2607" s="736">
        <v>180990</v>
      </c>
      <c r="G2607" s="736"/>
      <c r="H2607" s="736"/>
      <c r="I2607" s="736"/>
      <c r="J2607" s="736">
        <f t="shared" ref="J2607:J2610" si="805">G2607+H2607-I2607</f>
        <v>0</v>
      </c>
      <c r="K2607" s="736"/>
      <c r="L2607" s="736"/>
      <c r="M2607" s="736">
        <f t="shared" ref="M2607:M2610" si="806">J2607+K2607-L2607</f>
        <v>0</v>
      </c>
      <c r="N2607" s="736"/>
      <c r="O2607" s="736"/>
      <c r="P2607" s="738">
        <f t="shared" ref="P2607:P2610" si="807">M2607+N2607-O2607</f>
        <v>0</v>
      </c>
      <c r="Q2607" s="738"/>
      <c r="R2607" s="738"/>
      <c r="S2607" s="738">
        <v>4785843.08</v>
      </c>
      <c r="T2607" s="739">
        <v>1100121</v>
      </c>
      <c r="U2607" s="922"/>
      <c r="V2607" s="739">
        <v>1100122</v>
      </c>
    </row>
    <row r="2608" spans="1:22" ht="15" x14ac:dyDescent="0.2">
      <c r="A2608" s="739">
        <v>5631</v>
      </c>
      <c r="B2608" s="743" t="s">
        <v>1801</v>
      </c>
      <c r="C2608" s="736"/>
      <c r="D2608" s="736">
        <v>0</v>
      </c>
      <c r="E2608" s="749">
        <v>842670</v>
      </c>
      <c r="F2608" s="736">
        <v>835000</v>
      </c>
      <c r="G2608" s="736"/>
      <c r="H2608" s="736"/>
      <c r="I2608" s="736"/>
      <c r="J2608" s="736">
        <f t="shared" si="805"/>
        <v>0</v>
      </c>
      <c r="K2608" s="736"/>
      <c r="L2608" s="736"/>
      <c r="M2608" s="736">
        <f t="shared" si="806"/>
        <v>0</v>
      </c>
      <c r="N2608" s="736"/>
      <c r="O2608" s="736"/>
      <c r="P2608" s="738">
        <f t="shared" si="807"/>
        <v>0</v>
      </c>
      <c r="Q2608" s="738"/>
      <c r="R2608" s="738"/>
      <c r="S2608" s="738"/>
      <c r="T2608" s="739">
        <v>1100119</v>
      </c>
      <c r="U2608" s="745"/>
      <c r="V2608" s="739">
        <v>1100119</v>
      </c>
    </row>
    <row r="2609" spans="1:22" ht="15" x14ac:dyDescent="0.2">
      <c r="A2609" s="739">
        <v>5631</v>
      </c>
      <c r="B2609" s="743" t="s">
        <v>1801</v>
      </c>
      <c r="C2609" s="736"/>
      <c r="D2609" s="736"/>
      <c r="E2609" s="749"/>
      <c r="F2609" s="736"/>
      <c r="G2609" s="736"/>
      <c r="H2609" s="736">
        <v>900000</v>
      </c>
      <c r="I2609" s="736"/>
      <c r="J2609" s="736">
        <f t="shared" si="805"/>
        <v>900000</v>
      </c>
      <c r="K2609" s="736"/>
      <c r="L2609" s="736"/>
      <c r="M2609" s="736">
        <f t="shared" si="806"/>
        <v>900000</v>
      </c>
      <c r="N2609" s="736"/>
      <c r="O2609" s="736"/>
      <c r="P2609" s="736">
        <f t="shared" si="807"/>
        <v>900000</v>
      </c>
      <c r="Q2609" s="738">
        <v>900000</v>
      </c>
      <c r="R2609" s="738">
        <v>898000</v>
      </c>
      <c r="S2609" s="738"/>
      <c r="T2609" s="739">
        <v>1100120</v>
      </c>
      <c r="U2609" s="745"/>
      <c r="V2609" s="739">
        <v>1100120</v>
      </c>
    </row>
    <row r="2610" spans="1:22" ht="15" x14ac:dyDescent="0.2">
      <c r="A2610" s="739">
        <v>5631</v>
      </c>
      <c r="B2610" s="743" t="s">
        <v>1801</v>
      </c>
      <c r="C2610" s="736"/>
      <c r="D2610" s="736">
        <v>842678.28</v>
      </c>
      <c r="E2610" s="736"/>
      <c r="F2610" s="736">
        <v>0</v>
      </c>
      <c r="G2610" s="736"/>
      <c r="H2610" s="736"/>
      <c r="I2610" s="736"/>
      <c r="J2610" s="736">
        <f t="shared" si="805"/>
        <v>0</v>
      </c>
      <c r="K2610" s="736"/>
      <c r="L2610" s="736"/>
      <c r="M2610" s="736">
        <f t="shared" si="806"/>
        <v>0</v>
      </c>
      <c r="N2610" s="736"/>
      <c r="O2610" s="736"/>
      <c r="P2610" s="738">
        <f t="shared" si="807"/>
        <v>0</v>
      </c>
      <c r="Q2610" s="738"/>
      <c r="R2610" s="738"/>
      <c r="S2610" s="747">
        <v>1500000</v>
      </c>
      <c r="T2610" s="739">
        <v>1500521</v>
      </c>
      <c r="U2610" s="922"/>
      <c r="V2610" s="739">
        <v>1500522</v>
      </c>
    </row>
    <row r="2611" spans="1:22" ht="15" x14ac:dyDescent="0.2">
      <c r="A2611" s="739">
        <v>5641</v>
      </c>
      <c r="B2611" s="743" t="s">
        <v>1774</v>
      </c>
      <c r="C2611" s="736"/>
      <c r="D2611" s="736"/>
      <c r="E2611" s="736"/>
      <c r="F2611" s="736"/>
      <c r="G2611" s="736"/>
      <c r="H2611" s="736"/>
      <c r="I2611" s="736"/>
      <c r="J2611" s="736"/>
      <c r="K2611" s="736"/>
      <c r="L2611" s="736"/>
      <c r="M2611" s="736"/>
      <c r="N2611" s="736"/>
      <c r="O2611" s="736"/>
      <c r="P2611" s="738"/>
      <c r="Q2611" s="738"/>
      <c r="R2611" s="738"/>
      <c r="S2611" s="738">
        <v>54950</v>
      </c>
      <c r="T2611" s="739"/>
      <c r="U2611" s="744">
        <v>0</v>
      </c>
      <c r="V2611" s="739"/>
    </row>
    <row r="2612" spans="1:22" ht="15" x14ac:dyDescent="0.2">
      <c r="A2612" s="739">
        <v>5691</v>
      </c>
      <c r="B2612" s="743" t="s">
        <v>112</v>
      </c>
      <c r="C2612" s="736">
        <v>498995.47</v>
      </c>
      <c r="D2612" s="736">
        <v>0</v>
      </c>
      <c r="E2612" s="736"/>
      <c r="F2612" s="736">
        <v>0</v>
      </c>
      <c r="G2612" s="736"/>
      <c r="H2612" s="736"/>
      <c r="I2612" s="736"/>
      <c r="J2612" s="736">
        <f t="shared" ref="J2612:J2613" si="808">G2612+H2612-I2612</f>
        <v>0</v>
      </c>
      <c r="K2612" s="736"/>
      <c r="L2612" s="736"/>
      <c r="M2612" s="736">
        <f t="shared" ref="M2612:M2613" si="809">J2612+K2612-L2612</f>
        <v>0</v>
      </c>
      <c r="N2612" s="736"/>
      <c r="O2612" s="736"/>
      <c r="P2612" s="738">
        <f t="shared" ref="P2612:P2613" si="810">M2612+N2612-O2612</f>
        <v>0</v>
      </c>
      <c r="Q2612" s="738"/>
      <c r="R2612" s="738"/>
      <c r="S2612" s="738"/>
      <c r="T2612" s="739">
        <v>1100119</v>
      </c>
      <c r="U2612" s="745"/>
      <c r="V2612" s="739">
        <v>1100119</v>
      </c>
    </row>
    <row r="2613" spans="1:22" ht="15" x14ac:dyDescent="0.2">
      <c r="A2613" s="734">
        <v>5691</v>
      </c>
      <c r="B2613" s="735" t="s">
        <v>112</v>
      </c>
      <c r="C2613" s="736"/>
      <c r="D2613" s="736">
        <v>247728</v>
      </c>
      <c r="E2613" s="749">
        <v>245874.16</v>
      </c>
      <c r="F2613" s="736">
        <v>245874.16</v>
      </c>
      <c r="G2613" s="736"/>
      <c r="H2613" s="736"/>
      <c r="I2613" s="736"/>
      <c r="J2613" s="736">
        <f t="shared" si="808"/>
        <v>0</v>
      </c>
      <c r="K2613" s="738">
        <v>7186.2</v>
      </c>
      <c r="L2613" s="736"/>
      <c r="M2613" s="736">
        <f t="shared" si="809"/>
        <v>7186.2</v>
      </c>
      <c r="N2613" s="736">
        <v>28500</v>
      </c>
      <c r="O2613" s="736"/>
      <c r="P2613" s="736">
        <f t="shared" si="810"/>
        <v>35686.199999999997</v>
      </c>
      <c r="Q2613" s="738"/>
      <c r="R2613" s="738">
        <v>42086.25</v>
      </c>
      <c r="S2613" s="738">
        <v>738233.18</v>
      </c>
      <c r="T2613" s="739">
        <v>1100121</v>
      </c>
      <c r="U2613" s="746">
        <v>100000</v>
      </c>
      <c r="V2613" s="741">
        <v>1100122</v>
      </c>
    </row>
    <row r="2614" spans="1:22" ht="15" x14ac:dyDescent="0.2">
      <c r="A2614" s="728" t="s">
        <v>312</v>
      </c>
      <c r="B2614" s="729" t="s">
        <v>1584</v>
      </c>
      <c r="C2614" s="730">
        <f t="shared" ref="C2614:S2614" si="811">SUM(C2615:C2646)</f>
        <v>9472608.5599999968</v>
      </c>
      <c r="D2614" s="730">
        <f t="shared" si="811"/>
        <v>10493071.699999999</v>
      </c>
      <c r="E2614" s="730">
        <f t="shared" si="811"/>
        <v>11547632</v>
      </c>
      <c r="F2614" s="730">
        <f t="shared" si="811"/>
        <v>11240666.700000001</v>
      </c>
      <c r="G2614" s="730">
        <f t="shared" si="811"/>
        <v>10426709.100000001</v>
      </c>
      <c r="H2614" s="730">
        <f t="shared" si="811"/>
        <v>0</v>
      </c>
      <c r="I2614" s="730">
        <f t="shared" si="811"/>
        <v>0</v>
      </c>
      <c r="J2614" s="730">
        <f t="shared" si="811"/>
        <v>10426709.100000001</v>
      </c>
      <c r="K2614" s="730">
        <f t="shared" si="811"/>
        <v>1088250.3399999999</v>
      </c>
      <c r="L2614" s="730">
        <f t="shared" si="811"/>
        <v>90000.09</v>
      </c>
      <c r="M2614" s="730">
        <f t="shared" si="811"/>
        <v>11424959.35</v>
      </c>
      <c r="N2614" s="730">
        <f t="shared" si="811"/>
        <v>40000</v>
      </c>
      <c r="O2614" s="730">
        <f t="shared" si="811"/>
        <v>20000</v>
      </c>
      <c r="P2614" s="730">
        <f t="shared" si="811"/>
        <v>11444959.35</v>
      </c>
      <c r="Q2614" s="748">
        <f t="shared" si="811"/>
        <v>11390884.930000002</v>
      </c>
      <c r="R2614" s="748">
        <f>SUM(R2615:R2646)</f>
        <v>7526436.0399999982</v>
      </c>
      <c r="S2614" s="748">
        <f t="shared" si="811"/>
        <v>10921943.450000001</v>
      </c>
      <c r="T2614" s="731"/>
      <c r="U2614" s="732">
        <f>SUM(U2615:U2646)</f>
        <v>11567214.649999999</v>
      </c>
      <c r="V2614" s="733"/>
    </row>
    <row r="2615" spans="1:22" ht="15" x14ac:dyDescent="0.25">
      <c r="A2615" s="734">
        <v>1131</v>
      </c>
      <c r="B2615" s="735" t="s">
        <v>6</v>
      </c>
      <c r="C2615" s="736">
        <v>949678.15</v>
      </c>
      <c r="D2615" s="736">
        <v>1054518.92</v>
      </c>
      <c r="E2615" s="749">
        <v>1059629.92</v>
      </c>
      <c r="F2615" s="736">
        <v>1197391.97</v>
      </c>
      <c r="G2615" s="736">
        <v>1082001.5</v>
      </c>
      <c r="H2615" s="736"/>
      <c r="I2615" s="736"/>
      <c r="J2615" s="736">
        <f t="shared" ref="J2615:J2646" si="812">G2615+H2615-I2615</f>
        <v>1082001.5</v>
      </c>
      <c r="K2615" s="737">
        <v>4857.45</v>
      </c>
      <c r="L2615" s="736"/>
      <c r="M2615" s="736">
        <f t="shared" ref="M2615:M2646" si="813">J2615+K2615-L2615</f>
        <v>1086858.95</v>
      </c>
      <c r="N2615" s="736"/>
      <c r="O2615" s="736"/>
      <c r="P2615" s="736">
        <f t="shared" ref="P2615:P2646" si="814">M2615+N2615-O2615</f>
        <v>1086858.95</v>
      </c>
      <c r="Q2615" s="738">
        <v>1086858.95</v>
      </c>
      <c r="R2615" s="738">
        <v>780327.91</v>
      </c>
      <c r="S2615" s="751">
        <v>1217769.28</v>
      </c>
      <c r="T2615" s="739">
        <v>1500521</v>
      </c>
      <c r="U2615" s="779">
        <v>1124336.99</v>
      </c>
      <c r="V2615" s="741">
        <v>1500522</v>
      </c>
    </row>
    <row r="2616" spans="1:22" ht="15" x14ac:dyDescent="0.25">
      <c r="A2616" s="734">
        <v>1132</v>
      </c>
      <c r="B2616" s="735" t="s">
        <v>8</v>
      </c>
      <c r="C2616" s="736">
        <v>2242859.25</v>
      </c>
      <c r="D2616" s="736">
        <v>1116893.96</v>
      </c>
      <c r="E2616" s="749">
        <v>2007593.66</v>
      </c>
      <c r="F2616" s="736">
        <v>2139454.2400000002</v>
      </c>
      <c r="G2616" s="736">
        <v>2141353.8000000003</v>
      </c>
      <c r="H2616" s="736"/>
      <c r="I2616" s="736"/>
      <c r="J2616" s="736">
        <f t="shared" si="812"/>
        <v>2141353.8000000003</v>
      </c>
      <c r="K2616" s="737">
        <v>588085.89</v>
      </c>
      <c r="L2616" s="736"/>
      <c r="M2616" s="736">
        <f t="shared" si="813"/>
        <v>2729439.6900000004</v>
      </c>
      <c r="N2616" s="736"/>
      <c r="O2616" s="736"/>
      <c r="P2616" s="736">
        <f t="shared" si="814"/>
        <v>2729439.6900000004</v>
      </c>
      <c r="Q2616" s="738">
        <v>2674309.8199999998</v>
      </c>
      <c r="R2616" s="738">
        <v>1539001.91</v>
      </c>
      <c r="S2616" s="751">
        <v>2496122.7200000002</v>
      </c>
      <c r="T2616" s="739">
        <v>1500521</v>
      </c>
      <c r="U2616" s="779">
        <v>2205316.1800000002</v>
      </c>
      <c r="V2616" s="741">
        <v>1500522</v>
      </c>
    </row>
    <row r="2617" spans="1:22" ht="15" x14ac:dyDescent="0.25">
      <c r="A2617" s="734">
        <v>1321</v>
      </c>
      <c r="B2617" s="735" t="s">
        <v>9</v>
      </c>
      <c r="C2617" s="736">
        <v>233244.47</v>
      </c>
      <c r="D2617" s="736">
        <v>226726.74</v>
      </c>
      <c r="E2617" s="749">
        <v>224037.74</v>
      </c>
      <c r="F2617" s="736">
        <v>218999.46</v>
      </c>
      <c r="G2617" s="736">
        <v>238554.2</v>
      </c>
      <c r="H2617" s="736"/>
      <c r="I2617" s="736"/>
      <c r="J2617" s="736">
        <f t="shared" si="812"/>
        <v>238554.2</v>
      </c>
      <c r="K2617" s="737">
        <v>36287.01</v>
      </c>
      <c r="L2617" s="736"/>
      <c r="M2617" s="736">
        <f t="shared" si="813"/>
        <v>274841.21000000002</v>
      </c>
      <c r="N2617" s="736"/>
      <c r="O2617" s="736"/>
      <c r="P2617" s="736">
        <f t="shared" si="814"/>
        <v>274841.21000000002</v>
      </c>
      <c r="Q2617" s="738">
        <v>274841.21000000002</v>
      </c>
      <c r="R2617" s="738">
        <v>117451.47</v>
      </c>
      <c r="S2617" s="751">
        <v>278960.15999999997</v>
      </c>
      <c r="T2617" s="739">
        <v>1500521</v>
      </c>
      <c r="U2617" s="779">
        <v>237796.79</v>
      </c>
      <c r="V2617" s="741">
        <v>1500522</v>
      </c>
    </row>
    <row r="2618" spans="1:22" ht="15" x14ac:dyDescent="0.25">
      <c r="A2618" s="734">
        <v>1322</v>
      </c>
      <c r="B2618" s="735" t="s">
        <v>182</v>
      </c>
      <c r="C2618" s="736">
        <v>12271.19</v>
      </c>
      <c r="D2618" s="736">
        <v>15600</v>
      </c>
      <c r="E2618" s="749">
        <v>14736.01</v>
      </c>
      <c r="F2618" s="736">
        <v>12748.39</v>
      </c>
      <c r="G2618" s="736">
        <v>14736.1</v>
      </c>
      <c r="H2618" s="736"/>
      <c r="I2618" s="736"/>
      <c r="J2618" s="736">
        <f t="shared" si="812"/>
        <v>14736.1</v>
      </c>
      <c r="K2618" s="736"/>
      <c r="L2618" s="736">
        <v>0.09</v>
      </c>
      <c r="M2618" s="736">
        <f t="shared" si="813"/>
        <v>14736.01</v>
      </c>
      <c r="N2618" s="736"/>
      <c r="O2618" s="736"/>
      <c r="P2618" s="736">
        <f t="shared" si="814"/>
        <v>14736.01</v>
      </c>
      <c r="Q2618" s="738">
        <v>19736.009999999998</v>
      </c>
      <c r="R2618" s="738">
        <v>14649.67</v>
      </c>
      <c r="S2618" s="751">
        <v>19736.009999999998</v>
      </c>
      <c r="T2618" s="739">
        <v>1500521</v>
      </c>
      <c r="U2618" s="779">
        <v>19736.009999999998</v>
      </c>
      <c r="V2618" s="741">
        <v>1500522</v>
      </c>
    </row>
    <row r="2619" spans="1:22" ht="15" x14ac:dyDescent="0.25">
      <c r="A2619" s="734">
        <v>1323</v>
      </c>
      <c r="B2619" s="735" t="s">
        <v>11</v>
      </c>
      <c r="C2619" s="736">
        <v>583921</v>
      </c>
      <c r="D2619" s="736">
        <v>619697</v>
      </c>
      <c r="E2619" s="749">
        <v>773024</v>
      </c>
      <c r="F2619" s="736">
        <v>599883.64</v>
      </c>
      <c r="G2619" s="736">
        <v>615771.1</v>
      </c>
      <c r="H2619" s="736"/>
      <c r="I2619" s="736"/>
      <c r="J2619" s="736">
        <f t="shared" si="812"/>
        <v>615771.1</v>
      </c>
      <c r="K2619" s="737">
        <v>90572.38</v>
      </c>
      <c r="L2619" s="736"/>
      <c r="M2619" s="736">
        <f t="shared" si="813"/>
        <v>706343.48</v>
      </c>
      <c r="N2619" s="736"/>
      <c r="O2619" s="736"/>
      <c r="P2619" s="736">
        <f t="shared" si="814"/>
        <v>706343.48</v>
      </c>
      <c r="Q2619" s="738">
        <v>660317.03</v>
      </c>
      <c r="R2619" s="738">
        <v>429296.38</v>
      </c>
      <c r="S2619" s="751">
        <v>729211</v>
      </c>
      <c r="T2619" s="739">
        <v>1500521</v>
      </c>
      <c r="U2619" s="779">
        <v>577385.14</v>
      </c>
      <c r="V2619" s="741">
        <v>1500522</v>
      </c>
    </row>
    <row r="2620" spans="1:22" ht="15" x14ac:dyDescent="0.25">
      <c r="A2620" s="734">
        <v>1413</v>
      </c>
      <c r="B2620" s="735" t="s">
        <v>13</v>
      </c>
      <c r="C2620" s="736">
        <v>809556.96</v>
      </c>
      <c r="D2620" s="736">
        <v>967079.84</v>
      </c>
      <c r="E2620" s="749">
        <v>967079.84</v>
      </c>
      <c r="F2620" s="736">
        <v>839852.38</v>
      </c>
      <c r="G2620" s="736">
        <v>1011610.4</v>
      </c>
      <c r="H2620" s="736"/>
      <c r="I2620" s="736"/>
      <c r="J2620" s="736">
        <f t="shared" si="812"/>
        <v>1011610.4</v>
      </c>
      <c r="K2620" s="737">
        <v>124023.81</v>
      </c>
      <c r="L2620" s="736"/>
      <c r="M2620" s="736">
        <f t="shared" si="813"/>
        <v>1135634.21</v>
      </c>
      <c r="N2620" s="736"/>
      <c r="O2620" s="736"/>
      <c r="P2620" s="736">
        <f t="shared" si="814"/>
        <v>1135634.21</v>
      </c>
      <c r="Q2620" s="738">
        <v>1071254.24</v>
      </c>
      <c r="R2620" s="738">
        <v>711798.32</v>
      </c>
      <c r="S2620" s="751">
        <v>1281857.3999999999</v>
      </c>
      <c r="T2620" s="739">
        <v>1500521</v>
      </c>
      <c r="U2620" s="779">
        <v>955309.5</v>
      </c>
      <c r="V2620" s="741">
        <v>1500522</v>
      </c>
    </row>
    <row r="2621" spans="1:22" ht="15" x14ac:dyDescent="0.25">
      <c r="A2621" s="734">
        <v>1421</v>
      </c>
      <c r="B2621" s="735" t="s">
        <v>15</v>
      </c>
      <c r="C2621" s="736">
        <v>242314.15</v>
      </c>
      <c r="D2621" s="736">
        <v>267790.24</v>
      </c>
      <c r="E2621" s="749">
        <v>267790.24</v>
      </c>
      <c r="F2621" s="736">
        <v>229063.83</v>
      </c>
      <c r="G2621" s="736">
        <v>271168</v>
      </c>
      <c r="H2621" s="736"/>
      <c r="I2621" s="736"/>
      <c r="J2621" s="736">
        <f t="shared" si="812"/>
        <v>271168</v>
      </c>
      <c r="K2621" s="737">
        <v>41173.480000000003</v>
      </c>
      <c r="L2621" s="736"/>
      <c r="M2621" s="736">
        <f t="shared" si="813"/>
        <v>312341.48</v>
      </c>
      <c r="N2621" s="736"/>
      <c r="O2621" s="736"/>
      <c r="P2621" s="736">
        <f t="shared" si="814"/>
        <v>312341.48</v>
      </c>
      <c r="Q2621" s="738">
        <v>312341.48</v>
      </c>
      <c r="R2621" s="738">
        <v>161436.29</v>
      </c>
      <c r="S2621" s="751">
        <v>323826</v>
      </c>
      <c r="T2621" s="739">
        <v>1500521</v>
      </c>
      <c r="U2621" s="779">
        <v>314309.38</v>
      </c>
      <c r="V2621" s="741">
        <v>1500522</v>
      </c>
    </row>
    <row r="2622" spans="1:22" ht="15" x14ac:dyDescent="0.25">
      <c r="A2622" s="734">
        <v>1431</v>
      </c>
      <c r="B2622" s="735" t="s">
        <v>16</v>
      </c>
      <c r="C2622" s="736">
        <v>270221.05</v>
      </c>
      <c r="D2622" s="736">
        <v>275824.03999999998</v>
      </c>
      <c r="E2622" s="749">
        <v>275824.03999999998</v>
      </c>
      <c r="F2622" s="736">
        <v>241796.1</v>
      </c>
      <c r="G2622" s="736">
        <v>279303.19999999995</v>
      </c>
      <c r="H2622" s="736"/>
      <c r="I2622" s="736"/>
      <c r="J2622" s="736">
        <f t="shared" si="812"/>
        <v>279303.19999999995</v>
      </c>
      <c r="K2622" s="737">
        <v>42344.51</v>
      </c>
      <c r="L2622" s="736"/>
      <c r="M2622" s="736">
        <f t="shared" si="813"/>
        <v>321647.70999999996</v>
      </c>
      <c r="N2622" s="736"/>
      <c r="O2622" s="736"/>
      <c r="P2622" s="736">
        <f t="shared" si="814"/>
        <v>321647.70999999996</v>
      </c>
      <c r="Q2622" s="738">
        <v>321647.71000000002</v>
      </c>
      <c r="R2622" s="738">
        <v>166081.88</v>
      </c>
      <c r="S2622" s="751">
        <v>333541.56</v>
      </c>
      <c r="T2622" s="739">
        <v>1500521</v>
      </c>
      <c r="U2622" s="779">
        <v>323977.84000000003</v>
      </c>
      <c r="V2622" s="741">
        <v>1500522</v>
      </c>
    </row>
    <row r="2623" spans="1:22" ht="15" x14ac:dyDescent="0.25">
      <c r="A2623" s="734">
        <v>1511</v>
      </c>
      <c r="B2623" s="735" t="s">
        <v>18</v>
      </c>
      <c r="C2623" s="736">
        <v>51765.85</v>
      </c>
      <c r="D2623" s="736">
        <v>56703.92</v>
      </c>
      <c r="E2623" s="749">
        <v>56703.92</v>
      </c>
      <c r="F2623" s="736">
        <v>54338.38</v>
      </c>
      <c r="G2623" s="736">
        <v>52467</v>
      </c>
      <c r="H2623" s="736"/>
      <c r="I2623" s="736"/>
      <c r="J2623" s="736">
        <f t="shared" si="812"/>
        <v>52467</v>
      </c>
      <c r="K2623" s="737">
        <v>1441.99</v>
      </c>
      <c r="L2623" s="736"/>
      <c r="M2623" s="736">
        <f t="shared" si="813"/>
        <v>53908.99</v>
      </c>
      <c r="N2623" s="736"/>
      <c r="O2623" s="736"/>
      <c r="P2623" s="736">
        <f t="shared" si="814"/>
        <v>53908.99</v>
      </c>
      <c r="Q2623" s="738">
        <v>53908.99</v>
      </c>
      <c r="R2623" s="738">
        <v>37730.29</v>
      </c>
      <c r="S2623" s="751">
        <v>64147.72</v>
      </c>
      <c r="T2623" s="739">
        <v>1500521</v>
      </c>
      <c r="U2623" s="779">
        <v>54078.26</v>
      </c>
      <c r="V2623" s="741">
        <v>1500522</v>
      </c>
    </row>
    <row r="2624" spans="1:22" ht="15" x14ac:dyDescent="0.25">
      <c r="A2624" s="734">
        <v>1541</v>
      </c>
      <c r="B2624" s="735" t="s">
        <v>19</v>
      </c>
      <c r="C2624" s="736">
        <v>539536.68000000005</v>
      </c>
      <c r="D2624" s="736">
        <v>638684.28</v>
      </c>
      <c r="E2624" s="749">
        <v>760637.23</v>
      </c>
      <c r="F2624" s="736">
        <v>617226.64</v>
      </c>
      <c r="G2624" s="736">
        <v>748518.79999999993</v>
      </c>
      <c r="H2624" s="736"/>
      <c r="I2624" s="736"/>
      <c r="J2624" s="736">
        <f t="shared" si="812"/>
        <v>748518.79999999993</v>
      </c>
      <c r="K2624" s="737">
        <v>28492.5</v>
      </c>
      <c r="L2624" s="736"/>
      <c r="M2624" s="736">
        <f t="shared" si="813"/>
        <v>777011.29999999993</v>
      </c>
      <c r="N2624" s="736"/>
      <c r="O2624" s="736"/>
      <c r="P2624" s="736">
        <f t="shared" si="814"/>
        <v>777011.29999999993</v>
      </c>
      <c r="Q2624" s="738">
        <v>777011.3</v>
      </c>
      <c r="R2624" s="738">
        <v>454414.01</v>
      </c>
      <c r="S2624" s="751">
        <v>740851.28</v>
      </c>
      <c r="T2624" s="739">
        <v>1500521</v>
      </c>
      <c r="U2624" s="779">
        <v>733516.12</v>
      </c>
      <c r="V2624" s="741">
        <v>1500522</v>
      </c>
    </row>
    <row r="2625" spans="1:22" ht="15" x14ac:dyDescent="0.25">
      <c r="A2625" s="734">
        <v>1592</v>
      </c>
      <c r="B2625" s="735" t="s">
        <v>20</v>
      </c>
      <c r="C2625" s="736">
        <v>1321098</v>
      </c>
      <c r="D2625" s="736">
        <v>1414172.76</v>
      </c>
      <c r="E2625" s="749">
        <v>1375840.41</v>
      </c>
      <c r="F2625" s="736">
        <v>1371285.55</v>
      </c>
      <c r="G2625" s="736">
        <v>1298985</v>
      </c>
      <c r="H2625" s="736"/>
      <c r="I2625" s="736"/>
      <c r="J2625" s="736">
        <f t="shared" si="812"/>
        <v>1298985</v>
      </c>
      <c r="K2625" s="737">
        <v>40971.32</v>
      </c>
      <c r="L2625" s="736"/>
      <c r="M2625" s="736">
        <f t="shared" si="813"/>
        <v>1339956.32</v>
      </c>
      <c r="N2625" s="736"/>
      <c r="O2625" s="736"/>
      <c r="P2625" s="736">
        <f t="shared" si="814"/>
        <v>1339956.32</v>
      </c>
      <c r="Q2625" s="738">
        <v>1432201.39</v>
      </c>
      <c r="R2625" s="738">
        <v>946931.73</v>
      </c>
      <c r="S2625" s="751">
        <v>1594764.08</v>
      </c>
      <c r="T2625" s="739">
        <v>1500521</v>
      </c>
      <c r="U2625" s="779">
        <v>1362931.44</v>
      </c>
      <c r="V2625" s="741">
        <v>1500522</v>
      </c>
    </row>
    <row r="2626" spans="1:22" ht="15" x14ac:dyDescent="0.2">
      <c r="A2626" s="734">
        <v>2111</v>
      </c>
      <c r="B2626" s="735" t="s">
        <v>22</v>
      </c>
      <c r="C2626" s="736">
        <v>1584.69</v>
      </c>
      <c r="D2626" s="736">
        <v>2000</v>
      </c>
      <c r="E2626" s="749">
        <v>1400</v>
      </c>
      <c r="F2626" s="736">
        <v>950.03</v>
      </c>
      <c r="G2626" s="749">
        <v>1500</v>
      </c>
      <c r="H2626" s="749"/>
      <c r="I2626" s="749"/>
      <c r="J2626" s="736">
        <f t="shared" si="812"/>
        <v>1500</v>
      </c>
      <c r="K2626" s="749"/>
      <c r="L2626" s="749"/>
      <c r="M2626" s="736">
        <f t="shared" si="813"/>
        <v>1500</v>
      </c>
      <c r="N2626" s="736"/>
      <c r="O2626" s="736"/>
      <c r="P2626" s="736">
        <f t="shared" si="814"/>
        <v>1500</v>
      </c>
      <c r="Q2626" s="783">
        <v>1500</v>
      </c>
      <c r="R2626" s="738">
        <v>836.02</v>
      </c>
      <c r="S2626" s="784">
        <v>7919.69</v>
      </c>
      <c r="T2626" s="739">
        <v>1100121</v>
      </c>
      <c r="U2626" s="740">
        <v>2500</v>
      </c>
      <c r="V2626" s="741">
        <v>1100122</v>
      </c>
    </row>
    <row r="2627" spans="1:22" ht="15" x14ac:dyDescent="0.2">
      <c r="A2627" s="734">
        <v>2121</v>
      </c>
      <c r="B2627" s="735" t="s">
        <v>24</v>
      </c>
      <c r="C2627" s="736">
        <v>6755</v>
      </c>
      <c r="D2627" s="736">
        <v>6000</v>
      </c>
      <c r="E2627" s="749">
        <v>4200</v>
      </c>
      <c r="F2627" s="736">
        <v>3803</v>
      </c>
      <c r="G2627" s="752">
        <v>4200</v>
      </c>
      <c r="H2627" s="752"/>
      <c r="I2627" s="752"/>
      <c r="J2627" s="736">
        <f t="shared" si="812"/>
        <v>4200</v>
      </c>
      <c r="K2627" s="752"/>
      <c r="L2627" s="752"/>
      <c r="M2627" s="736">
        <f t="shared" si="813"/>
        <v>4200</v>
      </c>
      <c r="N2627" s="736"/>
      <c r="O2627" s="736"/>
      <c r="P2627" s="736">
        <f t="shared" si="814"/>
        <v>4200</v>
      </c>
      <c r="Q2627" s="753">
        <v>3416.8</v>
      </c>
      <c r="R2627" s="738">
        <v>3103.28</v>
      </c>
      <c r="S2627" s="753">
        <v>7097.66</v>
      </c>
      <c r="T2627" s="739">
        <v>1100121</v>
      </c>
      <c r="U2627" s="740">
        <v>4500</v>
      </c>
      <c r="V2627" s="741">
        <v>1100122</v>
      </c>
    </row>
    <row r="2628" spans="1:22" ht="15" x14ac:dyDescent="0.2">
      <c r="A2628" s="734">
        <v>2161</v>
      </c>
      <c r="B2628" s="735" t="s">
        <v>59</v>
      </c>
      <c r="C2628" s="736">
        <v>40447.5</v>
      </c>
      <c r="D2628" s="736">
        <v>44000</v>
      </c>
      <c r="E2628" s="749">
        <v>52000</v>
      </c>
      <c r="F2628" s="736">
        <v>53362.79</v>
      </c>
      <c r="G2628" s="749">
        <v>68000</v>
      </c>
      <c r="H2628" s="749"/>
      <c r="I2628" s="749"/>
      <c r="J2628" s="736">
        <f t="shared" si="812"/>
        <v>68000</v>
      </c>
      <c r="K2628" s="749"/>
      <c r="L2628" s="749"/>
      <c r="M2628" s="736">
        <f t="shared" si="813"/>
        <v>68000</v>
      </c>
      <c r="N2628" s="736"/>
      <c r="O2628" s="736"/>
      <c r="P2628" s="736">
        <f t="shared" si="814"/>
        <v>68000</v>
      </c>
      <c r="Q2628" s="783">
        <v>68000</v>
      </c>
      <c r="R2628" s="738">
        <v>66863.350000000006</v>
      </c>
      <c r="S2628" s="784">
        <v>112519.48</v>
      </c>
      <c r="T2628" s="739">
        <v>1100121</v>
      </c>
      <c r="U2628" s="740">
        <v>90000</v>
      </c>
      <c r="V2628" s="741">
        <v>1100122</v>
      </c>
    </row>
    <row r="2629" spans="1:22" ht="15" x14ac:dyDescent="0.2">
      <c r="A2629" s="734">
        <v>2491</v>
      </c>
      <c r="B2629" s="735" t="s">
        <v>41</v>
      </c>
      <c r="C2629" s="736">
        <v>153414.82</v>
      </c>
      <c r="D2629" s="736">
        <v>140000</v>
      </c>
      <c r="E2629" s="749">
        <v>140000</v>
      </c>
      <c r="F2629" s="736">
        <v>144469.57999999999</v>
      </c>
      <c r="G2629" s="752">
        <v>140000</v>
      </c>
      <c r="H2629" s="752"/>
      <c r="I2629" s="752"/>
      <c r="J2629" s="736">
        <f t="shared" si="812"/>
        <v>140000</v>
      </c>
      <c r="K2629" s="752"/>
      <c r="L2629" s="752"/>
      <c r="M2629" s="736">
        <f t="shared" si="813"/>
        <v>140000</v>
      </c>
      <c r="N2629" s="736">
        <v>20000</v>
      </c>
      <c r="O2629" s="736"/>
      <c r="P2629" s="736">
        <f t="shared" si="814"/>
        <v>160000</v>
      </c>
      <c r="Q2629" s="753">
        <v>210000</v>
      </c>
      <c r="R2629" s="738">
        <v>202756.89</v>
      </c>
      <c r="S2629" s="753">
        <v>257601.96</v>
      </c>
      <c r="T2629" s="739">
        <v>1100121</v>
      </c>
      <c r="U2629" s="740">
        <v>200000</v>
      </c>
      <c r="V2629" s="741">
        <v>1100122</v>
      </c>
    </row>
    <row r="2630" spans="1:22" ht="30" x14ac:dyDescent="0.2">
      <c r="A2630" s="734">
        <v>2612</v>
      </c>
      <c r="B2630" s="735" t="s">
        <v>26</v>
      </c>
      <c r="C2630" s="736">
        <v>188946.1</v>
      </c>
      <c r="D2630" s="736">
        <v>120000</v>
      </c>
      <c r="E2630" s="749">
        <v>160000</v>
      </c>
      <c r="F2630" s="736">
        <v>171051.21</v>
      </c>
      <c r="G2630" s="752">
        <v>140000</v>
      </c>
      <c r="H2630" s="752"/>
      <c r="I2630" s="752"/>
      <c r="J2630" s="736">
        <f t="shared" si="812"/>
        <v>140000</v>
      </c>
      <c r="K2630" s="752"/>
      <c r="L2630" s="752"/>
      <c r="M2630" s="736">
        <f t="shared" si="813"/>
        <v>140000</v>
      </c>
      <c r="N2630" s="736">
        <v>20000</v>
      </c>
      <c r="O2630" s="736"/>
      <c r="P2630" s="736">
        <f t="shared" si="814"/>
        <v>160000</v>
      </c>
      <c r="Q2630" s="753">
        <v>175000</v>
      </c>
      <c r="R2630" s="738">
        <v>125063.85</v>
      </c>
      <c r="S2630" s="738">
        <f>Q2630</f>
        <v>175000</v>
      </c>
      <c r="T2630" s="739">
        <v>1100121</v>
      </c>
      <c r="U2630" s="746">
        <v>180000</v>
      </c>
      <c r="V2630" s="741">
        <v>1100122</v>
      </c>
    </row>
    <row r="2631" spans="1:22" ht="15" x14ac:dyDescent="0.2">
      <c r="A2631" s="739">
        <v>2711</v>
      </c>
      <c r="B2631" s="743" t="s">
        <v>27</v>
      </c>
      <c r="C2631" s="736">
        <v>72000</v>
      </c>
      <c r="D2631" s="736">
        <v>72000</v>
      </c>
      <c r="E2631" s="749">
        <v>72000</v>
      </c>
      <c r="F2631" s="736">
        <v>72000</v>
      </c>
      <c r="G2631" s="736"/>
      <c r="H2631" s="736"/>
      <c r="I2631" s="736"/>
      <c r="J2631" s="736">
        <f t="shared" si="812"/>
        <v>0</v>
      </c>
      <c r="K2631" s="736"/>
      <c r="L2631" s="736"/>
      <c r="M2631" s="736">
        <f t="shared" si="813"/>
        <v>0</v>
      </c>
      <c r="N2631" s="736"/>
      <c r="O2631" s="736"/>
      <c r="P2631" s="738">
        <f t="shared" si="814"/>
        <v>0</v>
      </c>
      <c r="Q2631" s="738"/>
      <c r="R2631" s="738"/>
      <c r="S2631" s="738"/>
      <c r="T2631" s="739">
        <v>1100121</v>
      </c>
      <c r="U2631" s="744"/>
      <c r="V2631" s="739">
        <v>1100122</v>
      </c>
    </row>
    <row r="2632" spans="1:22" ht="15" x14ac:dyDescent="0.2">
      <c r="A2632" s="734">
        <v>3111</v>
      </c>
      <c r="B2632" s="735" t="s">
        <v>47</v>
      </c>
      <c r="C2632" s="736">
        <v>457216</v>
      </c>
      <c r="D2632" s="736">
        <v>495000</v>
      </c>
      <c r="E2632" s="749">
        <v>475000</v>
      </c>
      <c r="F2632" s="736">
        <v>414016</v>
      </c>
      <c r="G2632" s="752">
        <v>480000</v>
      </c>
      <c r="H2632" s="752"/>
      <c r="I2632" s="752"/>
      <c r="J2632" s="736">
        <f t="shared" si="812"/>
        <v>480000</v>
      </c>
      <c r="K2632" s="752"/>
      <c r="L2632" s="752"/>
      <c r="M2632" s="736">
        <f t="shared" si="813"/>
        <v>480000</v>
      </c>
      <c r="N2632" s="736"/>
      <c r="O2632" s="736"/>
      <c r="P2632" s="736">
        <f t="shared" si="814"/>
        <v>480000</v>
      </c>
      <c r="Q2632" s="753">
        <v>450000</v>
      </c>
      <c r="R2632" s="738">
        <v>319265</v>
      </c>
      <c r="S2632" s="753"/>
      <c r="T2632" s="739">
        <v>1100121</v>
      </c>
      <c r="U2632" s="746">
        <v>480000</v>
      </c>
      <c r="V2632" s="741">
        <v>1100122</v>
      </c>
    </row>
    <row r="2633" spans="1:22" ht="15" x14ac:dyDescent="0.2">
      <c r="A2633" s="734">
        <v>3121</v>
      </c>
      <c r="B2633" s="735" t="s">
        <v>131</v>
      </c>
      <c r="C2633" s="736">
        <v>102211.13</v>
      </c>
      <c r="D2633" s="736">
        <v>100800</v>
      </c>
      <c r="E2633" s="749">
        <v>100800</v>
      </c>
      <c r="F2633" s="736">
        <v>105412.99</v>
      </c>
      <c r="G2633" s="752">
        <v>100800</v>
      </c>
      <c r="H2633" s="752"/>
      <c r="I2633" s="752"/>
      <c r="J2633" s="736">
        <f t="shared" si="812"/>
        <v>100800</v>
      </c>
      <c r="K2633" s="752"/>
      <c r="L2633" s="752"/>
      <c r="M2633" s="736">
        <f t="shared" si="813"/>
        <v>100800</v>
      </c>
      <c r="N2633" s="736"/>
      <c r="O2633" s="736"/>
      <c r="P2633" s="736">
        <f t="shared" si="814"/>
        <v>100800</v>
      </c>
      <c r="Q2633" s="753">
        <v>130800</v>
      </c>
      <c r="R2633" s="738">
        <v>103032</v>
      </c>
      <c r="S2633" s="753">
        <v>171600</v>
      </c>
      <c r="T2633" s="739">
        <v>1100121</v>
      </c>
      <c r="U2633" s="746">
        <v>150000</v>
      </c>
      <c r="V2633" s="741">
        <v>1100122</v>
      </c>
    </row>
    <row r="2634" spans="1:22" ht="15" x14ac:dyDescent="0.2">
      <c r="A2634" s="734">
        <v>3131</v>
      </c>
      <c r="B2634" s="735" t="s">
        <v>61</v>
      </c>
      <c r="C2634" s="736">
        <v>884373.99</v>
      </c>
      <c r="D2634" s="736">
        <v>1100000</v>
      </c>
      <c r="E2634" s="749">
        <v>1100000</v>
      </c>
      <c r="F2634" s="736">
        <v>1100000</v>
      </c>
      <c r="G2634" s="752">
        <v>1300000</v>
      </c>
      <c r="H2634" s="752"/>
      <c r="I2634" s="752"/>
      <c r="J2634" s="736">
        <f t="shared" si="812"/>
        <v>1300000</v>
      </c>
      <c r="K2634" s="752"/>
      <c r="L2634" s="752"/>
      <c r="M2634" s="736">
        <f t="shared" si="813"/>
        <v>1300000</v>
      </c>
      <c r="N2634" s="736"/>
      <c r="O2634" s="736"/>
      <c r="P2634" s="736">
        <f t="shared" si="814"/>
        <v>1300000</v>
      </c>
      <c r="Q2634" s="753">
        <v>1300000</v>
      </c>
      <c r="R2634" s="738">
        <v>1068025.83</v>
      </c>
      <c r="S2634" s="753"/>
      <c r="T2634" s="739">
        <v>1100121</v>
      </c>
      <c r="U2634" s="746">
        <v>1600000</v>
      </c>
      <c r="V2634" s="741">
        <v>1100122</v>
      </c>
    </row>
    <row r="2635" spans="1:22" ht="15" x14ac:dyDescent="0.2">
      <c r="A2635" s="734">
        <v>3141</v>
      </c>
      <c r="B2635" s="735" t="s">
        <v>48</v>
      </c>
      <c r="C2635" s="736">
        <v>3746.78</v>
      </c>
      <c r="D2635" s="736">
        <v>7000</v>
      </c>
      <c r="E2635" s="749">
        <v>7000</v>
      </c>
      <c r="F2635" s="736">
        <v>3266.5</v>
      </c>
      <c r="G2635" s="752">
        <v>6000</v>
      </c>
      <c r="H2635" s="752"/>
      <c r="I2635" s="752"/>
      <c r="J2635" s="736">
        <f t="shared" si="812"/>
        <v>6000</v>
      </c>
      <c r="K2635" s="752"/>
      <c r="L2635" s="752"/>
      <c r="M2635" s="736">
        <f t="shared" si="813"/>
        <v>6000</v>
      </c>
      <c r="N2635" s="736"/>
      <c r="O2635" s="736"/>
      <c r="P2635" s="736">
        <f t="shared" si="814"/>
        <v>6000</v>
      </c>
      <c r="Q2635" s="753">
        <v>6000</v>
      </c>
      <c r="R2635" s="738">
        <v>2503.17</v>
      </c>
      <c r="S2635" s="753"/>
      <c r="T2635" s="739">
        <v>1100121</v>
      </c>
      <c r="U2635" s="746">
        <v>4000</v>
      </c>
      <c r="V2635" s="741">
        <v>1100122</v>
      </c>
    </row>
    <row r="2636" spans="1:22" ht="15" x14ac:dyDescent="0.2">
      <c r="A2636" s="734">
        <v>3151</v>
      </c>
      <c r="B2636" s="735" t="s">
        <v>28</v>
      </c>
      <c r="C2636" s="736">
        <v>2797.44</v>
      </c>
      <c r="D2636" s="736">
        <v>4000</v>
      </c>
      <c r="E2636" s="749">
        <v>4000</v>
      </c>
      <c r="F2636" s="736">
        <v>3526.82</v>
      </c>
      <c r="G2636" s="752">
        <v>4000</v>
      </c>
      <c r="H2636" s="752"/>
      <c r="I2636" s="752"/>
      <c r="J2636" s="736">
        <f t="shared" si="812"/>
        <v>4000</v>
      </c>
      <c r="K2636" s="752"/>
      <c r="L2636" s="752"/>
      <c r="M2636" s="736">
        <f t="shared" si="813"/>
        <v>4000</v>
      </c>
      <c r="N2636" s="736"/>
      <c r="O2636" s="736"/>
      <c r="P2636" s="736">
        <f t="shared" si="814"/>
        <v>4000</v>
      </c>
      <c r="Q2636" s="753">
        <v>4000</v>
      </c>
      <c r="R2636" s="738">
        <v>2262.8000000000002</v>
      </c>
      <c r="S2636" s="753"/>
      <c r="T2636" s="739">
        <v>1100121</v>
      </c>
      <c r="U2636" s="746">
        <v>4500</v>
      </c>
      <c r="V2636" s="741">
        <v>1100122</v>
      </c>
    </row>
    <row r="2637" spans="1:22" ht="30" x14ac:dyDescent="0.2">
      <c r="A2637" s="739">
        <v>3361</v>
      </c>
      <c r="B2637" s="743" t="s">
        <v>29</v>
      </c>
      <c r="C2637" s="736"/>
      <c r="D2637" s="736">
        <v>5000</v>
      </c>
      <c r="E2637" s="749">
        <v>5000</v>
      </c>
      <c r="F2637" s="736">
        <v>2610</v>
      </c>
      <c r="G2637" s="736"/>
      <c r="H2637" s="736"/>
      <c r="I2637" s="736"/>
      <c r="J2637" s="736">
        <f t="shared" si="812"/>
        <v>0</v>
      </c>
      <c r="K2637" s="736"/>
      <c r="L2637" s="736"/>
      <c r="M2637" s="736">
        <f t="shared" si="813"/>
        <v>0</v>
      </c>
      <c r="N2637" s="736"/>
      <c r="O2637" s="736"/>
      <c r="P2637" s="738">
        <f t="shared" si="814"/>
        <v>0</v>
      </c>
      <c r="Q2637" s="738"/>
      <c r="R2637" s="738"/>
      <c r="S2637" s="738"/>
      <c r="T2637" s="739">
        <v>1100121</v>
      </c>
      <c r="U2637" s="745"/>
      <c r="V2637" s="739">
        <v>1100122</v>
      </c>
    </row>
    <row r="2638" spans="1:22" ht="15" x14ac:dyDescent="0.2">
      <c r="A2638" s="734">
        <v>3511</v>
      </c>
      <c r="B2638" s="735" t="s">
        <v>49</v>
      </c>
      <c r="C2638" s="736">
        <v>89549.48</v>
      </c>
      <c r="D2638" s="736">
        <v>166500</v>
      </c>
      <c r="E2638" s="749">
        <v>132396</v>
      </c>
      <c r="F2638" s="736">
        <v>132394.85999999999</v>
      </c>
      <c r="G2638" s="752">
        <v>120000</v>
      </c>
      <c r="H2638" s="752"/>
      <c r="I2638" s="752"/>
      <c r="J2638" s="736">
        <f t="shared" si="812"/>
        <v>120000</v>
      </c>
      <c r="K2638" s="752"/>
      <c r="L2638" s="752"/>
      <c r="M2638" s="736">
        <f t="shared" si="813"/>
        <v>120000</v>
      </c>
      <c r="N2638" s="736"/>
      <c r="O2638" s="736"/>
      <c r="P2638" s="736">
        <f t="shared" si="814"/>
        <v>120000</v>
      </c>
      <c r="Q2638" s="753">
        <v>120000</v>
      </c>
      <c r="R2638" s="738">
        <v>108687.82</v>
      </c>
      <c r="S2638" s="753">
        <v>178334.11</v>
      </c>
      <c r="T2638" s="739">
        <v>1100121</v>
      </c>
      <c r="U2638" s="746">
        <v>400000</v>
      </c>
      <c r="V2638" s="741">
        <v>1100122</v>
      </c>
    </row>
    <row r="2639" spans="1:22" ht="15" x14ac:dyDescent="0.2">
      <c r="A2639" s="734">
        <v>3551</v>
      </c>
      <c r="B2639" s="735" t="s">
        <v>30</v>
      </c>
      <c r="C2639" s="736">
        <v>97860.04</v>
      </c>
      <c r="D2639" s="736">
        <v>120000</v>
      </c>
      <c r="E2639" s="749">
        <v>100000</v>
      </c>
      <c r="F2639" s="736">
        <v>105037.05</v>
      </c>
      <c r="G2639" s="752">
        <v>100000</v>
      </c>
      <c r="H2639" s="752"/>
      <c r="I2639" s="752"/>
      <c r="J2639" s="736">
        <f t="shared" si="812"/>
        <v>100000</v>
      </c>
      <c r="K2639" s="752"/>
      <c r="L2639" s="752"/>
      <c r="M2639" s="736">
        <f t="shared" si="813"/>
        <v>100000</v>
      </c>
      <c r="N2639" s="736"/>
      <c r="O2639" s="736">
        <v>20000</v>
      </c>
      <c r="P2639" s="736">
        <f t="shared" si="814"/>
        <v>80000</v>
      </c>
      <c r="Q2639" s="753">
        <v>79600</v>
      </c>
      <c r="R2639" s="738">
        <v>35498</v>
      </c>
      <c r="S2639" s="738">
        <f>Q2639</f>
        <v>79600</v>
      </c>
      <c r="T2639" s="739">
        <v>1100121</v>
      </c>
      <c r="U2639" s="746">
        <v>85000</v>
      </c>
      <c r="V2639" s="741">
        <v>1100122</v>
      </c>
    </row>
    <row r="2640" spans="1:22" ht="15" x14ac:dyDescent="0.2">
      <c r="A2640" s="734">
        <v>3571</v>
      </c>
      <c r="B2640" s="735" t="s">
        <v>65</v>
      </c>
      <c r="C2640" s="736">
        <v>54999.97</v>
      </c>
      <c r="D2640" s="736">
        <v>70000</v>
      </c>
      <c r="E2640" s="749">
        <v>234104</v>
      </c>
      <c r="F2640" s="736">
        <v>230847.99</v>
      </c>
      <c r="G2640" s="752">
        <v>200000</v>
      </c>
      <c r="H2640" s="752"/>
      <c r="I2640" s="752"/>
      <c r="J2640" s="736">
        <f t="shared" si="812"/>
        <v>200000</v>
      </c>
      <c r="K2640" s="752"/>
      <c r="L2640" s="752">
        <v>90000</v>
      </c>
      <c r="M2640" s="736">
        <f t="shared" si="813"/>
        <v>110000</v>
      </c>
      <c r="N2640" s="736"/>
      <c r="O2640" s="736"/>
      <c r="P2640" s="736">
        <f t="shared" si="814"/>
        <v>110000</v>
      </c>
      <c r="Q2640" s="753">
        <v>60000</v>
      </c>
      <c r="R2640" s="738">
        <v>38372.800000000003</v>
      </c>
      <c r="S2640" s="753">
        <v>254100</v>
      </c>
      <c r="T2640" s="739">
        <v>1100121</v>
      </c>
      <c r="U2640" s="746">
        <v>300000</v>
      </c>
      <c r="V2640" s="741">
        <v>1100122</v>
      </c>
    </row>
    <row r="2641" spans="1:22" ht="15" x14ac:dyDescent="0.2">
      <c r="A2641" s="734">
        <v>3852</v>
      </c>
      <c r="B2641" s="735" t="s">
        <v>32</v>
      </c>
      <c r="C2641" s="736">
        <v>3883.6</v>
      </c>
      <c r="D2641" s="736">
        <v>5000</v>
      </c>
      <c r="E2641" s="749">
        <v>5000</v>
      </c>
      <c r="F2641" s="736">
        <v>5070.33</v>
      </c>
      <c r="G2641" s="752">
        <v>6000</v>
      </c>
      <c r="H2641" s="752"/>
      <c r="I2641" s="752"/>
      <c r="J2641" s="736">
        <f t="shared" si="812"/>
        <v>6000</v>
      </c>
      <c r="K2641" s="752"/>
      <c r="L2641" s="752"/>
      <c r="M2641" s="736">
        <f t="shared" si="813"/>
        <v>6000</v>
      </c>
      <c r="N2641" s="736"/>
      <c r="O2641" s="736"/>
      <c r="P2641" s="736">
        <f t="shared" si="814"/>
        <v>6000</v>
      </c>
      <c r="Q2641" s="753">
        <v>6000</v>
      </c>
      <c r="R2641" s="738">
        <v>2057.41</v>
      </c>
      <c r="S2641" s="753">
        <v>9229</v>
      </c>
      <c r="T2641" s="739">
        <v>1100121</v>
      </c>
      <c r="U2641" s="740">
        <v>6000</v>
      </c>
      <c r="V2641" s="741">
        <v>1100122</v>
      </c>
    </row>
    <row r="2642" spans="1:22" ht="15" x14ac:dyDescent="0.2">
      <c r="A2642" s="734">
        <v>3921</v>
      </c>
      <c r="B2642" s="735" t="s">
        <v>33</v>
      </c>
      <c r="C2642" s="736">
        <v>1880.03</v>
      </c>
      <c r="D2642" s="736">
        <v>2080</v>
      </c>
      <c r="E2642" s="749">
        <v>2080</v>
      </c>
      <c r="F2642" s="736">
        <v>1051.98</v>
      </c>
      <c r="G2642" s="752">
        <v>1740</v>
      </c>
      <c r="H2642" s="752"/>
      <c r="I2642" s="752"/>
      <c r="J2642" s="736">
        <f t="shared" si="812"/>
        <v>1740</v>
      </c>
      <c r="K2642" s="752"/>
      <c r="L2642" s="752"/>
      <c r="M2642" s="736">
        <f t="shared" si="813"/>
        <v>1740</v>
      </c>
      <c r="N2642" s="736"/>
      <c r="O2642" s="736"/>
      <c r="P2642" s="736">
        <f t="shared" si="814"/>
        <v>1740</v>
      </c>
      <c r="Q2642" s="753">
        <v>2140</v>
      </c>
      <c r="R2642" s="738">
        <v>2103.96</v>
      </c>
      <c r="S2642" s="753">
        <v>2020.44</v>
      </c>
      <c r="T2642" s="739">
        <v>1100121</v>
      </c>
      <c r="U2642" s="746">
        <v>2021</v>
      </c>
      <c r="V2642" s="741">
        <v>1100122</v>
      </c>
    </row>
    <row r="2643" spans="1:22" ht="15" x14ac:dyDescent="0.2">
      <c r="A2643" s="739">
        <v>3951</v>
      </c>
      <c r="B2643" s="822" t="s">
        <v>198</v>
      </c>
      <c r="C2643" s="736">
        <v>273.39999999999998</v>
      </c>
      <c r="D2643" s="736"/>
      <c r="E2643" s="736"/>
      <c r="F2643" s="736"/>
      <c r="G2643" s="736"/>
      <c r="H2643" s="736"/>
      <c r="I2643" s="736"/>
      <c r="J2643" s="736">
        <f t="shared" si="812"/>
        <v>0</v>
      </c>
      <c r="K2643" s="736"/>
      <c r="L2643" s="736"/>
      <c r="M2643" s="736">
        <f t="shared" si="813"/>
        <v>0</v>
      </c>
      <c r="N2643" s="736"/>
      <c r="O2643" s="736"/>
      <c r="P2643" s="738">
        <f t="shared" si="814"/>
        <v>0</v>
      </c>
      <c r="Q2643" s="738"/>
      <c r="R2643" s="738"/>
      <c r="S2643" s="738"/>
      <c r="T2643" s="739"/>
      <c r="U2643" s="745"/>
      <c r="V2643" s="739"/>
    </row>
    <row r="2644" spans="1:22" ht="15" x14ac:dyDescent="0.2">
      <c r="A2644" s="739">
        <v>5691</v>
      </c>
      <c r="B2644" s="743" t="s">
        <v>112</v>
      </c>
      <c r="C2644" s="736">
        <v>54201.84</v>
      </c>
      <c r="D2644" s="736">
        <v>0</v>
      </c>
      <c r="E2644" s="749">
        <v>1169754.99</v>
      </c>
      <c r="F2644" s="736">
        <v>1169754.99</v>
      </c>
      <c r="G2644" s="736"/>
      <c r="H2644" s="736"/>
      <c r="I2644" s="736"/>
      <c r="J2644" s="736">
        <f t="shared" si="812"/>
        <v>0</v>
      </c>
      <c r="K2644" s="736"/>
      <c r="L2644" s="736"/>
      <c r="M2644" s="736">
        <f t="shared" si="813"/>
        <v>0</v>
      </c>
      <c r="N2644" s="736"/>
      <c r="O2644" s="736"/>
      <c r="P2644" s="738">
        <f t="shared" si="814"/>
        <v>0</v>
      </c>
      <c r="Q2644" s="738"/>
      <c r="R2644" s="738"/>
      <c r="S2644" s="738"/>
      <c r="T2644" s="739">
        <v>1100119</v>
      </c>
      <c r="U2644" s="745"/>
      <c r="V2644" s="739">
        <v>1100119</v>
      </c>
    </row>
    <row r="2645" spans="1:22" ht="15" x14ac:dyDescent="0.2">
      <c r="A2645" s="734">
        <v>5691</v>
      </c>
      <c r="B2645" s="735" t="s">
        <v>112</v>
      </c>
      <c r="C2645" s="736"/>
      <c r="D2645" s="736"/>
      <c r="E2645" s="749"/>
      <c r="F2645" s="736"/>
      <c r="G2645" s="736"/>
      <c r="H2645" s="736"/>
      <c r="I2645" s="736"/>
      <c r="J2645" s="736">
        <f t="shared" si="812"/>
        <v>0</v>
      </c>
      <c r="K2645" s="736">
        <v>90000</v>
      </c>
      <c r="L2645" s="736"/>
      <c r="M2645" s="736">
        <f t="shared" si="813"/>
        <v>90000</v>
      </c>
      <c r="N2645" s="736"/>
      <c r="O2645" s="736"/>
      <c r="P2645" s="736">
        <f t="shared" si="814"/>
        <v>90000</v>
      </c>
      <c r="Q2645" s="738">
        <v>90000</v>
      </c>
      <c r="R2645" s="738">
        <v>86884</v>
      </c>
      <c r="S2645" s="738">
        <v>586133.9</v>
      </c>
      <c r="T2645" s="739">
        <v>1100121</v>
      </c>
      <c r="U2645" s="875">
        <v>150000</v>
      </c>
      <c r="V2645" s="741">
        <v>1100122</v>
      </c>
    </row>
    <row r="2646" spans="1:22" ht="15" x14ac:dyDescent="0.2">
      <c r="A2646" s="739">
        <v>5691</v>
      </c>
      <c r="B2646" s="743" t="s">
        <v>112</v>
      </c>
      <c r="C2646" s="736"/>
      <c r="D2646" s="736">
        <v>1380000</v>
      </c>
      <c r="E2646" s="736"/>
      <c r="F2646" s="736">
        <v>0</v>
      </c>
      <c r="G2646" s="736"/>
      <c r="H2646" s="736"/>
      <c r="I2646" s="736"/>
      <c r="J2646" s="736">
        <f t="shared" si="812"/>
        <v>0</v>
      </c>
      <c r="K2646" s="736"/>
      <c r="L2646" s="736"/>
      <c r="M2646" s="736">
        <f t="shared" si="813"/>
        <v>0</v>
      </c>
      <c r="N2646" s="736"/>
      <c r="O2646" s="736"/>
      <c r="P2646" s="738">
        <f t="shared" si="814"/>
        <v>0</v>
      </c>
      <c r="Q2646" s="738"/>
      <c r="R2646" s="738"/>
      <c r="S2646" s="738"/>
      <c r="T2646" s="739">
        <v>1500521</v>
      </c>
      <c r="U2646" s="921"/>
      <c r="V2646" s="739">
        <v>1500522</v>
      </c>
    </row>
    <row r="2647" spans="1:22" ht="15" x14ac:dyDescent="0.2">
      <c r="A2647" s="728" t="s">
        <v>313</v>
      </c>
      <c r="B2647" s="729" t="s">
        <v>1586</v>
      </c>
      <c r="C2647" s="730">
        <f t="shared" ref="C2647:S2647" si="815">SUM(C2648:C2678)</f>
        <v>5549879.9899999993</v>
      </c>
      <c r="D2647" s="730">
        <f t="shared" si="815"/>
        <v>6147302.0199999996</v>
      </c>
      <c r="E2647" s="730">
        <f t="shared" si="815"/>
        <v>7016742.9699999988</v>
      </c>
      <c r="F2647" s="730">
        <f t="shared" si="815"/>
        <v>7130499.0200000005</v>
      </c>
      <c r="G2647" s="730">
        <f t="shared" si="815"/>
        <v>6816906.3000000007</v>
      </c>
      <c r="H2647" s="730">
        <f t="shared" si="815"/>
        <v>0</v>
      </c>
      <c r="I2647" s="730">
        <f t="shared" si="815"/>
        <v>0</v>
      </c>
      <c r="J2647" s="730">
        <f t="shared" si="815"/>
        <v>6816906.3000000007</v>
      </c>
      <c r="K2647" s="730">
        <f t="shared" si="815"/>
        <v>189243.78</v>
      </c>
      <c r="L2647" s="730">
        <f t="shared" si="815"/>
        <v>0</v>
      </c>
      <c r="M2647" s="730">
        <f t="shared" si="815"/>
        <v>7006150.0800000001</v>
      </c>
      <c r="N2647" s="730">
        <f t="shared" si="815"/>
        <v>10000</v>
      </c>
      <c r="O2647" s="730">
        <f t="shared" si="815"/>
        <v>0</v>
      </c>
      <c r="P2647" s="730">
        <f t="shared" si="815"/>
        <v>7016150.0800000001</v>
      </c>
      <c r="Q2647" s="748">
        <f t="shared" si="815"/>
        <v>7040114.3499999996</v>
      </c>
      <c r="R2647" s="748">
        <f>SUM(R2648:R2678)</f>
        <v>4825410.24</v>
      </c>
      <c r="S2647" s="748">
        <f t="shared" si="815"/>
        <v>7107829.5700000003</v>
      </c>
      <c r="T2647" s="731"/>
      <c r="U2647" s="732">
        <f>SUM(U2648:U2678)</f>
        <v>7040369.5199999996</v>
      </c>
      <c r="V2647" s="733"/>
    </row>
    <row r="2648" spans="1:22" ht="15" x14ac:dyDescent="0.25">
      <c r="A2648" s="734">
        <v>1131</v>
      </c>
      <c r="B2648" s="735" t="s">
        <v>6</v>
      </c>
      <c r="C2648" s="736">
        <v>1552663.56</v>
      </c>
      <c r="D2648" s="736">
        <v>1662639.16</v>
      </c>
      <c r="E2648" s="749">
        <v>1610109.45</v>
      </c>
      <c r="F2648" s="736">
        <v>1763908.45</v>
      </c>
      <c r="G2648" s="736">
        <v>1808922.9000000001</v>
      </c>
      <c r="H2648" s="736"/>
      <c r="I2648" s="736"/>
      <c r="J2648" s="736">
        <f t="shared" ref="J2648:J2674" si="816">G2648+H2648-I2648</f>
        <v>1808922.9000000001</v>
      </c>
      <c r="K2648" s="737">
        <v>8134.86</v>
      </c>
      <c r="L2648" s="736"/>
      <c r="M2648" s="736">
        <f t="shared" ref="M2648:M2674" si="817">J2648+K2648-L2648</f>
        <v>1817057.7600000002</v>
      </c>
      <c r="N2648" s="736"/>
      <c r="O2648" s="736"/>
      <c r="P2648" s="736">
        <f t="shared" ref="P2648:P2674" si="818">M2648+N2648-O2648</f>
        <v>1817057.7600000002</v>
      </c>
      <c r="Q2648" s="738">
        <v>1788735.54</v>
      </c>
      <c r="R2648" s="738">
        <v>1270143.04</v>
      </c>
      <c r="S2648" s="751">
        <v>1775530.12</v>
      </c>
      <c r="T2648" s="739">
        <v>1500521</v>
      </c>
      <c r="U2648" s="779">
        <v>1805291.45</v>
      </c>
      <c r="V2648" s="741">
        <v>1500522</v>
      </c>
    </row>
    <row r="2649" spans="1:22" ht="15" x14ac:dyDescent="0.25">
      <c r="A2649" s="734">
        <v>1132</v>
      </c>
      <c r="B2649" s="735" t="s">
        <v>8</v>
      </c>
      <c r="C2649" s="736">
        <v>37491.360000000001</v>
      </c>
      <c r="D2649" s="736">
        <v>0</v>
      </c>
      <c r="E2649" s="749">
        <v>35308</v>
      </c>
      <c r="F2649" s="736">
        <v>22407.69</v>
      </c>
      <c r="G2649" s="736"/>
      <c r="H2649" s="736"/>
      <c r="I2649" s="736"/>
      <c r="J2649" s="736">
        <f t="shared" si="816"/>
        <v>0</v>
      </c>
      <c r="K2649" s="737">
        <v>42640</v>
      </c>
      <c r="L2649" s="736"/>
      <c r="M2649" s="736">
        <f t="shared" si="817"/>
        <v>42640</v>
      </c>
      <c r="N2649" s="736"/>
      <c r="O2649" s="736"/>
      <c r="P2649" s="736">
        <f t="shared" si="818"/>
        <v>42640</v>
      </c>
      <c r="Q2649" s="738">
        <v>32214.52</v>
      </c>
      <c r="R2649" s="738">
        <v>24374.47</v>
      </c>
      <c r="S2649" s="751"/>
      <c r="T2649" s="739">
        <v>1500521</v>
      </c>
      <c r="U2649" s="779">
        <v>37084.93</v>
      </c>
      <c r="V2649" s="741">
        <v>1500522</v>
      </c>
    </row>
    <row r="2650" spans="1:22" ht="15" x14ac:dyDescent="0.25">
      <c r="A2650" s="734">
        <v>1321</v>
      </c>
      <c r="B2650" s="735" t="s">
        <v>9</v>
      </c>
      <c r="C2650" s="736">
        <v>113692.41</v>
      </c>
      <c r="D2650" s="736">
        <v>123563.54</v>
      </c>
      <c r="E2650" s="749">
        <v>120603.54</v>
      </c>
      <c r="F2650" s="736">
        <v>119687.76</v>
      </c>
      <c r="G2650" s="736">
        <v>135884.9</v>
      </c>
      <c r="H2650" s="736"/>
      <c r="I2650" s="736"/>
      <c r="J2650" s="736">
        <f t="shared" si="816"/>
        <v>135884.9</v>
      </c>
      <c r="K2650" s="737">
        <v>4552.83</v>
      </c>
      <c r="L2650" s="736"/>
      <c r="M2650" s="736">
        <f t="shared" si="817"/>
        <v>140437.72999999998</v>
      </c>
      <c r="N2650" s="736"/>
      <c r="O2650" s="736"/>
      <c r="P2650" s="736">
        <f t="shared" si="818"/>
        <v>140437.72999999998</v>
      </c>
      <c r="Q2650" s="738">
        <v>140437.73000000001</v>
      </c>
      <c r="R2650" s="738">
        <v>66140.37</v>
      </c>
      <c r="S2650" s="751">
        <v>144008.57999999999</v>
      </c>
      <c r="T2650" s="739">
        <v>1500521</v>
      </c>
      <c r="U2650" s="779">
        <v>135793.1</v>
      </c>
      <c r="V2650" s="741">
        <v>1500522</v>
      </c>
    </row>
    <row r="2651" spans="1:22" ht="15" x14ac:dyDescent="0.25">
      <c r="A2651" s="734">
        <v>1322</v>
      </c>
      <c r="B2651" s="735" t="s">
        <v>182</v>
      </c>
      <c r="C2651" s="736">
        <v>111188.54</v>
      </c>
      <c r="D2651" s="736">
        <v>115000</v>
      </c>
      <c r="E2651" s="749">
        <v>113426.9</v>
      </c>
      <c r="F2651" s="736">
        <v>112013.16</v>
      </c>
      <c r="G2651" s="736">
        <v>113426.9</v>
      </c>
      <c r="H2651" s="736"/>
      <c r="I2651" s="736"/>
      <c r="J2651" s="736">
        <f t="shared" si="816"/>
        <v>113426.9</v>
      </c>
      <c r="K2651" s="736"/>
      <c r="L2651" s="736"/>
      <c r="M2651" s="736">
        <f t="shared" si="817"/>
        <v>113426.9</v>
      </c>
      <c r="N2651" s="736"/>
      <c r="O2651" s="736"/>
      <c r="P2651" s="736">
        <f t="shared" si="818"/>
        <v>113426.9</v>
      </c>
      <c r="Q2651" s="738">
        <v>113426.9</v>
      </c>
      <c r="R2651" s="738">
        <v>71842.52</v>
      </c>
      <c r="S2651" s="751">
        <v>113426.9</v>
      </c>
      <c r="T2651" s="739">
        <v>1500521</v>
      </c>
      <c r="U2651" s="779">
        <v>113426.9</v>
      </c>
      <c r="V2651" s="741">
        <v>1500522</v>
      </c>
    </row>
    <row r="2652" spans="1:22" ht="15" x14ac:dyDescent="0.25">
      <c r="A2652" s="734">
        <v>1323</v>
      </c>
      <c r="B2652" s="735" t="s">
        <v>11</v>
      </c>
      <c r="C2652" s="736">
        <v>351097</v>
      </c>
      <c r="D2652" s="736">
        <v>377392.5</v>
      </c>
      <c r="E2652" s="749">
        <v>370502.5</v>
      </c>
      <c r="F2652" s="736">
        <v>371111</v>
      </c>
      <c r="G2652" s="736">
        <v>396266.69999999995</v>
      </c>
      <c r="H2652" s="736"/>
      <c r="I2652" s="736"/>
      <c r="J2652" s="736">
        <f t="shared" si="816"/>
        <v>396266.69999999995</v>
      </c>
      <c r="K2652" s="737">
        <v>13276.83</v>
      </c>
      <c r="L2652" s="736"/>
      <c r="M2652" s="736">
        <f t="shared" si="817"/>
        <v>409543.52999999997</v>
      </c>
      <c r="N2652" s="736"/>
      <c r="O2652" s="736"/>
      <c r="P2652" s="736">
        <f t="shared" si="818"/>
        <v>409543.52999999997</v>
      </c>
      <c r="Q2652" s="738">
        <v>409543.53</v>
      </c>
      <c r="R2652" s="738">
        <v>298608</v>
      </c>
      <c r="S2652" s="751">
        <v>407063</v>
      </c>
      <c r="T2652" s="739">
        <v>1500521</v>
      </c>
      <c r="U2652" s="779">
        <v>400702.96</v>
      </c>
      <c r="V2652" s="741">
        <v>1500522</v>
      </c>
    </row>
    <row r="2653" spans="1:22" ht="15" x14ac:dyDescent="0.25">
      <c r="A2653" s="734">
        <v>1413</v>
      </c>
      <c r="B2653" s="735" t="s">
        <v>13</v>
      </c>
      <c r="C2653" s="736">
        <v>518449.9</v>
      </c>
      <c r="D2653" s="736">
        <v>614993.72</v>
      </c>
      <c r="E2653" s="749">
        <v>593933.81999999995</v>
      </c>
      <c r="F2653" s="736">
        <v>576377.81999999995</v>
      </c>
      <c r="G2653" s="736">
        <v>681002.29999999993</v>
      </c>
      <c r="H2653" s="736"/>
      <c r="I2653" s="736"/>
      <c r="J2653" s="736">
        <f t="shared" si="816"/>
        <v>681002.29999999993</v>
      </c>
      <c r="K2653" s="737">
        <v>25214.38</v>
      </c>
      <c r="L2653" s="736"/>
      <c r="M2653" s="736">
        <f t="shared" si="817"/>
        <v>706216.67999999993</v>
      </c>
      <c r="N2653" s="736"/>
      <c r="O2653" s="736"/>
      <c r="P2653" s="736">
        <f t="shared" si="818"/>
        <v>706216.67999999993</v>
      </c>
      <c r="Q2653" s="738">
        <v>690289.52</v>
      </c>
      <c r="R2653" s="738">
        <v>477111.41</v>
      </c>
      <c r="S2653" s="751">
        <v>731221.92</v>
      </c>
      <c r="T2653" s="739">
        <v>1500521</v>
      </c>
      <c r="U2653" s="779">
        <v>640368.98</v>
      </c>
      <c r="V2653" s="741">
        <v>1500522</v>
      </c>
    </row>
    <row r="2654" spans="1:22" ht="15" x14ac:dyDescent="0.25">
      <c r="A2654" s="734">
        <v>1421</v>
      </c>
      <c r="B2654" s="735" t="s">
        <v>15</v>
      </c>
      <c r="C2654" s="736">
        <v>152275.07</v>
      </c>
      <c r="D2654" s="736">
        <v>164871.34</v>
      </c>
      <c r="E2654" s="749">
        <v>147691.34</v>
      </c>
      <c r="F2654" s="736">
        <v>154591.54</v>
      </c>
      <c r="G2654" s="736">
        <v>174313.1</v>
      </c>
      <c r="H2654" s="736"/>
      <c r="I2654" s="736"/>
      <c r="J2654" s="736">
        <f t="shared" si="816"/>
        <v>174313.1</v>
      </c>
      <c r="K2654" s="737">
        <v>6504.8</v>
      </c>
      <c r="L2654" s="736"/>
      <c r="M2654" s="736">
        <f t="shared" si="817"/>
        <v>180817.9</v>
      </c>
      <c r="N2654" s="736"/>
      <c r="O2654" s="736"/>
      <c r="P2654" s="736">
        <f t="shared" si="818"/>
        <v>180817.9</v>
      </c>
      <c r="Q2654" s="738">
        <v>180817.9</v>
      </c>
      <c r="R2654" s="738">
        <v>113250.07</v>
      </c>
      <c r="S2654" s="751">
        <v>179363.4</v>
      </c>
      <c r="T2654" s="739">
        <v>1500521</v>
      </c>
      <c r="U2654" s="779">
        <v>202875.95</v>
      </c>
      <c r="V2654" s="741">
        <v>1500522</v>
      </c>
    </row>
    <row r="2655" spans="1:22" ht="15" x14ac:dyDescent="0.25">
      <c r="A2655" s="734">
        <v>1431</v>
      </c>
      <c r="B2655" s="735" t="s">
        <v>16</v>
      </c>
      <c r="C2655" s="736">
        <v>161029.09</v>
      </c>
      <c r="D2655" s="736">
        <v>169817.32</v>
      </c>
      <c r="E2655" s="749">
        <v>154267.42000000001</v>
      </c>
      <c r="F2655" s="736">
        <v>162884.43</v>
      </c>
      <c r="G2655" s="736">
        <v>179541.9</v>
      </c>
      <c r="H2655" s="736"/>
      <c r="I2655" s="736"/>
      <c r="J2655" s="736">
        <f t="shared" si="816"/>
        <v>179541.9</v>
      </c>
      <c r="K2655" s="737">
        <v>6662.83</v>
      </c>
      <c r="L2655" s="736"/>
      <c r="M2655" s="736">
        <f t="shared" si="817"/>
        <v>186204.72999999998</v>
      </c>
      <c r="N2655" s="736"/>
      <c r="O2655" s="736"/>
      <c r="P2655" s="736">
        <f t="shared" si="818"/>
        <v>186204.72999999998</v>
      </c>
      <c r="Q2655" s="738">
        <v>179573.07</v>
      </c>
      <c r="R2655" s="738">
        <v>115021.82</v>
      </c>
      <c r="S2655" s="751">
        <v>184743.96</v>
      </c>
      <c r="T2655" s="739">
        <v>1500521</v>
      </c>
      <c r="U2655" s="779">
        <v>202994.19</v>
      </c>
      <c r="V2655" s="741">
        <v>1500522</v>
      </c>
    </row>
    <row r="2656" spans="1:22" ht="15" x14ac:dyDescent="0.25">
      <c r="A2656" s="734">
        <v>1511</v>
      </c>
      <c r="B2656" s="735" t="s">
        <v>18</v>
      </c>
      <c r="C2656" s="736">
        <v>48833.59</v>
      </c>
      <c r="D2656" s="736">
        <v>54953.08</v>
      </c>
      <c r="E2656" s="749">
        <v>52291.88</v>
      </c>
      <c r="F2656" s="736">
        <v>54232.15</v>
      </c>
      <c r="G2656" s="736">
        <v>57719.5</v>
      </c>
      <c r="H2656" s="736"/>
      <c r="I2656" s="736"/>
      <c r="J2656" s="736">
        <f t="shared" si="816"/>
        <v>57719.5</v>
      </c>
      <c r="K2656" s="737">
        <v>1937.78</v>
      </c>
      <c r="L2656" s="736"/>
      <c r="M2656" s="736">
        <f t="shared" si="817"/>
        <v>59657.279999999999</v>
      </c>
      <c r="N2656" s="736"/>
      <c r="O2656" s="736"/>
      <c r="P2656" s="736">
        <f t="shared" si="818"/>
        <v>59657.279999999999</v>
      </c>
      <c r="Q2656" s="738">
        <v>59657.279999999999</v>
      </c>
      <c r="R2656" s="738">
        <v>41745.43</v>
      </c>
      <c r="S2656" s="751">
        <v>59270.12</v>
      </c>
      <c r="T2656" s="739">
        <v>1500521</v>
      </c>
      <c r="U2656" s="779">
        <v>59558.63</v>
      </c>
      <c r="V2656" s="741">
        <v>1500522</v>
      </c>
    </row>
    <row r="2657" spans="1:22" ht="15" x14ac:dyDescent="0.25">
      <c r="A2657" s="734">
        <v>1541</v>
      </c>
      <c r="B2657" s="735" t="s">
        <v>19</v>
      </c>
      <c r="C2657" s="736">
        <v>690431.46</v>
      </c>
      <c r="D2657" s="736">
        <v>811463.12</v>
      </c>
      <c r="E2657" s="749">
        <v>790481.89</v>
      </c>
      <c r="F2657" s="736">
        <v>816716.9</v>
      </c>
      <c r="G2657" s="736">
        <v>1106229.7000000002</v>
      </c>
      <c r="H2657" s="736"/>
      <c r="I2657" s="736"/>
      <c r="J2657" s="736">
        <f t="shared" si="816"/>
        <v>1106229.7000000002</v>
      </c>
      <c r="K2657" s="737">
        <v>42110.48</v>
      </c>
      <c r="L2657" s="736"/>
      <c r="M2657" s="736">
        <f t="shared" si="817"/>
        <v>1148340.1800000002</v>
      </c>
      <c r="N2657" s="736"/>
      <c r="O2657" s="736"/>
      <c r="P2657" s="736">
        <f t="shared" si="818"/>
        <v>1148340.1800000002</v>
      </c>
      <c r="Q2657" s="738">
        <v>1124143.1299999999</v>
      </c>
      <c r="R2657" s="738">
        <v>695139.27</v>
      </c>
      <c r="S2657" s="751">
        <v>1168091.08</v>
      </c>
      <c r="T2657" s="739">
        <v>1500521</v>
      </c>
      <c r="U2657" s="779">
        <v>1168091.08</v>
      </c>
      <c r="V2657" s="741">
        <v>1500522</v>
      </c>
    </row>
    <row r="2658" spans="1:22" ht="15" x14ac:dyDescent="0.25">
      <c r="A2658" s="734">
        <v>1592</v>
      </c>
      <c r="B2658" s="735" t="s">
        <v>20</v>
      </c>
      <c r="C2658" s="736">
        <v>956342.83</v>
      </c>
      <c r="D2658" s="736">
        <v>1084778.24</v>
      </c>
      <c r="E2658" s="749">
        <v>1030011.23</v>
      </c>
      <c r="F2658" s="736">
        <v>1068329.8700000001</v>
      </c>
      <c r="G2658" s="736">
        <v>1139640.4000000001</v>
      </c>
      <c r="H2658" s="736"/>
      <c r="I2658" s="736"/>
      <c r="J2658" s="736">
        <f t="shared" si="816"/>
        <v>1139640.4000000001</v>
      </c>
      <c r="K2658" s="737">
        <v>38208.99</v>
      </c>
      <c r="L2658" s="736"/>
      <c r="M2658" s="736">
        <f t="shared" si="817"/>
        <v>1177849.3900000001</v>
      </c>
      <c r="N2658" s="736"/>
      <c r="O2658" s="736"/>
      <c r="P2658" s="736">
        <f t="shared" si="818"/>
        <v>1177849.3900000001</v>
      </c>
      <c r="Q2658" s="738">
        <v>1262317.23</v>
      </c>
      <c r="R2658" s="738">
        <v>826069.8</v>
      </c>
      <c r="S2658" s="751">
        <v>1187888.52</v>
      </c>
      <c r="T2658" s="739">
        <v>1500521</v>
      </c>
      <c r="U2658" s="779">
        <v>1180269.8500000001</v>
      </c>
      <c r="V2658" s="741">
        <v>1500522</v>
      </c>
    </row>
    <row r="2659" spans="1:22" ht="15" x14ac:dyDescent="0.2">
      <c r="A2659" s="734">
        <v>2111</v>
      </c>
      <c r="B2659" s="735" t="s">
        <v>22</v>
      </c>
      <c r="C2659" s="736">
        <v>4719</v>
      </c>
      <c r="D2659" s="736">
        <v>4750</v>
      </c>
      <c r="E2659" s="749">
        <v>3325</v>
      </c>
      <c r="F2659" s="736">
        <v>3038.66</v>
      </c>
      <c r="G2659" s="752">
        <v>3300</v>
      </c>
      <c r="H2659" s="752"/>
      <c r="I2659" s="752"/>
      <c r="J2659" s="736">
        <f t="shared" si="816"/>
        <v>3300</v>
      </c>
      <c r="K2659" s="752"/>
      <c r="L2659" s="752"/>
      <c r="M2659" s="736">
        <f t="shared" si="817"/>
        <v>3300</v>
      </c>
      <c r="N2659" s="736"/>
      <c r="O2659" s="736"/>
      <c r="P2659" s="736">
        <f t="shared" si="818"/>
        <v>3300</v>
      </c>
      <c r="Q2659" s="753">
        <v>3300</v>
      </c>
      <c r="R2659" s="738">
        <v>1856.97</v>
      </c>
      <c r="S2659" s="753">
        <v>3415.5</v>
      </c>
      <c r="T2659" s="739">
        <v>1100121</v>
      </c>
      <c r="U2659" s="740">
        <v>3415.5</v>
      </c>
      <c r="V2659" s="741">
        <v>1100122</v>
      </c>
    </row>
    <row r="2660" spans="1:22" ht="15" x14ac:dyDescent="0.2">
      <c r="A2660" s="739">
        <v>2112</v>
      </c>
      <c r="B2660" s="743" t="s">
        <v>39</v>
      </c>
      <c r="C2660" s="736">
        <v>1997</v>
      </c>
      <c r="D2660" s="736">
        <v>0</v>
      </c>
      <c r="E2660" s="749">
        <v>6000</v>
      </c>
      <c r="F2660" s="736">
        <v>6000</v>
      </c>
      <c r="G2660" s="736"/>
      <c r="H2660" s="736"/>
      <c r="I2660" s="736"/>
      <c r="J2660" s="736">
        <f t="shared" si="816"/>
        <v>0</v>
      </c>
      <c r="K2660" s="736"/>
      <c r="L2660" s="736"/>
      <c r="M2660" s="736">
        <f t="shared" si="817"/>
        <v>0</v>
      </c>
      <c r="N2660" s="736"/>
      <c r="O2660" s="736"/>
      <c r="P2660" s="738">
        <f t="shared" si="818"/>
        <v>0</v>
      </c>
      <c r="Q2660" s="738"/>
      <c r="R2660" s="738"/>
      <c r="S2660" s="738"/>
      <c r="T2660" s="739">
        <v>1100119</v>
      </c>
      <c r="U2660" s="745"/>
      <c r="V2660" s="739">
        <v>1100119</v>
      </c>
    </row>
    <row r="2661" spans="1:22" ht="15" x14ac:dyDescent="0.2">
      <c r="A2661" s="734">
        <v>2121</v>
      </c>
      <c r="B2661" s="735" t="s">
        <v>24</v>
      </c>
      <c r="C2661" s="736">
        <v>4447</v>
      </c>
      <c r="D2661" s="736">
        <v>4300</v>
      </c>
      <c r="E2661" s="749">
        <v>3010</v>
      </c>
      <c r="F2661" s="736">
        <v>2570</v>
      </c>
      <c r="G2661" s="752">
        <v>3000</v>
      </c>
      <c r="H2661" s="752"/>
      <c r="I2661" s="752"/>
      <c r="J2661" s="736">
        <f t="shared" si="816"/>
        <v>3000</v>
      </c>
      <c r="K2661" s="752"/>
      <c r="L2661" s="752"/>
      <c r="M2661" s="736">
        <f t="shared" si="817"/>
        <v>3000</v>
      </c>
      <c r="N2661" s="736"/>
      <c r="O2661" s="736"/>
      <c r="P2661" s="736">
        <f t="shared" si="818"/>
        <v>3000</v>
      </c>
      <c r="Q2661" s="753">
        <v>3000</v>
      </c>
      <c r="R2661" s="738">
        <v>2850</v>
      </c>
      <c r="S2661" s="753">
        <v>3105</v>
      </c>
      <c r="T2661" s="739">
        <v>1100121</v>
      </c>
      <c r="U2661" s="740">
        <v>3105</v>
      </c>
      <c r="V2661" s="741">
        <v>1100122</v>
      </c>
    </row>
    <row r="2662" spans="1:22" ht="15" x14ac:dyDescent="0.2">
      <c r="A2662" s="734">
        <v>2161</v>
      </c>
      <c r="B2662" s="735" t="s">
        <v>59</v>
      </c>
      <c r="C2662" s="736">
        <v>5310.96</v>
      </c>
      <c r="D2662" s="736">
        <v>9000</v>
      </c>
      <c r="E2662" s="749">
        <v>9000</v>
      </c>
      <c r="F2662" s="736">
        <v>7455.07</v>
      </c>
      <c r="G2662" s="752">
        <v>9000</v>
      </c>
      <c r="H2662" s="752"/>
      <c r="I2662" s="752"/>
      <c r="J2662" s="736">
        <f t="shared" si="816"/>
        <v>9000</v>
      </c>
      <c r="K2662" s="752"/>
      <c r="L2662" s="752"/>
      <c r="M2662" s="736">
        <f t="shared" si="817"/>
        <v>9000</v>
      </c>
      <c r="N2662" s="736"/>
      <c r="O2662" s="736"/>
      <c r="P2662" s="736">
        <f t="shared" si="818"/>
        <v>9000</v>
      </c>
      <c r="Q2662" s="753">
        <v>9000</v>
      </c>
      <c r="R2662" s="738">
        <v>8894</v>
      </c>
      <c r="S2662" s="753">
        <v>9315</v>
      </c>
      <c r="T2662" s="739">
        <v>1100121</v>
      </c>
      <c r="U2662" s="740">
        <v>12000</v>
      </c>
      <c r="V2662" s="741">
        <v>1100122</v>
      </c>
    </row>
    <row r="2663" spans="1:22" ht="15" x14ac:dyDescent="0.2">
      <c r="A2663" s="734">
        <v>2421</v>
      </c>
      <c r="B2663" s="735" t="s">
        <v>111</v>
      </c>
      <c r="C2663" s="736">
        <v>308256.05</v>
      </c>
      <c r="D2663" s="736">
        <v>336440</v>
      </c>
      <c r="E2663" s="749">
        <v>336440</v>
      </c>
      <c r="F2663" s="736">
        <v>330293.8</v>
      </c>
      <c r="G2663" s="752">
        <v>336000</v>
      </c>
      <c r="H2663" s="752"/>
      <c r="I2663" s="752"/>
      <c r="J2663" s="736">
        <f t="shared" si="816"/>
        <v>336000</v>
      </c>
      <c r="K2663" s="752"/>
      <c r="L2663" s="752"/>
      <c r="M2663" s="736">
        <f t="shared" si="817"/>
        <v>336000</v>
      </c>
      <c r="N2663" s="736"/>
      <c r="O2663" s="736"/>
      <c r="P2663" s="736">
        <f t="shared" si="818"/>
        <v>336000</v>
      </c>
      <c r="Q2663" s="753">
        <v>336000</v>
      </c>
      <c r="R2663" s="738">
        <v>307956.02</v>
      </c>
      <c r="S2663" s="753">
        <v>347760</v>
      </c>
      <c r="T2663" s="739">
        <v>1100121</v>
      </c>
      <c r="U2663" s="740">
        <v>347760</v>
      </c>
      <c r="V2663" s="741">
        <v>1100122</v>
      </c>
    </row>
    <row r="2664" spans="1:22" ht="15" x14ac:dyDescent="0.2">
      <c r="A2664" s="734">
        <v>2491</v>
      </c>
      <c r="B2664" s="735" t="s">
        <v>41</v>
      </c>
      <c r="C2664" s="736">
        <v>234464.37</v>
      </c>
      <c r="D2664" s="736">
        <v>240000</v>
      </c>
      <c r="E2664" s="749">
        <v>240000</v>
      </c>
      <c r="F2664" s="736">
        <v>237071.49</v>
      </c>
      <c r="G2664" s="752">
        <v>248000</v>
      </c>
      <c r="H2664" s="752"/>
      <c r="I2664" s="752"/>
      <c r="J2664" s="736">
        <f t="shared" si="816"/>
        <v>248000</v>
      </c>
      <c r="K2664" s="752"/>
      <c r="L2664" s="752"/>
      <c r="M2664" s="736">
        <f t="shared" si="817"/>
        <v>248000</v>
      </c>
      <c r="N2664" s="736"/>
      <c r="O2664" s="736"/>
      <c r="P2664" s="736">
        <f t="shared" si="818"/>
        <v>248000</v>
      </c>
      <c r="Q2664" s="753">
        <v>248000</v>
      </c>
      <c r="R2664" s="738">
        <v>247297.09</v>
      </c>
      <c r="S2664" s="753">
        <v>256680</v>
      </c>
      <c r="T2664" s="739">
        <v>1100121</v>
      </c>
      <c r="U2664" s="740">
        <v>256680</v>
      </c>
      <c r="V2664" s="741">
        <v>1100122</v>
      </c>
    </row>
    <row r="2665" spans="1:22" ht="30" x14ac:dyDescent="0.2">
      <c r="A2665" s="734">
        <v>2612</v>
      </c>
      <c r="B2665" s="735" t="s">
        <v>26</v>
      </c>
      <c r="C2665" s="736">
        <v>97247.25</v>
      </c>
      <c r="D2665" s="736">
        <v>110000</v>
      </c>
      <c r="E2665" s="749">
        <v>110000</v>
      </c>
      <c r="F2665" s="736">
        <v>97835.9</v>
      </c>
      <c r="G2665" s="752">
        <v>110000</v>
      </c>
      <c r="H2665" s="752"/>
      <c r="I2665" s="752"/>
      <c r="J2665" s="736">
        <f t="shared" si="816"/>
        <v>110000</v>
      </c>
      <c r="K2665" s="752"/>
      <c r="L2665" s="752"/>
      <c r="M2665" s="736">
        <f t="shared" si="817"/>
        <v>110000</v>
      </c>
      <c r="N2665" s="736">
        <v>10000</v>
      </c>
      <c r="O2665" s="736"/>
      <c r="P2665" s="736">
        <f t="shared" si="818"/>
        <v>120000</v>
      </c>
      <c r="Q2665" s="753">
        <v>145000</v>
      </c>
      <c r="R2665" s="738">
        <v>105532</v>
      </c>
      <c r="S2665" s="738">
        <f>Q2665</f>
        <v>145000</v>
      </c>
      <c r="T2665" s="739">
        <v>1100121</v>
      </c>
      <c r="U2665" s="746">
        <v>140000</v>
      </c>
      <c r="V2665" s="741">
        <v>1100122</v>
      </c>
    </row>
    <row r="2666" spans="1:22" ht="15" x14ac:dyDescent="0.2">
      <c r="A2666" s="739">
        <v>2711</v>
      </c>
      <c r="B2666" s="743" t="s">
        <v>27</v>
      </c>
      <c r="C2666" s="736"/>
      <c r="D2666" s="736">
        <v>20800</v>
      </c>
      <c r="E2666" s="749">
        <v>20800</v>
      </c>
      <c r="F2666" s="736">
        <v>20800</v>
      </c>
      <c r="G2666" s="736"/>
      <c r="H2666" s="736"/>
      <c r="I2666" s="736"/>
      <c r="J2666" s="736">
        <f t="shared" si="816"/>
        <v>0</v>
      </c>
      <c r="K2666" s="736"/>
      <c r="L2666" s="736"/>
      <c r="M2666" s="736">
        <f t="shared" si="817"/>
        <v>0</v>
      </c>
      <c r="N2666" s="736"/>
      <c r="O2666" s="736"/>
      <c r="P2666" s="738">
        <f t="shared" si="818"/>
        <v>0</v>
      </c>
      <c r="Q2666" s="738"/>
      <c r="R2666" s="738"/>
      <c r="S2666" s="738"/>
      <c r="T2666" s="739">
        <v>1100121</v>
      </c>
      <c r="U2666" s="745"/>
      <c r="V2666" s="739">
        <v>1100122</v>
      </c>
    </row>
    <row r="2667" spans="1:22" ht="15" x14ac:dyDescent="0.2">
      <c r="A2667" s="734">
        <v>3111</v>
      </c>
      <c r="B2667" s="735" t="s">
        <v>47</v>
      </c>
      <c r="C2667" s="736">
        <v>44811</v>
      </c>
      <c r="D2667" s="736">
        <v>60000</v>
      </c>
      <c r="E2667" s="749">
        <v>60000</v>
      </c>
      <c r="F2667" s="736">
        <v>30118</v>
      </c>
      <c r="G2667" s="752">
        <v>60000</v>
      </c>
      <c r="H2667" s="752"/>
      <c r="I2667" s="752"/>
      <c r="J2667" s="736">
        <f t="shared" si="816"/>
        <v>60000</v>
      </c>
      <c r="K2667" s="752"/>
      <c r="L2667" s="752"/>
      <c r="M2667" s="736">
        <f t="shared" si="817"/>
        <v>60000</v>
      </c>
      <c r="N2667" s="736"/>
      <c r="O2667" s="736"/>
      <c r="P2667" s="736">
        <f t="shared" si="818"/>
        <v>60000</v>
      </c>
      <c r="Q2667" s="753">
        <v>60000</v>
      </c>
      <c r="R2667" s="738">
        <v>18385</v>
      </c>
      <c r="S2667" s="753">
        <v>62100</v>
      </c>
      <c r="T2667" s="739">
        <v>1100121</v>
      </c>
      <c r="U2667" s="746">
        <v>40000</v>
      </c>
      <c r="V2667" s="741">
        <v>1100122</v>
      </c>
    </row>
    <row r="2668" spans="1:22" ht="15" x14ac:dyDescent="0.2">
      <c r="A2668" s="734">
        <v>3131</v>
      </c>
      <c r="B2668" s="735" t="s">
        <v>61</v>
      </c>
      <c r="C2668" s="736">
        <v>108900</v>
      </c>
      <c r="D2668" s="736">
        <v>120000</v>
      </c>
      <c r="E2668" s="749">
        <v>140000</v>
      </c>
      <c r="F2668" s="736">
        <v>114555.52</v>
      </c>
      <c r="G2668" s="752">
        <v>185000</v>
      </c>
      <c r="H2668" s="752"/>
      <c r="I2668" s="752"/>
      <c r="J2668" s="736">
        <f t="shared" si="816"/>
        <v>185000</v>
      </c>
      <c r="K2668" s="752"/>
      <c r="L2668" s="752"/>
      <c r="M2668" s="736">
        <f t="shared" si="817"/>
        <v>185000</v>
      </c>
      <c r="N2668" s="736"/>
      <c r="O2668" s="736"/>
      <c r="P2668" s="736">
        <f t="shared" si="818"/>
        <v>185000</v>
      </c>
      <c r="Q2668" s="753">
        <v>185000</v>
      </c>
      <c r="R2668" s="738">
        <v>112877.3</v>
      </c>
      <c r="S2668" s="753">
        <v>191475</v>
      </c>
      <c r="T2668" s="739">
        <v>1100121</v>
      </c>
      <c r="U2668" s="746">
        <v>160000</v>
      </c>
      <c r="V2668" s="741">
        <v>1100122</v>
      </c>
    </row>
    <row r="2669" spans="1:22" ht="15" x14ac:dyDescent="0.2">
      <c r="A2669" s="734">
        <v>3141</v>
      </c>
      <c r="B2669" s="735" t="s">
        <v>48</v>
      </c>
      <c r="C2669" s="736">
        <v>6045.01</v>
      </c>
      <c r="D2669" s="736">
        <v>10000</v>
      </c>
      <c r="E2669" s="749">
        <v>7000</v>
      </c>
      <c r="F2669" s="736">
        <v>5602.11</v>
      </c>
      <c r="G2669" s="752">
        <v>7000</v>
      </c>
      <c r="H2669" s="752"/>
      <c r="I2669" s="752"/>
      <c r="J2669" s="736">
        <f t="shared" si="816"/>
        <v>7000</v>
      </c>
      <c r="K2669" s="752"/>
      <c r="L2669" s="752"/>
      <c r="M2669" s="736">
        <f t="shared" si="817"/>
        <v>7000</v>
      </c>
      <c r="N2669" s="736"/>
      <c r="O2669" s="736"/>
      <c r="P2669" s="736">
        <f t="shared" si="818"/>
        <v>7000</v>
      </c>
      <c r="Q2669" s="753">
        <v>7000</v>
      </c>
      <c r="R2669" s="738">
        <v>3923.5</v>
      </c>
      <c r="S2669" s="753">
        <v>7245</v>
      </c>
      <c r="T2669" s="739">
        <v>1100121</v>
      </c>
      <c r="U2669" s="746">
        <v>6500</v>
      </c>
      <c r="V2669" s="741">
        <v>1100122</v>
      </c>
    </row>
    <row r="2670" spans="1:22" ht="15" x14ac:dyDescent="0.2">
      <c r="A2670" s="734">
        <v>3151</v>
      </c>
      <c r="B2670" s="735" t="s">
        <v>28</v>
      </c>
      <c r="C2670" s="736">
        <v>3081.21</v>
      </c>
      <c r="D2670" s="736">
        <v>4000</v>
      </c>
      <c r="E2670" s="749">
        <v>4000</v>
      </c>
      <c r="F2670" s="736">
        <v>3402.74</v>
      </c>
      <c r="G2670" s="752">
        <v>4000</v>
      </c>
      <c r="H2670" s="752"/>
      <c r="I2670" s="752"/>
      <c r="J2670" s="736">
        <f t="shared" si="816"/>
        <v>4000</v>
      </c>
      <c r="K2670" s="752"/>
      <c r="L2670" s="752"/>
      <c r="M2670" s="736">
        <f t="shared" si="817"/>
        <v>4000</v>
      </c>
      <c r="N2670" s="736"/>
      <c r="O2670" s="736"/>
      <c r="P2670" s="736">
        <f t="shared" si="818"/>
        <v>4000</v>
      </c>
      <c r="Q2670" s="753">
        <v>4000</v>
      </c>
      <c r="R2670" s="738">
        <v>2262.8200000000002</v>
      </c>
      <c r="S2670" s="753">
        <v>4140</v>
      </c>
      <c r="T2670" s="739">
        <v>1100121</v>
      </c>
      <c r="U2670" s="746">
        <v>4500</v>
      </c>
      <c r="V2670" s="741">
        <v>1100122</v>
      </c>
    </row>
    <row r="2671" spans="1:22" ht="15" x14ac:dyDescent="0.2">
      <c r="A2671" s="734">
        <v>3551</v>
      </c>
      <c r="B2671" s="735" t="s">
        <v>30</v>
      </c>
      <c r="C2671" s="736">
        <v>17147.89</v>
      </c>
      <c r="D2671" s="736">
        <v>25000</v>
      </c>
      <c r="E2671" s="749">
        <v>25000</v>
      </c>
      <c r="F2671" s="736">
        <v>24211.83</v>
      </c>
      <c r="G2671" s="752">
        <v>35000</v>
      </c>
      <c r="H2671" s="752"/>
      <c r="I2671" s="752"/>
      <c r="J2671" s="736">
        <f t="shared" si="816"/>
        <v>35000</v>
      </c>
      <c r="K2671" s="752"/>
      <c r="L2671" s="752"/>
      <c r="M2671" s="736">
        <f t="shared" si="817"/>
        <v>35000</v>
      </c>
      <c r="N2671" s="736"/>
      <c r="O2671" s="736"/>
      <c r="P2671" s="736">
        <f t="shared" si="818"/>
        <v>35000</v>
      </c>
      <c r="Q2671" s="753">
        <v>34550</v>
      </c>
      <c r="R2671" s="738">
        <v>10126.799999999999</v>
      </c>
      <c r="S2671" s="738">
        <f>Q2671</f>
        <v>34550</v>
      </c>
      <c r="T2671" s="739">
        <v>1100121</v>
      </c>
      <c r="U2671" s="746">
        <v>35000</v>
      </c>
      <c r="V2671" s="741">
        <v>1100122</v>
      </c>
    </row>
    <row r="2672" spans="1:22" ht="15" x14ac:dyDescent="0.2">
      <c r="A2672" s="734">
        <v>3571</v>
      </c>
      <c r="B2672" s="735" t="s">
        <v>65</v>
      </c>
      <c r="C2672" s="736">
        <v>13653.2</v>
      </c>
      <c r="D2672" s="736">
        <v>15000</v>
      </c>
      <c r="E2672" s="749">
        <v>15000</v>
      </c>
      <c r="F2672" s="736">
        <v>13920</v>
      </c>
      <c r="G2672" s="752">
        <v>15000</v>
      </c>
      <c r="H2672" s="752"/>
      <c r="I2672" s="752"/>
      <c r="J2672" s="736">
        <f t="shared" si="816"/>
        <v>15000</v>
      </c>
      <c r="K2672" s="752"/>
      <c r="L2672" s="752"/>
      <c r="M2672" s="736">
        <f t="shared" si="817"/>
        <v>15000</v>
      </c>
      <c r="N2672" s="736"/>
      <c r="O2672" s="736"/>
      <c r="P2672" s="736">
        <f t="shared" si="818"/>
        <v>15000</v>
      </c>
      <c r="Q2672" s="753">
        <v>15000</v>
      </c>
      <c r="R2672" s="738">
        <v>1392</v>
      </c>
      <c r="S2672" s="753">
        <v>15525</v>
      </c>
      <c r="T2672" s="739">
        <v>1100121</v>
      </c>
      <c r="U2672" s="740">
        <v>10000</v>
      </c>
      <c r="V2672" s="741">
        <v>1100122</v>
      </c>
    </row>
    <row r="2673" spans="1:22" ht="15" x14ac:dyDescent="0.2">
      <c r="A2673" s="734">
        <v>3852</v>
      </c>
      <c r="B2673" s="735" t="s">
        <v>32</v>
      </c>
      <c r="C2673" s="736">
        <v>5600.23</v>
      </c>
      <c r="D2673" s="736">
        <v>7500</v>
      </c>
      <c r="E2673" s="749">
        <v>7500</v>
      </c>
      <c r="F2673" s="736">
        <v>6837.14</v>
      </c>
      <c r="G2673" s="752">
        <v>7500</v>
      </c>
      <c r="H2673" s="752"/>
      <c r="I2673" s="752"/>
      <c r="J2673" s="736">
        <f t="shared" si="816"/>
        <v>7500</v>
      </c>
      <c r="K2673" s="752"/>
      <c r="L2673" s="752"/>
      <c r="M2673" s="736">
        <f t="shared" si="817"/>
        <v>7500</v>
      </c>
      <c r="N2673" s="736"/>
      <c r="O2673" s="736"/>
      <c r="P2673" s="736">
        <f t="shared" si="818"/>
        <v>7500</v>
      </c>
      <c r="Q2673" s="753">
        <v>7500</v>
      </c>
      <c r="R2673" s="738">
        <v>1032.56</v>
      </c>
      <c r="S2673" s="753">
        <v>7762.5</v>
      </c>
      <c r="T2673" s="739">
        <v>1100121</v>
      </c>
      <c r="U2673" s="740">
        <v>7000</v>
      </c>
      <c r="V2673" s="741">
        <v>1100122</v>
      </c>
    </row>
    <row r="2674" spans="1:22" ht="15" x14ac:dyDescent="0.2">
      <c r="A2674" s="739">
        <v>3921</v>
      </c>
      <c r="B2674" s="743" t="s">
        <v>33</v>
      </c>
      <c r="C2674" s="736">
        <v>705.01</v>
      </c>
      <c r="D2674" s="736">
        <v>1040</v>
      </c>
      <c r="E2674" s="749">
        <v>1040</v>
      </c>
      <c r="F2674" s="736">
        <v>525.99</v>
      </c>
      <c r="G2674" s="752">
        <v>1158</v>
      </c>
      <c r="H2674" s="752"/>
      <c r="I2674" s="752"/>
      <c r="J2674" s="736">
        <f t="shared" si="816"/>
        <v>1158</v>
      </c>
      <c r="K2674" s="752"/>
      <c r="L2674" s="752"/>
      <c r="M2674" s="736">
        <f t="shared" si="817"/>
        <v>1158</v>
      </c>
      <c r="N2674" s="736"/>
      <c r="O2674" s="736"/>
      <c r="P2674" s="736">
        <f t="shared" si="818"/>
        <v>1158</v>
      </c>
      <c r="Q2674" s="753">
        <v>1608</v>
      </c>
      <c r="R2674" s="738">
        <v>1577.98</v>
      </c>
      <c r="S2674" s="753">
        <v>1198.53</v>
      </c>
      <c r="T2674" s="739">
        <v>1100121</v>
      </c>
      <c r="U2674" s="744"/>
      <c r="V2674" s="739">
        <v>1100122</v>
      </c>
    </row>
    <row r="2675" spans="1:22" ht="15" x14ac:dyDescent="0.2">
      <c r="A2675" s="734">
        <v>3921</v>
      </c>
      <c r="B2675" s="735" t="s">
        <v>33</v>
      </c>
      <c r="C2675" s="736"/>
      <c r="D2675" s="736"/>
      <c r="E2675" s="749"/>
      <c r="F2675" s="736"/>
      <c r="G2675" s="752"/>
      <c r="H2675" s="752"/>
      <c r="I2675" s="752"/>
      <c r="J2675" s="736"/>
      <c r="K2675" s="752"/>
      <c r="L2675" s="752"/>
      <c r="M2675" s="736"/>
      <c r="N2675" s="736"/>
      <c r="O2675" s="736"/>
      <c r="P2675" s="736"/>
      <c r="Q2675" s="753"/>
      <c r="R2675" s="738"/>
      <c r="S2675" s="753">
        <v>2020.44</v>
      </c>
      <c r="T2675" s="739"/>
      <c r="U2675" s="746">
        <v>2021</v>
      </c>
      <c r="V2675" s="741">
        <v>1100122</v>
      </c>
    </row>
    <row r="2676" spans="1:22" ht="15" x14ac:dyDescent="0.2">
      <c r="A2676" s="734">
        <v>5691</v>
      </c>
      <c r="B2676" s="735" t="s">
        <v>1713</v>
      </c>
      <c r="C2676" s="736"/>
      <c r="D2676" s="736"/>
      <c r="E2676" s="749"/>
      <c r="F2676" s="736"/>
      <c r="G2676" s="752"/>
      <c r="H2676" s="752"/>
      <c r="I2676" s="752"/>
      <c r="J2676" s="736"/>
      <c r="K2676" s="752"/>
      <c r="L2676" s="752"/>
      <c r="M2676" s="736"/>
      <c r="N2676" s="736"/>
      <c r="O2676" s="736"/>
      <c r="P2676" s="736"/>
      <c r="Q2676" s="753"/>
      <c r="R2676" s="738"/>
      <c r="S2676" s="753">
        <v>65930</v>
      </c>
      <c r="T2676" s="739"/>
      <c r="U2676" s="746">
        <v>65930</v>
      </c>
      <c r="V2676" s="741">
        <v>1100122</v>
      </c>
    </row>
    <row r="2677" spans="1:22" ht="15" x14ac:dyDescent="0.2">
      <c r="A2677" s="739">
        <v>5411</v>
      </c>
      <c r="B2677" s="743" t="s">
        <v>123</v>
      </c>
      <c r="C2677" s="736"/>
      <c r="D2677" s="736">
        <v>0</v>
      </c>
      <c r="E2677" s="749">
        <v>1000000</v>
      </c>
      <c r="F2677" s="736">
        <v>1000000</v>
      </c>
      <c r="G2677" s="736"/>
      <c r="H2677" s="736"/>
      <c r="I2677" s="736"/>
      <c r="J2677" s="736">
        <f t="shared" ref="J2677:J2678" si="819">G2677+H2677-I2677</f>
        <v>0</v>
      </c>
      <c r="K2677" s="736"/>
      <c r="L2677" s="736"/>
      <c r="M2677" s="736">
        <f t="shared" ref="M2677:M2678" si="820">J2677+K2677-L2677</f>
        <v>0</v>
      </c>
      <c r="N2677" s="736"/>
      <c r="O2677" s="736"/>
      <c r="P2677" s="738">
        <f t="shared" ref="P2677:P2678" si="821">M2677+N2677-O2677</f>
        <v>0</v>
      </c>
      <c r="Q2677" s="738"/>
      <c r="R2677" s="738"/>
      <c r="S2677" s="738"/>
      <c r="T2677" s="739">
        <v>1100119</v>
      </c>
      <c r="U2677" s="745"/>
      <c r="V2677" s="739">
        <v>1100119</v>
      </c>
    </row>
    <row r="2678" spans="1:22" ht="15" x14ac:dyDescent="0.2">
      <c r="A2678" s="739">
        <v>5411</v>
      </c>
      <c r="B2678" s="743" t="s">
        <v>123</v>
      </c>
      <c r="C2678" s="736"/>
      <c r="D2678" s="736">
        <v>0</v>
      </c>
      <c r="E2678" s="749">
        <v>10000</v>
      </c>
      <c r="F2678" s="736">
        <v>4000</v>
      </c>
      <c r="G2678" s="736"/>
      <c r="H2678" s="736"/>
      <c r="I2678" s="736"/>
      <c r="J2678" s="736">
        <f t="shared" si="819"/>
        <v>0</v>
      </c>
      <c r="K2678" s="736"/>
      <c r="L2678" s="736"/>
      <c r="M2678" s="736">
        <f t="shared" si="820"/>
        <v>0</v>
      </c>
      <c r="N2678" s="736"/>
      <c r="O2678" s="736"/>
      <c r="P2678" s="738">
        <f t="shared" si="821"/>
        <v>0</v>
      </c>
      <c r="Q2678" s="738"/>
      <c r="R2678" s="738"/>
      <c r="S2678" s="738"/>
      <c r="T2678" s="739">
        <v>1100121</v>
      </c>
      <c r="U2678" s="745"/>
      <c r="V2678" s="739">
        <v>1100122</v>
      </c>
    </row>
    <row r="2679" spans="1:22" ht="15" x14ac:dyDescent="0.2">
      <c r="A2679" s="724" t="s">
        <v>314</v>
      </c>
      <c r="B2679" s="725" t="s">
        <v>1122</v>
      </c>
      <c r="C2679" s="721">
        <f t="shared" ref="C2679:S2679" si="822">SUM(C2680+C2717+C2719+C2738)</f>
        <v>10532852.25</v>
      </c>
      <c r="D2679" s="721">
        <f t="shared" si="822"/>
        <v>12022188.370000001</v>
      </c>
      <c r="E2679" s="721">
        <f t="shared" si="822"/>
        <v>11789051.609999999</v>
      </c>
      <c r="F2679" s="721">
        <f t="shared" si="822"/>
        <v>10295907.219999999</v>
      </c>
      <c r="G2679" s="721">
        <f t="shared" si="822"/>
        <v>12904323.199999999</v>
      </c>
      <c r="H2679" s="721">
        <f t="shared" si="822"/>
        <v>35519.199999999997</v>
      </c>
      <c r="I2679" s="721">
        <f t="shared" si="822"/>
        <v>0</v>
      </c>
      <c r="J2679" s="721">
        <f t="shared" si="822"/>
        <v>12939842.4</v>
      </c>
      <c r="K2679" s="721">
        <f t="shared" si="822"/>
        <v>794358.22</v>
      </c>
      <c r="L2679" s="721">
        <f t="shared" si="822"/>
        <v>952065.87</v>
      </c>
      <c r="M2679" s="721">
        <f t="shared" si="822"/>
        <v>12782134.75</v>
      </c>
      <c r="N2679" s="721">
        <f t="shared" si="822"/>
        <v>315779.68</v>
      </c>
      <c r="O2679" s="721">
        <f t="shared" si="822"/>
        <v>462779.68</v>
      </c>
      <c r="P2679" s="721">
        <f t="shared" si="822"/>
        <v>12635134.75</v>
      </c>
      <c r="Q2679" s="756">
        <f t="shared" si="822"/>
        <v>12869893.999999998</v>
      </c>
      <c r="R2679" s="756">
        <f t="shared" si="822"/>
        <v>8051375.6099999994</v>
      </c>
      <c r="S2679" s="756">
        <f t="shared" si="822"/>
        <v>24325983.810000002</v>
      </c>
      <c r="T2679" s="724"/>
      <c r="U2679" s="726">
        <f>SUM(U2680+U2717+U2719+U2738)</f>
        <v>23469854.910000004</v>
      </c>
      <c r="V2679" s="727"/>
    </row>
    <row r="2680" spans="1:22" ht="15" x14ac:dyDescent="0.2">
      <c r="A2680" s="728" t="s">
        <v>315</v>
      </c>
      <c r="B2680" s="729" t="s">
        <v>1565</v>
      </c>
      <c r="C2680" s="730">
        <f t="shared" ref="C2680:S2680" si="823">SUM(C2681:C2716)</f>
        <v>3776096.4600000004</v>
      </c>
      <c r="D2680" s="730">
        <f t="shared" si="823"/>
        <v>4990507.37</v>
      </c>
      <c r="E2680" s="730">
        <f t="shared" si="823"/>
        <v>4597626.4399999995</v>
      </c>
      <c r="F2680" s="730">
        <f t="shared" si="823"/>
        <v>4449500.5699999994</v>
      </c>
      <c r="G2680" s="730">
        <f t="shared" si="823"/>
        <v>5142737.5</v>
      </c>
      <c r="H2680" s="730">
        <f t="shared" si="823"/>
        <v>35519.199999999997</v>
      </c>
      <c r="I2680" s="730">
        <f t="shared" si="823"/>
        <v>0</v>
      </c>
      <c r="J2680" s="730">
        <f t="shared" si="823"/>
        <v>5178256.7</v>
      </c>
      <c r="K2680" s="730">
        <f t="shared" si="823"/>
        <v>721202.24</v>
      </c>
      <c r="L2680" s="730">
        <f t="shared" si="823"/>
        <v>0</v>
      </c>
      <c r="M2680" s="730">
        <f t="shared" si="823"/>
        <v>5899458.9399999995</v>
      </c>
      <c r="N2680" s="730">
        <f t="shared" si="823"/>
        <v>274279.67999999999</v>
      </c>
      <c r="O2680" s="730">
        <f t="shared" si="823"/>
        <v>274279.67999999999</v>
      </c>
      <c r="P2680" s="730">
        <f t="shared" si="823"/>
        <v>5899458.9399999995</v>
      </c>
      <c r="Q2680" s="748">
        <f t="shared" si="823"/>
        <v>5873781.4499999983</v>
      </c>
      <c r="R2680" s="748">
        <f>SUM(R2681:R2716)</f>
        <v>4041733.9800000004</v>
      </c>
      <c r="S2680" s="748">
        <f t="shared" si="823"/>
        <v>5959770.8100000005</v>
      </c>
      <c r="T2680" s="731"/>
      <c r="U2680" s="732">
        <f>SUM(U2681:U2716)</f>
        <v>5136529.92</v>
      </c>
      <c r="V2680" s="733"/>
    </row>
    <row r="2681" spans="1:22" ht="15" x14ac:dyDescent="0.2">
      <c r="A2681" s="739">
        <v>1131</v>
      </c>
      <c r="B2681" s="743" t="s">
        <v>6</v>
      </c>
      <c r="C2681" s="736">
        <v>44100.84</v>
      </c>
      <c r="D2681" s="736">
        <v>91626.08</v>
      </c>
      <c r="E2681" s="749">
        <v>56138.64</v>
      </c>
      <c r="F2681" s="736">
        <v>0</v>
      </c>
      <c r="G2681" s="736"/>
      <c r="H2681" s="736"/>
      <c r="I2681" s="736"/>
      <c r="J2681" s="736">
        <f t="shared" ref="J2681:J2694" si="824">G2681+H2681-I2681</f>
        <v>0</v>
      </c>
      <c r="K2681" s="737"/>
      <c r="L2681" s="736"/>
      <c r="M2681" s="736">
        <f t="shared" ref="M2681:M2694" si="825">J2681+K2681-L2681</f>
        <v>0</v>
      </c>
      <c r="N2681" s="736"/>
      <c r="O2681" s="736"/>
      <c r="P2681" s="738">
        <f t="shared" ref="P2681:P2694" si="826">M2681+N2681-O2681</f>
        <v>0</v>
      </c>
      <c r="Q2681" s="738"/>
      <c r="R2681" s="738"/>
      <c r="S2681" s="751">
        <v>103554.36</v>
      </c>
      <c r="T2681" s="739">
        <v>1500521</v>
      </c>
      <c r="U2681" s="750"/>
      <c r="V2681" s="739">
        <v>1500522</v>
      </c>
    </row>
    <row r="2682" spans="1:22" ht="15" x14ac:dyDescent="0.25">
      <c r="A2682" s="734">
        <v>1132</v>
      </c>
      <c r="B2682" s="735" t="s">
        <v>8</v>
      </c>
      <c r="C2682" s="736">
        <v>659341.37</v>
      </c>
      <c r="D2682" s="736">
        <v>606937.24</v>
      </c>
      <c r="E2682" s="749">
        <v>705985.24</v>
      </c>
      <c r="F2682" s="736">
        <v>730650.23</v>
      </c>
      <c r="G2682" s="736">
        <v>826250.9</v>
      </c>
      <c r="H2682" s="736"/>
      <c r="I2682" s="736"/>
      <c r="J2682" s="736">
        <f t="shared" si="824"/>
        <v>826250.9</v>
      </c>
      <c r="K2682" s="759">
        <v>29125.32</v>
      </c>
      <c r="L2682" s="736"/>
      <c r="M2682" s="736">
        <f t="shared" si="825"/>
        <v>855376.22</v>
      </c>
      <c r="N2682" s="736"/>
      <c r="O2682" s="736"/>
      <c r="P2682" s="736">
        <f t="shared" si="826"/>
        <v>855376.22</v>
      </c>
      <c r="Q2682" s="738">
        <v>855376.22</v>
      </c>
      <c r="R2682" s="738">
        <v>602904.28</v>
      </c>
      <c r="S2682" s="751">
        <v>966194.32</v>
      </c>
      <c r="T2682" s="739">
        <v>1500521</v>
      </c>
      <c r="U2682" s="779">
        <v>866924.88</v>
      </c>
      <c r="V2682" s="741">
        <v>1500522</v>
      </c>
    </row>
    <row r="2683" spans="1:22" ht="15" x14ac:dyDescent="0.25">
      <c r="A2683" s="734">
        <v>1212</v>
      </c>
      <c r="B2683" s="735" t="s">
        <v>53</v>
      </c>
      <c r="C2683" s="736">
        <v>1494233.95</v>
      </c>
      <c r="D2683" s="736">
        <v>2373184.7999999998</v>
      </c>
      <c r="E2683" s="749">
        <v>2072808.3</v>
      </c>
      <c r="F2683" s="736">
        <v>2091129.1</v>
      </c>
      <c r="G2683" s="736">
        <v>2350519.2000000002</v>
      </c>
      <c r="H2683" s="736"/>
      <c r="I2683" s="736"/>
      <c r="J2683" s="736">
        <f t="shared" si="824"/>
        <v>2350519.2000000002</v>
      </c>
      <c r="K2683" s="759">
        <v>31364.73</v>
      </c>
      <c r="L2683" s="736"/>
      <c r="M2683" s="736">
        <f t="shared" si="825"/>
        <v>2381883.9300000002</v>
      </c>
      <c r="N2683" s="736"/>
      <c r="O2683" s="736"/>
      <c r="P2683" s="736">
        <f t="shared" si="826"/>
        <v>2381883.9300000002</v>
      </c>
      <c r="Q2683" s="738">
        <v>2362619.34</v>
      </c>
      <c r="R2683" s="738">
        <v>1686181.06</v>
      </c>
      <c r="S2683" s="751">
        <v>2505920.4</v>
      </c>
      <c r="T2683" s="739">
        <v>1500521</v>
      </c>
      <c r="U2683" s="779">
        <v>2269726.4</v>
      </c>
      <c r="V2683" s="741">
        <v>1500522</v>
      </c>
    </row>
    <row r="2684" spans="1:22" ht="15" x14ac:dyDescent="0.25">
      <c r="A2684" s="734">
        <v>1321</v>
      </c>
      <c r="B2684" s="735" t="s">
        <v>9</v>
      </c>
      <c r="C2684" s="736">
        <v>55028.18</v>
      </c>
      <c r="D2684" s="736">
        <v>56116.77</v>
      </c>
      <c r="E2684" s="749">
        <v>65184.77</v>
      </c>
      <c r="F2684" s="736">
        <v>53993.97</v>
      </c>
      <c r="G2684" s="736">
        <v>58519.299999999996</v>
      </c>
      <c r="H2684" s="736"/>
      <c r="I2684" s="736"/>
      <c r="J2684" s="736">
        <f t="shared" si="824"/>
        <v>58519.299999999996</v>
      </c>
      <c r="K2684" s="759">
        <v>5555.89</v>
      </c>
      <c r="L2684" s="736"/>
      <c r="M2684" s="736">
        <f t="shared" si="825"/>
        <v>64075.189999999995</v>
      </c>
      <c r="N2684" s="736"/>
      <c r="O2684" s="736"/>
      <c r="P2684" s="736">
        <f t="shared" si="826"/>
        <v>64075.189999999995</v>
      </c>
      <c r="Q2684" s="738">
        <v>74431.509999999995</v>
      </c>
      <c r="R2684" s="738">
        <v>38180.239999999998</v>
      </c>
      <c r="S2684" s="751">
        <v>76820.460000000006</v>
      </c>
      <c r="T2684" s="739">
        <v>1500521</v>
      </c>
      <c r="U2684" s="779">
        <v>77084.25</v>
      </c>
      <c r="V2684" s="741">
        <v>1500522</v>
      </c>
    </row>
    <row r="2685" spans="1:22" ht="15" x14ac:dyDescent="0.25">
      <c r="A2685" s="734">
        <v>1323</v>
      </c>
      <c r="B2685" s="735" t="s">
        <v>11</v>
      </c>
      <c r="C2685" s="736">
        <v>202524.68</v>
      </c>
      <c r="D2685" s="736">
        <v>222839.2</v>
      </c>
      <c r="E2685" s="749">
        <v>256002.1</v>
      </c>
      <c r="F2685" s="736">
        <v>212676.87</v>
      </c>
      <c r="G2685" s="736">
        <v>242496.3</v>
      </c>
      <c r="H2685" s="736"/>
      <c r="I2685" s="736"/>
      <c r="J2685" s="736">
        <f t="shared" si="824"/>
        <v>242496.3</v>
      </c>
      <c r="K2685" s="759">
        <v>6976.96</v>
      </c>
      <c r="L2685" s="736"/>
      <c r="M2685" s="736">
        <f t="shared" si="825"/>
        <v>249473.25999999998</v>
      </c>
      <c r="N2685" s="736"/>
      <c r="O2685" s="736"/>
      <c r="P2685" s="736">
        <f t="shared" si="826"/>
        <v>249473.25999999998</v>
      </c>
      <c r="Q2685" s="738">
        <v>249473.26</v>
      </c>
      <c r="R2685" s="738">
        <v>113385.87</v>
      </c>
      <c r="S2685" s="751">
        <v>295308.34999999998</v>
      </c>
      <c r="T2685" s="739">
        <v>1500521</v>
      </c>
      <c r="U2685" s="779">
        <v>251858.19</v>
      </c>
      <c r="V2685" s="741">
        <v>1500522</v>
      </c>
    </row>
    <row r="2686" spans="1:22" ht="15" x14ac:dyDescent="0.25">
      <c r="A2686" s="734">
        <v>1413</v>
      </c>
      <c r="B2686" s="735" t="s">
        <v>13</v>
      </c>
      <c r="C2686" s="736">
        <v>438694.8</v>
      </c>
      <c r="D2686" s="736">
        <v>600792.30000000005</v>
      </c>
      <c r="E2686" s="749">
        <v>525132.80000000005</v>
      </c>
      <c r="F2686" s="736">
        <v>508621.54</v>
      </c>
      <c r="G2686" s="736">
        <v>664196.6</v>
      </c>
      <c r="H2686" s="736"/>
      <c r="I2686" s="736"/>
      <c r="J2686" s="736">
        <f t="shared" si="824"/>
        <v>664196.6</v>
      </c>
      <c r="K2686" s="759">
        <v>19797.39</v>
      </c>
      <c r="L2686" s="736"/>
      <c r="M2686" s="736">
        <f t="shared" si="825"/>
        <v>683993.99</v>
      </c>
      <c r="N2686" s="736"/>
      <c r="O2686" s="736"/>
      <c r="P2686" s="736">
        <f t="shared" si="826"/>
        <v>683993.99</v>
      </c>
      <c r="Q2686" s="738">
        <v>669145.14</v>
      </c>
      <c r="R2686" s="738">
        <v>454910</v>
      </c>
      <c r="S2686" s="751">
        <v>805143.6</v>
      </c>
      <c r="T2686" s="739">
        <v>1500521</v>
      </c>
      <c r="U2686" s="779">
        <v>611677.84</v>
      </c>
      <c r="V2686" s="741">
        <v>1500522</v>
      </c>
    </row>
    <row r="2687" spans="1:22" ht="15" x14ac:dyDescent="0.25">
      <c r="A2687" s="734">
        <v>1421</v>
      </c>
      <c r="B2687" s="735" t="s">
        <v>15</v>
      </c>
      <c r="C2687" s="736">
        <v>142597.76000000001</v>
      </c>
      <c r="D2687" s="736">
        <v>181931.34</v>
      </c>
      <c r="E2687" s="749">
        <v>142430.34</v>
      </c>
      <c r="F2687" s="736">
        <v>152023.31</v>
      </c>
      <c r="G2687" s="736">
        <v>190973.2</v>
      </c>
      <c r="H2687" s="736"/>
      <c r="I2687" s="736"/>
      <c r="J2687" s="736">
        <f t="shared" si="824"/>
        <v>190973.2</v>
      </c>
      <c r="K2687" s="759">
        <v>5441.19</v>
      </c>
      <c r="L2687" s="736"/>
      <c r="M2687" s="736">
        <f t="shared" si="825"/>
        <v>196414.39</v>
      </c>
      <c r="N2687" s="736"/>
      <c r="O2687" s="736"/>
      <c r="P2687" s="736">
        <f t="shared" si="826"/>
        <v>196414.39</v>
      </c>
      <c r="Q2687" s="738">
        <v>196414.39</v>
      </c>
      <c r="R2687" s="738">
        <v>122813.16</v>
      </c>
      <c r="S2687" s="751">
        <v>219513.84</v>
      </c>
      <c r="T2687" s="739">
        <v>1500521</v>
      </c>
      <c r="U2687" s="779">
        <v>220908.21</v>
      </c>
      <c r="V2687" s="741">
        <v>1500522</v>
      </c>
    </row>
    <row r="2688" spans="1:22" ht="15" x14ac:dyDescent="0.25">
      <c r="A2688" s="734">
        <v>1431</v>
      </c>
      <c r="B2688" s="735" t="s">
        <v>16</v>
      </c>
      <c r="C2688" s="736">
        <v>153107.88</v>
      </c>
      <c r="D2688" s="736">
        <v>187389.2</v>
      </c>
      <c r="E2688" s="749">
        <v>149383</v>
      </c>
      <c r="F2688" s="736">
        <v>160870.39000000001</v>
      </c>
      <c r="G2688" s="736">
        <v>196702.1</v>
      </c>
      <c r="H2688" s="736"/>
      <c r="I2688" s="736"/>
      <c r="J2688" s="736">
        <f t="shared" si="824"/>
        <v>196702.1</v>
      </c>
      <c r="K2688" s="759">
        <v>5564.45</v>
      </c>
      <c r="L2688" s="736"/>
      <c r="M2688" s="736">
        <f t="shared" si="825"/>
        <v>202266.55000000002</v>
      </c>
      <c r="N2688" s="736"/>
      <c r="O2688" s="736"/>
      <c r="P2688" s="736">
        <f t="shared" si="826"/>
        <v>202266.55000000002</v>
      </c>
      <c r="Q2688" s="738">
        <v>198236.63</v>
      </c>
      <c r="R2688" s="738">
        <v>124607.06</v>
      </c>
      <c r="S2688" s="751">
        <v>226099.32</v>
      </c>
      <c r="T2688" s="739">
        <v>1500521</v>
      </c>
      <c r="U2688" s="779">
        <v>219722.12</v>
      </c>
      <c r="V2688" s="741">
        <v>1500522</v>
      </c>
    </row>
    <row r="2689" spans="1:22" ht="15" x14ac:dyDescent="0.25">
      <c r="A2689" s="734">
        <v>1511</v>
      </c>
      <c r="B2689" s="735" t="s">
        <v>18</v>
      </c>
      <c r="C2689" s="736">
        <v>17910.59</v>
      </c>
      <c r="D2689" s="736">
        <v>18054.400000000001</v>
      </c>
      <c r="E2689" s="749">
        <v>18054.400000000001</v>
      </c>
      <c r="F2689" s="736">
        <v>18607.52</v>
      </c>
      <c r="G2689" s="736">
        <v>21046.5</v>
      </c>
      <c r="H2689" s="736"/>
      <c r="I2689" s="736"/>
      <c r="J2689" s="736">
        <f t="shared" si="824"/>
        <v>21046.5</v>
      </c>
      <c r="K2689" s="759">
        <v>705.19</v>
      </c>
      <c r="L2689" s="736"/>
      <c r="M2689" s="736">
        <f t="shared" si="825"/>
        <v>21751.69</v>
      </c>
      <c r="N2689" s="736"/>
      <c r="O2689" s="736"/>
      <c r="P2689" s="736">
        <f t="shared" si="826"/>
        <v>21751.69</v>
      </c>
      <c r="Q2689" s="738">
        <v>21751.69</v>
      </c>
      <c r="R2689" s="738">
        <v>15288.08</v>
      </c>
      <c r="S2689" s="751">
        <v>27802.32</v>
      </c>
      <c r="T2689" s="739">
        <v>1500521</v>
      </c>
      <c r="U2689" s="779">
        <v>21957.98</v>
      </c>
      <c r="V2689" s="741">
        <v>1500522</v>
      </c>
    </row>
    <row r="2690" spans="1:22" ht="15" x14ac:dyDescent="0.25">
      <c r="A2690" s="734">
        <v>1541</v>
      </c>
      <c r="B2690" s="735" t="s">
        <v>19</v>
      </c>
      <c r="C2690" s="736">
        <v>44394.79</v>
      </c>
      <c r="D2690" s="736">
        <v>34826.480000000003</v>
      </c>
      <c r="E2690" s="749">
        <v>31138.48</v>
      </c>
      <c r="F2690" s="736">
        <v>31666.65</v>
      </c>
      <c r="G2690" s="736">
        <v>37752</v>
      </c>
      <c r="H2690" s="736"/>
      <c r="I2690" s="736"/>
      <c r="J2690" s="736">
        <f t="shared" si="824"/>
        <v>37752</v>
      </c>
      <c r="K2690" s="759">
        <v>1436.73</v>
      </c>
      <c r="L2690" s="736"/>
      <c r="M2690" s="736">
        <f t="shared" si="825"/>
        <v>39188.730000000003</v>
      </c>
      <c r="N2690" s="736"/>
      <c r="O2690" s="736"/>
      <c r="P2690" s="736">
        <f t="shared" si="826"/>
        <v>39188.730000000003</v>
      </c>
      <c r="Q2690" s="738">
        <v>39188.730000000003</v>
      </c>
      <c r="R2690" s="738">
        <v>22427.05</v>
      </c>
      <c r="S2690" s="751">
        <v>36462.92</v>
      </c>
      <c r="T2690" s="739">
        <v>1500521</v>
      </c>
      <c r="U2690" s="779">
        <v>36122.26</v>
      </c>
      <c r="V2690" s="741">
        <v>1500522</v>
      </c>
    </row>
    <row r="2691" spans="1:22" ht="15" x14ac:dyDescent="0.25">
      <c r="A2691" s="734">
        <v>1592</v>
      </c>
      <c r="B2691" s="735" t="s">
        <v>20</v>
      </c>
      <c r="C2691" s="736">
        <v>203106.17</v>
      </c>
      <c r="D2691" s="736">
        <v>203840</v>
      </c>
      <c r="E2691" s="749">
        <v>194658.81</v>
      </c>
      <c r="F2691" s="736">
        <v>201336.59</v>
      </c>
      <c r="G2691" s="736">
        <v>226131.4</v>
      </c>
      <c r="H2691" s="736"/>
      <c r="I2691" s="736"/>
      <c r="J2691" s="736">
        <f t="shared" si="824"/>
        <v>226131.4</v>
      </c>
      <c r="K2691" s="759">
        <v>7595.87</v>
      </c>
      <c r="L2691" s="736"/>
      <c r="M2691" s="736">
        <f t="shared" si="825"/>
        <v>233727.27</v>
      </c>
      <c r="N2691" s="736"/>
      <c r="O2691" s="736"/>
      <c r="P2691" s="736">
        <f t="shared" si="826"/>
        <v>233727.27</v>
      </c>
      <c r="Q2691" s="738">
        <v>250045.76</v>
      </c>
      <c r="R2691" s="738">
        <v>164351.54999999999</v>
      </c>
      <c r="S2691" s="751">
        <v>319966.92</v>
      </c>
      <c r="T2691" s="739">
        <v>1500521</v>
      </c>
      <c r="U2691" s="779">
        <v>236047.79</v>
      </c>
      <c r="V2691" s="741">
        <v>1500522</v>
      </c>
    </row>
    <row r="2692" spans="1:22" ht="15" x14ac:dyDescent="0.2">
      <c r="A2692" s="734">
        <v>2111</v>
      </c>
      <c r="B2692" s="735" t="s">
        <v>22</v>
      </c>
      <c r="C2692" s="736">
        <v>4969.79</v>
      </c>
      <c r="D2692" s="736">
        <v>4500</v>
      </c>
      <c r="E2692" s="749">
        <v>3150</v>
      </c>
      <c r="F2692" s="736">
        <v>2925</v>
      </c>
      <c r="G2692" s="752">
        <v>3150</v>
      </c>
      <c r="H2692" s="752"/>
      <c r="I2692" s="752"/>
      <c r="J2692" s="736">
        <f t="shared" si="824"/>
        <v>3150</v>
      </c>
      <c r="K2692" s="752"/>
      <c r="L2692" s="752"/>
      <c r="M2692" s="736">
        <f t="shared" si="825"/>
        <v>3150</v>
      </c>
      <c r="N2692" s="736"/>
      <c r="O2692" s="736"/>
      <c r="P2692" s="736">
        <f t="shared" si="826"/>
        <v>3150</v>
      </c>
      <c r="Q2692" s="753">
        <v>3150</v>
      </c>
      <c r="R2692" s="738">
        <v>2187.1</v>
      </c>
      <c r="S2692" s="753">
        <v>3500</v>
      </c>
      <c r="T2692" s="739">
        <v>1100121</v>
      </c>
      <c r="U2692" s="740">
        <v>3500</v>
      </c>
      <c r="V2692" s="741">
        <v>1100122</v>
      </c>
    </row>
    <row r="2693" spans="1:22" ht="15" x14ac:dyDescent="0.2">
      <c r="A2693" s="734">
        <v>2121</v>
      </c>
      <c r="B2693" s="735" t="s">
        <v>24</v>
      </c>
      <c r="C2693" s="736">
        <v>20127.25</v>
      </c>
      <c r="D2693" s="736">
        <v>20000</v>
      </c>
      <c r="E2693" s="749">
        <v>14000</v>
      </c>
      <c r="F2693" s="736">
        <v>5977</v>
      </c>
      <c r="G2693" s="752">
        <v>14000</v>
      </c>
      <c r="H2693" s="752"/>
      <c r="I2693" s="752"/>
      <c r="J2693" s="736">
        <f t="shared" si="824"/>
        <v>14000</v>
      </c>
      <c r="K2693" s="752"/>
      <c r="L2693" s="752"/>
      <c r="M2693" s="736">
        <f t="shared" si="825"/>
        <v>14000</v>
      </c>
      <c r="N2693" s="736"/>
      <c r="O2693" s="736"/>
      <c r="P2693" s="736">
        <f t="shared" si="826"/>
        <v>14000</v>
      </c>
      <c r="Q2693" s="753">
        <v>12791.06</v>
      </c>
      <c r="R2693" s="738">
        <v>11438.37</v>
      </c>
      <c r="S2693" s="753">
        <v>14000</v>
      </c>
      <c r="T2693" s="739">
        <v>1100121</v>
      </c>
      <c r="U2693" s="740">
        <v>14000</v>
      </c>
      <c r="V2693" s="741">
        <v>1100122</v>
      </c>
    </row>
    <row r="2694" spans="1:22" ht="15" x14ac:dyDescent="0.2">
      <c r="A2694" s="734">
        <v>2161</v>
      </c>
      <c r="B2694" s="735" t="s">
        <v>59</v>
      </c>
      <c r="C2694" s="736"/>
      <c r="D2694" s="736">
        <v>52000</v>
      </c>
      <c r="E2694" s="749">
        <v>32000</v>
      </c>
      <c r="F2694" s="736">
        <v>22962.77</v>
      </c>
      <c r="G2694" s="752">
        <v>32000</v>
      </c>
      <c r="H2694" s="752"/>
      <c r="I2694" s="752"/>
      <c r="J2694" s="736">
        <f t="shared" si="824"/>
        <v>32000</v>
      </c>
      <c r="K2694" s="752"/>
      <c r="L2694" s="752"/>
      <c r="M2694" s="736">
        <f t="shared" si="825"/>
        <v>32000</v>
      </c>
      <c r="N2694" s="736"/>
      <c r="O2694" s="736"/>
      <c r="P2694" s="736">
        <f t="shared" si="826"/>
        <v>32000</v>
      </c>
      <c r="Q2694" s="753">
        <v>32000</v>
      </c>
      <c r="R2694" s="738">
        <v>31841.599999999999</v>
      </c>
      <c r="S2694" s="753">
        <v>32000</v>
      </c>
      <c r="T2694" s="739">
        <v>1100121</v>
      </c>
      <c r="U2694" s="740">
        <v>32000</v>
      </c>
      <c r="V2694" s="741">
        <v>1100122</v>
      </c>
    </row>
    <row r="2695" spans="1:22" ht="15" x14ac:dyDescent="0.2">
      <c r="A2695" s="739">
        <v>2214</v>
      </c>
      <c r="B2695" s="743" t="s">
        <v>1812</v>
      </c>
      <c r="C2695" s="736"/>
      <c r="D2695" s="736"/>
      <c r="E2695" s="749"/>
      <c r="F2695" s="736"/>
      <c r="G2695" s="752"/>
      <c r="H2695" s="752"/>
      <c r="I2695" s="752"/>
      <c r="J2695" s="736"/>
      <c r="K2695" s="752"/>
      <c r="L2695" s="752"/>
      <c r="M2695" s="736"/>
      <c r="N2695" s="736"/>
      <c r="O2695" s="736"/>
      <c r="P2695" s="736"/>
      <c r="Q2695" s="753"/>
      <c r="R2695" s="738"/>
      <c r="S2695" s="753">
        <v>52000</v>
      </c>
      <c r="T2695" s="739"/>
      <c r="U2695" s="744"/>
      <c r="V2695" s="739"/>
    </row>
    <row r="2696" spans="1:22" ht="15" x14ac:dyDescent="0.2">
      <c r="A2696" s="734">
        <v>2461</v>
      </c>
      <c r="B2696" s="735" t="s">
        <v>115</v>
      </c>
      <c r="C2696" s="736"/>
      <c r="D2696" s="736">
        <v>23299.8</v>
      </c>
      <c r="E2696" s="749">
        <v>23299.8</v>
      </c>
      <c r="F2696" s="736">
        <v>23244</v>
      </c>
      <c r="G2696" s="752">
        <v>24000</v>
      </c>
      <c r="H2696" s="752"/>
      <c r="I2696" s="752"/>
      <c r="J2696" s="736">
        <f t="shared" ref="J2696:J2703" si="827">G2696+H2696-I2696</f>
        <v>24000</v>
      </c>
      <c r="K2696" s="752"/>
      <c r="L2696" s="752"/>
      <c r="M2696" s="736">
        <f t="shared" ref="M2696:M2703" si="828">J2696+K2696-L2696</f>
        <v>24000</v>
      </c>
      <c r="N2696" s="736"/>
      <c r="O2696" s="736"/>
      <c r="P2696" s="736">
        <f t="shared" ref="P2696:P2703" si="829">M2696+N2696-O2696</f>
        <v>24000</v>
      </c>
      <c r="Q2696" s="753">
        <v>24000</v>
      </c>
      <c r="R2696" s="738">
        <v>8307.67</v>
      </c>
      <c r="S2696" s="753">
        <v>20230</v>
      </c>
      <c r="T2696" s="739">
        <v>1100121</v>
      </c>
      <c r="U2696" s="740">
        <v>20000</v>
      </c>
      <c r="V2696" s="741">
        <v>1100122</v>
      </c>
    </row>
    <row r="2697" spans="1:22" ht="15" x14ac:dyDescent="0.2">
      <c r="A2697" s="739">
        <v>2491</v>
      </c>
      <c r="B2697" s="743" t="s">
        <v>41</v>
      </c>
      <c r="C2697" s="736"/>
      <c r="D2697" s="736"/>
      <c r="E2697" s="749"/>
      <c r="F2697" s="736"/>
      <c r="G2697" s="752"/>
      <c r="H2697" s="752">
        <v>35519.199999999997</v>
      </c>
      <c r="I2697" s="752"/>
      <c r="J2697" s="736">
        <f t="shared" si="827"/>
        <v>35519.199999999997</v>
      </c>
      <c r="K2697" s="752"/>
      <c r="L2697" s="752"/>
      <c r="M2697" s="736">
        <f t="shared" si="828"/>
        <v>35519.199999999997</v>
      </c>
      <c r="N2697" s="736"/>
      <c r="O2697" s="736"/>
      <c r="P2697" s="736">
        <f t="shared" si="829"/>
        <v>35519.199999999997</v>
      </c>
      <c r="Q2697" s="753">
        <v>64941.2</v>
      </c>
      <c r="R2697" s="738"/>
      <c r="S2697" s="753"/>
      <c r="T2697" s="739">
        <v>1100120</v>
      </c>
      <c r="U2697" s="745"/>
      <c r="V2697" s="739">
        <v>1100120</v>
      </c>
    </row>
    <row r="2698" spans="1:22" ht="15" x14ac:dyDescent="0.2">
      <c r="A2698" s="734">
        <v>2491</v>
      </c>
      <c r="B2698" s="735" t="s">
        <v>41</v>
      </c>
      <c r="C2698" s="736">
        <v>9519.9699999999993</v>
      </c>
      <c r="D2698" s="736">
        <v>141029.76000000001</v>
      </c>
      <c r="E2698" s="749">
        <v>119464.76</v>
      </c>
      <c r="F2698" s="736">
        <v>67632.549999999988</v>
      </c>
      <c r="G2698" s="752">
        <v>70000</v>
      </c>
      <c r="H2698" s="752"/>
      <c r="I2698" s="752"/>
      <c r="J2698" s="736">
        <f t="shared" si="827"/>
        <v>70000</v>
      </c>
      <c r="K2698" s="752"/>
      <c r="L2698" s="752"/>
      <c r="M2698" s="736">
        <f t="shared" si="828"/>
        <v>70000</v>
      </c>
      <c r="N2698" s="736"/>
      <c r="O2698" s="736"/>
      <c r="P2698" s="736">
        <f t="shared" si="829"/>
        <v>70000</v>
      </c>
      <c r="Q2698" s="753">
        <v>70000</v>
      </c>
      <c r="R2698" s="738">
        <v>70000</v>
      </c>
      <c r="S2698" s="753">
        <v>70190</v>
      </c>
      <c r="T2698" s="739">
        <v>1100121</v>
      </c>
      <c r="U2698" s="740">
        <v>70000</v>
      </c>
      <c r="V2698" s="741">
        <v>1100122</v>
      </c>
    </row>
    <row r="2699" spans="1:22" ht="15" x14ac:dyDescent="0.2">
      <c r="A2699" s="739">
        <v>2531</v>
      </c>
      <c r="B2699" s="743" t="s">
        <v>145</v>
      </c>
      <c r="C2699" s="736">
        <v>54181.24</v>
      </c>
      <c r="D2699" s="736">
        <v>0</v>
      </c>
      <c r="E2699" s="749">
        <v>5655</v>
      </c>
      <c r="F2699" s="736">
        <v>0</v>
      </c>
      <c r="G2699" s="736"/>
      <c r="H2699" s="736"/>
      <c r="I2699" s="736"/>
      <c r="J2699" s="736">
        <f t="shared" si="827"/>
        <v>0</v>
      </c>
      <c r="K2699" s="736"/>
      <c r="L2699" s="736"/>
      <c r="M2699" s="736">
        <f t="shared" si="828"/>
        <v>0</v>
      </c>
      <c r="N2699" s="736"/>
      <c r="O2699" s="736"/>
      <c r="P2699" s="738">
        <f t="shared" si="829"/>
        <v>0</v>
      </c>
      <c r="Q2699" s="738"/>
      <c r="R2699" s="738"/>
      <c r="S2699" s="738"/>
      <c r="T2699" s="739">
        <v>1100119</v>
      </c>
      <c r="U2699" s="745"/>
      <c r="V2699" s="739">
        <v>1100119</v>
      </c>
    </row>
    <row r="2700" spans="1:22" ht="15" x14ac:dyDescent="0.2">
      <c r="A2700" s="734">
        <v>2531</v>
      </c>
      <c r="B2700" s="735" t="s">
        <v>145</v>
      </c>
      <c r="C2700" s="736"/>
      <c r="D2700" s="736">
        <v>104000</v>
      </c>
      <c r="E2700" s="749">
        <v>124000</v>
      </c>
      <c r="F2700" s="736">
        <v>123543.8</v>
      </c>
      <c r="G2700" s="752">
        <v>125000</v>
      </c>
      <c r="H2700" s="752"/>
      <c r="I2700" s="752"/>
      <c r="J2700" s="736">
        <f t="shared" si="827"/>
        <v>125000</v>
      </c>
      <c r="K2700" s="752"/>
      <c r="L2700" s="752"/>
      <c r="M2700" s="736">
        <f t="shared" si="828"/>
        <v>125000</v>
      </c>
      <c r="N2700" s="736"/>
      <c r="O2700" s="736"/>
      <c r="P2700" s="736">
        <f t="shared" si="829"/>
        <v>125000</v>
      </c>
      <c r="Q2700" s="753">
        <v>125000</v>
      </c>
      <c r="R2700" s="738">
        <v>86857.39</v>
      </c>
      <c r="S2700" s="753">
        <v>100000</v>
      </c>
      <c r="T2700" s="739">
        <v>1100121</v>
      </c>
      <c r="U2700" s="740">
        <v>100000</v>
      </c>
      <c r="V2700" s="741">
        <v>1100122</v>
      </c>
    </row>
    <row r="2701" spans="1:22" ht="30" x14ac:dyDescent="0.2">
      <c r="A2701" s="734">
        <v>3361</v>
      </c>
      <c r="B2701" s="735" t="s">
        <v>29</v>
      </c>
      <c r="C2701" s="736"/>
      <c r="D2701" s="736">
        <v>30000</v>
      </c>
      <c r="E2701" s="749">
        <v>30000</v>
      </c>
      <c r="F2701" s="736">
        <v>28499.599999999999</v>
      </c>
      <c r="G2701" s="752">
        <v>35000</v>
      </c>
      <c r="H2701" s="752"/>
      <c r="I2701" s="752"/>
      <c r="J2701" s="736">
        <f t="shared" si="827"/>
        <v>35000</v>
      </c>
      <c r="K2701" s="752"/>
      <c r="L2701" s="752"/>
      <c r="M2701" s="736">
        <f t="shared" si="828"/>
        <v>35000</v>
      </c>
      <c r="N2701" s="736"/>
      <c r="O2701" s="736"/>
      <c r="P2701" s="736">
        <f t="shared" si="829"/>
        <v>35000</v>
      </c>
      <c r="Q2701" s="753">
        <v>22000</v>
      </c>
      <c r="R2701" s="738">
        <v>19845.599999999999</v>
      </c>
      <c r="S2701" s="753">
        <v>35000</v>
      </c>
      <c r="T2701" s="739">
        <v>1100121</v>
      </c>
      <c r="U2701" s="740">
        <v>35000</v>
      </c>
      <c r="V2701" s="741">
        <v>1100122</v>
      </c>
    </row>
    <row r="2702" spans="1:22" ht="15" x14ac:dyDescent="0.2">
      <c r="A2702" s="739">
        <v>3391</v>
      </c>
      <c r="B2702" s="743" t="s">
        <v>118</v>
      </c>
      <c r="C2702" s="736">
        <v>225743.76</v>
      </c>
      <c r="D2702" s="736"/>
      <c r="E2702" s="736"/>
      <c r="F2702" s="736"/>
      <c r="G2702" s="736"/>
      <c r="H2702" s="736"/>
      <c r="I2702" s="736"/>
      <c r="J2702" s="736">
        <f t="shared" si="827"/>
        <v>0</v>
      </c>
      <c r="K2702" s="736"/>
      <c r="L2702" s="736"/>
      <c r="M2702" s="736">
        <f t="shared" si="828"/>
        <v>0</v>
      </c>
      <c r="N2702" s="736"/>
      <c r="O2702" s="736"/>
      <c r="P2702" s="738">
        <f t="shared" si="829"/>
        <v>0</v>
      </c>
      <c r="Q2702" s="738"/>
      <c r="R2702" s="738"/>
      <c r="S2702" s="738"/>
      <c r="T2702" s="739"/>
      <c r="U2702" s="745"/>
      <c r="V2702" s="739"/>
    </row>
    <row r="2703" spans="1:22" ht="15" x14ac:dyDescent="0.2">
      <c r="A2703" s="739">
        <v>3511</v>
      </c>
      <c r="B2703" s="743" t="s">
        <v>49</v>
      </c>
      <c r="C2703" s="736">
        <v>6013.44</v>
      </c>
      <c r="D2703" s="736">
        <v>20000</v>
      </c>
      <c r="E2703" s="749">
        <v>15000</v>
      </c>
      <c r="F2703" s="736">
        <v>0</v>
      </c>
      <c r="G2703" s="736"/>
      <c r="H2703" s="736"/>
      <c r="I2703" s="736"/>
      <c r="J2703" s="736">
        <f t="shared" si="827"/>
        <v>0</v>
      </c>
      <c r="K2703" s="736"/>
      <c r="L2703" s="736"/>
      <c r="M2703" s="736">
        <f t="shared" si="828"/>
        <v>0</v>
      </c>
      <c r="N2703" s="736">
        <v>274279.67999999999</v>
      </c>
      <c r="O2703" s="736"/>
      <c r="P2703" s="736">
        <f t="shared" si="829"/>
        <v>274279.67999999999</v>
      </c>
      <c r="Q2703" s="738">
        <v>274279.67999999999</v>
      </c>
      <c r="R2703" s="738">
        <v>269171.44</v>
      </c>
      <c r="S2703" s="738"/>
      <c r="T2703" s="739">
        <v>1100120</v>
      </c>
      <c r="U2703" s="745"/>
      <c r="V2703" s="739">
        <v>1100120</v>
      </c>
    </row>
    <row r="2704" spans="1:22" ht="15" x14ac:dyDescent="0.2">
      <c r="A2704" s="734">
        <v>3571</v>
      </c>
      <c r="B2704" s="735" t="s">
        <v>1813</v>
      </c>
      <c r="C2704" s="736"/>
      <c r="D2704" s="736"/>
      <c r="E2704" s="749"/>
      <c r="F2704" s="736"/>
      <c r="G2704" s="736"/>
      <c r="H2704" s="736"/>
      <c r="I2704" s="736"/>
      <c r="J2704" s="736"/>
      <c r="K2704" s="736"/>
      <c r="L2704" s="736"/>
      <c r="M2704" s="736"/>
      <c r="N2704" s="736"/>
      <c r="O2704" s="736"/>
      <c r="P2704" s="736"/>
      <c r="Q2704" s="738"/>
      <c r="R2704" s="738"/>
      <c r="S2704" s="738">
        <v>16000</v>
      </c>
      <c r="T2704" s="739"/>
      <c r="U2704" s="746">
        <v>16000</v>
      </c>
      <c r="V2704" s="741">
        <v>1100122</v>
      </c>
    </row>
    <row r="2705" spans="1:22" ht="15" x14ac:dyDescent="0.2">
      <c r="A2705" s="734">
        <v>3591</v>
      </c>
      <c r="B2705" s="735" t="s">
        <v>140</v>
      </c>
      <c r="C2705" s="736"/>
      <c r="D2705" s="736">
        <v>13140</v>
      </c>
      <c r="E2705" s="749">
        <v>13140</v>
      </c>
      <c r="F2705" s="736">
        <v>13139.68</v>
      </c>
      <c r="G2705" s="752">
        <v>25000</v>
      </c>
      <c r="H2705" s="752"/>
      <c r="I2705" s="752"/>
      <c r="J2705" s="736">
        <f t="shared" ref="J2705:J2706" si="830">G2705+H2705-I2705</f>
        <v>25000</v>
      </c>
      <c r="K2705" s="752"/>
      <c r="L2705" s="752"/>
      <c r="M2705" s="736">
        <f t="shared" ref="M2705:M2716" si="831">J2705+K2705-L2705</f>
        <v>25000</v>
      </c>
      <c r="N2705" s="736"/>
      <c r="O2705" s="736"/>
      <c r="P2705" s="736">
        <f t="shared" ref="P2705:P2716" si="832">M2705+N2705-O2705</f>
        <v>25000</v>
      </c>
      <c r="Q2705" s="753">
        <v>25000</v>
      </c>
      <c r="R2705" s="738">
        <v>19024</v>
      </c>
      <c r="S2705" s="753">
        <v>34064</v>
      </c>
      <c r="T2705" s="739">
        <v>1100121</v>
      </c>
      <c r="U2705" s="740">
        <v>34000</v>
      </c>
      <c r="V2705" s="741">
        <v>1100122</v>
      </c>
    </row>
    <row r="2706" spans="1:22" ht="15" x14ac:dyDescent="0.2">
      <c r="A2706" s="739">
        <v>3852</v>
      </c>
      <c r="B2706" s="743" t="s">
        <v>32</v>
      </c>
      <c r="C2706" s="736">
        <v>500</v>
      </c>
      <c r="D2706" s="736">
        <v>5000</v>
      </c>
      <c r="E2706" s="749">
        <v>1000</v>
      </c>
      <c r="F2706" s="736">
        <v>0</v>
      </c>
      <c r="G2706" s="736"/>
      <c r="H2706" s="736"/>
      <c r="I2706" s="736"/>
      <c r="J2706" s="736">
        <f t="shared" si="830"/>
        <v>0</v>
      </c>
      <c r="K2706" s="736"/>
      <c r="L2706" s="736"/>
      <c r="M2706" s="736">
        <f t="shared" si="831"/>
        <v>0</v>
      </c>
      <c r="N2706" s="736"/>
      <c r="O2706" s="736"/>
      <c r="P2706" s="738">
        <f t="shared" si="832"/>
        <v>0</v>
      </c>
      <c r="Q2706" s="738"/>
      <c r="R2706" s="738"/>
      <c r="S2706" s="738"/>
      <c r="T2706" s="739">
        <v>1100121</v>
      </c>
      <c r="U2706" s="745"/>
      <c r="V2706" s="739">
        <v>1100122</v>
      </c>
    </row>
    <row r="2707" spans="1:22" ht="15" x14ac:dyDescent="0.2">
      <c r="A2707" s="739">
        <v>2112</v>
      </c>
      <c r="B2707" s="743" t="s">
        <v>39</v>
      </c>
      <c r="C2707" s="736"/>
      <c r="D2707" s="736"/>
      <c r="E2707" s="749"/>
      <c r="F2707" s="736"/>
      <c r="G2707" s="736"/>
      <c r="H2707" s="736"/>
      <c r="I2707" s="736"/>
      <c r="J2707" s="736"/>
      <c r="K2707" s="736">
        <v>59679.839999999997</v>
      </c>
      <c r="L2707" s="736"/>
      <c r="M2707" s="736">
        <f t="shared" si="831"/>
        <v>59679.839999999997</v>
      </c>
      <c r="N2707" s="736"/>
      <c r="O2707" s="736"/>
      <c r="P2707" s="736">
        <f t="shared" si="832"/>
        <v>59679.839999999997</v>
      </c>
      <c r="Q2707" s="738">
        <v>59679.839999999997</v>
      </c>
      <c r="R2707" s="738">
        <v>40305.230000000003</v>
      </c>
      <c r="S2707" s="738"/>
      <c r="T2707" s="739">
        <v>1100120</v>
      </c>
      <c r="U2707" s="745"/>
      <c r="V2707" s="739">
        <v>1100120</v>
      </c>
    </row>
    <row r="2708" spans="1:22" ht="15" x14ac:dyDescent="0.2">
      <c r="A2708" s="739">
        <v>2491</v>
      </c>
      <c r="B2708" s="743" t="s">
        <v>41</v>
      </c>
      <c r="C2708" s="736"/>
      <c r="D2708" s="736"/>
      <c r="E2708" s="749"/>
      <c r="F2708" s="736"/>
      <c r="G2708" s="736"/>
      <c r="H2708" s="736"/>
      <c r="I2708" s="736"/>
      <c r="J2708" s="736"/>
      <c r="K2708" s="736">
        <v>29422</v>
      </c>
      <c r="L2708" s="736"/>
      <c r="M2708" s="736">
        <f t="shared" si="831"/>
        <v>29422</v>
      </c>
      <c r="N2708" s="736"/>
      <c r="O2708" s="736"/>
      <c r="P2708" s="736">
        <f t="shared" si="832"/>
        <v>29422</v>
      </c>
      <c r="Q2708" s="738"/>
      <c r="R2708" s="738">
        <v>62777.83</v>
      </c>
      <c r="S2708" s="738"/>
      <c r="T2708" s="739">
        <v>1100120</v>
      </c>
      <c r="U2708" s="745"/>
      <c r="V2708" s="739">
        <v>1100120</v>
      </c>
    </row>
    <row r="2709" spans="1:22" ht="15" x14ac:dyDescent="0.2">
      <c r="A2709" s="739">
        <v>3531</v>
      </c>
      <c r="B2709" s="743" t="s">
        <v>121</v>
      </c>
      <c r="C2709" s="736"/>
      <c r="D2709" s="736"/>
      <c r="E2709" s="749"/>
      <c r="F2709" s="736"/>
      <c r="G2709" s="736"/>
      <c r="H2709" s="736"/>
      <c r="I2709" s="736"/>
      <c r="J2709" s="736"/>
      <c r="K2709" s="736">
        <v>4176</v>
      </c>
      <c r="L2709" s="736"/>
      <c r="M2709" s="736">
        <f t="shared" si="831"/>
        <v>4176</v>
      </c>
      <c r="N2709" s="736"/>
      <c r="O2709" s="736"/>
      <c r="P2709" s="736">
        <f t="shared" si="832"/>
        <v>4176</v>
      </c>
      <c r="Q2709" s="738">
        <v>4176</v>
      </c>
      <c r="R2709" s="738"/>
      <c r="S2709" s="738"/>
      <c r="T2709" s="739">
        <v>1100120</v>
      </c>
      <c r="U2709" s="745"/>
      <c r="V2709" s="739">
        <v>1100120</v>
      </c>
    </row>
    <row r="2710" spans="1:22" ht="15" x14ac:dyDescent="0.2">
      <c r="A2710" s="739">
        <v>3551</v>
      </c>
      <c r="B2710" s="743" t="s">
        <v>30</v>
      </c>
      <c r="C2710" s="736"/>
      <c r="D2710" s="736"/>
      <c r="E2710" s="749"/>
      <c r="F2710" s="736"/>
      <c r="G2710" s="736"/>
      <c r="H2710" s="736"/>
      <c r="I2710" s="736"/>
      <c r="J2710" s="736"/>
      <c r="K2710" s="736">
        <v>274279.67999999999</v>
      </c>
      <c r="L2710" s="736"/>
      <c r="M2710" s="736">
        <f t="shared" si="831"/>
        <v>274279.67999999999</v>
      </c>
      <c r="N2710" s="736"/>
      <c r="O2710" s="736">
        <v>274279.67999999999</v>
      </c>
      <c r="P2710" s="738">
        <f t="shared" si="832"/>
        <v>0</v>
      </c>
      <c r="Q2710" s="738"/>
      <c r="R2710" s="738"/>
      <c r="S2710" s="738">
        <f>Q2710</f>
        <v>0</v>
      </c>
      <c r="T2710" s="739">
        <v>1100120</v>
      </c>
      <c r="U2710" s="745"/>
      <c r="V2710" s="739">
        <v>1100120</v>
      </c>
    </row>
    <row r="2711" spans="1:22" ht="15" x14ac:dyDescent="0.2">
      <c r="A2711" s="739">
        <v>5111</v>
      </c>
      <c r="B2711" s="743" t="s">
        <v>35</v>
      </c>
      <c r="C2711" s="736"/>
      <c r="D2711" s="736"/>
      <c r="E2711" s="749"/>
      <c r="F2711" s="736"/>
      <c r="G2711" s="736"/>
      <c r="H2711" s="736"/>
      <c r="I2711" s="736"/>
      <c r="J2711" s="736"/>
      <c r="K2711" s="736">
        <v>51678</v>
      </c>
      <c r="L2711" s="736"/>
      <c r="M2711" s="736">
        <f t="shared" si="831"/>
        <v>51678</v>
      </c>
      <c r="N2711" s="736"/>
      <c r="O2711" s="736"/>
      <c r="P2711" s="736">
        <f t="shared" si="832"/>
        <v>51678</v>
      </c>
      <c r="Q2711" s="738">
        <v>51678</v>
      </c>
      <c r="R2711" s="738">
        <v>49149.4</v>
      </c>
      <c r="S2711" s="738"/>
      <c r="T2711" s="739">
        <v>1100120</v>
      </c>
      <c r="U2711" s="745"/>
      <c r="V2711" s="739">
        <v>1100120</v>
      </c>
    </row>
    <row r="2712" spans="1:22" ht="15" x14ac:dyDescent="0.2">
      <c r="A2712" s="739">
        <v>5151</v>
      </c>
      <c r="B2712" s="743" t="s">
        <v>36</v>
      </c>
      <c r="C2712" s="736"/>
      <c r="D2712" s="736"/>
      <c r="E2712" s="749"/>
      <c r="F2712" s="736"/>
      <c r="G2712" s="736"/>
      <c r="H2712" s="736"/>
      <c r="I2712" s="736"/>
      <c r="J2712" s="736"/>
      <c r="K2712" s="736">
        <f>77361+45000</f>
        <v>122361</v>
      </c>
      <c r="L2712" s="736"/>
      <c r="M2712" s="736">
        <f t="shared" si="831"/>
        <v>122361</v>
      </c>
      <c r="N2712" s="736"/>
      <c r="O2712" s="736"/>
      <c r="P2712" s="736">
        <f t="shared" si="832"/>
        <v>122361</v>
      </c>
      <c r="Q2712" s="738">
        <v>122361</v>
      </c>
      <c r="R2712" s="738">
        <v>6380</v>
      </c>
      <c r="S2712" s="738"/>
      <c r="T2712" s="739">
        <v>1100120</v>
      </c>
      <c r="U2712" s="745"/>
      <c r="V2712" s="739">
        <v>1100120</v>
      </c>
    </row>
    <row r="2713" spans="1:22" ht="15" x14ac:dyDescent="0.2">
      <c r="A2713" s="739">
        <v>5191</v>
      </c>
      <c r="B2713" s="743" t="s">
        <v>69</v>
      </c>
      <c r="C2713" s="736"/>
      <c r="D2713" s="736"/>
      <c r="E2713" s="749"/>
      <c r="F2713" s="736"/>
      <c r="G2713" s="736"/>
      <c r="H2713" s="736"/>
      <c r="I2713" s="736"/>
      <c r="J2713" s="736"/>
      <c r="K2713" s="736">
        <v>23664</v>
      </c>
      <c r="L2713" s="736"/>
      <c r="M2713" s="736">
        <f t="shared" si="831"/>
        <v>23664</v>
      </c>
      <c r="N2713" s="736"/>
      <c r="O2713" s="736"/>
      <c r="P2713" s="736">
        <f t="shared" si="832"/>
        <v>23664</v>
      </c>
      <c r="Q2713" s="738">
        <v>23664</v>
      </c>
      <c r="R2713" s="738">
        <v>19400</v>
      </c>
      <c r="S2713" s="738"/>
      <c r="T2713" s="739">
        <v>1100120</v>
      </c>
      <c r="U2713" s="745"/>
      <c r="V2713" s="739">
        <v>1100120</v>
      </c>
    </row>
    <row r="2714" spans="1:22" ht="15" x14ac:dyDescent="0.2">
      <c r="A2714" s="739">
        <v>5321</v>
      </c>
      <c r="B2714" s="743" t="s">
        <v>236</v>
      </c>
      <c r="C2714" s="736"/>
      <c r="D2714" s="736"/>
      <c r="E2714" s="749"/>
      <c r="F2714" s="736"/>
      <c r="G2714" s="736"/>
      <c r="H2714" s="736"/>
      <c r="I2714" s="736"/>
      <c r="J2714" s="736"/>
      <c r="K2714" s="736">
        <v>12798</v>
      </c>
      <c r="L2714" s="736"/>
      <c r="M2714" s="736">
        <f t="shared" si="831"/>
        <v>12798</v>
      </c>
      <c r="N2714" s="736"/>
      <c r="O2714" s="736"/>
      <c r="P2714" s="736">
        <f t="shared" si="832"/>
        <v>12798</v>
      </c>
      <c r="Q2714" s="738">
        <v>12798</v>
      </c>
      <c r="R2714" s="738"/>
      <c r="S2714" s="738"/>
      <c r="T2714" s="739">
        <v>1100120</v>
      </c>
      <c r="U2714" s="745"/>
      <c r="V2714" s="739">
        <v>1100120</v>
      </c>
    </row>
    <row r="2715" spans="1:22" ht="15" x14ac:dyDescent="0.2">
      <c r="A2715" s="739">
        <v>5411</v>
      </c>
      <c r="B2715" s="743" t="s">
        <v>123</v>
      </c>
      <c r="C2715" s="736"/>
      <c r="D2715" s="736"/>
      <c r="E2715" s="749"/>
      <c r="F2715" s="736"/>
      <c r="G2715" s="736"/>
      <c r="H2715" s="736"/>
      <c r="I2715" s="736"/>
      <c r="J2715" s="736"/>
      <c r="K2715" s="736">
        <v>0</v>
      </c>
      <c r="L2715" s="736"/>
      <c r="M2715" s="736">
        <f t="shared" si="831"/>
        <v>0</v>
      </c>
      <c r="N2715" s="736"/>
      <c r="O2715" s="736"/>
      <c r="P2715" s="738">
        <f t="shared" si="832"/>
        <v>0</v>
      </c>
      <c r="Q2715" s="738"/>
      <c r="R2715" s="738"/>
      <c r="S2715" s="738"/>
      <c r="T2715" s="739">
        <v>1100120</v>
      </c>
      <c r="U2715" s="745"/>
      <c r="V2715" s="739">
        <v>1100120</v>
      </c>
    </row>
    <row r="2716" spans="1:22" ht="15" x14ac:dyDescent="0.2">
      <c r="A2716" s="739">
        <v>5691</v>
      </c>
      <c r="B2716" s="743" t="s">
        <v>112</v>
      </c>
      <c r="C2716" s="736"/>
      <c r="D2716" s="736"/>
      <c r="E2716" s="749"/>
      <c r="F2716" s="736"/>
      <c r="G2716" s="736"/>
      <c r="H2716" s="736"/>
      <c r="I2716" s="736"/>
      <c r="J2716" s="736"/>
      <c r="K2716" s="736">
        <v>29580</v>
      </c>
      <c r="L2716" s="736"/>
      <c r="M2716" s="736">
        <f t="shared" si="831"/>
        <v>29580</v>
      </c>
      <c r="N2716" s="736"/>
      <c r="O2716" s="736"/>
      <c r="P2716" s="736">
        <f t="shared" si="832"/>
        <v>29580</v>
      </c>
      <c r="Q2716" s="738">
        <v>29580</v>
      </c>
      <c r="R2716" s="738"/>
      <c r="S2716" s="738"/>
      <c r="T2716" s="739">
        <v>1100120</v>
      </c>
      <c r="U2716" s="745"/>
      <c r="V2716" s="739">
        <v>1100120</v>
      </c>
    </row>
    <row r="2717" spans="1:22" ht="15" x14ac:dyDescent="0.2">
      <c r="A2717" s="728" t="s">
        <v>316</v>
      </c>
      <c r="B2717" s="729" t="s">
        <v>1638</v>
      </c>
      <c r="C2717" s="730">
        <f t="shared" ref="C2717:S2717" si="833">SUM(C2718)</f>
        <v>0</v>
      </c>
      <c r="D2717" s="730">
        <f t="shared" si="833"/>
        <v>0</v>
      </c>
      <c r="E2717" s="730">
        <f t="shared" si="833"/>
        <v>0</v>
      </c>
      <c r="F2717" s="730">
        <f t="shared" si="833"/>
        <v>0</v>
      </c>
      <c r="G2717" s="730">
        <f t="shared" si="833"/>
        <v>0</v>
      </c>
      <c r="H2717" s="730">
        <f t="shared" si="833"/>
        <v>0</v>
      </c>
      <c r="I2717" s="730">
        <f t="shared" si="833"/>
        <v>0</v>
      </c>
      <c r="J2717" s="730">
        <f t="shared" si="833"/>
        <v>0</v>
      </c>
      <c r="K2717" s="730">
        <f t="shared" si="833"/>
        <v>0</v>
      </c>
      <c r="L2717" s="730">
        <f t="shared" si="833"/>
        <v>0</v>
      </c>
      <c r="M2717" s="730">
        <f t="shared" si="833"/>
        <v>0</v>
      </c>
      <c r="N2717" s="730">
        <f t="shared" si="833"/>
        <v>0</v>
      </c>
      <c r="O2717" s="730">
        <f t="shared" si="833"/>
        <v>0</v>
      </c>
      <c r="P2717" s="748">
        <f t="shared" si="833"/>
        <v>0</v>
      </c>
      <c r="Q2717" s="748">
        <f t="shared" si="833"/>
        <v>0</v>
      </c>
      <c r="R2717" s="748">
        <f t="shared" si="833"/>
        <v>0</v>
      </c>
      <c r="S2717" s="748">
        <f t="shared" si="833"/>
        <v>0</v>
      </c>
      <c r="T2717" s="731"/>
      <c r="U2717" s="732">
        <f t="shared" ref="U2717" si="834">SUM(U2718)</f>
        <v>0</v>
      </c>
      <c r="V2717" s="728"/>
    </row>
    <row r="2718" spans="1:22" ht="15" x14ac:dyDescent="0.2">
      <c r="A2718" s="739">
        <v>3791</v>
      </c>
      <c r="B2718" s="743" t="s">
        <v>45</v>
      </c>
      <c r="C2718" s="736"/>
      <c r="D2718" s="736">
        <v>0</v>
      </c>
      <c r="E2718" s="736"/>
      <c r="F2718" s="736">
        <v>0</v>
      </c>
      <c r="G2718" s="736"/>
      <c r="H2718" s="736"/>
      <c r="I2718" s="736"/>
      <c r="J2718" s="736">
        <f>G2718+H2718-I2718</f>
        <v>0</v>
      </c>
      <c r="K2718" s="736"/>
      <c r="L2718" s="736"/>
      <c r="M2718" s="736">
        <f>J2718+K2718-L2718</f>
        <v>0</v>
      </c>
      <c r="N2718" s="736"/>
      <c r="O2718" s="736"/>
      <c r="P2718" s="738">
        <f>M2718+N2718-O2718</f>
        <v>0</v>
      </c>
      <c r="Q2718" s="738"/>
      <c r="R2718" s="738"/>
      <c r="S2718" s="738"/>
      <c r="T2718" s="739">
        <v>1100121</v>
      </c>
      <c r="U2718" s="745"/>
      <c r="V2718" s="739">
        <v>1100122</v>
      </c>
    </row>
    <row r="2719" spans="1:22" ht="15" x14ac:dyDescent="0.2">
      <c r="A2719" s="728" t="s">
        <v>317</v>
      </c>
      <c r="B2719" s="729" t="s">
        <v>1592</v>
      </c>
      <c r="C2719" s="730">
        <f>SUM(C2720:C2737)</f>
        <v>283920.58999999997</v>
      </c>
      <c r="D2719" s="730">
        <f t="shared" ref="D2719:F2719" si="835">SUM(D2720:D2735)</f>
        <v>2259196</v>
      </c>
      <c r="E2719" s="730">
        <f t="shared" si="835"/>
        <v>2183500</v>
      </c>
      <c r="F2719" s="730">
        <f t="shared" si="835"/>
        <v>1043791.8899999999</v>
      </c>
      <c r="G2719" s="730">
        <f t="shared" ref="G2719:S2719" si="836">SUM(G2720:G2737)</f>
        <v>1221360</v>
      </c>
      <c r="H2719" s="730">
        <f t="shared" si="836"/>
        <v>0</v>
      </c>
      <c r="I2719" s="730">
        <f t="shared" si="836"/>
        <v>0</v>
      </c>
      <c r="J2719" s="730">
        <f t="shared" si="836"/>
        <v>1221360</v>
      </c>
      <c r="K2719" s="730">
        <f t="shared" si="836"/>
        <v>0</v>
      </c>
      <c r="L2719" s="730">
        <f t="shared" si="836"/>
        <v>0</v>
      </c>
      <c r="M2719" s="730">
        <f t="shared" si="836"/>
        <v>1221360</v>
      </c>
      <c r="N2719" s="730">
        <f t="shared" si="836"/>
        <v>41500</v>
      </c>
      <c r="O2719" s="730">
        <f t="shared" si="836"/>
        <v>41500</v>
      </c>
      <c r="P2719" s="730">
        <f t="shared" si="836"/>
        <v>1221360</v>
      </c>
      <c r="Q2719" s="748">
        <f t="shared" si="836"/>
        <v>546208.5</v>
      </c>
      <c r="R2719" s="748">
        <f>SUM(R2720:R2737)</f>
        <v>227220.13999999998</v>
      </c>
      <c r="S2719" s="748">
        <f t="shared" si="836"/>
        <v>1346000</v>
      </c>
      <c r="T2719" s="731"/>
      <c r="U2719" s="732">
        <f>SUM(U2720:U2737)</f>
        <v>1235000</v>
      </c>
      <c r="V2719" s="733"/>
    </row>
    <row r="2720" spans="1:22" ht="15" x14ac:dyDescent="0.2">
      <c r="A2720" s="734">
        <v>2111</v>
      </c>
      <c r="B2720" s="735" t="s">
        <v>22</v>
      </c>
      <c r="C2720" s="736">
        <v>12970</v>
      </c>
      <c r="D2720" s="736">
        <v>40000</v>
      </c>
      <c r="E2720" s="749">
        <v>28000</v>
      </c>
      <c r="F2720" s="736">
        <v>25964.83</v>
      </c>
      <c r="G2720" s="752">
        <v>28000</v>
      </c>
      <c r="H2720" s="752"/>
      <c r="I2720" s="752"/>
      <c r="J2720" s="736">
        <f t="shared" ref="J2720:J2727" si="837">G2720+H2720-I2720</f>
        <v>28000</v>
      </c>
      <c r="K2720" s="752"/>
      <c r="L2720" s="752"/>
      <c r="M2720" s="736">
        <f t="shared" ref="M2720:M2737" si="838">J2720+K2720-L2720</f>
        <v>28000</v>
      </c>
      <c r="N2720" s="736"/>
      <c r="O2720" s="736"/>
      <c r="P2720" s="736">
        <f t="shared" ref="P2720:P2737" si="839">M2720+N2720-O2720</f>
        <v>28000</v>
      </c>
      <c r="Q2720" s="753">
        <v>21624.1</v>
      </c>
      <c r="R2720" s="738">
        <v>14336.75</v>
      </c>
      <c r="S2720" s="753">
        <v>56000</v>
      </c>
      <c r="T2720" s="739">
        <v>1100121</v>
      </c>
      <c r="U2720" s="740">
        <v>40000</v>
      </c>
      <c r="V2720" s="741">
        <v>1100122</v>
      </c>
    </row>
    <row r="2721" spans="1:22" ht="15" x14ac:dyDescent="0.2">
      <c r="A2721" s="739">
        <v>2112</v>
      </c>
      <c r="B2721" s="743" t="s">
        <v>39</v>
      </c>
      <c r="C2721" s="736"/>
      <c r="D2721" s="736">
        <v>314600</v>
      </c>
      <c r="E2721" s="749">
        <v>269730</v>
      </c>
      <c r="F2721" s="736">
        <v>95759.99</v>
      </c>
      <c r="G2721" s="736"/>
      <c r="H2721" s="736"/>
      <c r="I2721" s="736"/>
      <c r="J2721" s="736">
        <f t="shared" si="837"/>
        <v>0</v>
      </c>
      <c r="K2721" s="736"/>
      <c r="L2721" s="736"/>
      <c r="M2721" s="736">
        <f t="shared" si="838"/>
        <v>0</v>
      </c>
      <c r="N2721" s="736"/>
      <c r="O2721" s="736"/>
      <c r="P2721" s="738">
        <f t="shared" si="839"/>
        <v>0</v>
      </c>
      <c r="Q2721" s="738"/>
      <c r="R2721" s="738"/>
      <c r="S2721" s="738"/>
      <c r="T2721" s="739">
        <v>1100121</v>
      </c>
      <c r="U2721" s="745"/>
      <c r="V2721" s="739">
        <v>1100122</v>
      </c>
    </row>
    <row r="2722" spans="1:22" ht="15" x14ac:dyDescent="0.2">
      <c r="A2722" s="734">
        <v>2121</v>
      </c>
      <c r="B2722" s="735" t="s">
        <v>24</v>
      </c>
      <c r="C2722" s="736">
        <v>27507</v>
      </c>
      <c r="D2722" s="736">
        <v>40000</v>
      </c>
      <c r="E2722" s="749">
        <v>40000</v>
      </c>
      <c r="F2722" s="736">
        <v>33387</v>
      </c>
      <c r="G2722" s="752">
        <v>40000</v>
      </c>
      <c r="H2722" s="752"/>
      <c r="I2722" s="752"/>
      <c r="J2722" s="736">
        <f t="shared" si="837"/>
        <v>40000</v>
      </c>
      <c r="K2722" s="752"/>
      <c r="L2722" s="752"/>
      <c r="M2722" s="736">
        <f t="shared" si="838"/>
        <v>40000</v>
      </c>
      <c r="N2722" s="736"/>
      <c r="O2722" s="736"/>
      <c r="P2722" s="736">
        <f t="shared" si="839"/>
        <v>40000</v>
      </c>
      <c r="Q2722" s="753">
        <v>40000</v>
      </c>
      <c r="R2722" s="738">
        <v>34160.269999999997</v>
      </c>
      <c r="S2722" s="753">
        <v>40000</v>
      </c>
      <c r="T2722" s="739">
        <v>1100121</v>
      </c>
      <c r="U2722" s="740">
        <v>40000</v>
      </c>
      <c r="V2722" s="741">
        <v>1100122</v>
      </c>
    </row>
    <row r="2723" spans="1:22" ht="15" x14ac:dyDescent="0.2">
      <c r="A2723" s="734">
        <v>2161</v>
      </c>
      <c r="B2723" s="735" t="s">
        <v>59</v>
      </c>
      <c r="C2723" s="736">
        <v>10739.82</v>
      </c>
      <c r="D2723" s="736">
        <v>30000</v>
      </c>
      <c r="E2723" s="749">
        <v>22500</v>
      </c>
      <c r="F2723" s="736">
        <v>21911.67</v>
      </c>
      <c r="G2723" s="752">
        <v>25000</v>
      </c>
      <c r="H2723" s="752"/>
      <c r="I2723" s="752"/>
      <c r="J2723" s="736">
        <f t="shared" si="837"/>
        <v>25000</v>
      </c>
      <c r="K2723" s="752"/>
      <c r="L2723" s="752"/>
      <c r="M2723" s="736">
        <f t="shared" si="838"/>
        <v>25000</v>
      </c>
      <c r="N2723" s="736"/>
      <c r="O2723" s="736"/>
      <c r="P2723" s="736">
        <f t="shared" si="839"/>
        <v>25000</v>
      </c>
      <c r="Q2723" s="753">
        <v>25000</v>
      </c>
      <c r="R2723" s="738">
        <v>23156.51</v>
      </c>
      <c r="S2723" s="753">
        <v>50000</v>
      </c>
      <c r="T2723" s="739">
        <v>1100121</v>
      </c>
      <c r="U2723" s="740">
        <v>30000</v>
      </c>
      <c r="V2723" s="741">
        <v>1100122</v>
      </c>
    </row>
    <row r="2724" spans="1:22" ht="15" x14ac:dyDescent="0.2">
      <c r="A2724" s="734">
        <v>2171</v>
      </c>
      <c r="B2724" s="735" t="s">
        <v>174</v>
      </c>
      <c r="C2724" s="736"/>
      <c r="D2724" s="736">
        <v>355188</v>
      </c>
      <c r="E2724" s="749">
        <v>355188</v>
      </c>
      <c r="F2724" s="736">
        <v>157422</v>
      </c>
      <c r="G2724" s="752">
        <v>156000</v>
      </c>
      <c r="H2724" s="752"/>
      <c r="I2724" s="752"/>
      <c r="J2724" s="736">
        <f t="shared" si="837"/>
        <v>156000</v>
      </c>
      <c r="K2724" s="752"/>
      <c r="L2724" s="752"/>
      <c r="M2724" s="736">
        <f t="shared" si="838"/>
        <v>156000</v>
      </c>
      <c r="N2724" s="736"/>
      <c r="O2724" s="736"/>
      <c r="P2724" s="736">
        <f t="shared" si="839"/>
        <v>156000</v>
      </c>
      <c r="Q2724" s="753">
        <v>37224.400000000001</v>
      </c>
      <c r="R2724" s="738">
        <v>37224.400000000001</v>
      </c>
      <c r="S2724" s="753">
        <v>150000</v>
      </c>
      <c r="T2724" s="739">
        <v>1100121</v>
      </c>
      <c r="U2724" s="746">
        <v>150000</v>
      </c>
      <c r="V2724" s="741">
        <v>1100122</v>
      </c>
    </row>
    <row r="2725" spans="1:22" ht="15" x14ac:dyDescent="0.2">
      <c r="A2725" s="734">
        <v>2461</v>
      </c>
      <c r="B2725" s="735" t="s">
        <v>115</v>
      </c>
      <c r="C2725" s="736">
        <v>38303.199999999997</v>
      </c>
      <c r="D2725" s="736">
        <v>30000</v>
      </c>
      <c r="E2725" s="749">
        <v>30000</v>
      </c>
      <c r="F2725" s="736">
        <v>7926.05</v>
      </c>
      <c r="G2725" s="752">
        <v>19000</v>
      </c>
      <c r="H2725" s="752"/>
      <c r="I2725" s="752"/>
      <c r="J2725" s="736">
        <f t="shared" si="837"/>
        <v>19000</v>
      </c>
      <c r="K2725" s="752"/>
      <c r="L2725" s="752"/>
      <c r="M2725" s="736">
        <f t="shared" si="838"/>
        <v>19000</v>
      </c>
      <c r="N2725" s="736"/>
      <c r="O2725" s="736"/>
      <c r="P2725" s="736">
        <f t="shared" si="839"/>
        <v>19000</v>
      </c>
      <c r="Q2725" s="753">
        <v>19000</v>
      </c>
      <c r="R2725" s="738">
        <v>8260.65</v>
      </c>
      <c r="S2725" s="753">
        <v>19000</v>
      </c>
      <c r="T2725" s="739">
        <v>1100121</v>
      </c>
      <c r="U2725" s="754">
        <v>19000</v>
      </c>
      <c r="V2725" s="741">
        <v>1100122</v>
      </c>
    </row>
    <row r="2726" spans="1:22" ht="15" x14ac:dyDescent="0.2">
      <c r="A2726" s="734">
        <v>2491</v>
      </c>
      <c r="B2726" s="735" t="s">
        <v>41</v>
      </c>
      <c r="C2726" s="736">
        <v>18745.45</v>
      </c>
      <c r="D2726" s="736"/>
      <c r="E2726" s="749"/>
      <c r="F2726" s="736"/>
      <c r="G2726" s="736"/>
      <c r="H2726" s="736"/>
      <c r="I2726" s="736"/>
      <c r="J2726" s="736">
        <f t="shared" si="837"/>
        <v>0</v>
      </c>
      <c r="K2726" s="736"/>
      <c r="L2726" s="736"/>
      <c r="M2726" s="736">
        <f t="shared" si="838"/>
        <v>0</v>
      </c>
      <c r="N2726" s="736"/>
      <c r="O2726" s="736"/>
      <c r="P2726" s="738">
        <f t="shared" si="839"/>
        <v>0</v>
      </c>
      <c r="Q2726" s="738"/>
      <c r="R2726" s="738"/>
      <c r="S2726" s="738">
        <v>74000</v>
      </c>
      <c r="T2726" s="739"/>
      <c r="U2726" s="742">
        <v>74000</v>
      </c>
      <c r="V2726" s="741">
        <v>1100122</v>
      </c>
    </row>
    <row r="2727" spans="1:22" ht="15" x14ac:dyDescent="0.2">
      <c r="A2727" s="734">
        <v>2911</v>
      </c>
      <c r="B2727" s="735" t="s">
        <v>60</v>
      </c>
      <c r="C2727" s="736"/>
      <c r="D2727" s="736">
        <v>9300</v>
      </c>
      <c r="E2727" s="749">
        <v>7300</v>
      </c>
      <c r="F2727" s="736">
        <v>6962.49</v>
      </c>
      <c r="G2727" s="736">
        <v>20000</v>
      </c>
      <c r="H2727" s="736"/>
      <c r="I2727" s="736"/>
      <c r="J2727" s="736">
        <f t="shared" si="837"/>
        <v>20000</v>
      </c>
      <c r="K2727" s="736"/>
      <c r="L2727" s="736"/>
      <c r="M2727" s="736">
        <f t="shared" si="838"/>
        <v>20000</v>
      </c>
      <c r="N2727" s="736"/>
      <c r="O2727" s="736"/>
      <c r="P2727" s="736">
        <f t="shared" si="839"/>
        <v>20000</v>
      </c>
      <c r="Q2727" s="738">
        <v>20000</v>
      </c>
      <c r="R2727" s="738">
        <v>19190</v>
      </c>
      <c r="S2727" s="738">
        <v>60000</v>
      </c>
      <c r="T2727" s="739">
        <v>1100121</v>
      </c>
      <c r="U2727" s="746">
        <v>30000</v>
      </c>
      <c r="V2727" s="741">
        <v>1100122</v>
      </c>
    </row>
    <row r="2728" spans="1:22" ht="15" x14ac:dyDescent="0.2">
      <c r="A2728" s="739">
        <v>3173</v>
      </c>
      <c r="B2728" s="743" t="s">
        <v>1814</v>
      </c>
      <c r="C2728" s="736"/>
      <c r="D2728" s="736"/>
      <c r="E2728" s="749"/>
      <c r="F2728" s="736"/>
      <c r="G2728" s="736"/>
      <c r="H2728" s="736"/>
      <c r="I2728" s="736"/>
      <c r="J2728" s="736"/>
      <c r="K2728" s="736"/>
      <c r="L2728" s="736"/>
      <c r="M2728" s="736">
        <f t="shared" si="838"/>
        <v>0</v>
      </c>
      <c r="N2728" s="736">
        <v>41500</v>
      </c>
      <c r="O2728" s="736"/>
      <c r="P2728" s="736">
        <f t="shared" si="839"/>
        <v>41500</v>
      </c>
      <c r="Q2728" s="738">
        <v>41500</v>
      </c>
      <c r="R2728" s="738">
        <v>41437.11</v>
      </c>
      <c r="S2728" s="738"/>
      <c r="T2728" s="739">
        <v>1100121</v>
      </c>
      <c r="U2728" s="744"/>
      <c r="V2728" s="739">
        <v>1100122</v>
      </c>
    </row>
    <row r="2729" spans="1:22" ht="15" x14ac:dyDescent="0.2">
      <c r="A2729" s="734">
        <v>3511</v>
      </c>
      <c r="B2729" s="735" t="s">
        <v>49</v>
      </c>
      <c r="C2729" s="736">
        <v>6670</v>
      </c>
      <c r="D2729" s="736">
        <v>300000</v>
      </c>
      <c r="E2729" s="749">
        <v>200404</v>
      </c>
      <c r="F2729" s="736">
        <v>171839.44</v>
      </c>
      <c r="G2729" s="752">
        <v>97000</v>
      </c>
      <c r="H2729" s="752"/>
      <c r="I2729" s="752"/>
      <c r="J2729" s="736">
        <f t="shared" ref="J2729:J2737" si="840">G2729+H2729-I2729</f>
        <v>97000</v>
      </c>
      <c r="K2729" s="752"/>
      <c r="L2729" s="752"/>
      <c r="M2729" s="736">
        <f t="shared" si="838"/>
        <v>97000</v>
      </c>
      <c r="N2729" s="736"/>
      <c r="O2729" s="736"/>
      <c r="P2729" s="736">
        <f t="shared" si="839"/>
        <v>97000</v>
      </c>
      <c r="Q2729" s="753">
        <v>97000</v>
      </c>
      <c r="R2729" s="738">
        <v>21912.17</v>
      </c>
      <c r="S2729" s="753">
        <v>15000</v>
      </c>
      <c r="T2729" s="739">
        <v>1100121</v>
      </c>
      <c r="U2729" s="746">
        <v>15000</v>
      </c>
      <c r="V2729" s="741">
        <v>1100122</v>
      </c>
    </row>
    <row r="2730" spans="1:22" ht="15" x14ac:dyDescent="0.2">
      <c r="A2730" s="734">
        <v>3571</v>
      </c>
      <c r="B2730" s="735" t="s">
        <v>65</v>
      </c>
      <c r="C2730" s="736">
        <v>106033.08</v>
      </c>
      <c r="D2730" s="736">
        <v>1000000</v>
      </c>
      <c r="E2730" s="749">
        <v>1000000</v>
      </c>
      <c r="F2730" s="736">
        <v>308280.95</v>
      </c>
      <c r="G2730" s="752">
        <v>775200</v>
      </c>
      <c r="H2730" s="752"/>
      <c r="I2730" s="752"/>
      <c r="J2730" s="736">
        <f t="shared" si="840"/>
        <v>775200</v>
      </c>
      <c r="K2730" s="752"/>
      <c r="L2730" s="752"/>
      <c r="M2730" s="736">
        <f t="shared" si="838"/>
        <v>775200</v>
      </c>
      <c r="N2730" s="736"/>
      <c r="O2730" s="736">
        <v>41500</v>
      </c>
      <c r="P2730" s="736">
        <f t="shared" si="839"/>
        <v>733700</v>
      </c>
      <c r="Q2730" s="753">
        <v>183700</v>
      </c>
      <c r="R2730" s="738">
        <v>16295.52</v>
      </c>
      <c r="S2730" s="753">
        <v>792000</v>
      </c>
      <c r="T2730" s="739">
        <v>1100121</v>
      </c>
      <c r="U2730" s="754">
        <v>792000</v>
      </c>
      <c r="V2730" s="741">
        <v>1100122</v>
      </c>
    </row>
    <row r="2731" spans="1:22" ht="15" x14ac:dyDescent="0.2">
      <c r="A2731" s="734">
        <v>3591</v>
      </c>
      <c r="B2731" s="735" t="s">
        <v>140</v>
      </c>
      <c r="C2731" s="736">
        <v>4408</v>
      </c>
      <c r="D2731" s="736">
        <v>4380</v>
      </c>
      <c r="E2731" s="749">
        <v>49780</v>
      </c>
      <c r="F2731" s="736">
        <v>48510.96</v>
      </c>
      <c r="G2731" s="752">
        <v>15160</v>
      </c>
      <c r="H2731" s="752"/>
      <c r="I2731" s="752"/>
      <c r="J2731" s="736">
        <f t="shared" si="840"/>
        <v>15160</v>
      </c>
      <c r="K2731" s="752"/>
      <c r="L2731" s="752"/>
      <c r="M2731" s="736">
        <f t="shared" si="838"/>
        <v>15160</v>
      </c>
      <c r="N2731" s="736"/>
      <c r="O2731" s="736"/>
      <c r="P2731" s="736">
        <f t="shared" si="839"/>
        <v>15160</v>
      </c>
      <c r="Q2731" s="753">
        <v>15160</v>
      </c>
      <c r="R2731" s="738">
        <v>2900</v>
      </c>
      <c r="S2731" s="753">
        <v>60000</v>
      </c>
      <c r="T2731" s="739">
        <v>1100121</v>
      </c>
      <c r="U2731" s="746">
        <v>15000</v>
      </c>
      <c r="V2731" s="741">
        <v>1100122</v>
      </c>
    </row>
    <row r="2732" spans="1:22" ht="15" x14ac:dyDescent="0.2">
      <c r="A2732" s="734">
        <v>3751</v>
      </c>
      <c r="B2732" s="735" t="s">
        <v>44</v>
      </c>
      <c r="C2732" s="736"/>
      <c r="D2732" s="736">
        <v>10000</v>
      </c>
      <c r="E2732" s="749">
        <v>10000</v>
      </c>
      <c r="F2732" s="736">
        <v>6860.52</v>
      </c>
      <c r="G2732" s="752">
        <v>10000</v>
      </c>
      <c r="H2732" s="752"/>
      <c r="I2732" s="752"/>
      <c r="J2732" s="736">
        <f t="shared" si="840"/>
        <v>10000</v>
      </c>
      <c r="K2732" s="752"/>
      <c r="L2732" s="752"/>
      <c r="M2732" s="736">
        <f t="shared" si="838"/>
        <v>10000</v>
      </c>
      <c r="N2732" s="736"/>
      <c r="O2732" s="736"/>
      <c r="P2732" s="736">
        <f t="shared" si="839"/>
        <v>10000</v>
      </c>
      <c r="Q2732" s="753">
        <v>10000</v>
      </c>
      <c r="R2732" s="738">
        <v>8346.76</v>
      </c>
      <c r="S2732" s="753">
        <v>15000</v>
      </c>
      <c r="T2732" s="739">
        <v>1100121</v>
      </c>
      <c r="U2732" s="754">
        <v>15000</v>
      </c>
      <c r="V2732" s="741">
        <v>1100122</v>
      </c>
    </row>
    <row r="2733" spans="1:22" ht="15" x14ac:dyDescent="0.2">
      <c r="A2733" s="734">
        <v>3791</v>
      </c>
      <c r="B2733" s="735" t="s">
        <v>45</v>
      </c>
      <c r="C2733" s="736"/>
      <c r="D2733" s="736">
        <v>10000</v>
      </c>
      <c r="E2733" s="749">
        <v>10000</v>
      </c>
      <c r="F2733" s="736">
        <v>5821</v>
      </c>
      <c r="G2733" s="752">
        <v>10000</v>
      </c>
      <c r="H2733" s="752"/>
      <c r="I2733" s="752"/>
      <c r="J2733" s="736">
        <f t="shared" si="840"/>
        <v>10000</v>
      </c>
      <c r="K2733" s="752"/>
      <c r="L2733" s="752"/>
      <c r="M2733" s="736">
        <f t="shared" si="838"/>
        <v>10000</v>
      </c>
      <c r="N2733" s="736"/>
      <c r="O2733" s="736"/>
      <c r="P2733" s="736">
        <f t="shared" si="839"/>
        <v>10000</v>
      </c>
      <c r="Q2733" s="753">
        <v>10000</v>
      </c>
      <c r="R2733" s="738"/>
      <c r="S2733" s="753">
        <v>15000</v>
      </c>
      <c r="T2733" s="739">
        <v>1100121</v>
      </c>
      <c r="U2733" s="754">
        <v>15000</v>
      </c>
      <c r="V2733" s="741">
        <v>1100122</v>
      </c>
    </row>
    <row r="2734" spans="1:22" ht="15" x14ac:dyDescent="0.2">
      <c r="A2734" s="739">
        <v>5111</v>
      </c>
      <c r="B2734" s="743" t="s">
        <v>35</v>
      </c>
      <c r="C2734" s="736"/>
      <c r="D2734" s="736">
        <v>93130</v>
      </c>
      <c r="E2734" s="749">
        <v>138000</v>
      </c>
      <c r="F2734" s="736">
        <v>138000</v>
      </c>
      <c r="G2734" s="736"/>
      <c r="H2734" s="736"/>
      <c r="I2734" s="736"/>
      <c r="J2734" s="736">
        <f t="shared" si="840"/>
        <v>0</v>
      </c>
      <c r="K2734" s="736"/>
      <c r="L2734" s="736"/>
      <c r="M2734" s="736">
        <f t="shared" si="838"/>
        <v>0</v>
      </c>
      <c r="N2734" s="736"/>
      <c r="O2734" s="736"/>
      <c r="P2734" s="738">
        <f t="shared" si="839"/>
        <v>0</v>
      </c>
      <c r="Q2734" s="738"/>
      <c r="R2734" s="738"/>
      <c r="S2734" s="738"/>
      <c r="T2734" s="739">
        <v>1100121</v>
      </c>
      <c r="U2734" s="745"/>
      <c r="V2734" s="739">
        <v>1100122</v>
      </c>
    </row>
    <row r="2735" spans="1:22" ht="15" x14ac:dyDescent="0.2">
      <c r="A2735" s="739">
        <v>5211</v>
      </c>
      <c r="B2735" s="743" t="s">
        <v>71</v>
      </c>
      <c r="C2735" s="736"/>
      <c r="D2735" s="736">
        <v>22598</v>
      </c>
      <c r="E2735" s="749">
        <v>22598</v>
      </c>
      <c r="F2735" s="736">
        <v>15144.99</v>
      </c>
      <c r="G2735" s="736"/>
      <c r="H2735" s="736"/>
      <c r="I2735" s="736"/>
      <c r="J2735" s="736">
        <f t="shared" si="840"/>
        <v>0</v>
      </c>
      <c r="K2735" s="736"/>
      <c r="L2735" s="736"/>
      <c r="M2735" s="736">
        <f t="shared" si="838"/>
        <v>0</v>
      </c>
      <c r="N2735" s="736"/>
      <c r="O2735" s="736"/>
      <c r="P2735" s="738">
        <f t="shared" si="839"/>
        <v>0</v>
      </c>
      <c r="Q2735" s="738"/>
      <c r="R2735" s="738"/>
      <c r="S2735" s="738"/>
      <c r="T2735" s="739">
        <v>1100121</v>
      </c>
      <c r="U2735" s="745"/>
      <c r="V2735" s="739">
        <v>1100122</v>
      </c>
    </row>
    <row r="2736" spans="1:22" ht="15" x14ac:dyDescent="0.2">
      <c r="A2736" s="739">
        <v>5651</v>
      </c>
      <c r="B2736" s="822" t="s">
        <v>105</v>
      </c>
      <c r="C2736" s="736">
        <v>31942.92</v>
      </c>
      <c r="D2736" s="736"/>
      <c r="E2736" s="736"/>
      <c r="F2736" s="736"/>
      <c r="G2736" s="736"/>
      <c r="H2736" s="736"/>
      <c r="I2736" s="736"/>
      <c r="J2736" s="736">
        <f t="shared" si="840"/>
        <v>0</v>
      </c>
      <c r="K2736" s="736"/>
      <c r="L2736" s="736"/>
      <c r="M2736" s="736">
        <f t="shared" si="838"/>
        <v>0</v>
      </c>
      <c r="N2736" s="736"/>
      <c r="O2736" s="736"/>
      <c r="P2736" s="738">
        <f t="shared" si="839"/>
        <v>0</v>
      </c>
      <c r="Q2736" s="738"/>
      <c r="R2736" s="738"/>
      <c r="S2736" s="738"/>
      <c r="T2736" s="739"/>
      <c r="U2736" s="745"/>
      <c r="V2736" s="739"/>
    </row>
    <row r="2737" spans="1:22" ht="15" x14ac:dyDescent="0.2">
      <c r="A2737" s="739">
        <v>5911</v>
      </c>
      <c r="B2737" s="822" t="s">
        <v>68</v>
      </c>
      <c r="C2737" s="736">
        <v>26601.119999999999</v>
      </c>
      <c r="D2737" s="736"/>
      <c r="E2737" s="736"/>
      <c r="F2737" s="736"/>
      <c r="G2737" s="752">
        <v>26000</v>
      </c>
      <c r="H2737" s="752"/>
      <c r="I2737" s="752"/>
      <c r="J2737" s="736">
        <f t="shared" si="840"/>
        <v>26000</v>
      </c>
      <c r="K2737" s="752"/>
      <c r="L2737" s="752"/>
      <c r="M2737" s="736">
        <f t="shared" si="838"/>
        <v>26000</v>
      </c>
      <c r="N2737" s="736"/>
      <c r="O2737" s="736"/>
      <c r="P2737" s="736">
        <f t="shared" si="839"/>
        <v>26000</v>
      </c>
      <c r="Q2737" s="753">
        <v>26000</v>
      </c>
      <c r="R2737" s="738"/>
      <c r="S2737" s="753"/>
      <c r="T2737" s="739">
        <v>1500521</v>
      </c>
      <c r="U2737" s="745"/>
      <c r="V2737" s="739">
        <v>1500522</v>
      </c>
    </row>
    <row r="2738" spans="1:22" ht="15" x14ac:dyDescent="0.2">
      <c r="A2738" s="728" t="s">
        <v>318</v>
      </c>
      <c r="B2738" s="729" t="s">
        <v>1639</v>
      </c>
      <c r="C2738" s="730">
        <f>SUM(C2739:C2792)</f>
        <v>6472835.2000000002</v>
      </c>
      <c r="D2738" s="730">
        <f t="shared" ref="D2738:F2738" si="841">SUM(D2739:D2785)</f>
        <v>4772485</v>
      </c>
      <c r="E2738" s="730">
        <f t="shared" si="841"/>
        <v>5007925.17</v>
      </c>
      <c r="F2738" s="730">
        <f t="shared" si="841"/>
        <v>4802614.7600000007</v>
      </c>
      <c r="G2738" s="730">
        <f t="shared" ref="G2738:S2738" si="842">SUM(G2739:G2792)</f>
        <v>6540225.7000000002</v>
      </c>
      <c r="H2738" s="730">
        <f t="shared" si="842"/>
        <v>0</v>
      </c>
      <c r="I2738" s="730">
        <f t="shared" si="842"/>
        <v>0</v>
      </c>
      <c r="J2738" s="730">
        <f t="shared" si="842"/>
        <v>6540225.7000000002</v>
      </c>
      <c r="K2738" s="730">
        <f t="shared" si="842"/>
        <v>73155.98</v>
      </c>
      <c r="L2738" s="730">
        <f t="shared" si="842"/>
        <v>952065.87</v>
      </c>
      <c r="M2738" s="730">
        <f t="shared" si="842"/>
        <v>5661315.8100000005</v>
      </c>
      <c r="N2738" s="730">
        <f t="shared" si="842"/>
        <v>0</v>
      </c>
      <c r="O2738" s="730">
        <f t="shared" si="842"/>
        <v>147000</v>
      </c>
      <c r="P2738" s="730">
        <f t="shared" si="842"/>
        <v>5514315.8100000005</v>
      </c>
      <c r="Q2738" s="748">
        <f t="shared" si="842"/>
        <v>6449904.0499999998</v>
      </c>
      <c r="R2738" s="748">
        <f>SUM(R2739:R2792)</f>
        <v>3782421.4899999998</v>
      </c>
      <c r="S2738" s="748">
        <f t="shared" si="842"/>
        <v>17020213</v>
      </c>
      <c r="T2738" s="731"/>
      <c r="U2738" s="732">
        <f>SUM(U2739:U2792)</f>
        <v>17098324.990000002</v>
      </c>
      <c r="V2738" s="733"/>
    </row>
    <row r="2739" spans="1:22" ht="15" x14ac:dyDescent="0.25">
      <c r="A2739" s="734">
        <v>1131</v>
      </c>
      <c r="B2739" s="735" t="s">
        <v>6</v>
      </c>
      <c r="C2739" s="736">
        <v>125775.48</v>
      </c>
      <c r="D2739" s="736">
        <v>131149.20000000001</v>
      </c>
      <c r="E2739" s="749">
        <v>131527.20000000001</v>
      </c>
      <c r="F2739" s="736">
        <v>142808.57999999999</v>
      </c>
      <c r="G2739" s="736">
        <v>142703.9</v>
      </c>
      <c r="H2739" s="736"/>
      <c r="I2739" s="736"/>
      <c r="J2739" s="736">
        <f t="shared" ref="J2739:J2752" si="843">G2739+H2739-I2739</f>
        <v>142703.9</v>
      </c>
      <c r="K2739" s="737">
        <v>647.87</v>
      </c>
      <c r="L2739" s="736"/>
      <c r="M2739" s="736">
        <f t="shared" ref="M2739:M2752" si="844">J2739+K2739-L2739</f>
        <v>143351.76999999999</v>
      </c>
      <c r="N2739" s="736"/>
      <c r="O2739" s="736"/>
      <c r="P2739" s="736">
        <f t="shared" ref="P2739:P2752" si="845">M2739+N2739-O2739</f>
        <v>143351.76999999999</v>
      </c>
      <c r="Q2739" s="738">
        <v>155954.85999999999</v>
      </c>
      <c r="R2739" s="738">
        <v>108762.29</v>
      </c>
      <c r="S2739" s="751">
        <v>194164.88</v>
      </c>
      <c r="T2739" s="739">
        <v>1500521</v>
      </c>
      <c r="U2739" s="779">
        <v>165896.84</v>
      </c>
      <c r="V2739" s="741">
        <v>1500522</v>
      </c>
    </row>
    <row r="2740" spans="1:22" ht="15" x14ac:dyDescent="0.25">
      <c r="A2740" s="734">
        <v>1132</v>
      </c>
      <c r="B2740" s="735" t="s">
        <v>8</v>
      </c>
      <c r="C2740" s="736">
        <v>1934110.33</v>
      </c>
      <c r="D2740" s="736">
        <v>1899741.48</v>
      </c>
      <c r="E2740" s="749">
        <v>2179442.5</v>
      </c>
      <c r="F2740" s="736">
        <v>2266157.4</v>
      </c>
      <c r="G2740" s="736">
        <v>2564937</v>
      </c>
      <c r="H2740" s="736"/>
      <c r="I2740" s="736"/>
      <c r="J2740" s="736">
        <f t="shared" si="843"/>
        <v>2564937</v>
      </c>
      <c r="K2740" s="737">
        <v>46226.74</v>
      </c>
      <c r="L2740" s="736"/>
      <c r="M2740" s="736">
        <f t="shared" si="844"/>
        <v>2611163.7400000002</v>
      </c>
      <c r="N2740" s="736"/>
      <c r="O2740" s="736"/>
      <c r="P2740" s="736">
        <f t="shared" si="845"/>
        <v>2611163.7400000002</v>
      </c>
      <c r="Q2740" s="738">
        <v>2596237.63</v>
      </c>
      <c r="R2740" s="738">
        <v>1850348.61</v>
      </c>
      <c r="S2740" s="751">
        <v>2686884.2</v>
      </c>
      <c r="T2740" s="739">
        <v>1500521</v>
      </c>
      <c r="U2740" s="779">
        <v>2645344.25</v>
      </c>
      <c r="V2740" s="741">
        <v>1500522</v>
      </c>
    </row>
    <row r="2741" spans="1:22" ht="15" x14ac:dyDescent="0.25">
      <c r="A2741" s="734">
        <v>1321</v>
      </c>
      <c r="B2741" s="735" t="s">
        <v>9</v>
      </c>
      <c r="C2741" s="736">
        <v>90535.28</v>
      </c>
      <c r="D2741" s="736">
        <v>94250.82</v>
      </c>
      <c r="E2741" s="749">
        <v>95539.82</v>
      </c>
      <c r="F2741" s="736">
        <v>93595.23</v>
      </c>
      <c r="G2741" s="736">
        <v>108584.2</v>
      </c>
      <c r="H2741" s="736"/>
      <c r="I2741" s="736"/>
      <c r="J2741" s="736">
        <f t="shared" si="843"/>
        <v>108584.2</v>
      </c>
      <c r="K2741" s="737">
        <v>1734.21</v>
      </c>
      <c r="L2741" s="736"/>
      <c r="M2741" s="736">
        <f t="shared" si="844"/>
        <v>110318.41</v>
      </c>
      <c r="N2741" s="736"/>
      <c r="O2741" s="736"/>
      <c r="P2741" s="736">
        <f t="shared" si="845"/>
        <v>110318.41</v>
      </c>
      <c r="Q2741" s="738">
        <v>110318.41</v>
      </c>
      <c r="R2741" s="738">
        <v>53370.879999999997</v>
      </c>
      <c r="S2741" s="751">
        <v>118909.96</v>
      </c>
      <c r="T2741" s="739">
        <v>1500521</v>
      </c>
      <c r="U2741" s="779">
        <v>112126.32</v>
      </c>
      <c r="V2741" s="741">
        <v>1500522</v>
      </c>
    </row>
    <row r="2742" spans="1:22" ht="15" x14ac:dyDescent="0.25">
      <c r="A2742" s="734">
        <v>1323</v>
      </c>
      <c r="B2742" s="735" t="s">
        <v>11</v>
      </c>
      <c r="C2742" s="736">
        <v>331069</v>
      </c>
      <c r="D2742" s="736">
        <v>326908.5</v>
      </c>
      <c r="E2742" s="749">
        <v>340912.43</v>
      </c>
      <c r="F2742" s="736">
        <v>369900.76</v>
      </c>
      <c r="G2742" s="736">
        <v>437969.5</v>
      </c>
      <c r="H2742" s="736"/>
      <c r="I2742" s="736"/>
      <c r="J2742" s="736">
        <f t="shared" si="843"/>
        <v>437969.5</v>
      </c>
      <c r="K2742" s="737">
        <v>5152.5200000000004</v>
      </c>
      <c r="L2742" s="736"/>
      <c r="M2742" s="736">
        <f t="shared" si="844"/>
        <v>443122.02</v>
      </c>
      <c r="N2742" s="736"/>
      <c r="O2742" s="736"/>
      <c r="P2742" s="736">
        <f t="shared" si="845"/>
        <v>443122.02</v>
      </c>
      <c r="Q2742" s="738">
        <v>443122.02</v>
      </c>
      <c r="R2742" s="738">
        <v>325351</v>
      </c>
      <c r="S2742" s="751">
        <v>468682</v>
      </c>
      <c r="T2742" s="739">
        <v>1500521</v>
      </c>
      <c r="U2742" s="779">
        <v>436188.06</v>
      </c>
      <c r="V2742" s="741">
        <v>1500522</v>
      </c>
    </row>
    <row r="2743" spans="1:22" ht="15" x14ac:dyDescent="0.25">
      <c r="A2743" s="734">
        <v>1413</v>
      </c>
      <c r="B2743" s="735" t="s">
        <v>13</v>
      </c>
      <c r="C2743" s="736">
        <v>227869.04</v>
      </c>
      <c r="D2743" s="736">
        <v>376997.04</v>
      </c>
      <c r="E2743" s="749">
        <v>322267.24</v>
      </c>
      <c r="F2743" s="736">
        <v>257342.85</v>
      </c>
      <c r="G2743" s="736">
        <v>585096.6</v>
      </c>
      <c r="H2743" s="736"/>
      <c r="I2743" s="736"/>
      <c r="J2743" s="736">
        <f t="shared" si="843"/>
        <v>585096.6</v>
      </c>
      <c r="K2743" s="736"/>
      <c r="L2743" s="736">
        <v>106317.51</v>
      </c>
      <c r="M2743" s="736">
        <f t="shared" si="844"/>
        <v>478779.08999999997</v>
      </c>
      <c r="N2743" s="736"/>
      <c r="O2743" s="736"/>
      <c r="P2743" s="736">
        <f t="shared" si="845"/>
        <v>478779.08999999997</v>
      </c>
      <c r="Q2743" s="738">
        <v>478779.09</v>
      </c>
      <c r="R2743" s="738">
        <v>392909.32</v>
      </c>
      <c r="S2743" s="751">
        <v>597642.48</v>
      </c>
      <c r="T2743" s="739">
        <v>1500521</v>
      </c>
      <c r="U2743" s="779">
        <v>526901.71</v>
      </c>
      <c r="V2743" s="741">
        <v>1500522</v>
      </c>
    </row>
    <row r="2744" spans="1:22" ht="15" x14ac:dyDescent="0.25">
      <c r="A2744" s="734">
        <v>1421</v>
      </c>
      <c r="B2744" s="735" t="s">
        <v>15</v>
      </c>
      <c r="C2744" s="736">
        <v>81356.639999999999</v>
      </c>
      <c r="D2744" s="736">
        <v>130985.18</v>
      </c>
      <c r="E2744" s="749">
        <v>106408.78</v>
      </c>
      <c r="F2744" s="736">
        <v>93475.520000000004</v>
      </c>
      <c r="G2744" s="736">
        <v>189143.9</v>
      </c>
      <c r="H2744" s="736"/>
      <c r="I2744" s="736"/>
      <c r="J2744" s="736">
        <f t="shared" si="843"/>
        <v>189143.9</v>
      </c>
      <c r="K2744" s="736"/>
      <c r="L2744" s="736">
        <v>37820.42</v>
      </c>
      <c r="M2744" s="736">
        <f t="shared" si="844"/>
        <v>151323.47999999998</v>
      </c>
      <c r="N2744" s="736"/>
      <c r="O2744" s="736"/>
      <c r="P2744" s="736">
        <f t="shared" si="845"/>
        <v>151323.47999999998</v>
      </c>
      <c r="Q2744" s="738">
        <v>151323.48000000001</v>
      </c>
      <c r="R2744" s="738">
        <v>107238.01</v>
      </c>
      <c r="S2744" s="751">
        <v>178416.72</v>
      </c>
      <c r="T2744" s="739">
        <v>1500521</v>
      </c>
      <c r="U2744" s="779">
        <v>207342.44</v>
      </c>
      <c r="V2744" s="741">
        <v>1500522</v>
      </c>
    </row>
    <row r="2745" spans="1:22" ht="15" x14ac:dyDescent="0.25">
      <c r="A2745" s="734">
        <v>1431</v>
      </c>
      <c r="B2745" s="735" t="s">
        <v>16</v>
      </c>
      <c r="C2745" s="736">
        <v>87534.44</v>
      </c>
      <c r="D2745" s="736">
        <v>134914.82</v>
      </c>
      <c r="E2745" s="749">
        <v>107471.12</v>
      </c>
      <c r="F2745" s="736">
        <v>91565.66</v>
      </c>
      <c r="G2745" s="736">
        <v>194818</v>
      </c>
      <c r="H2745" s="736"/>
      <c r="I2745" s="736"/>
      <c r="J2745" s="736">
        <f t="shared" si="843"/>
        <v>194818</v>
      </c>
      <c r="K2745" s="736"/>
      <c r="L2745" s="736">
        <v>38985.86</v>
      </c>
      <c r="M2745" s="736">
        <f t="shared" si="844"/>
        <v>155832.14000000001</v>
      </c>
      <c r="N2745" s="736"/>
      <c r="O2745" s="736"/>
      <c r="P2745" s="736">
        <f t="shared" si="845"/>
        <v>155832.14000000001</v>
      </c>
      <c r="Q2745" s="738">
        <v>155832.14000000001</v>
      </c>
      <c r="R2745" s="738">
        <v>110740.99</v>
      </c>
      <c r="S2745" s="751">
        <v>183769.2</v>
      </c>
      <c r="T2745" s="739">
        <v>1500521</v>
      </c>
      <c r="U2745" s="779">
        <v>212925.7</v>
      </c>
      <c r="V2745" s="741">
        <v>1500522</v>
      </c>
    </row>
    <row r="2746" spans="1:22" ht="15" x14ac:dyDescent="0.25">
      <c r="A2746" s="734">
        <v>1511</v>
      </c>
      <c r="B2746" s="735" t="s">
        <v>18</v>
      </c>
      <c r="C2746" s="736">
        <v>25777.73</v>
      </c>
      <c r="D2746" s="736">
        <v>26808.6</v>
      </c>
      <c r="E2746" s="749">
        <v>30589.599999999999</v>
      </c>
      <c r="F2746" s="736">
        <v>31610.49</v>
      </c>
      <c r="G2746" s="736">
        <v>41175.699999999997</v>
      </c>
      <c r="H2746" s="736"/>
      <c r="I2746" s="736"/>
      <c r="J2746" s="736">
        <f t="shared" si="843"/>
        <v>41175.699999999997</v>
      </c>
      <c r="K2746" s="737">
        <v>781.52</v>
      </c>
      <c r="L2746" s="736"/>
      <c r="M2746" s="736">
        <f t="shared" si="844"/>
        <v>41957.219999999994</v>
      </c>
      <c r="N2746" s="736"/>
      <c r="O2746" s="736"/>
      <c r="P2746" s="736">
        <f t="shared" si="845"/>
        <v>41957.219999999994</v>
      </c>
      <c r="Q2746" s="738">
        <v>41957.22</v>
      </c>
      <c r="R2746" s="738">
        <v>29927.31</v>
      </c>
      <c r="S2746" s="751">
        <v>45099.6</v>
      </c>
      <c r="T2746" s="739">
        <v>1500521</v>
      </c>
      <c r="U2746" s="779">
        <v>43098.36</v>
      </c>
      <c r="V2746" s="741">
        <v>1500522</v>
      </c>
    </row>
    <row r="2747" spans="1:22" ht="15" x14ac:dyDescent="0.25">
      <c r="A2747" s="734">
        <v>1541</v>
      </c>
      <c r="B2747" s="735" t="s">
        <v>19</v>
      </c>
      <c r="C2747" s="736">
        <v>52877.75</v>
      </c>
      <c r="D2747" s="736">
        <v>59011.16</v>
      </c>
      <c r="E2747" s="749">
        <v>48334.16</v>
      </c>
      <c r="F2747" s="736">
        <v>49619.6</v>
      </c>
      <c r="G2747" s="736">
        <v>63400.7</v>
      </c>
      <c r="H2747" s="736"/>
      <c r="I2747" s="736"/>
      <c r="J2747" s="736">
        <f t="shared" si="843"/>
        <v>63400.7</v>
      </c>
      <c r="K2747" s="737">
        <v>2413.12</v>
      </c>
      <c r="L2747" s="736"/>
      <c r="M2747" s="736">
        <f t="shared" si="844"/>
        <v>65813.819999999992</v>
      </c>
      <c r="N2747" s="736"/>
      <c r="O2747" s="736"/>
      <c r="P2747" s="736">
        <f t="shared" si="845"/>
        <v>65813.819999999992</v>
      </c>
      <c r="Q2747" s="738">
        <v>65813.820000000007</v>
      </c>
      <c r="R2747" s="738">
        <v>44960.53</v>
      </c>
      <c r="S2747" s="751">
        <v>98360.08</v>
      </c>
      <c r="T2747" s="739">
        <v>1500521</v>
      </c>
      <c r="U2747" s="779">
        <v>98360.08</v>
      </c>
      <c r="V2747" s="741">
        <v>1500522</v>
      </c>
    </row>
    <row r="2748" spans="1:22" ht="15" x14ac:dyDescent="0.25">
      <c r="A2748" s="734">
        <v>1592</v>
      </c>
      <c r="B2748" s="735" t="s">
        <v>20</v>
      </c>
      <c r="C2748" s="736">
        <v>335729.46</v>
      </c>
      <c r="D2748" s="736">
        <v>349003.2</v>
      </c>
      <c r="E2748" s="749">
        <v>386617.32</v>
      </c>
      <c r="F2748" s="736">
        <v>399947.81</v>
      </c>
      <c r="G2748" s="736">
        <v>485696.19999999995</v>
      </c>
      <c r="H2748" s="736"/>
      <c r="I2748" s="736"/>
      <c r="J2748" s="736">
        <f t="shared" si="843"/>
        <v>485696.19999999995</v>
      </c>
      <c r="K2748" s="736"/>
      <c r="L2748" s="736">
        <v>8942.08</v>
      </c>
      <c r="M2748" s="736">
        <f t="shared" si="844"/>
        <v>476754.11999999994</v>
      </c>
      <c r="N2748" s="736"/>
      <c r="O2748" s="736"/>
      <c r="P2748" s="736">
        <f t="shared" si="845"/>
        <v>476754.11999999994</v>
      </c>
      <c r="Q2748" s="738">
        <v>527478.32999999996</v>
      </c>
      <c r="R2748" s="738">
        <v>343461.3</v>
      </c>
      <c r="S2748" s="751">
        <v>530955.88</v>
      </c>
      <c r="T2748" s="739">
        <v>1500521</v>
      </c>
      <c r="U2748" s="779">
        <v>495813.23</v>
      </c>
      <c r="V2748" s="741">
        <v>1500522</v>
      </c>
    </row>
    <row r="2749" spans="1:22" ht="15" x14ac:dyDescent="0.2">
      <c r="A2749" s="734">
        <v>2111</v>
      </c>
      <c r="B2749" s="735" t="s">
        <v>22</v>
      </c>
      <c r="C2749" s="736">
        <v>22135</v>
      </c>
      <c r="D2749" s="736">
        <v>23000</v>
      </c>
      <c r="E2749" s="749">
        <v>16100</v>
      </c>
      <c r="F2749" s="736">
        <v>14950</v>
      </c>
      <c r="G2749" s="752">
        <v>16000</v>
      </c>
      <c r="H2749" s="752"/>
      <c r="I2749" s="752"/>
      <c r="J2749" s="736">
        <f t="shared" si="843"/>
        <v>16000</v>
      </c>
      <c r="K2749" s="752"/>
      <c r="L2749" s="752"/>
      <c r="M2749" s="736">
        <f t="shared" si="844"/>
        <v>16000</v>
      </c>
      <c r="N2749" s="736"/>
      <c r="O2749" s="736"/>
      <c r="P2749" s="736">
        <f t="shared" si="845"/>
        <v>16000</v>
      </c>
      <c r="Q2749" s="753">
        <v>12411.45</v>
      </c>
      <c r="R2749" s="738">
        <v>7616.44</v>
      </c>
      <c r="S2749" s="753">
        <v>16000</v>
      </c>
      <c r="T2749" s="739">
        <v>1100121</v>
      </c>
      <c r="U2749" s="754">
        <v>16000</v>
      </c>
      <c r="V2749" s="741">
        <v>1100122</v>
      </c>
    </row>
    <row r="2750" spans="1:22" ht="15" x14ac:dyDescent="0.2">
      <c r="A2750" s="734">
        <v>2112</v>
      </c>
      <c r="B2750" s="762" t="s">
        <v>39</v>
      </c>
      <c r="C2750" s="736"/>
      <c r="D2750" s="736"/>
      <c r="E2750" s="749"/>
      <c r="F2750" s="736"/>
      <c r="G2750" s="752">
        <v>4200</v>
      </c>
      <c r="H2750" s="752"/>
      <c r="I2750" s="752"/>
      <c r="J2750" s="736">
        <f t="shared" si="843"/>
        <v>4200</v>
      </c>
      <c r="K2750" s="752"/>
      <c r="L2750" s="752"/>
      <c r="M2750" s="736">
        <f t="shared" si="844"/>
        <v>4200</v>
      </c>
      <c r="N2750" s="736"/>
      <c r="O2750" s="736"/>
      <c r="P2750" s="736">
        <f t="shared" si="845"/>
        <v>4200</v>
      </c>
      <c r="Q2750" s="753">
        <v>4200</v>
      </c>
      <c r="R2750" s="738"/>
      <c r="S2750" s="753">
        <v>17100</v>
      </c>
      <c r="T2750" s="739">
        <v>1100121</v>
      </c>
      <c r="U2750" s="754">
        <v>17100</v>
      </c>
      <c r="V2750" s="741">
        <v>1100122</v>
      </c>
    </row>
    <row r="2751" spans="1:22" ht="15" x14ac:dyDescent="0.2">
      <c r="A2751" s="734">
        <v>2121</v>
      </c>
      <c r="B2751" s="735" t="s">
        <v>24</v>
      </c>
      <c r="C2751" s="736">
        <v>18387</v>
      </c>
      <c r="D2751" s="736">
        <v>23000</v>
      </c>
      <c r="E2751" s="749">
        <v>23000</v>
      </c>
      <c r="F2751" s="736">
        <v>20046</v>
      </c>
      <c r="G2751" s="752">
        <v>23000</v>
      </c>
      <c r="H2751" s="752"/>
      <c r="I2751" s="752"/>
      <c r="J2751" s="736">
        <f t="shared" si="843"/>
        <v>23000</v>
      </c>
      <c r="K2751" s="752"/>
      <c r="L2751" s="752"/>
      <c r="M2751" s="736">
        <f t="shared" si="844"/>
        <v>23000</v>
      </c>
      <c r="N2751" s="736"/>
      <c r="O2751" s="736"/>
      <c r="P2751" s="736">
        <f t="shared" si="845"/>
        <v>23000</v>
      </c>
      <c r="Q2751" s="753">
        <v>23000</v>
      </c>
      <c r="R2751" s="738">
        <v>19475.490000000002</v>
      </c>
      <c r="S2751" s="753">
        <v>25000</v>
      </c>
      <c r="T2751" s="739">
        <v>1100121</v>
      </c>
      <c r="U2751" s="754">
        <v>25000</v>
      </c>
      <c r="V2751" s="741">
        <v>1100122</v>
      </c>
    </row>
    <row r="2752" spans="1:22" ht="15" x14ac:dyDescent="0.2">
      <c r="A2752" s="734">
        <v>2161</v>
      </c>
      <c r="B2752" s="735" t="s">
        <v>59</v>
      </c>
      <c r="C2752" s="736">
        <v>41116.400000000001</v>
      </c>
      <c r="D2752" s="736">
        <v>30000</v>
      </c>
      <c r="E2752" s="749">
        <v>30000</v>
      </c>
      <c r="F2752" s="736">
        <v>21596.59</v>
      </c>
      <c r="G2752" s="752">
        <v>30000</v>
      </c>
      <c r="H2752" s="752"/>
      <c r="I2752" s="752"/>
      <c r="J2752" s="736">
        <f t="shared" si="843"/>
        <v>30000</v>
      </c>
      <c r="K2752" s="752"/>
      <c r="L2752" s="752"/>
      <c r="M2752" s="736">
        <f t="shared" si="844"/>
        <v>30000</v>
      </c>
      <c r="N2752" s="736"/>
      <c r="O2752" s="736"/>
      <c r="P2752" s="736">
        <f t="shared" si="845"/>
        <v>30000</v>
      </c>
      <c r="Q2752" s="753">
        <v>30000</v>
      </c>
      <c r="R2752" s="738">
        <v>11231.92</v>
      </c>
      <c r="S2752" s="753">
        <v>25000</v>
      </c>
      <c r="T2752" s="739">
        <v>1100121</v>
      </c>
      <c r="U2752" s="754">
        <v>25000</v>
      </c>
      <c r="V2752" s="741">
        <v>1100122</v>
      </c>
    </row>
    <row r="2753" spans="1:22" ht="15" x14ac:dyDescent="0.2">
      <c r="A2753" s="739">
        <v>2171</v>
      </c>
      <c r="B2753" s="743" t="s">
        <v>1815</v>
      </c>
      <c r="C2753" s="736"/>
      <c r="D2753" s="736"/>
      <c r="E2753" s="749"/>
      <c r="F2753" s="736"/>
      <c r="G2753" s="752"/>
      <c r="H2753" s="752"/>
      <c r="I2753" s="752"/>
      <c r="J2753" s="736"/>
      <c r="K2753" s="752"/>
      <c r="L2753" s="752"/>
      <c r="M2753" s="736"/>
      <c r="N2753" s="736"/>
      <c r="O2753" s="736"/>
      <c r="P2753" s="736"/>
      <c r="Q2753" s="753"/>
      <c r="R2753" s="738"/>
      <c r="S2753" s="753">
        <v>150000</v>
      </c>
      <c r="T2753" s="739"/>
      <c r="U2753" s="745"/>
      <c r="V2753" s="739"/>
    </row>
    <row r="2754" spans="1:22" ht="15" x14ac:dyDescent="0.2">
      <c r="A2754" s="734">
        <v>2212</v>
      </c>
      <c r="B2754" s="735" t="s">
        <v>40</v>
      </c>
      <c r="C2754" s="736">
        <v>5921.51</v>
      </c>
      <c r="D2754" s="736">
        <v>15000</v>
      </c>
      <c r="E2754" s="749">
        <v>50000</v>
      </c>
      <c r="F2754" s="736">
        <v>29998.54</v>
      </c>
      <c r="G2754" s="752">
        <v>50000</v>
      </c>
      <c r="H2754" s="752"/>
      <c r="I2754" s="752"/>
      <c r="J2754" s="736">
        <f t="shared" ref="J2754:J2756" si="846">G2754+H2754-I2754</f>
        <v>50000</v>
      </c>
      <c r="K2754" s="752"/>
      <c r="L2754" s="752"/>
      <c r="M2754" s="736">
        <f t="shared" ref="M2754:M2756" si="847">J2754+K2754-L2754</f>
        <v>50000</v>
      </c>
      <c r="N2754" s="736"/>
      <c r="O2754" s="736"/>
      <c r="P2754" s="736">
        <f t="shared" ref="P2754:P2756" si="848">M2754+N2754-O2754</f>
        <v>50000</v>
      </c>
      <c r="Q2754" s="753">
        <v>50000</v>
      </c>
      <c r="R2754" s="738">
        <v>12173.18</v>
      </c>
      <c r="S2754" s="753">
        <v>50000</v>
      </c>
      <c r="T2754" s="739">
        <v>1100121</v>
      </c>
      <c r="U2754" s="754">
        <v>50000</v>
      </c>
      <c r="V2754" s="741">
        <v>1100122</v>
      </c>
    </row>
    <row r="2755" spans="1:22" ht="15" x14ac:dyDescent="0.2">
      <c r="A2755" s="734">
        <v>2461</v>
      </c>
      <c r="B2755" s="762" t="s">
        <v>1792</v>
      </c>
      <c r="C2755" s="736"/>
      <c r="D2755" s="736"/>
      <c r="E2755" s="749"/>
      <c r="F2755" s="736"/>
      <c r="G2755" s="752">
        <v>9000</v>
      </c>
      <c r="H2755" s="752"/>
      <c r="I2755" s="752"/>
      <c r="J2755" s="736">
        <f t="shared" si="846"/>
        <v>9000</v>
      </c>
      <c r="K2755" s="752"/>
      <c r="L2755" s="752"/>
      <c r="M2755" s="736">
        <f t="shared" si="847"/>
        <v>9000</v>
      </c>
      <c r="N2755" s="736"/>
      <c r="O2755" s="736"/>
      <c r="P2755" s="736">
        <f t="shared" si="848"/>
        <v>9000</v>
      </c>
      <c r="Q2755" s="753">
        <v>9000</v>
      </c>
      <c r="R2755" s="738">
        <v>527.53</v>
      </c>
      <c r="S2755" s="753">
        <v>6000</v>
      </c>
      <c r="T2755" s="739">
        <v>1100121</v>
      </c>
      <c r="U2755" s="754">
        <v>6000</v>
      </c>
      <c r="V2755" s="741">
        <v>1100122</v>
      </c>
    </row>
    <row r="2756" spans="1:22" ht="15" x14ac:dyDescent="0.2">
      <c r="A2756" s="734">
        <v>2491</v>
      </c>
      <c r="B2756" s="735" t="s">
        <v>41</v>
      </c>
      <c r="C2756" s="736">
        <v>64397.77</v>
      </c>
      <c r="D2756" s="736">
        <v>15000</v>
      </c>
      <c r="E2756" s="749">
        <v>15000</v>
      </c>
      <c r="F2756" s="736">
        <v>14826.88</v>
      </c>
      <c r="G2756" s="752">
        <v>17000</v>
      </c>
      <c r="H2756" s="752"/>
      <c r="I2756" s="752"/>
      <c r="J2756" s="736">
        <f t="shared" si="846"/>
        <v>17000</v>
      </c>
      <c r="K2756" s="752"/>
      <c r="L2756" s="752"/>
      <c r="M2756" s="736">
        <f t="shared" si="847"/>
        <v>17000</v>
      </c>
      <c r="N2756" s="736"/>
      <c r="O2756" s="736"/>
      <c r="P2756" s="736">
        <f t="shared" si="848"/>
        <v>17000</v>
      </c>
      <c r="Q2756" s="753">
        <v>27000</v>
      </c>
      <c r="R2756" s="738">
        <v>19770.7</v>
      </c>
      <c r="S2756" s="753">
        <v>125000</v>
      </c>
      <c r="T2756" s="739">
        <v>1100121</v>
      </c>
      <c r="U2756" s="754">
        <v>125000</v>
      </c>
      <c r="V2756" s="741">
        <v>1100122</v>
      </c>
    </row>
    <row r="2757" spans="1:22" ht="15" x14ac:dyDescent="0.2">
      <c r="A2757" s="739">
        <v>2531</v>
      </c>
      <c r="B2757" s="743" t="s">
        <v>145</v>
      </c>
      <c r="C2757" s="736"/>
      <c r="D2757" s="736"/>
      <c r="E2757" s="749"/>
      <c r="F2757" s="736"/>
      <c r="G2757" s="752"/>
      <c r="H2757" s="752"/>
      <c r="I2757" s="752"/>
      <c r="J2757" s="736"/>
      <c r="K2757" s="752"/>
      <c r="L2757" s="752"/>
      <c r="M2757" s="736"/>
      <c r="N2757" s="736"/>
      <c r="O2757" s="736"/>
      <c r="P2757" s="736"/>
      <c r="Q2757" s="753"/>
      <c r="R2757" s="738"/>
      <c r="S2757" s="753">
        <v>200000</v>
      </c>
      <c r="T2757" s="739"/>
      <c r="U2757" s="744"/>
      <c r="V2757" s="739"/>
    </row>
    <row r="2758" spans="1:22" ht="30" x14ac:dyDescent="0.2">
      <c r="A2758" s="739">
        <v>2612</v>
      </c>
      <c r="B2758" s="822" t="s">
        <v>26</v>
      </c>
      <c r="C2758" s="736">
        <v>4508.88</v>
      </c>
      <c r="D2758" s="736"/>
      <c r="E2758" s="736"/>
      <c r="F2758" s="736"/>
      <c r="G2758" s="736"/>
      <c r="H2758" s="789"/>
      <c r="I2758" s="736"/>
      <c r="J2758" s="736">
        <f t="shared" ref="J2758:J2760" si="849">G2758+H2758-I2758</f>
        <v>0</v>
      </c>
      <c r="K2758" s="789">
        <v>0</v>
      </c>
      <c r="L2758" s="736"/>
      <c r="M2758" s="736">
        <f t="shared" ref="M2758:M2760" si="850">J2758+K2758-L2758</f>
        <v>0</v>
      </c>
      <c r="N2758" s="736"/>
      <c r="O2758" s="736"/>
      <c r="P2758" s="738">
        <f t="shared" ref="P2758:P2760" si="851">M2758+N2758-O2758</f>
        <v>0</v>
      </c>
      <c r="Q2758" s="738"/>
      <c r="R2758" s="738"/>
      <c r="S2758" s="738">
        <f>Q2758</f>
        <v>0</v>
      </c>
      <c r="T2758" s="739">
        <v>1100121</v>
      </c>
      <c r="U2758" s="745"/>
      <c r="V2758" s="739">
        <v>1100122</v>
      </c>
    </row>
    <row r="2759" spans="1:22" ht="15" x14ac:dyDescent="0.2">
      <c r="A2759" s="734">
        <v>2711</v>
      </c>
      <c r="B2759" s="735" t="s">
        <v>27</v>
      </c>
      <c r="C2759" s="736"/>
      <c r="D2759" s="736">
        <v>0</v>
      </c>
      <c r="E2759" s="749">
        <v>300000</v>
      </c>
      <c r="F2759" s="736">
        <v>300000</v>
      </c>
      <c r="G2759" s="736"/>
      <c r="H2759" s="736"/>
      <c r="I2759" s="736"/>
      <c r="J2759" s="736">
        <f t="shared" si="849"/>
        <v>0</v>
      </c>
      <c r="K2759" s="736"/>
      <c r="L2759" s="736"/>
      <c r="M2759" s="736">
        <f t="shared" si="850"/>
        <v>0</v>
      </c>
      <c r="N2759" s="736"/>
      <c r="O2759" s="736"/>
      <c r="P2759" s="738">
        <f t="shared" si="851"/>
        <v>0</v>
      </c>
      <c r="Q2759" s="738"/>
      <c r="R2759" s="738"/>
      <c r="S2759" s="738"/>
      <c r="T2759" s="739">
        <v>1100119</v>
      </c>
      <c r="U2759" s="740">
        <f>520000-386205</f>
        <v>133795</v>
      </c>
      <c r="V2759" s="741">
        <v>1100122</v>
      </c>
    </row>
    <row r="2760" spans="1:22" ht="15" x14ac:dyDescent="0.2">
      <c r="A2760" s="734">
        <v>2711</v>
      </c>
      <c r="B2760" s="735" t="s">
        <v>27</v>
      </c>
      <c r="C2760" s="736"/>
      <c r="D2760" s="736">
        <v>360000</v>
      </c>
      <c r="E2760" s="749">
        <v>30000</v>
      </c>
      <c r="F2760" s="736">
        <v>30000</v>
      </c>
      <c r="G2760" s="736"/>
      <c r="H2760" s="736"/>
      <c r="I2760" s="736"/>
      <c r="J2760" s="736">
        <f t="shared" si="849"/>
        <v>0</v>
      </c>
      <c r="K2760" s="736"/>
      <c r="L2760" s="736"/>
      <c r="M2760" s="736">
        <f t="shared" si="850"/>
        <v>0</v>
      </c>
      <c r="N2760" s="736"/>
      <c r="O2760" s="736"/>
      <c r="P2760" s="738">
        <f t="shared" si="851"/>
        <v>0</v>
      </c>
      <c r="Q2760" s="738"/>
      <c r="R2760" s="738"/>
      <c r="S2760" s="738">
        <v>520000</v>
      </c>
      <c r="T2760" s="739">
        <v>1100121</v>
      </c>
      <c r="U2760" s="742">
        <v>386205</v>
      </c>
      <c r="V2760" s="741">
        <v>2510222</v>
      </c>
    </row>
    <row r="2761" spans="1:22" ht="15" x14ac:dyDescent="0.2">
      <c r="A2761" s="734">
        <v>2211</v>
      </c>
      <c r="B2761" s="735" t="s">
        <v>1816</v>
      </c>
      <c r="C2761" s="736"/>
      <c r="D2761" s="736"/>
      <c r="E2761" s="749"/>
      <c r="F2761" s="736"/>
      <c r="G2761" s="736"/>
      <c r="H2761" s="736"/>
      <c r="I2761" s="736"/>
      <c r="J2761" s="736"/>
      <c r="K2761" s="736"/>
      <c r="L2761" s="736"/>
      <c r="M2761" s="736"/>
      <c r="N2761" s="736"/>
      <c r="O2761" s="736"/>
      <c r="P2761" s="738"/>
      <c r="Q2761" s="738"/>
      <c r="R2761" s="738"/>
      <c r="S2761" s="738">
        <v>8500000</v>
      </c>
      <c r="T2761" s="739"/>
      <c r="U2761" s="742">
        <v>8500000</v>
      </c>
      <c r="V2761" s="741">
        <v>2510222</v>
      </c>
    </row>
    <row r="2762" spans="1:22" ht="15" x14ac:dyDescent="0.2">
      <c r="A2762" s="739">
        <v>2911</v>
      </c>
      <c r="B2762" s="743" t="s">
        <v>60</v>
      </c>
      <c r="C2762" s="736"/>
      <c r="D2762" s="736">
        <v>3800</v>
      </c>
      <c r="E2762" s="749">
        <v>3800</v>
      </c>
      <c r="F2762" s="736">
        <v>2312</v>
      </c>
      <c r="G2762" s="736"/>
      <c r="H2762" s="736"/>
      <c r="I2762" s="736"/>
      <c r="J2762" s="736">
        <f>G2762+H2762-I2762</f>
        <v>0</v>
      </c>
      <c r="K2762" s="736"/>
      <c r="L2762" s="736"/>
      <c r="M2762" s="736">
        <f t="shared" ref="M2762:M2773" si="852">J2762+K2762-L2762</f>
        <v>0</v>
      </c>
      <c r="N2762" s="736"/>
      <c r="O2762" s="736"/>
      <c r="P2762" s="738">
        <f t="shared" ref="P2762:P2773" si="853">M2762+N2762-O2762</f>
        <v>0</v>
      </c>
      <c r="Q2762" s="738"/>
      <c r="R2762" s="738"/>
      <c r="S2762" s="738"/>
      <c r="T2762" s="739">
        <v>1100121</v>
      </c>
      <c r="U2762" s="745"/>
      <c r="V2762" s="739">
        <v>1100122</v>
      </c>
    </row>
    <row r="2763" spans="1:22" ht="15" x14ac:dyDescent="0.2">
      <c r="A2763" s="739">
        <v>3192</v>
      </c>
      <c r="B2763" s="743" t="s">
        <v>1817</v>
      </c>
      <c r="C2763" s="736"/>
      <c r="D2763" s="736"/>
      <c r="E2763" s="749"/>
      <c r="F2763" s="736"/>
      <c r="G2763" s="752"/>
      <c r="H2763" s="752"/>
      <c r="I2763" s="752"/>
      <c r="J2763" s="736"/>
      <c r="K2763" s="752">
        <v>16200</v>
      </c>
      <c r="L2763" s="752"/>
      <c r="M2763" s="736">
        <f t="shared" si="852"/>
        <v>16200</v>
      </c>
      <c r="N2763" s="736"/>
      <c r="O2763" s="736"/>
      <c r="P2763" s="736">
        <f t="shared" si="853"/>
        <v>16200</v>
      </c>
      <c r="Q2763" s="753">
        <v>16200</v>
      </c>
      <c r="R2763" s="738">
        <v>16199.82</v>
      </c>
      <c r="S2763" s="753"/>
      <c r="T2763" s="739">
        <v>1100121</v>
      </c>
      <c r="U2763" s="745"/>
      <c r="V2763" s="739">
        <v>1100122</v>
      </c>
    </row>
    <row r="2764" spans="1:22" ht="15" x14ac:dyDescent="0.2">
      <c r="A2764" s="734">
        <v>3131</v>
      </c>
      <c r="B2764" s="735" t="s">
        <v>61</v>
      </c>
      <c r="C2764" s="736">
        <v>117279.54</v>
      </c>
      <c r="D2764" s="736">
        <v>143000</v>
      </c>
      <c r="E2764" s="749">
        <v>143000</v>
      </c>
      <c r="F2764" s="736">
        <v>131726.71</v>
      </c>
      <c r="G2764" s="752">
        <v>160000</v>
      </c>
      <c r="H2764" s="752"/>
      <c r="I2764" s="752"/>
      <c r="J2764" s="736">
        <f t="shared" ref="J2764:J2773" si="854">G2764+H2764-I2764</f>
        <v>160000</v>
      </c>
      <c r="K2764" s="752"/>
      <c r="L2764" s="752"/>
      <c r="M2764" s="736">
        <f t="shared" si="852"/>
        <v>160000</v>
      </c>
      <c r="N2764" s="736"/>
      <c r="O2764" s="736"/>
      <c r="P2764" s="736">
        <f t="shared" si="853"/>
        <v>160000</v>
      </c>
      <c r="Q2764" s="753">
        <v>160000</v>
      </c>
      <c r="R2764" s="738">
        <v>131107.29999999999</v>
      </c>
      <c r="S2764" s="753"/>
      <c r="T2764" s="739">
        <v>1100121</v>
      </c>
      <c r="U2764" s="740">
        <v>180000</v>
      </c>
      <c r="V2764" s="741">
        <v>1100122</v>
      </c>
    </row>
    <row r="2765" spans="1:22" ht="15" x14ac:dyDescent="0.2">
      <c r="A2765" s="734">
        <v>3141</v>
      </c>
      <c r="B2765" s="735" t="s">
        <v>48</v>
      </c>
      <c r="C2765" s="736">
        <v>89729.66</v>
      </c>
      <c r="D2765" s="736">
        <v>130000</v>
      </c>
      <c r="E2765" s="749">
        <v>115000</v>
      </c>
      <c r="F2765" s="736">
        <v>87181.21</v>
      </c>
      <c r="G2765" s="752">
        <v>126500</v>
      </c>
      <c r="H2765" s="752"/>
      <c r="I2765" s="752"/>
      <c r="J2765" s="736">
        <f t="shared" si="854"/>
        <v>126500</v>
      </c>
      <c r="K2765" s="752"/>
      <c r="L2765" s="752"/>
      <c r="M2765" s="736">
        <f t="shared" si="852"/>
        <v>126500</v>
      </c>
      <c r="N2765" s="736"/>
      <c r="O2765" s="736"/>
      <c r="P2765" s="736">
        <f t="shared" si="853"/>
        <v>126500</v>
      </c>
      <c r="Q2765" s="753">
        <v>126500</v>
      </c>
      <c r="R2765" s="738">
        <v>54395.9</v>
      </c>
      <c r="S2765" s="753"/>
      <c r="T2765" s="739">
        <v>1100121</v>
      </c>
      <c r="U2765" s="740">
        <v>100000</v>
      </c>
      <c r="V2765" s="741">
        <v>1100122</v>
      </c>
    </row>
    <row r="2766" spans="1:22" ht="15" x14ac:dyDescent="0.2">
      <c r="A2766" s="734">
        <v>3151</v>
      </c>
      <c r="B2766" s="735" t="s">
        <v>28</v>
      </c>
      <c r="C2766" s="736">
        <v>12800.29</v>
      </c>
      <c r="D2766" s="736">
        <v>40000</v>
      </c>
      <c r="E2766" s="749">
        <v>59000</v>
      </c>
      <c r="F2766" s="736">
        <v>57480.75</v>
      </c>
      <c r="G2766" s="752">
        <v>85000</v>
      </c>
      <c r="H2766" s="752"/>
      <c r="I2766" s="752"/>
      <c r="J2766" s="736">
        <f t="shared" si="854"/>
        <v>85000</v>
      </c>
      <c r="K2766" s="752"/>
      <c r="L2766" s="752"/>
      <c r="M2766" s="736">
        <f t="shared" si="852"/>
        <v>85000</v>
      </c>
      <c r="N2766" s="736"/>
      <c r="O2766" s="736"/>
      <c r="P2766" s="736">
        <f t="shared" si="853"/>
        <v>85000</v>
      </c>
      <c r="Q2766" s="753">
        <v>85000</v>
      </c>
      <c r="R2766" s="738">
        <v>55367.72</v>
      </c>
      <c r="S2766" s="753"/>
      <c r="T2766" s="739">
        <v>1100121</v>
      </c>
      <c r="U2766" s="740">
        <v>100000</v>
      </c>
      <c r="V2766" s="741">
        <v>1100122</v>
      </c>
    </row>
    <row r="2767" spans="1:22" ht="30" x14ac:dyDescent="0.2">
      <c r="A2767" s="739">
        <v>3251</v>
      </c>
      <c r="B2767" s="822" t="s">
        <v>1818</v>
      </c>
      <c r="C2767" s="736">
        <v>2047.21</v>
      </c>
      <c r="D2767" s="736"/>
      <c r="E2767" s="736"/>
      <c r="F2767" s="736"/>
      <c r="G2767" s="736"/>
      <c r="H2767" s="736"/>
      <c r="I2767" s="736"/>
      <c r="J2767" s="736">
        <f t="shared" si="854"/>
        <v>0</v>
      </c>
      <c r="K2767" s="736"/>
      <c r="L2767" s="736"/>
      <c r="M2767" s="736">
        <f t="shared" si="852"/>
        <v>0</v>
      </c>
      <c r="N2767" s="736"/>
      <c r="O2767" s="736"/>
      <c r="P2767" s="738">
        <f t="shared" si="853"/>
        <v>0</v>
      </c>
      <c r="Q2767" s="738"/>
      <c r="R2767" s="738"/>
      <c r="S2767" s="738"/>
      <c r="T2767" s="739"/>
      <c r="U2767" s="745"/>
      <c r="V2767" s="739"/>
    </row>
    <row r="2768" spans="1:22" ht="15" x14ac:dyDescent="0.2">
      <c r="A2768" s="739">
        <v>3331</v>
      </c>
      <c r="B2768" s="822" t="s">
        <v>171</v>
      </c>
      <c r="C2768" s="736">
        <v>200090</v>
      </c>
      <c r="D2768" s="736"/>
      <c r="E2768" s="736"/>
      <c r="F2768" s="736"/>
      <c r="G2768" s="736"/>
      <c r="H2768" s="736"/>
      <c r="I2768" s="736"/>
      <c r="J2768" s="736">
        <f t="shared" si="854"/>
        <v>0</v>
      </c>
      <c r="K2768" s="736"/>
      <c r="L2768" s="736"/>
      <c r="M2768" s="736">
        <f t="shared" si="852"/>
        <v>0</v>
      </c>
      <c r="N2768" s="736"/>
      <c r="O2768" s="736"/>
      <c r="P2768" s="738">
        <f t="shared" si="853"/>
        <v>0</v>
      </c>
      <c r="Q2768" s="738"/>
      <c r="R2768" s="738"/>
      <c r="S2768" s="738"/>
      <c r="T2768" s="739"/>
      <c r="U2768" s="745"/>
      <c r="V2768" s="739"/>
    </row>
    <row r="2769" spans="1:22" ht="30" x14ac:dyDescent="0.2">
      <c r="A2769" s="734">
        <v>3361</v>
      </c>
      <c r="B2769" s="735" t="s">
        <v>29</v>
      </c>
      <c r="C2769" s="736"/>
      <c r="D2769" s="736">
        <v>5000</v>
      </c>
      <c r="E2769" s="749">
        <v>5000</v>
      </c>
      <c r="F2769" s="736">
        <v>4750</v>
      </c>
      <c r="G2769" s="752">
        <v>5000</v>
      </c>
      <c r="H2769" s="752"/>
      <c r="I2769" s="752"/>
      <c r="J2769" s="736">
        <f t="shared" si="854"/>
        <v>5000</v>
      </c>
      <c r="K2769" s="752"/>
      <c r="L2769" s="752"/>
      <c r="M2769" s="736">
        <f t="shared" si="852"/>
        <v>5000</v>
      </c>
      <c r="N2769" s="736"/>
      <c r="O2769" s="736"/>
      <c r="P2769" s="736">
        <f t="shared" si="853"/>
        <v>5000</v>
      </c>
      <c r="Q2769" s="753">
        <v>250</v>
      </c>
      <c r="R2769" s="738"/>
      <c r="S2769" s="753">
        <v>5000</v>
      </c>
      <c r="T2769" s="739">
        <v>1100121</v>
      </c>
      <c r="U2769" s="754">
        <v>5000</v>
      </c>
      <c r="V2769" s="741">
        <v>1100122</v>
      </c>
    </row>
    <row r="2770" spans="1:22" ht="15" x14ac:dyDescent="0.2">
      <c r="A2770" s="739">
        <v>3341</v>
      </c>
      <c r="B2770" s="822" t="s">
        <v>219</v>
      </c>
      <c r="C2770" s="736">
        <v>252597.6</v>
      </c>
      <c r="D2770" s="736"/>
      <c r="E2770" s="736"/>
      <c r="F2770" s="736"/>
      <c r="G2770" s="736"/>
      <c r="H2770" s="736"/>
      <c r="I2770" s="736"/>
      <c r="J2770" s="736">
        <f t="shared" si="854"/>
        <v>0</v>
      </c>
      <c r="K2770" s="736"/>
      <c r="L2770" s="736"/>
      <c r="M2770" s="736">
        <f t="shared" si="852"/>
        <v>0</v>
      </c>
      <c r="N2770" s="736"/>
      <c r="O2770" s="736"/>
      <c r="P2770" s="738">
        <f t="shared" si="853"/>
        <v>0</v>
      </c>
      <c r="Q2770" s="738"/>
      <c r="R2770" s="738"/>
      <c r="S2770" s="738"/>
      <c r="T2770" s="739"/>
      <c r="U2770" s="745"/>
      <c r="V2770" s="739"/>
    </row>
    <row r="2771" spans="1:22" ht="15" x14ac:dyDescent="0.2">
      <c r="A2771" s="739">
        <v>3381</v>
      </c>
      <c r="B2771" s="822" t="s">
        <v>64</v>
      </c>
      <c r="C2771" s="736">
        <v>54335.91</v>
      </c>
      <c r="D2771" s="736"/>
      <c r="E2771" s="736"/>
      <c r="F2771" s="736"/>
      <c r="G2771" s="736"/>
      <c r="H2771" s="736"/>
      <c r="I2771" s="736"/>
      <c r="J2771" s="736">
        <f t="shared" si="854"/>
        <v>0</v>
      </c>
      <c r="K2771" s="736"/>
      <c r="L2771" s="736"/>
      <c r="M2771" s="736">
        <f t="shared" si="852"/>
        <v>0</v>
      </c>
      <c r="N2771" s="736"/>
      <c r="O2771" s="736"/>
      <c r="P2771" s="738">
        <f t="shared" si="853"/>
        <v>0</v>
      </c>
      <c r="Q2771" s="738"/>
      <c r="R2771" s="738"/>
      <c r="S2771" s="738"/>
      <c r="T2771" s="739"/>
      <c r="U2771" s="745"/>
      <c r="V2771" s="739"/>
    </row>
    <row r="2772" spans="1:22" ht="15" x14ac:dyDescent="0.2">
      <c r="A2772" s="739">
        <v>3391</v>
      </c>
      <c r="B2772" s="743" t="s">
        <v>118</v>
      </c>
      <c r="C2772" s="736">
        <v>120000</v>
      </c>
      <c r="D2772" s="736">
        <v>220000</v>
      </c>
      <c r="E2772" s="749">
        <v>220000</v>
      </c>
      <c r="F2772" s="736">
        <v>207093.24</v>
      </c>
      <c r="G2772" s="736"/>
      <c r="H2772" s="736"/>
      <c r="I2772" s="736"/>
      <c r="J2772" s="736">
        <f t="shared" si="854"/>
        <v>0</v>
      </c>
      <c r="K2772" s="736"/>
      <c r="L2772" s="736"/>
      <c r="M2772" s="736">
        <f t="shared" si="852"/>
        <v>0</v>
      </c>
      <c r="N2772" s="736"/>
      <c r="O2772" s="736"/>
      <c r="P2772" s="738">
        <f t="shared" si="853"/>
        <v>0</v>
      </c>
      <c r="Q2772" s="738">
        <v>800525.6</v>
      </c>
      <c r="R2772" s="738"/>
      <c r="S2772" s="738"/>
      <c r="T2772" s="739">
        <v>1100121</v>
      </c>
      <c r="U2772" s="745">
        <v>0</v>
      </c>
      <c r="V2772" s="739">
        <v>1100121</v>
      </c>
    </row>
    <row r="2773" spans="1:22" ht="15" x14ac:dyDescent="0.2">
      <c r="A2773" s="734">
        <v>3511</v>
      </c>
      <c r="B2773" s="735" t="s">
        <v>49</v>
      </c>
      <c r="C2773" s="736">
        <v>14234.36</v>
      </c>
      <c r="D2773" s="736">
        <v>10000</v>
      </c>
      <c r="E2773" s="749">
        <v>10000</v>
      </c>
      <c r="F2773" s="736">
        <v>0</v>
      </c>
      <c r="G2773" s="752">
        <v>10000</v>
      </c>
      <c r="H2773" s="752"/>
      <c r="I2773" s="752"/>
      <c r="J2773" s="736">
        <f t="shared" si="854"/>
        <v>10000</v>
      </c>
      <c r="K2773" s="752"/>
      <c r="L2773" s="752"/>
      <c r="M2773" s="736">
        <f t="shared" si="852"/>
        <v>10000</v>
      </c>
      <c r="N2773" s="736"/>
      <c r="O2773" s="736"/>
      <c r="P2773" s="736">
        <f t="shared" si="853"/>
        <v>10000</v>
      </c>
      <c r="Q2773" s="753">
        <v>10000</v>
      </c>
      <c r="R2773" s="738">
        <v>5738</v>
      </c>
      <c r="S2773" s="753">
        <v>10000</v>
      </c>
      <c r="T2773" s="739">
        <v>1100121</v>
      </c>
      <c r="U2773" s="754">
        <v>10000</v>
      </c>
      <c r="V2773" s="741">
        <v>1100122</v>
      </c>
    </row>
    <row r="2774" spans="1:22" ht="15" x14ac:dyDescent="0.2">
      <c r="A2774" s="734">
        <v>3591</v>
      </c>
      <c r="B2774" s="735" t="s">
        <v>1819</v>
      </c>
      <c r="C2774" s="736"/>
      <c r="D2774" s="736"/>
      <c r="E2774" s="749"/>
      <c r="F2774" s="736"/>
      <c r="G2774" s="752"/>
      <c r="H2774" s="752"/>
      <c r="I2774" s="752"/>
      <c r="J2774" s="736"/>
      <c r="K2774" s="752"/>
      <c r="L2774" s="752"/>
      <c r="M2774" s="736"/>
      <c r="N2774" s="736"/>
      <c r="O2774" s="736"/>
      <c r="P2774" s="736"/>
      <c r="Q2774" s="753"/>
      <c r="R2774" s="738"/>
      <c r="S2774" s="753">
        <v>20230</v>
      </c>
      <c r="T2774" s="739"/>
      <c r="U2774" s="754">
        <v>20230</v>
      </c>
      <c r="V2774" s="741">
        <v>1100122</v>
      </c>
    </row>
    <row r="2775" spans="1:22" ht="15" x14ac:dyDescent="0.2">
      <c r="A2775" s="739">
        <v>3521</v>
      </c>
      <c r="B2775" s="822" t="s">
        <v>120</v>
      </c>
      <c r="C2775" s="736">
        <v>39480.019999999997</v>
      </c>
      <c r="D2775" s="736"/>
      <c r="E2775" s="736"/>
      <c r="F2775" s="736"/>
      <c r="G2775" s="736"/>
      <c r="H2775" s="736"/>
      <c r="I2775" s="736"/>
      <c r="J2775" s="736">
        <f t="shared" ref="J2775:J2781" si="855">G2775+H2775-I2775</f>
        <v>0</v>
      </c>
      <c r="K2775" s="736"/>
      <c r="L2775" s="736"/>
      <c r="M2775" s="736">
        <f t="shared" ref="M2775:M2781" si="856">J2775+K2775-L2775</f>
        <v>0</v>
      </c>
      <c r="N2775" s="736"/>
      <c r="O2775" s="736"/>
      <c r="P2775" s="738">
        <f t="shared" ref="P2775:P2781" si="857">M2775+N2775-O2775</f>
        <v>0</v>
      </c>
      <c r="Q2775" s="738"/>
      <c r="R2775" s="738"/>
      <c r="S2775" s="738"/>
      <c r="T2775" s="739"/>
      <c r="U2775" s="744"/>
      <c r="V2775" s="739"/>
    </row>
    <row r="2776" spans="1:22" ht="15" x14ac:dyDescent="0.2">
      <c r="A2776" s="739">
        <v>3531</v>
      </c>
      <c r="B2776" s="822" t="s">
        <v>121</v>
      </c>
      <c r="C2776" s="736">
        <v>600620.04</v>
      </c>
      <c r="D2776" s="736"/>
      <c r="E2776" s="736"/>
      <c r="F2776" s="736"/>
      <c r="G2776" s="736"/>
      <c r="H2776" s="736"/>
      <c r="I2776" s="736"/>
      <c r="J2776" s="736">
        <f t="shared" si="855"/>
        <v>0</v>
      </c>
      <c r="K2776" s="736"/>
      <c r="L2776" s="736"/>
      <c r="M2776" s="736">
        <f t="shared" si="856"/>
        <v>0</v>
      </c>
      <c r="N2776" s="736"/>
      <c r="O2776" s="736"/>
      <c r="P2776" s="738">
        <f t="shared" si="857"/>
        <v>0</v>
      </c>
      <c r="Q2776" s="738"/>
      <c r="R2776" s="738"/>
      <c r="S2776" s="738"/>
      <c r="T2776" s="739"/>
      <c r="U2776" s="744"/>
      <c r="V2776" s="739"/>
    </row>
    <row r="2777" spans="1:22" ht="15" x14ac:dyDescent="0.2">
      <c r="A2777" s="739">
        <v>3551</v>
      </c>
      <c r="B2777" s="822" t="s">
        <v>30</v>
      </c>
      <c r="C2777" s="736">
        <v>120</v>
      </c>
      <c r="D2777" s="736"/>
      <c r="E2777" s="736"/>
      <c r="F2777" s="736"/>
      <c r="G2777" s="736"/>
      <c r="H2777" s="736"/>
      <c r="I2777" s="736"/>
      <c r="J2777" s="736">
        <f t="shared" si="855"/>
        <v>0</v>
      </c>
      <c r="K2777" s="736"/>
      <c r="L2777" s="736"/>
      <c r="M2777" s="736">
        <f t="shared" si="856"/>
        <v>0</v>
      </c>
      <c r="N2777" s="736"/>
      <c r="O2777" s="736"/>
      <c r="P2777" s="738">
        <f t="shared" si="857"/>
        <v>0</v>
      </c>
      <c r="Q2777" s="738"/>
      <c r="R2777" s="738"/>
      <c r="S2777" s="738">
        <f>Q2777</f>
        <v>0</v>
      </c>
      <c r="T2777" s="739"/>
      <c r="U2777" s="744"/>
      <c r="V2777" s="739"/>
    </row>
    <row r="2778" spans="1:22" ht="15" x14ac:dyDescent="0.2">
      <c r="A2778" s="734">
        <v>3571</v>
      </c>
      <c r="B2778" s="735" t="s">
        <v>65</v>
      </c>
      <c r="C2778" s="736"/>
      <c r="D2778" s="736">
        <v>100000</v>
      </c>
      <c r="E2778" s="749">
        <v>80000</v>
      </c>
      <c r="F2778" s="736">
        <v>0</v>
      </c>
      <c r="G2778" s="752">
        <v>69000</v>
      </c>
      <c r="H2778" s="752"/>
      <c r="I2778" s="752"/>
      <c r="J2778" s="736">
        <f t="shared" si="855"/>
        <v>69000</v>
      </c>
      <c r="K2778" s="752"/>
      <c r="L2778" s="752"/>
      <c r="M2778" s="736">
        <f t="shared" si="856"/>
        <v>69000</v>
      </c>
      <c r="N2778" s="736"/>
      <c r="O2778" s="736"/>
      <c r="P2778" s="736">
        <f t="shared" si="857"/>
        <v>69000</v>
      </c>
      <c r="Q2778" s="753">
        <v>52000</v>
      </c>
      <c r="R2778" s="738">
        <v>6610.68</v>
      </c>
      <c r="S2778" s="753">
        <v>69000</v>
      </c>
      <c r="T2778" s="739">
        <v>1100121</v>
      </c>
      <c r="U2778" s="754">
        <v>69000</v>
      </c>
      <c r="V2778" s="741">
        <v>1100122</v>
      </c>
    </row>
    <row r="2779" spans="1:22" ht="15" x14ac:dyDescent="0.2">
      <c r="A2779" s="734">
        <v>3751</v>
      </c>
      <c r="B2779" s="735" t="s">
        <v>44</v>
      </c>
      <c r="C2779" s="736">
        <v>14372.99</v>
      </c>
      <c r="D2779" s="736">
        <v>20000</v>
      </c>
      <c r="E2779" s="749">
        <v>20000</v>
      </c>
      <c r="F2779" s="736">
        <v>8941.07</v>
      </c>
      <c r="G2779" s="752">
        <v>20000</v>
      </c>
      <c r="H2779" s="752"/>
      <c r="I2779" s="752"/>
      <c r="J2779" s="736">
        <f t="shared" si="855"/>
        <v>20000</v>
      </c>
      <c r="K2779" s="752"/>
      <c r="L2779" s="752"/>
      <c r="M2779" s="736">
        <f t="shared" si="856"/>
        <v>20000</v>
      </c>
      <c r="N2779" s="736"/>
      <c r="O2779" s="736"/>
      <c r="P2779" s="736">
        <f t="shared" si="857"/>
        <v>20000</v>
      </c>
      <c r="Q2779" s="753">
        <v>25000</v>
      </c>
      <c r="R2779" s="738">
        <v>6454.25</v>
      </c>
      <c r="S2779" s="753">
        <v>50000</v>
      </c>
      <c r="T2779" s="739">
        <v>1100121</v>
      </c>
      <c r="U2779" s="754">
        <v>50000</v>
      </c>
      <c r="V2779" s="741">
        <v>1100122</v>
      </c>
    </row>
    <row r="2780" spans="1:22" ht="15" x14ac:dyDescent="0.2">
      <c r="A2780" s="734">
        <v>3791</v>
      </c>
      <c r="B2780" s="735" t="s">
        <v>45</v>
      </c>
      <c r="C2780" s="736">
        <v>10955</v>
      </c>
      <c r="D2780" s="736">
        <v>15000</v>
      </c>
      <c r="E2780" s="749">
        <v>43000</v>
      </c>
      <c r="F2780" s="736">
        <v>42527</v>
      </c>
      <c r="G2780" s="752">
        <v>36000</v>
      </c>
      <c r="H2780" s="752"/>
      <c r="I2780" s="752"/>
      <c r="J2780" s="736">
        <f t="shared" si="855"/>
        <v>36000</v>
      </c>
      <c r="K2780" s="752"/>
      <c r="L2780" s="752"/>
      <c r="M2780" s="736">
        <f t="shared" si="856"/>
        <v>36000</v>
      </c>
      <c r="N2780" s="736"/>
      <c r="O2780" s="736"/>
      <c r="P2780" s="736">
        <f t="shared" si="857"/>
        <v>36000</v>
      </c>
      <c r="Q2780" s="753">
        <v>46000</v>
      </c>
      <c r="R2780" s="738">
        <v>35753.089999999997</v>
      </c>
      <c r="S2780" s="753">
        <v>47000</v>
      </c>
      <c r="T2780" s="739">
        <v>1100121</v>
      </c>
      <c r="U2780" s="754">
        <v>47000</v>
      </c>
      <c r="V2780" s="741">
        <v>1100122</v>
      </c>
    </row>
    <row r="2781" spans="1:22" ht="15" x14ac:dyDescent="0.2">
      <c r="A2781" s="734">
        <v>3852</v>
      </c>
      <c r="B2781" s="735" t="s">
        <v>32</v>
      </c>
      <c r="C2781" s="736">
        <v>13911.83</v>
      </c>
      <c r="D2781" s="736">
        <v>50000</v>
      </c>
      <c r="E2781" s="749">
        <v>56000</v>
      </c>
      <c r="F2781" s="736">
        <v>33160.870000000003</v>
      </c>
      <c r="G2781" s="752">
        <v>56000</v>
      </c>
      <c r="H2781" s="752"/>
      <c r="I2781" s="752"/>
      <c r="J2781" s="736">
        <f t="shared" si="855"/>
        <v>56000</v>
      </c>
      <c r="K2781" s="752"/>
      <c r="L2781" s="752"/>
      <c r="M2781" s="736">
        <f t="shared" si="856"/>
        <v>56000</v>
      </c>
      <c r="N2781" s="736"/>
      <c r="O2781" s="736"/>
      <c r="P2781" s="736">
        <f t="shared" si="857"/>
        <v>56000</v>
      </c>
      <c r="Q2781" s="753">
        <v>56000</v>
      </c>
      <c r="R2781" s="738">
        <v>18429.23</v>
      </c>
      <c r="S2781" s="753">
        <v>37000</v>
      </c>
      <c r="T2781" s="739">
        <v>1100121</v>
      </c>
      <c r="U2781" s="754">
        <v>37000</v>
      </c>
      <c r="V2781" s="741">
        <v>1100122</v>
      </c>
    </row>
    <row r="2782" spans="1:22" ht="15" x14ac:dyDescent="0.2">
      <c r="A2782" s="734">
        <v>3821</v>
      </c>
      <c r="B2782" s="735" t="s">
        <v>31</v>
      </c>
      <c r="C2782" s="736"/>
      <c r="D2782" s="736"/>
      <c r="E2782" s="749"/>
      <c r="F2782" s="736"/>
      <c r="G2782" s="752"/>
      <c r="H2782" s="752"/>
      <c r="I2782" s="752"/>
      <c r="J2782" s="736"/>
      <c r="K2782" s="752"/>
      <c r="L2782" s="752"/>
      <c r="M2782" s="736"/>
      <c r="N2782" s="736"/>
      <c r="O2782" s="736"/>
      <c r="P2782" s="736"/>
      <c r="Q2782" s="753">
        <v>70000</v>
      </c>
      <c r="R2782" s="738"/>
      <c r="S2782" s="753">
        <v>350000</v>
      </c>
      <c r="T2782" s="739"/>
      <c r="U2782" s="754">
        <v>350000</v>
      </c>
      <c r="V2782" s="741">
        <v>1100122</v>
      </c>
    </row>
    <row r="2783" spans="1:22" ht="15" x14ac:dyDescent="0.2">
      <c r="A2783" s="734">
        <v>3854</v>
      </c>
      <c r="B2783" s="735" t="s">
        <v>1820</v>
      </c>
      <c r="C2783" s="736"/>
      <c r="D2783" s="736"/>
      <c r="E2783" s="749"/>
      <c r="F2783" s="736"/>
      <c r="G2783" s="752"/>
      <c r="H2783" s="752"/>
      <c r="I2783" s="752"/>
      <c r="J2783" s="736"/>
      <c r="K2783" s="752"/>
      <c r="L2783" s="752"/>
      <c r="M2783" s="736"/>
      <c r="N2783" s="736"/>
      <c r="O2783" s="736"/>
      <c r="P2783" s="736"/>
      <c r="Q2783" s="753"/>
      <c r="R2783" s="738"/>
      <c r="S2783" s="753">
        <v>1000000</v>
      </c>
      <c r="T2783" s="739"/>
      <c r="U2783" s="754">
        <v>1000000</v>
      </c>
      <c r="V2783" s="741">
        <v>1100122</v>
      </c>
    </row>
    <row r="2784" spans="1:22" ht="15" x14ac:dyDescent="0.2">
      <c r="A2784" s="734">
        <v>3941</v>
      </c>
      <c r="B2784" s="735" t="s">
        <v>1821</v>
      </c>
      <c r="C2784" s="736"/>
      <c r="D2784" s="736"/>
      <c r="E2784" s="749"/>
      <c r="F2784" s="736"/>
      <c r="G2784" s="752"/>
      <c r="H2784" s="752"/>
      <c r="I2784" s="752"/>
      <c r="J2784" s="736"/>
      <c r="K2784" s="752"/>
      <c r="L2784" s="752"/>
      <c r="M2784" s="736"/>
      <c r="N2784" s="736"/>
      <c r="O2784" s="736"/>
      <c r="P2784" s="736"/>
      <c r="Q2784" s="753"/>
      <c r="R2784" s="738"/>
      <c r="S2784" s="753">
        <v>550000</v>
      </c>
      <c r="T2784" s="739"/>
      <c r="U2784" s="754">
        <v>550000</v>
      </c>
      <c r="V2784" s="741">
        <v>1100122</v>
      </c>
    </row>
    <row r="2785" spans="1:22" ht="15" x14ac:dyDescent="0.2">
      <c r="A2785" s="734">
        <v>5111</v>
      </c>
      <c r="B2785" s="735" t="s">
        <v>35</v>
      </c>
      <c r="C2785" s="736"/>
      <c r="D2785" s="736">
        <v>39915</v>
      </c>
      <c r="E2785" s="749">
        <v>39915</v>
      </c>
      <c r="F2785" s="736">
        <v>0</v>
      </c>
      <c r="G2785" s="752">
        <v>72000</v>
      </c>
      <c r="H2785" s="752"/>
      <c r="I2785" s="752"/>
      <c r="J2785" s="736">
        <f t="shared" ref="J2785:J2786" si="858">G2785+H2785-I2785</f>
        <v>72000</v>
      </c>
      <c r="K2785" s="752"/>
      <c r="L2785" s="752"/>
      <c r="M2785" s="736">
        <f t="shared" ref="M2785:M2786" si="859">J2785+K2785-L2785</f>
        <v>72000</v>
      </c>
      <c r="N2785" s="736"/>
      <c r="O2785" s="736"/>
      <c r="P2785" s="736">
        <f t="shared" ref="P2785:P2786" si="860">M2785+N2785-O2785</f>
        <v>72000</v>
      </c>
      <c r="Q2785" s="753">
        <v>72000</v>
      </c>
      <c r="R2785" s="738"/>
      <c r="S2785" s="753">
        <v>37000</v>
      </c>
      <c r="T2785" s="739">
        <v>1500521</v>
      </c>
      <c r="U2785" s="754">
        <v>37000</v>
      </c>
      <c r="V2785" s="741">
        <v>1100122</v>
      </c>
    </row>
    <row r="2786" spans="1:22" ht="15" x14ac:dyDescent="0.2">
      <c r="A2786" s="734">
        <v>5151</v>
      </c>
      <c r="B2786" s="735" t="s">
        <v>36</v>
      </c>
      <c r="C2786" s="736">
        <v>916158.84</v>
      </c>
      <c r="D2786" s="736"/>
      <c r="E2786" s="736"/>
      <c r="F2786" s="736"/>
      <c r="G2786" s="752">
        <v>147000</v>
      </c>
      <c r="H2786" s="752"/>
      <c r="I2786" s="752"/>
      <c r="J2786" s="736">
        <f t="shared" si="858"/>
        <v>147000</v>
      </c>
      <c r="K2786" s="752"/>
      <c r="L2786" s="752"/>
      <c r="M2786" s="736">
        <f t="shared" si="859"/>
        <v>147000</v>
      </c>
      <c r="N2786" s="736"/>
      <c r="O2786" s="736">
        <v>147000</v>
      </c>
      <c r="P2786" s="738">
        <f t="shared" si="860"/>
        <v>0</v>
      </c>
      <c r="Q2786" s="753"/>
      <c r="R2786" s="738"/>
      <c r="S2786" s="753">
        <v>90000</v>
      </c>
      <c r="T2786" s="739">
        <v>1500521</v>
      </c>
      <c r="U2786" s="746">
        <v>297000</v>
      </c>
      <c r="V2786" s="741">
        <v>1100122</v>
      </c>
    </row>
    <row r="2787" spans="1:22" ht="15" x14ac:dyDescent="0.2">
      <c r="A2787" s="734">
        <v>5231</v>
      </c>
      <c r="B2787" s="735" t="s">
        <v>81</v>
      </c>
      <c r="C2787" s="736"/>
      <c r="D2787" s="736"/>
      <c r="E2787" s="736"/>
      <c r="F2787" s="736"/>
      <c r="G2787" s="752"/>
      <c r="H2787" s="752"/>
      <c r="I2787" s="752"/>
      <c r="J2787" s="736"/>
      <c r="K2787" s="752"/>
      <c r="L2787" s="752"/>
      <c r="M2787" s="736"/>
      <c r="N2787" s="736"/>
      <c r="O2787" s="736"/>
      <c r="P2787" s="738"/>
      <c r="Q2787" s="753"/>
      <c r="R2787" s="738"/>
      <c r="S2787" s="753">
        <v>17998</v>
      </c>
      <c r="T2787" s="739"/>
      <c r="U2787" s="754">
        <v>17998</v>
      </c>
      <c r="V2787" s="741">
        <v>1100122</v>
      </c>
    </row>
    <row r="2788" spans="1:22" ht="15" x14ac:dyDescent="0.2">
      <c r="A2788" s="739">
        <v>5411</v>
      </c>
      <c r="B2788" s="806" t="s">
        <v>123</v>
      </c>
      <c r="C2788" s="736"/>
      <c r="D2788" s="736"/>
      <c r="E2788" s="736"/>
      <c r="F2788" s="736"/>
      <c r="G2788" s="752">
        <v>760000</v>
      </c>
      <c r="H2788" s="752"/>
      <c r="I2788" s="896"/>
      <c r="J2788" s="736">
        <f t="shared" ref="J2788:J2792" si="861">G2788+H2788-I2788</f>
        <v>760000</v>
      </c>
      <c r="K2788" s="752"/>
      <c r="L2788" s="896">
        <v>760000</v>
      </c>
      <c r="M2788" s="736">
        <f t="shared" ref="M2788:M2792" si="862">J2788+K2788-L2788</f>
        <v>0</v>
      </c>
      <c r="N2788" s="736"/>
      <c r="O2788" s="736"/>
      <c r="P2788" s="738">
        <f t="shared" ref="P2788:P2792" si="863">M2788+N2788-O2788</f>
        <v>0</v>
      </c>
      <c r="Q2788" s="753"/>
      <c r="R2788" s="738"/>
      <c r="S2788" s="753"/>
      <c r="T2788" s="739">
        <v>1500521</v>
      </c>
      <c r="U2788" s="745"/>
      <c r="V2788" s="739">
        <v>1500522</v>
      </c>
    </row>
    <row r="2789" spans="1:22" ht="15" x14ac:dyDescent="0.2">
      <c r="A2789" s="739">
        <v>5641</v>
      </c>
      <c r="B2789" s="806" t="s">
        <v>1774</v>
      </c>
      <c r="C2789" s="736"/>
      <c r="D2789" s="736"/>
      <c r="E2789" s="736"/>
      <c r="F2789" s="736"/>
      <c r="G2789" s="752">
        <v>31000</v>
      </c>
      <c r="H2789" s="752"/>
      <c r="I2789" s="752"/>
      <c r="J2789" s="736">
        <f t="shared" si="861"/>
        <v>31000</v>
      </c>
      <c r="K2789" s="752"/>
      <c r="L2789" s="752"/>
      <c r="M2789" s="736">
        <f t="shared" si="862"/>
        <v>31000</v>
      </c>
      <c r="N2789" s="736"/>
      <c r="O2789" s="736"/>
      <c r="P2789" s="736">
        <f t="shared" si="863"/>
        <v>31000</v>
      </c>
      <c r="Q2789" s="753">
        <v>31000</v>
      </c>
      <c r="R2789" s="738">
        <v>14500</v>
      </c>
      <c r="S2789" s="753"/>
      <c r="T2789" s="739">
        <v>1500521</v>
      </c>
      <c r="U2789" s="745"/>
      <c r="V2789" s="739">
        <v>1500522</v>
      </c>
    </row>
    <row r="2790" spans="1:22" ht="15" x14ac:dyDescent="0.2">
      <c r="A2790" s="739">
        <v>5691</v>
      </c>
      <c r="B2790" s="743" t="s">
        <v>112</v>
      </c>
      <c r="C2790" s="736">
        <v>36800</v>
      </c>
      <c r="D2790" s="736"/>
      <c r="E2790" s="736"/>
      <c r="F2790" s="736"/>
      <c r="G2790" s="752"/>
      <c r="H2790" s="752"/>
      <c r="I2790" s="752"/>
      <c r="J2790" s="736">
        <f t="shared" si="861"/>
        <v>0</v>
      </c>
      <c r="K2790" s="752"/>
      <c r="L2790" s="752"/>
      <c r="M2790" s="736">
        <f t="shared" si="862"/>
        <v>0</v>
      </c>
      <c r="N2790" s="736"/>
      <c r="O2790" s="736"/>
      <c r="P2790" s="738">
        <f t="shared" si="863"/>
        <v>0</v>
      </c>
      <c r="Q2790" s="753"/>
      <c r="R2790" s="738"/>
      <c r="S2790" s="753"/>
      <c r="T2790" s="739"/>
      <c r="U2790" s="745"/>
      <c r="V2790" s="739"/>
    </row>
    <row r="2791" spans="1:22" ht="15" x14ac:dyDescent="0.2">
      <c r="A2791" s="739">
        <v>5671</v>
      </c>
      <c r="B2791" s="743"/>
      <c r="C2791" s="736"/>
      <c r="D2791" s="736"/>
      <c r="E2791" s="736"/>
      <c r="F2791" s="736"/>
      <c r="G2791" s="752"/>
      <c r="H2791" s="752"/>
      <c r="I2791" s="752"/>
      <c r="J2791" s="736"/>
      <c r="K2791" s="752"/>
      <c r="L2791" s="752"/>
      <c r="M2791" s="736"/>
      <c r="N2791" s="736"/>
      <c r="O2791" s="736"/>
      <c r="P2791" s="738"/>
      <c r="Q2791" s="753">
        <v>17000</v>
      </c>
      <c r="R2791" s="738"/>
      <c r="S2791" s="753"/>
      <c r="T2791" s="739"/>
      <c r="U2791" s="745"/>
      <c r="V2791" s="739"/>
    </row>
    <row r="2792" spans="1:22" ht="15" x14ac:dyDescent="0.2">
      <c r="A2792" s="739">
        <v>5971</v>
      </c>
      <c r="B2792" s="743" t="s">
        <v>250</v>
      </c>
      <c r="C2792" s="736">
        <v>528200.19999999995</v>
      </c>
      <c r="D2792" s="736"/>
      <c r="E2792" s="736"/>
      <c r="F2792" s="736"/>
      <c r="G2792" s="736"/>
      <c r="H2792" s="736"/>
      <c r="I2792" s="736"/>
      <c r="J2792" s="736">
        <f t="shared" si="861"/>
        <v>0</v>
      </c>
      <c r="K2792" s="736"/>
      <c r="L2792" s="736"/>
      <c r="M2792" s="736">
        <f t="shared" si="862"/>
        <v>0</v>
      </c>
      <c r="N2792" s="736"/>
      <c r="O2792" s="736"/>
      <c r="P2792" s="738">
        <f t="shared" si="863"/>
        <v>0</v>
      </c>
      <c r="Q2792" s="738"/>
      <c r="R2792" s="738"/>
      <c r="S2792" s="738"/>
      <c r="T2792" s="739"/>
      <c r="U2792" s="745"/>
      <c r="V2792" s="739"/>
    </row>
    <row r="2793" spans="1:22" ht="15" x14ac:dyDescent="0.2">
      <c r="A2793" s="724" t="s">
        <v>319</v>
      </c>
      <c r="B2793" s="725" t="s">
        <v>320</v>
      </c>
      <c r="C2793" s="721">
        <f t="shared" ref="C2793:S2793" si="864">SUM(C2794+C2891+C2903+C2937)</f>
        <v>299258943.88</v>
      </c>
      <c r="D2793" s="721">
        <f t="shared" si="864"/>
        <v>378428309.85000002</v>
      </c>
      <c r="E2793" s="721">
        <f t="shared" si="864"/>
        <v>468542051.23000008</v>
      </c>
      <c r="F2793" s="721">
        <f t="shared" si="864"/>
        <v>482750872.9799999</v>
      </c>
      <c r="G2793" s="721">
        <f t="shared" si="864"/>
        <v>376546459.69999999</v>
      </c>
      <c r="H2793" s="721">
        <f t="shared" si="864"/>
        <v>31500</v>
      </c>
      <c r="I2793" s="721">
        <f t="shared" si="864"/>
        <v>0</v>
      </c>
      <c r="J2793" s="721">
        <f t="shared" si="864"/>
        <v>376577959.69999999</v>
      </c>
      <c r="K2793" s="721">
        <f t="shared" si="864"/>
        <v>40049846.679999992</v>
      </c>
      <c r="L2793" s="721">
        <f t="shared" si="864"/>
        <v>26551044.120000001</v>
      </c>
      <c r="M2793" s="721">
        <f t="shared" si="864"/>
        <v>390076762.26000005</v>
      </c>
      <c r="N2793" s="721">
        <f t="shared" si="864"/>
        <v>1683971.8399999999</v>
      </c>
      <c r="O2793" s="721">
        <f t="shared" si="864"/>
        <v>3074357.84</v>
      </c>
      <c r="P2793" s="721">
        <f t="shared" si="864"/>
        <v>388686376.26000005</v>
      </c>
      <c r="Q2793" s="756">
        <f t="shared" si="864"/>
        <v>385051673.16000003</v>
      </c>
      <c r="R2793" s="756">
        <f>SUM(R2794+R2891+R2903+R2937)</f>
        <v>261080549.90999994</v>
      </c>
      <c r="S2793" s="756">
        <f t="shared" si="864"/>
        <v>464380910.13</v>
      </c>
      <c r="T2793" s="918"/>
      <c r="U2793" s="726">
        <f t="shared" ref="U2793" si="865">SUM(U2794+U2891+U2903+U2937)</f>
        <v>410802371.96000004</v>
      </c>
      <c r="V2793" s="919"/>
    </row>
    <row r="2794" spans="1:22" ht="15" x14ac:dyDescent="0.2">
      <c r="A2794" s="728" t="s">
        <v>321</v>
      </c>
      <c r="B2794" s="729" t="s">
        <v>1590</v>
      </c>
      <c r="C2794" s="730">
        <f t="shared" ref="C2794:S2794" si="866">SUM(C2795:C2890)</f>
        <v>183797473.59</v>
      </c>
      <c r="D2794" s="730">
        <f t="shared" si="866"/>
        <v>292251612.83000004</v>
      </c>
      <c r="E2794" s="730">
        <f t="shared" si="866"/>
        <v>344010433.47000003</v>
      </c>
      <c r="F2794" s="730">
        <f t="shared" si="866"/>
        <v>362440684.57999992</v>
      </c>
      <c r="G2794" s="730">
        <f t="shared" si="866"/>
        <v>251692758.29999995</v>
      </c>
      <c r="H2794" s="730">
        <f t="shared" si="866"/>
        <v>31500</v>
      </c>
      <c r="I2794" s="730">
        <f t="shared" si="866"/>
        <v>0</v>
      </c>
      <c r="J2794" s="730">
        <f t="shared" si="866"/>
        <v>251724258.29999995</v>
      </c>
      <c r="K2794" s="730">
        <f t="shared" si="866"/>
        <v>19117166.939999998</v>
      </c>
      <c r="L2794" s="730">
        <f t="shared" si="866"/>
        <v>4621899.04</v>
      </c>
      <c r="M2794" s="730">
        <f t="shared" si="866"/>
        <v>266219526.19999999</v>
      </c>
      <c r="N2794" s="730">
        <f t="shared" si="866"/>
        <v>1319228</v>
      </c>
      <c r="O2794" s="730">
        <f t="shared" si="866"/>
        <v>2509614</v>
      </c>
      <c r="P2794" s="730">
        <f t="shared" si="866"/>
        <v>265029140.19999999</v>
      </c>
      <c r="Q2794" s="748">
        <f t="shared" si="866"/>
        <v>261541421.54999998</v>
      </c>
      <c r="R2794" s="748">
        <f>SUM(R2795:R2890)</f>
        <v>183129961.31999996</v>
      </c>
      <c r="S2794" s="748">
        <f t="shared" si="866"/>
        <v>359461415.44999999</v>
      </c>
      <c r="T2794" s="731"/>
      <c r="U2794" s="732">
        <f>SUM(U2795:U2890)</f>
        <v>270528993.85000002</v>
      </c>
      <c r="V2794" s="733"/>
    </row>
    <row r="2795" spans="1:22" ht="15" x14ac:dyDescent="0.2">
      <c r="A2795" s="739">
        <v>1132</v>
      </c>
      <c r="B2795" s="743" t="s">
        <v>8</v>
      </c>
      <c r="C2795" s="736">
        <v>42610980.880000003</v>
      </c>
      <c r="D2795" s="736">
        <v>58778583.18</v>
      </c>
      <c r="E2795" s="749">
        <v>43664629.409999996</v>
      </c>
      <c r="F2795" s="736">
        <v>43663653.079999998</v>
      </c>
      <c r="G2795" s="736">
        <v>99822453.699999988</v>
      </c>
      <c r="H2795" s="736"/>
      <c r="I2795" s="736"/>
      <c r="J2795" s="736">
        <f t="shared" ref="J2795:J2805" si="867">G2795+H2795-I2795</f>
        <v>99822453.699999988</v>
      </c>
      <c r="K2795" s="736"/>
      <c r="L2795" s="736">
        <v>0.22</v>
      </c>
      <c r="M2795" s="736">
        <f t="shared" ref="M2795:M2803" si="868">J2795+K2795-L2795</f>
        <v>99822453.479999989</v>
      </c>
      <c r="N2795" s="736"/>
      <c r="O2795" s="736"/>
      <c r="P2795" s="736">
        <f t="shared" ref="P2795:P2890" si="869">M2795+N2795-O2795</f>
        <v>99822453.479999989</v>
      </c>
      <c r="Q2795" s="738">
        <v>100580359.59999999</v>
      </c>
      <c r="R2795" s="738">
        <v>72447947.349999994</v>
      </c>
      <c r="S2795" s="751"/>
      <c r="T2795" s="739">
        <v>1100121</v>
      </c>
      <c r="U2795" s="750"/>
      <c r="V2795" s="739">
        <v>1100122</v>
      </c>
    </row>
    <row r="2796" spans="1:22" ht="15" x14ac:dyDescent="0.25">
      <c r="A2796" s="734">
        <v>1132</v>
      </c>
      <c r="B2796" s="735" t="s">
        <v>8</v>
      </c>
      <c r="C2796" s="736">
        <v>37324715.770000003</v>
      </c>
      <c r="D2796" s="736">
        <v>57827605.359999999</v>
      </c>
      <c r="E2796" s="749">
        <v>696612.2</v>
      </c>
      <c r="F2796" s="736">
        <v>50240108.909999996</v>
      </c>
      <c r="G2796" s="736"/>
      <c r="H2796" s="736"/>
      <c r="I2796" s="736"/>
      <c r="J2796" s="736">
        <f t="shared" si="867"/>
        <v>0</v>
      </c>
      <c r="K2796" s="736"/>
      <c r="L2796" s="736"/>
      <c r="M2796" s="736">
        <f t="shared" si="868"/>
        <v>0</v>
      </c>
      <c r="N2796" s="736"/>
      <c r="O2796" s="736"/>
      <c r="P2796" s="738">
        <f t="shared" si="869"/>
        <v>0</v>
      </c>
      <c r="Q2796" s="738"/>
      <c r="R2796" s="738"/>
      <c r="S2796" s="738">
        <v>153680465.12</v>
      </c>
      <c r="T2796" s="739">
        <v>1500521</v>
      </c>
      <c r="U2796" s="779">
        <v>103821958.81</v>
      </c>
      <c r="V2796" s="741">
        <v>1500522</v>
      </c>
    </row>
    <row r="2797" spans="1:22" ht="15" x14ac:dyDescent="0.2">
      <c r="A2797" s="739">
        <v>1132</v>
      </c>
      <c r="B2797" s="743" t="s">
        <v>8</v>
      </c>
      <c r="C2797" s="736">
        <v>1278057.08</v>
      </c>
      <c r="D2797" s="736">
        <v>0</v>
      </c>
      <c r="E2797" s="749">
        <v>49431140.650000006</v>
      </c>
      <c r="F2797" s="736">
        <v>696612.2</v>
      </c>
      <c r="G2797" s="736"/>
      <c r="H2797" s="736"/>
      <c r="I2797" s="736"/>
      <c r="J2797" s="736">
        <f t="shared" si="867"/>
        <v>0</v>
      </c>
      <c r="K2797" s="737">
        <v>1820822.99</v>
      </c>
      <c r="L2797" s="736"/>
      <c r="M2797" s="736">
        <f t="shared" si="868"/>
        <v>1820822.99</v>
      </c>
      <c r="N2797" s="736"/>
      <c r="O2797" s="736"/>
      <c r="P2797" s="736">
        <f t="shared" si="869"/>
        <v>1820822.99</v>
      </c>
      <c r="Q2797" s="738"/>
      <c r="R2797" s="738"/>
      <c r="S2797" s="738"/>
      <c r="T2797" s="739">
        <v>1100121</v>
      </c>
      <c r="U2797" s="750"/>
      <c r="V2797" s="739">
        <v>1100122</v>
      </c>
    </row>
    <row r="2798" spans="1:22" ht="15" x14ac:dyDescent="0.25">
      <c r="A2798" s="734">
        <v>1321</v>
      </c>
      <c r="B2798" s="735" t="s">
        <v>9</v>
      </c>
      <c r="C2798" s="736">
        <v>4208103.5999999996</v>
      </c>
      <c r="D2798" s="736">
        <v>0</v>
      </c>
      <c r="E2798" s="749">
        <v>120090</v>
      </c>
      <c r="F2798" s="736">
        <v>6447.58</v>
      </c>
      <c r="G2798" s="736"/>
      <c r="H2798" s="736"/>
      <c r="I2798" s="736"/>
      <c r="J2798" s="736">
        <f t="shared" si="867"/>
        <v>0</v>
      </c>
      <c r="K2798" s="736"/>
      <c r="L2798" s="736"/>
      <c r="M2798" s="736">
        <f t="shared" si="868"/>
        <v>0</v>
      </c>
      <c r="N2798" s="736"/>
      <c r="O2798" s="736"/>
      <c r="P2798" s="738">
        <f t="shared" si="869"/>
        <v>0</v>
      </c>
      <c r="Q2798" s="738"/>
      <c r="R2798" s="738"/>
      <c r="S2798" s="738">
        <v>7847691.9000000004</v>
      </c>
      <c r="T2798" s="739">
        <v>1500521</v>
      </c>
      <c r="U2798" s="779">
        <v>4737814.16</v>
      </c>
      <c r="V2798" s="741">
        <v>1500522</v>
      </c>
    </row>
    <row r="2799" spans="1:22" ht="15" x14ac:dyDescent="0.2">
      <c r="A2799" s="739">
        <v>1321</v>
      </c>
      <c r="B2799" s="743" t="s">
        <v>9</v>
      </c>
      <c r="C2799" s="736"/>
      <c r="D2799" s="736">
        <v>5413316.2800000003</v>
      </c>
      <c r="E2799" s="749">
        <v>4398150.26</v>
      </c>
      <c r="F2799" s="736">
        <v>4394975.4800000004</v>
      </c>
      <c r="G2799" s="736">
        <v>4965465.3</v>
      </c>
      <c r="H2799" s="736"/>
      <c r="I2799" s="736"/>
      <c r="J2799" s="736">
        <f t="shared" si="867"/>
        <v>4965465.3</v>
      </c>
      <c r="K2799" s="737">
        <v>80996.63</v>
      </c>
      <c r="L2799" s="736"/>
      <c r="M2799" s="736">
        <f t="shared" si="868"/>
        <v>5046461.93</v>
      </c>
      <c r="N2799" s="736"/>
      <c r="O2799" s="736"/>
      <c r="P2799" s="736">
        <f t="shared" si="869"/>
        <v>5046461.93</v>
      </c>
      <c r="Q2799" s="738">
        <v>4969014.55</v>
      </c>
      <c r="R2799" s="738">
        <v>2383332.86</v>
      </c>
      <c r="S2799" s="751"/>
      <c r="T2799" s="739">
        <v>1100121</v>
      </c>
      <c r="U2799" s="750"/>
      <c r="V2799" s="739">
        <v>1100122</v>
      </c>
    </row>
    <row r="2800" spans="1:22" ht="15" x14ac:dyDescent="0.25">
      <c r="A2800" s="734">
        <v>1323</v>
      </c>
      <c r="B2800" s="735" t="s">
        <v>11</v>
      </c>
      <c r="C2800" s="736">
        <v>14716028.720000001</v>
      </c>
      <c r="D2800" s="736">
        <v>19231089.27</v>
      </c>
      <c r="E2800" s="749">
        <v>16503138.140000001</v>
      </c>
      <c r="F2800" s="736">
        <v>15970035.74</v>
      </c>
      <c r="G2800" s="736">
        <v>17123975.200000003</v>
      </c>
      <c r="H2800" s="736"/>
      <c r="I2800" s="736"/>
      <c r="J2800" s="736">
        <f t="shared" si="867"/>
        <v>17123975.200000003</v>
      </c>
      <c r="K2800" s="737">
        <v>234522.33</v>
      </c>
      <c r="L2800" s="736"/>
      <c r="M2800" s="736">
        <f t="shared" si="868"/>
        <v>17358497.530000001</v>
      </c>
      <c r="N2800" s="736"/>
      <c r="O2800" s="736"/>
      <c r="P2800" s="736">
        <f t="shared" si="869"/>
        <v>17358497.530000001</v>
      </c>
      <c r="Q2800" s="738">
        <v>17068477.629999999</v>
      </c>
      <c r="R2800" s="738">
        <v>12964036.84</v>
      </c>
      <c r="S2800" s="751">
        <v>26465049</v>
      </c>
      <c r="T2800" s="739">
        <v>1100121</v>
      </c>
      <c r="U2800" s="779">
        <v>17377323.18</v>
      </c>
      <c r="V2800" s="741">
        <v>1100122</v>
      </c>
    </row>
    <row r="2801" spans="1:22" ht="15" x14ac:dyDescent="0.25">
      <c r="A2801" s="734">
        <v>1331</v>
      </c>
      <c r="B2801" s="735" t="s">
        <v>183</v>
      </c>
      <c r="C2801" s="736">
        <v>2070250</v>
      </c>
      <c r="D2801" s="736">
        <v>2300000</v>
      </c>
      <c r="E2801" s="749">
        <v>1840997.17</v>
      </c>
      <c r="F2801" s="736">
        <v>972019.59</v>
      </c>
      <c r="G2801" s="736">
        <v>1840997.2000000002</v>
      </c>
      <c r="H2801" s="736"/>
      <c r="I2801" s="736"/>
      <c r="J2801" s="736">
        <f t="shared" si="867"/>
        <v>1840997.2000000002</v>
      </c>
      <c r="K2801" s="736"/>
      <c r="L2801" s="736">
        <v>0.03</v>
      </c>
      <c r="M2801" s="736">
        <f t="shared" si="868"/>
        <v>1840997.1700000002</v>
      </c>
      <c r="N2801" s="736"/>
      <c r="O2801" s="736"/>
      <c r="P2801" s="736">
        <f t="shared" si="869"/>
        <v>1840997.1700000002</v>
      </c>
      <c r="Q2801" s="738">
        <v>1840997.17</v>
      </c>
      <c r="R2801" s="738">
        <v>659931.41</v>
      </c>
      <c r="S2801" s="751">
        <v>1840997.17</v>
      </c>
      <c r="T2801" s="739">
        <v>1100121</v>
      </c>
      <c r="U2801" s="779">
        <v>1840997.17</v>
      </c>
      <c r="V2801" s="741">
        <v>1100122</v>
      </c>
    </row>
    <row r="2802" spans="1:22" ht="15" x14ac:dyDescent="0.25">
      <c r="A2802" s="734">
        <v>1413</v>
      </c>
      <c r="B2802" s="735" t="s">
        <v>13</v>
      </c>
      <c r="C2802" s="736">
        <v>17668692.879999999</v>
      </c>
      <c r="D2802" s="736">
        <v>26710372.969999999</v>
      </c>
      <c r="E2802" s="749">
        <v>20477592.670000002</v>
      </c>
      <c r="F2802" s="736">
        <v>20267431.960000001</v>
      </c>
      <c r="G2802" s="736">
        <v>24809382.5</v>
      </c>
      <c r="H2802" s="736"/>
      <c r="I2802" s="736"/>
      <c r="J2802" s="736">
        <f t="shared" si="867"/>
        <v>24809382.5</v>
      </c>
      <c r="K2802" s="737">
        <v>334048.71999999997</v>
      </c>
      <c r="L2802" s="736"/>
      <c r="M2802" s="736">
        <f t="shared" si="868"/>
        <v>25143431.219999999</v>
      </c>
      <c r="N2802" s="736"/>
      <c r="O2802" s="736"/>
      <c r="P2802" s="736">
        <f t="shared" si="869"/>
        <v>25143431.219999999</v>
      </c>
      <c r="Q2802" s="738">
        <v>24462895.18</v>
      </c>
      <c r="R2802" s="738">
        <v>17380652.280000001</v>
      </c>
      <c r="S2802" s="751">
        <v>40457169.719999999</v>
      </c>
      <c r="T2802" s="739">
        <v>2510221</v>
      </c>
      <c r="U2802" s="779">
        <v>23357212.149999999</v>
      </c>
      <c r="V2802" s="741">
        <v>2510222</v>
      </c>
    </row>
    <row r="2803" spans="1:22" ht="15" x14ac:dyDescent="0.25">
      <c r="A2803" s="734">
        <v>1421</v>
      </c>
      <c r="B2803" s="735" t="s">
        <v>15</v>
      </c>
      <c r="C2803" s="736">
        <v>6772508.8799999999</v>
      </c>
      <c r="D2803" s="736">
        <v>0</v>
      </c>
      <c r="E2803" s="749">
        <v>128461</v>
      </c>
      <c r="F2803" s="736">
        <v>0</v>
      </c>
      <c r="G2803" s="736">
        <v>7502637.3999999994</v>
      </c>
      <c r="H2803" s="736"/>
      <c r="I2803" s="736"/>
      <c r="J2803" s="736">
        <f t="shared" si="867"/>
        <v>7502637.3999999994</v>
      </c>
      <c r="K2803" s="736"/>
      <c r="L2803" s="736"/>
      <c r="M2803" s="736">
        <f t="shared" si="868"/>
        <v>7502637.3999999994</v>
      </c>
      <c r="N2803" s="736"/>
      <c r="O2803" s="736"/>
      <c r="P2803" s="736">
        <f t="shared" si="869"/>
        <v>7502637.3999999994</v>
      </c>
      <c r="Q2803" s="738">
        <v>7502637.3999999994</v>
      </c>
      <c r="R2803" s="738">
        <v>4930657.1900000004</v>
      </c>
      <c r="S2803" s="751">
        <v>11541184.92</v>
      </c>
      <c r="T2803" s="739">
        <v>2510221</v>
      </c>
      <c r="U2803" s="779">
        <v>8909808.5800000001</v>
      </c>
      <c r="V2803" s="741">
        <v>2510222</v>
      </c>
    </row>
    <row r="2804" spans="1:22" ht="15" x14ac:dyDescent="0.2">
      <c r="A2804" s="739">
        <v>1421</v>
      </c>
      <c r="B2804" s="743" t="s">
        <v>15</v>
      </c>
      <c r="C2804" s="736"/>
      <c r="D2804" s="736">
        <v>8671921.7100000009</v>
      </c>
      <c r="E2804" s="749">
        <v>5703894.8099999996</v>
      </c>
      <c r="F2804" s="736">
        <v>6339340.2800000003</v>
      </c>
      <c r="G2804" s="736"/>
      <c r="H2804" s="736"/>
      <c r="I2804" s="736"/>
      <c r="J2804" s="736">
        <f t="shared" si="867"/>
        <v>0</v>
      </c>
      <c r="K2804" s="737">
        <v>83574.14</v>
      </c>
      <c r="L2804" s="736"/>
      <c r="M2804" s="736">
        <v>0</v>
      </c>
      <c r="N2804" s="736">
        <v>9614</v>
      </c>
      <c r="O2804" s="736"/>
      <c r="P2804" s="736">
        <f t="shared" si="869"/>
        <v>9614</v>
      </c>
      <c r="Q2804" s="738">
        <v>239205.72</v>
      </c>
      <c r="R2804" s="738"/>
      <c r="S2804" s="751"/>
      <c r="T2804" s="739">
        <v>1100121</v>
      </c>
      <c r="U2804" s="750"/>
      <c r="V2804" s="739">
        <v>1100122</v>
      </c>
    </row>
    <row r="2805" spans="1:22" ht="15" x14ac:dyDescent="0.25">
      <c r="A2805" s="734">
        <v>1431</v>
      </c>
      <c r="B2805" s="735" t="s">
        <v>16</v>
      </c>
      <c r="C2805" s="736">
        <v>6726845.54</v>
      </c>
      <c r="D2805" s="736">
        <v>8915576.1999999993</v>
      </c>
      <c r="E2805" s="749">
        <v>6581951.0999999996</v>
      </c>
      <c r="F2805" s="736">
        <v>7150770.4000000004</v>
      </c>
      <c r="G2805" s="736">
        <v>7727714.6999999993</v>
      </c>
      <c r="H2805" s="736"/>
      <c r="I2805" s="736"/>
      <c r="J2805" s="736">
        <f t="shared" si="867"/>
        <v>7727714.6999999993</v>
      </c>
      <c r="K2805" s="737">
        <v>86079.62</v>
      </c>
      <c r="L2805" s="736"/>
      <c r="M2805" s="736">
        <v>7897368.459999999</v>
      </c>
      <c r="N2805" s="736"/>
      <c r="O2805" s="736">
        <v>9614</v>
      </c>
      <c r="P2805" s="736">
        <f t="shared" si="869"/>
        <v>7887754.459999999</v>
      </c>
      <c r="Q2805" s="738">
        <v>7470554.6600000001</v>
      </c>
      <c r="R2805" s="738">
        <v>5007931.93</v>
      </c>
      <c r="S2805" s="751">
        <v>11887429.92</v>
      </c>
      <c r="T2805" s="739">
        <v>2510221</v>
      </c>
      <c r="U2805" s="779">
        <v>8966732.3300000001</v>
      </c>
      <c r="V2805" s="741">
        <v>2510222</v>
      </c>
    </row>
    <row r="2806" spans="1:22" ht="15" x14ac:dyDescent="0.2">
      <c r="A2806" s="739">
        <v>1431</v>
      </c>
      <c r="B2806" s="743" t="s">
        <v>16</v>
      </c>
      <c r="C2806" s="736"/>
      <c r="D2806" s="736"/>
      <c r="E2806" s="749"/>
      <c r="F2806" s="736"/>
      <c r="G2806" s="736"/>
      <c r="H2806" s="736"/>
      <c r="I2806" s="736"/>
      <c r="J2806" s="736"/>
      <c r="K2806" s="736"/>
      <c r="L2806" s="736">
        <v>0</v>
      </c>
      <c r="M2806" s="736">
        <f t="shared" ref="M2806:M2832" si="870">J2806+K2806-L2806</f>
        <v>0</v>
      </c>
      <c r="N2806" s="736"/>
      <c r="O2806" s="736"/>
      <c r="P2806" s="738">
        <f t="shared" si="869"/>
        <v>0</v>
      </c>
      <c r="Q2806" s="738"/>
      <c r="R2806" s="738"/>
      <c r="S2806" s="751"/>
      <c r="T2806" s="739">
        <v>2510221</v>
      </c>
      <c r="U2806" s="750"/>
      <c r="V2806" s="739">
        <v>2510222</v>
      </c>
    </row>
    <row r="2807" spans="1:22" ht="15" x14ac:dyDescent="0.25">
      <c r="A2807" s="734">
        <v>1441</v>
      </c>
      <c r="B2807" s="735" t="s">
        <v>216</v>
      </c>
      <c r="C2807" s="736"/>
      <c r="D2807" s="736"/>
      <c r="E2807" s="749"/>
      <c r="F2807" s="736"/>
      <c r="G2807" s="736"/>
      <c r="H2807" s="789"/>
      <c r="I2807" s="736"/>
      <c r="J2807" s="736">
        <f t="shared" ref="J2807:J2832" si="871">G2807+H2807-I2807</f>
        <v>0</v>
      </c>
      <c r="K2807" s="789">
        <f>1250000+317436</f>
        <v>1567436</v>
      </c>
      <c r="L2807" s="736"/>
      <c r="M2807" s="736">
        <f t="shared" si="870"/>
        <v>1567436</v>
      </c>
      <c r="N2807" s="736">
        <v>559614</v>
      </c>
      <c r="O2807" s="736"/>
      <c r="P2807" s="736">
        <f t="shared" si="869"/>
        <v>2127050</v>
      </c>
      <c r="Q2807" s="738">
        <v>2127050</v>
      </c>
      <c r="R2807" s="738">
        <v>1927050</v>
      </c>
      <c r="S2807" s="751">
        <v>2119755</v>
      </c>
      <c r="T2807" s="739">
        <v>2510221</v>
      </c>
      <c r="U2807" s="779">
        <v>2310532.9500000002</v>
      </c>
      <c r="V2807" s="741">
        <v>2510222</v>
      </c>
    </row>
    <row r="2808" spans="1:22" ht="15" x14ac:dyDescent="0.2">
      <c r="A2808" s="739">
        <v>1522</v>
      </c>
      <c r="B2808" s="743" t="s">
        <v>233</v>
      </c>
      <c r="C2808" s="736">
        <v>10377558.25</v>
      </c>
      <c r="D2808" s="736">
        <v>0</v>
      </c>
      <c r="E2808" s="749">
        <v>7848218</v>
      </c>
      <c r="F2808" s="736">
        <v>0</v>
      </c>
      <c r="G2808" s="736"/>
      <c r="H2808" s="736"/>
      <c r="I2808" s="736"/>
      <c r="J2808" s="736">
        <f t="shared" si="871"/>
        <v>0</v>
      </c>
      <c r="K2808" s="736"/>
      <c r="L2808" s="736"/>
      <c r="M2808" s="736">
        <f t="shared" si="870"/>
        <v>0</v>
      </c>
      <c r="N2808" s="736"/>
      <c r="O2808" s="736"/>
      <c r="P2808" s="738">
        <f t="shared" si="869"/>
        <v>0</v>
      </c>
      <c r="Q2808" s="738"/>
      <c r="R2808" s="738"/>
      <c r="S2808" s="738"/>
      <c r="T2808" s="739">
        <v>1100121</v>
      </c>
      <c r="U2808" s="750"/>
      <c r="V2808" s="739">
        <v>1100122</v>
      </c>
    </row>
    <row r="2809" spans="1:22" ht="15" x14ac:dyDescent="0.25">
      <c r="A2809" s="734">
        <v>1522</v>
      </c>
      <c r="B2809" s="735" t="s">
        <v>233</v>
      </c>
      <c r="C2809" s="736"/>
      <c r="D2809" s="736">
        <v>8250000</v>
      </c>
      <c r="E2809" s="736"/>
      <c r="F2809" s="736">
        <v>4702682.46</v>
      </c>
      <c r="G2809" s="736">
        <v>8000000</v>
      </c>
      <c r="H2809" s="736"/>
      <c r="I2809" s="736"/>
      <c r="J2809" s="736">
        <f t="shared" si="871"/>
        <v>8000000</v>
      </c>
      <c r="K2809" s="736"/>
      <c r="L2809" s="736"/>
      <c r="M2809" s="736">
        <f t="shared" si="870"/>
        <v>8000000</v>
      </c>
      <c r="N2809" s="736"/>
      <c r="O2809" s="736"/>
      <c r="P2809" s="736">
        <f t="shared" si="869"/>
        <v>8000000</v>
      </c>
      <c r="Q2809" s="738">
        <v>5000000</v>
      </c>
      <c r="R2809" s="738">
        <v>1721475.39</v>
      </c>
      <c r="S2809" s="751">
        <v>8000000</v>
      </c>
      <c r="T2809" s="739">
        <v>2510221</v>
      </c>
      <c r="U2809" s="779">
        <v>4000000</v>
      </c>
      <c r="V2809" s="741">
        <v>2510222</v>
      </c>
    </row>
    <row r="2810" spans="1:22" ht="15" x14ac:dyDescent="0.25">
      <c r="A2810" s="734">
        <v>1541</v>
      </c>
      <c r="B2810" s="735" t="s">
        <v>19</v>
      </c>
      <c r="C2810" s="736">
        <v>1495164.43</v>
      </c>
      <c r="D2810" s="736">
        <v>1477874.32</v>
      </c>
      <c r="E2810" s="749">
        <v>1376077.11</v>
      </c>
      <c r="F2810" s="736">
        <v>1394844</v>
      </c>
      <c r="G2810" s="736">
        <v>1416930.4000000001</v>
      </c>
      <c r="H2810" s="736"/>
      <c r="I2810" s="736"/>
      <c r="J2810" s="736">
        <f t="shared" si="871"/>
        <v>1416930.4000000001</v>
      </c>
      <c r="K2810" s="737">
        <v>228526.19</v>
      </c>
      <c r="L2810" s="736"/>
      <c r="M2810" s="736">
        <f t="shared" si="870"/>
        <v>1645456.59</v>
      </c>
      <c r="N2810" s="736"/>
      <c r="O2810" s="736"/>
      <c r="P2810" s="736">
        <f t="shared" si="869"/>
        <v>1645456.59</v>
      </c>
      <c r="Q2810" s="738">
        <v>1645456.59</v>
      </c>
      <c r="R2810" s="738">
        <v>917507.13</v>
      </c>
      <c r="S2810" s="751">
        <v>1230795.02</v>
      </c>
      <c r="T2810" s="739">
        <v>1100121</v>
      </c>
      <c r="U2810" s="779">
        <v>1388908.73</v>
      </c>
      <c r="V2810" s="741">
        <v>1100122</v>
      </c>
    </row>
    <row r="2811" spans="1:22" ht="15" x14ac:dyDescent="0.25">
      <c r="A2811" s="734">
        <v>1592</v>
      </c>
      <c r="B2811" s="735" t="s">
        <v>20</v>
      </c>
      <c r="C2811" s="736">
        <v>20930013.190000001</v>
      </c>
      <c r="D2811" s="736">
        <v>0</v>
      </c>
      <c r="E2811" s="749">
        <v>337836</v>
      </c>
      <c r="F2811" s="736">
        <v>0</v>
      </c>
      <c r="G2811" s="736"/>
      <c r="H2811" s="736"/>
      <c r="I2811" s="736"/>
      <c r="J2811" s="736">
        <f t="shared" si="871"/>
        <v>0</v>
      </c>
      <c r="K2811" s="737">
        <v>390095.13</v>
      </c>
      <c r="L2811" s="736"/>
      <c r="M2811" s="736">
        <f t="shared" si="870"/>
        <v>390095.13</v>
      </c>
      <c r="N2811" s="736"/>
      <c r="O2811" s="736"/>
      <c r="P2811" s="736">
        <f t="shared" si="869"/>
        <v>390095.13</v>
      </c>
      <c r="Q2811" s="738">
        <v>1242411.95</v>
      </c>
      <c r="R2811" s="738">
        <v>18101944.170000002</v>
      </c>
      <c r="S2811" s="751">
        <v>38985091.600000001</v>
      </c>
      <c r="T2811" s="739">
        <v>1100121</v>
      </c>
      <c r="U2811" s="779">
        <v>27544178.539999999</v>
      </c>
      <c r="V2811" s="741">
        <v>1100122</v>
      </c>
    </row>
    <row r="2812" spans="1:22" ht="15" x14ac:dyDescent="0.2">
      <c r="A2812" s="739">
        <v>1592</v>
      </c>
      <c r="B2812" s="743" t="s">
        <v>20</v>
      </c>
      <c r="C2812" s="736"/>
      <c r="D2812" s="736">
        <v>25438931.699999999</v>
      </c>
      <c r="E2812" s="749">
        <v>22666911.940000001</v>
      </c>
      <c r="F2812" s="736">
        <v>23834124.780000001</v>
      </c>
      <c r="G2812" s="736">
        <v>25064330.199999999</v>
      </c>
      <c r="H2812" s="736"/>
      <c r="I2812" s="736"/>
      <c r="J2812" s="736">
        <f t="shared" si="871"/>
        <v>25064330.199999999</v>
      </c>
      <c r="K2812" s="736"/>
      <c r="L2812" s="736"/>
      <c r="M2812" s="736">
        <f t="shared" si="870"/>
        <v>25064330.199999999</v>
      </c>
      <c r="N2812" s="736"/>
      <c r="O2812" s="736"/>
      <c r="P2812" s="736">
        <f t="shared" si="869"/>
        <v>25064330.199999999</v>
      </c>
      <c r="Q2812" s="738">
        <v>26314759.129999999</v>
      </c>
      <c r="R2812" s="738"/>
      <c r="S2812" s="751"/>
      <c r="T2812" s="739">
        <v>1100121</v>
      </c>
      <c r="U2812" s="750"/>
      <c r="V2812" s="739">
        <v>1100122</v>
      </c>
    </row>
    <row r="2813" spans="1:22" ht="15" x14ac:dyDescent="0.25">
      <c r="A2813" s="734">
        <v>1593</v>
      </c>
      <c r="B2813" s="735" t="s">
        <v>322</v>
      </c>
      <c r="C2813" s="736">
        <v>3550784.16</v>
      </c>
      <c r="D2813" s="736">
        <v>13044177.9</v>
      </c>
      <c r="E2813" s="749">
        <v>11414707.4</v>
      </c>
      <c r="F2813" s="736">
        <v>11789296.130000001</v>
      </c>
      <c r="G2813" s="736">
        <v>11185671.699999999</v>
      </c>
      <c r="H2813" s="736"/>
      <c r="I2813" s="736"/>
      <c r="J2813" s="736">
        <f t="shared" si="871"/>
        <v>11185671.699999999</v>
      </c>
      <c r="K2813" s="736"/>
      <c r="L2813" s="736">
        <v>8964.3700000000008</v>
      </c>
      <c r="M2813" s="736">
        <f t="shared" si="870"/>
        <v>11176707.33</v>
      </c>
      <c r="N2813" s="736"/>
      <c r="O2813" s="736"/>
      <c r="P2813" s="736">
        <f t="shared" si="869"/>
        <v>11176707.33</v>
      </c>
      <c r="Q2813" s="738">
        <v>11230487.109999999</v>
      </c>
      <c r="R2813" s="738">
        <v>8129874.25</v>
      </c>
      <c r="S2813" s="751">
        <v>16585886.199999999</v>
      </c>
      <c r="T2813" s="739">
        <v>1100121</v>
      </c>
      <c r="U2813" s="779">
        <v>11682057.25</v>
      </c>
      <c r="V2813" s="741">
        <v>1100122</v>
      </c>
    </row>
    <row r="2814" spans="1:22" ht="15" x14ac:dyDescent="0.2">
      <c r="A2814" s="734">
        <v>2111</v>
      </c>
      <c r="B2814" s="735" t="s">
        <v>22</v>
      </c>
      <c r="C2814" s="736">
        <v>25384</v>
      </c>
      <c r="D2814" s="736">
        <v>30000</v>
      </c>
      <c r="E2814" s="749">
        <v>21000</v>
      </c>
      <c r="F2814" s="736">
        <v>19088.400000000001</v>
      </c>
      <c r="G2814" s="752">
        <v>21000</v>
      </c>
      <c r="H2814" s="752"/>
      <c r="I2814" s="752"/>
      <c r="J2814" s="736">
        <f t="shared" si="871"/>
        <v>21000</v>
      </c>
      <c r="K2814" s="752"/>
      <c r="L2814" s="752"/>
      <c r="M2814" s="736">
        <f t="shared" si="870"/>
        <v>21000</v>
      </c>
      <c r="N2814" s="736"/>
      <c r="O2814" s="736"/>
      <c r="P2814" s="736">
        <f t="shared" si="869"/>
        <v>21000</v>
      </c>
      <c r="Q2814" s="753">
        <v>19284.09</v>
      </c>
      <c r="R2814" s="738">
        <v>18008.3</v>
      </c>
      <c r="S2814" s="753">
        <v>20000</v>
      </c>
      <c r="T2814" s="739">
        <v>1100121</v>
      </c>
      <c r="U2814" s="754">
        <v>20000</v>
      </c>
      <c r="V2814" s="741">
        <v>1100122</v>
      </c>
    </row>
    <row r="2815" spans="1:22" ht="15" x14ac:dyDescent="0.2">
      <c r="A2815" s="739">
        <v>2112</v>
      </c>
      <c r="B2815" s="743" t="s">
        <v>39</v>
      </c>
      <c r="C2815" s="736">
        <v>84670.57</v>
      </c>
      <c r="D2815" s="736">
        <v>0</v>
      </c>
      <c r="E2815" s="749">
        <v>393432.6</v>
      </c>
      <c r="F2815" s="736">
        <v>393432.6</v>
      </c>
      <c r="G2815" s="736"/>
      <c r="H2815" s="736"/>
      <c r="I2815" s="736"/>
      <c r="J2815" s="736">
        <f t="shared" si="871"/>
        <v>0</v>
      </c>
      <c r="K2815" s="736">
        <v>16121.68</v>
      </c>
      <c r="L2815" s="736"/>
      <c r="M2815" s="736">
        <f t="shared" si="870"/>
        <v>16121.68</v>
      </c>
      <c r="N2815" s="736"/>
      <c r="O2815" s="736"/>
      <c r="P2815" s="736">
        <f t="shared" si="869"/>
        <v>16121.68</v>
      </c>
      <c r="Q2815" s="738">
        <v>16121.68</v>
      </c>
      <c r="R2815" s="738">
        <v>16121.68</v>
      </c>
      <c r="S2815" s="738"/>
      <c r="T2815" s="739">
        <v>1100121</v>
      </c>
      <c r="U2815" s="745"/>
      <c r="V2815" s="739">
        <v>1100122</v>
      </c>
    </row>
    <row r="2816" spans="1:22" ht="15" x14ac:dyDescent="0.2">
      <c r="A2816" s="734">
        <v>2121</v>
      </c>
      <c r="B2816" s="762" t="s">
        <v>1822</v>
      </c>
      <c r="C2816" s="736"/>
      <c r="D2816" s="736"/>
      <c r="E2816" s="749"/>
      <c r="F2816" s="736"/>
      <c r="G2816" s="752">
        <v>22000</v>
      </c>
      <c r="H2816" s="752"/>
      <c r="I2816" s="752"/>
      <c r="J2816" s="736">
        <f t="shared" si="871"/>
        <v>22000</v>
      </c>
      <c r="K2816" s="752"/>
      <c r="L2816" s="752"/>
      <c r="M2816" s="736">
        <f t="shared" si="870"/>
        <v>22000</v>
      </c>
      <c r="N2816" s="736"/>
      <c r="O2816" s="736"/>
      <c r="P2816" s="736">
        <f t="shared" si="869"/>
        <v>22000</v>
      </c>
      <c r="Q2816" s="753">
        <v>22000</v>
      </c>
      <c r="R2816" s="738">
        <v>17872.2</v>
      </c>
      <c r="S2816" s="753">
        <v>22000</v>
      </c>
      <c r="T2816" s="739">
        <v>1100121</v>
      </c>
      <c r="U2816" s="754">
        <v>22000</v>
      </c>
      <c r="V2816" s="741">
        <v>1100122</v>
      </c>
    </row>
    <row r="2817" spans="1:22" ht="15" x14ac:dyDescent="0.2">
      <c r="A2817" s="739">
        <v>2171</v>
      </c>
      <c r="B2817" s="743" t="s">
        <v>1823</v>
      </c>
      <c r="C2817" s="736">
        <v>89992.67</v>
      </c>
      <c r="D2817" s="736"/>
      <c r="E2817" s="736"/>
      <c r="F2817" s="736"/>
      <c r="G2817" s="736"/>
      <c r="H2817" s="736"/>
      <c r="I2817" s="736"/>
      <c r="J2817" s="736">
        <f t="shared" si="871"/>
        <v>0</v>
      </c>
      <c r="K2817" s="736"/>
      <c r="L2817" s="736"/>
      <c r="M2817" s="736">
        <f t="shared" si="870"/>
        <v>0</v>
      </c>
      <c r="N2817" s="736"/>
      <c r="O2817" s="736"/>
      <c r="P2817" s="738">
        <f t="shared" si="869"/>
        <v>0</v>
      </c>
      <c r="Q2817" s="738"/>
      <c r="R2817" s="738"/>
      <c r="S2817" s="738"/>
      <c r="T2817" s="739"/>
      <c r="U2817" s="745"/>
      <c r="V2817" s="739"/>
    </row>
    <row r="2818" spans="1:22" ht="15" x14ac:dyDescent="0.2">
      <c r="A2818" s="739">
        <v>2211</v>
      </c>
      <c r="B2818" s="743" t="s">
        <v>323</v>
      </c>
      <c r="C2818" s="736"/>
      <c r="D2818" s="736">
        <v>0</v>
      </c>
      <c r="E2818" s="749">
        <v>2963160</v>
      </c>
      <c r="F2818" s="736">
        <v>115563.84</v>
      </c>
      <c r="G2818" s="736"/>
      <c r="H2818" s="736"/>
      <c r="I2818" s="736"/>
      <c r="J2818" s="736">
        <f t="shared" si="871"/>
        <v>0</v>
      </c>
      <c r="K2818" s="736"/>
      <c r="L2818" s="736"/>
      <c r="M2818" s="736">
        <f t="shared" si="870"/>
        <v>0</v>
      </c>
      <c r="N2818" s="736"/>
      <c r="O2818" s="736"/>
      <c r="P2818" s="738">
        <f t="shared" si="869"/>
        <v>0</v>
      </c>
      <c r="Q2818" s="738"/>
      <c r="R2818" s="738"/>
      <c r="S2818" s="738"/>
      <c r="T2818" s="739">
        <v>1100121</v>
      </c>
      <c r="U2818" s="745"/>
      <c r="V2818" s="739">
        <v>1100122</v>
      </c>
    </row>
    <row r="2819" spans="1:22" ht="15" x14ac:dyDescent="0.2">
      <c r="A2819" s="739">
        <v>2211</v>
      </c>
      <c r="B2819" s="743" t="s">
        <v>323</v>
      </c>
      <c r="C2819" s="736"/>
      <c r="D2819" s="736">
        <v>0</v>
      </c>
      <c r="E2819" s="736"/>
      <c r="F2819" s="736">
        <f>3786360.18+0.8</f>
        <v>3786360.98</v>
      </c>
      <c r="G2819" s="736"/>
      <c r="H2819" s="736"/>
      <c r="I2819" s="736"/>
      <c r="J2819" s="736">
        <f t="shared" si="871"/>
        <v>0</v>
      </c>
      <c r="K2819" s="736"/>
      <c r="L2819" s="736"/>
      <c r="M2819" s="736">
        <f t="shared" si="870"/>
        <v>0</v>
      </c>
      <c r="N2819" s="738"/>
      <c r="O2819" s="738"/>
      <c r="P2819" s="738">
        <f t="shared" si="869"/>
        <v>0</v>
      </c>
      <c r="Q2819" s="738"/>
      <c r="R2819" s="738"/>
      <c r="S2819" s="738"/>
      <c r="T2819" s="739">
        <v>2610121</v>
      </c>
      <c r="U2819" s="745"/>
      <c r="V2819" s="739">
        <v>2610122</v>
      </c>
    </row>
    <row r="2820" spans="1:22" ht="15" x14ac:dyDescent="0.2">
      <c r="A2820" s="734">
        <v>2221</v>
      </c>
      <c r="B2820" s="735" t="s">
        <v>152</v>
      </c>
      <c r="C2820" s="736">
        <v>1018025.3</v>
      </c>
      <c r="D2820" s="736">
        <v>0</v>
      </c>
      <c r="E2820" s="749">
        <v>540000</v>
      </c>
      <c r="F2820" s="736">
        <v>75340</v>
      </c>
      <c r="G2820" s="736"/>
      <c r="H2820" s="736"/>
      <c r="I2820" s="736"/>
      <c r="J2820" s="736">
        <f t="shared" si="871"/>
        <v>0</v>
      </c>
      <c r="K2820" s="736">
        <v>300000</v>
      </c>
      <c r="L2820" s="736"/>
      <c r="M2820" s="736">
        <f t="shared" si="870"/>
        <v>300000</v>
      </c>
      <c r="N2820" s="736"/>
      <c r="O2820" s="736"/>
      <c r="P2820" s="736">
        <f t="shared" si="869"/>
        <v>300000</v>
      </c>
      <c r="Q2820" s="738">
        <v>300000</v>
      </c>
      <c r="R2820" s="738">
        <v>260470</v>
      </c>
      <c r="S2820" s="738">
        <v>150000</v>
      </c>
      <c r="T2820" s="739">
        <v>1100121</v>
      </c>
      <c r="U2820" s="742">
        <v>150000</v>
      </c>
      <c r="V2820" s="741">
        <v>1100122</v>
      </c>
    </row>
    <row r="2821" spans="1:22" ht="15" x14ac:dyDescent="0.25">
      <c r="A2821" s="739">
        <v>2221</v>
      </c>
      <c r="B2821" s="743" t="s">
        <v>152</v>
      </c>
      <c r="C2821" s="736"/>
      <c r="D2821" s="736"/>
      <c r="E2821" s="749"/>
      <c r="F2821" s="736"/>
      <c r="G2821" s="736"/>
      <c r="H2821" s="759">
        <v>31500</v>
      </c>
      <c r="I2821" s="736"/>
      <c r="J2821" s="736">
        <f t="shared" si="871"/>
        <v>31500</v>
      </c>
      <c r="K2821" s="759"/>
      <c r="L2821" s="736"/>
      <c r="M2821" s="736">
        <f t="shared" si="870"/>
        <v>31500</v>
      </c>
      <c r="N2821" s="736"/>
      <c r="O2821" s="736"/>
      <c r="P2821" s="736">
        <f t="shared" si="869"/>
        <v>31500</v>
      </c>
      <c r="Q2821" s="738">
        <v>31500</v>
      </c>
      <c r="R2821" s="738">
        <v>31500</v>
      </c>
      <c r="S2821" s="738"/>
      <c r="T2821" s="739">
        <v>1100120</v>
      </c>
      <c r="U2821" s="745"/>
      <c r="V2821" s="739">
        <v>1100120</v>
      </c>
    </row>
    <row r="2822" spans="1:22" ht="15" x14ac:dyDescent="0.2">
      <c r="A2822" s="739">
        <v>2221</v>
      </c>
      <c r="B2822" s="743" t="s">
        <v>152</v>
      </c>
      <c r="C2822" s="736"/>
      <c r="D2822" s="736">
        <v>1100000</v>
      </c>
      <c r="E2822" s="749">
        <v>120000</v>
      </c>
      <c r="F2822" s="736">
        <f>539159.64+0.01</f>
        <v>539159.65</v>
      </c>
      <c r="G2822" s="752">
        <v>300000</v>
      </c>
      <c r="H2822" s="752"/>
      <c r="I2822" s="752"/>
      <c r="J2822" s="736">
        <f t="shared" si="871"/>
        <v>300000</v>
      </c>
      <c r="K2822" s="752"/>
      <c r="L2822" s="752">
        <v>300000</v>
      </c>
      <c r="M2822" s="736">
        <f t="shared" si="870"/>
        <v>0</v>
      </c>
      <c r="N2822" s="736"/>
      <c r="O2822" s="736"/>
      <c r="P2822" s="738">
        <f t="shared" si="869"/>
        <v>0</v>
      </c>
      <c r="Q2822" s="753"/>
      <c r="R2822" s="738"/>
      <c r="S2822" s="753"/>
      <c r="T2822" s="739">
        <v>2510221</v>
      </c>
      <c r="U2822" s="745"/>
      <c r="V2822" s="739">
        <v>2510222</v>
      </c>
    </row>
    <row r="2823" spans="1:22" ht="15" x14ac:dyDescent="0.2">
      <c r="A2823" s="734">
        <v>2461</v>
      </c>
      <c r="B2823" s="735" t="s">
        <v>115</v>
      </c>
      <c r="C2823" s="736">
        <v>9054.25</v>
      </c>
      <c r="D2823" s="736">
        <v>16000</v>
      </c>
      <c r="E2823" s="749">
        <v>16000</v>
      </c>
      <c r="F2823" s="736">
        <v>13995.16</v>
      </c>
      <c r="G2823" s="752">
        <v>16000</v>
      </c>
      <c r="H2823" s="752"/>
      <c r="I2823" s="752"/>
      <c r="J2823" s="736">
        <f t="shared" si="871"/>
        <v>16000</v>
      </c>
      <c r="K2823" s="752"/>
      <c r="L2823" s="752"/>
      <c r="M2823" s="736">
        <f t="shared" si="870"/>
        <v>16000</v>
      </c>
      <c r="N2823" s="736"/>
      <c r="O2823" s="736"/>
      <c r="P2823" s="736">
        <f t="shared" si="869"/>
        <v>16000</v>
      </c>
      <c r="Q2823" s="753">
        <v>16000</v>
      </c>
      <c r="R2823" s="738">
        <v>1356.74</v>
      </c>
      <c r="S2823" s="753">
        <v>16000</v>
      </c>
      <c r="T2823" s="739">
        <v>1100121</v>
      </c>
      <c r="U2823" s="754">
        <v>16000</v>
      </c>
      <c r="V2823" s="741">
        <v>1100122</v>
      </c>
    </row>
    <row r="2824" spans="1:22" ht="15" x14ac:dyDescent="0.2">
      <c r="A2824" s="734">
        <v>2491</v>
      </c>
      <c r="B2824" s="735" t="s">
        <v>41</v>
      </c>
      <c r="C2824" s="736">
        <v>231159.46</v>
      </c>
      <c r="D2824" s="736">
        <v>0</v>
      </c>
      <c r="E2824" s="749">
        <v>581350</v>
      </c>
      <c r="F2824" s="736">
        <v>581350</v>
      </c>
      <c r="G2824" s="752">
        <v>87000</v>
      </c>
      <c r="H2824" s="752"/>
      <c r="I2824" s="752"/>
      <c r="J2824" s="736">
        <f t="shared" si="871"/>
        <v>87000</v>
      </c>
      <c r="K2824" s="752"/>
      <c r="L2824" s="752"/>
      <c r="M2824" s="736">
        <f t="shared" si="870"/>
        <v>87000</v>
      </c>
      <c r="N2824" s="736"/>
      <c r="O2824" s="736"/>
      <c r="P2824" s="736">
        <f t="shared" si="869"/>
        <v>87000</v>
      </c>
      <c r="Q2824" s="753"/>
      <c r="R2824" s="738">
        <v>107404.8</v>
      </c>
      <c r="S2824" s="753">
        <v>100000</v>
      </c>
      <c r="T2824" s="739">
        <v>1100121</v>
      </c>
      <c r="U2824" s="754">
        <v>100000</v>
      </c>
      <c r="V2824" s="741">
        <v>1100122</v>
      </c>
    </row>
    <row r="2825" spans="1:22" ht="15" x14ac:dyDescent="0.2">
      <c r="A2825" s="739">
        <v>2491</v>
      </c>
      <c r="B2825" s="743" t="s">
        <v>41</v>
      </c>
      <c r="C2825" s="736"/>
      <c r="D2825" s="736">
        <v>200000</v>
      </c>
      <c r="E2825" s="749">
        <v>200000</v>
      </c>
      <c r="F2825" s="736">
        <v>200221.02</v>
      </c>
      <c r="G2825" s="736"/>
      <c r="H2825" s="736"/>
      <c r="I2825" s="736"/>
      <c r="J2825" s="736">
        <f t="shared" si="871"/>
        <v>0</v>
      </c>
      <c r="K2825" s="736">
        <v>15988.51</v>
      </c>
      <c r="L2825" s="736"/>
      <c r="M2825" s="736">
        <f t="shared" si="870"/>
        <v>15988.51</v>
      </c>
      <c r="N2825" s="736"/>
      <c r="O2825" s="736"/>
      <c r="P2825" s="736">
        <f t="shared" si="869"/>
        <v>15988.51</v>
      </c>
      <c r="Q2825" s="738">
        <v>107988.51</v>
      </c>
      <c r="R2825" s="738"/>
      <c r="S2825" s="738"/>
      <c r="T2825" s="739">
        <v>1100121</v>
      </c>
      <c r="U2825" s="745"/>
      <c r="V2825" s="739">
        <v>1100122</v>
      </c>
    </row>
    <row r="2826" spans="1:22" ht="15" x14ac:dyDescent="0.2">
      <c r="A2826" s="739">
        <v>2491</v>
      </c>
      <c r="B2826" s="743" t="s">
        <v>41</v>
      </c>
      <c r="C2826" s="736"/>
      <c r="D2826" s="736">
        <v>0</v>
      </c>
      <c r="E2826" s="749">
        <v>1347000</v>
      </c>
      <c r="F2826" s="736">
        <v>1336407</v>
      </c>
      <c r="G2826" s="736"/>
      <c r="H2826" s="736"/>
      <c r="I2826" s="736"/>
      <c r="J2826" s="736">
        <f t="shared" si="871"/>
        <v>0</v>
      </c>
      <c r="K2826" s="736"/>
      <c r="L2826" s="736"/>
      <c r="M2826" s="736">
        <f t="shared" si="870"/>
        <v>0</v>
      </c>
      <c r="N2826" s="738"/>
      <c r="O2826" s="738"/>
      <c r="P2826" s="738">
        <f t="shared" si="869"/>
        <v>0</v>
      </c>
      <c r="Q2826" s="738"/>
      <c r="R2826" s="738"/>
      <c r="S2826" s="738"/>
      <c r="T2826" s="739">
        <v>2610121</v>
      </c>
      <c r="U2826" s="745"/>
      <c r="V2826" s="739">
        <v>2610122</v>
      </c>
    </row>
    <row r="2827" spans="1:22" ht="15" x14ac:dyDescent="0.2">
      <c r="A2827" s="739">
        <v>2531</v>
      </c>
      <c r="B2827" s="743" t="s">
        <v>145</v>
      </c>
      <c r="C2827" s="736">
        <v>142787.07999999999</v>
      </c>
      <c r="D2827" s="736">
        <v>500000</v>
      </c>
      <c r="E2827" s="749">
        <v>37000</v>
      </c>
      <c r="F2827" s="736">
        <v>36857.21</v>
      </c>
      <c r="G2827" s="752">
        <v>255000</v>
      </c>
      <c r="H2827" s="752"/>
      <c r="I2827" s="752"/>
      <c r="J2827" s="736">
        <f t="shared" si="871"/>
        <v>255000</v>
      </c>
      <c r="K2827" s="752"/>
      <c r="L2827" s="752">
        <v>218934.42</v>
      </c>
      <c r="M2827" s="736">
        <f t="shared" si="870"/>
        <v>36065.579999999987</v>
      </c>
      <c r="N2827" s="736"/>
      <c r="O2827" s="736"/>
      <c r="P2827" s="736">
        <f t="shared" si="869"/>
        <v>36065.579999999987</v>
      </c>
      <c r="Q2827" s="753">
        <v>6065.58</v>
      </c>
      <c r="R2827" s="738">
        <v>6060.31</v>
      </c>
      <c r="S2827" s="753"/>
      <c r="T2827" s="739">
        <v>1100121</v>
      </c>
      <c r="U2827" s="745"/>
      <c r="V2827" s="739">
        <v>1100122</v>
      </c>
    </row>
    <row r="2828" spans="1:22" ht="30" x14ac:dyDescent="0.2">
      <c r="A2828" s="739">
        <v>2611</v>
      </c>
      <c r="B2828" s="743" t="s">
        <v>324</v>
      </c>
      <c r="C2828" s="736"/>
      <c r="D2828" s="736">
        <v>0</v>
      </c>
      <c r="E2828" s="749">
        <v>100000</v>
      </c>
      <c r="F2828" s="736">
        <v>1800</v>
      </c>
      <c r="G2828" s="736"/>
      <c r="H2828" s="736"/>
      <c r="I2828" s="736">
        <v>0</v>
      </c>
      <c r="J2828" s="736">
        <f t="shared" si="871"/>
        <v>0</v>
      </c>
      <c r="K2828" s="736">
        <v>200000</v>
      </c>
      <c r="L2828" s="736"/>
      <c r="M2828" s="736">
        <f t="shared" si="870"/>
        <v>200000</v>
      </c>
      <c r="N2828" s="736"/>
      <c r="O2828" s="736"/>
      <c r="P2828" s="736">
        <f t="shared" si="869"/>
        <v>200000</v>
      </c>
      <c r="Q2828" s="738">
        <v>200000</v>
      </c>
      <c r="R2828" s="738">
        <v>700</v>
      </c>
      <c r="S2828" s="738">
        <f>Q2828</f>
        <v>200000</v>
      </c>
      <c r="T2828" s="739">
        <v>1100121</v>
      </c>
      <c r="U2828" s="750"/>
      <c r="V2828" s="739">
        <v>1100122</v>
      </c>
    </row>
    <row r="2829" spans="1:22" ht="30" x14ac:dyDescent="0.2">
      <c r="A2829" s="734">
        <v>2611</v>
      </c>
      <c r="B2829" s="735" t="s">
        <v>324</v>
      </c>
      <c r="C2829" s="736"/>
      <c r="D2829" s="736"/>
      <c r="E2829" s="749"/>
      <c r="F2829" s="736">
        <v>21859470.449999999</v>
      </c>
      <c r="G2829" s="752">
        <v>25500000</v>
      </c>
      <c r="H2829" s="752"/>
      <c r="I2829" s="752"/>
      <c r="J2829" s="736">
        <f t="shared" si="871"/>
        <v>25500000</v>
      </c>
      <c r="K2829" s="752"/>
      <c r="L2829" s="923">
        <v>2000000</v>
      </c>
      <c r="M2829" s="736">
        <f t="shared" si="870"/>
        <v>23500000</v>
      </c>
      <c r="N2829" s="736"/>
      <c r="O2829" s="736">
        <f>1250000+750000</f>
        <v>2000000</v>
      </c>
      <c r="P2829" s="736">
        <f t="shared" si="869"/>
        <v>21500000</v>
      </c>
      <c r="Q2829" s="753">
        <v>21500000</v>
      </c>
      <c r="R2829" s="738">
        <v>15855547.779999999</v>
      </c>
      <c r="S2829" s="738">
        <f>Q2829</f>
        <v>21500000</v>
      </c>
      <c r="T2829" s="808">
        <v>2510221</v>
      </c>
      <c r="U2829" s="742">
        <v>23000000</v>
      </c>
      <c r="V2829" s="870">
        <v>2510222</v>
      </c>
    </row>
    <row r="2830" spans="1:22" ht="30" x14ac:dyDescent="0.2">
      <c r="A2830" s="739">
        <v>2611</v>
      </c>
      <c r="B2830" s="743" t="s">
        <v>324</v>
      </c>
      <c r="C2830" s="736"/>
      <c r="D2830" s="736">
        <v>25000000</v>
      </c>
      <c r="E2830" s="749">
        <v>25900000</v>
      </c>
      <c r="F2830" s="736"/>
      <c r="G2830" s="752">
        <v>500000</v>
      </c>
      <c r="H2830" s="752"/>
      <c r="I2830" s="752"/>
      <c r="J2830" s="736">
        <f t="shared" si="871"/>
        <v>500000</v>
      </c>
      <c r="K2830" s="752"/>
      <c r="L2830" s="752"/>
      <c r="M2830" s="736">
        <f t="shared" si="870"/>
        <v>500000</v>
      </c>
      <c r="N2830" s="736"/>
      <c r="O2830" s="736">
        <v>500000</v>
      </c>
      <c r="P2830" s="738">
        <f t="shared" si="869"/>
        <v>0</v>
      </c>
      <c r="Q2830" s="753"/>
      <c r="R2830" s="738"/>
      <c r="S2830" s="738">
        <f>Q2830</f>
        <v>0</v>
      </c>
      <c r="T2830" s="808">
        <v>2510221</v>
      </c>
      <c r="U2830" s="745"/>
      <c r="V2830" s="808">
        <v>2510222</v>
      </c>
    </row>
    <row r="2831" spans="1:22" ht="15" x14ac:dyDescent="0.25">
      <c r="A2831" s="734">
        <v>2711</v>
      </c>
      <c r="B2831" s="735" t="s">
        <v>27</v>
      </c>
      <c r="C2831" s="759">
        <v>811246</v>
      </c>
      <c r="D2831" s="736">
        <v>260000</v>
      </c>
      <c r="E2831" s="749">
        <v>260000</v>
      </c>
      <c r="F2831" s="736">
        <v>260000</v>
      </c>
      <c r="G2831" s="736"/>
      <c r="H2831" s="736"/>
      <c r="I2831" s="736"/>
      <c r="J2831" s="736">
        <f t="shared" si="871"/>
        <v>0</v>
      </c>
      <c r="K2831" s="736"/>
      <c r="L2831" s="736"/>
      <c r="M2831" s="736">
        <f t="shared" si="870"/>
        <v>0</v>
      </c>
      <c r="N2831" s="736"/>
      <c r="O2831" s="736"/>
      <c r="P2831" s="738">
        <f t="shared" si="869"/>
        <v>0</v>
      </c>
      <c r="Q2831" s="738"/>
      <c r="R2831" s="738"/>
      <c r="S2831" s="738">
        <v>7600000</v>
      </c>
      <c r="T2831" s="739">
        <v>1100121</v>
      </c>
      <c r="U2831" s="742">
        <v>7600000</v>
      </c>
      <c r="V2831" s="870">
        <v>2510222</v>
      </c>
    </row>
    <row r="2832" spans="1:22" ht="15" x14ac:dyDescent="0.2">
      <c r="A2832" s="739">
        <v>2711</v>
      </c>
      <c r="B2832" s="743" t="s">
        <v>27</v>
      </c>
      <c r="C2832" s="736"/>
      <c r="D2832" s="736">
        <v>0</v>
      </c>
      <c r="E2832" s="749">
        <v>142080</v>
      </c>
      <c r="F2832" s="736">
        <v>141200</v>
      </c>
      <c r="G2832" s="752">
        <v>2200000</v>
      </c>
      <c r="H2832" s="752"/>
      <c r="I2832" s="752"/>
      <c r="J2832" s="736">
        <f t="shared" si="871"/>
        <v>2200000</v>
      </c>
      <c r="K2832" s="752"/>
      <c r="L2832" s="752"/>
      <c r="M2832" s="736">
        <f t="shared" si="870"/>
        <v>2200000</v>
      </c>
      <c r="N2832" s="736"/>
      <c r="O2832" s="736"/>
      <c r="P2832" s="736">
        <f t="shared" si="869"/>
        <v>2200000</v>
      </c>
      <c r="Q2832" s="753">
        <v>2200000</v>
      </c>
      <c r="R2832" s="738">
        <v>2191356</v>
      </c>
      <c r="S2832" s="753"/>
      <c r="T2832" s="739">
        <v>2510221</v>
      </c>
      <c r="U2832" s="745"/>
      <c r="V2832" s="739">
        <v>2510222</v>
      </c>
    </row>
    <row r="2833" spans="1:22" ht="15" x14ac:dyDescent="0.2">
      <c r="A2833" s="739">
        <v>2741</v>
      </c>
      <c r="B2833" s="743" t="s">
        <v>1824</v>
      </c>
      <c r="C2833" s="736"/>
      <c r="D2833" s="736"/>
      <c r="E2833" s="749"/>
      <c r="F2833" s="736"/>
      <c r="G2833" s="752"/>
      <c r="H2833" s="752"/>
      <c r="I2833" s="752"/>
      <c r="J2833" s="736"/>
      <c r="K2833" s="752"/>
      <c r="L2833" s="752"/>
      <c r="M2833" s="736"/>
      <c r="N2833" s="736">
        <v>0</v>
      </c>
      <c r="O2833" s="736"/>
      <c r="P2833" s="738">
        <f t="shared" si="869"/>
        <v>0</v>
      </c>
      <c r="Q2833" s="753"/>
      <c r="R2833" s="738"/>
      <c r="S2833" s="753"/>
      <c r="T2833" s="739">
        <v>1100121</v>
      </c>
      <c r="U2833" s="745"/>
      <c r="V2833" s="739">
        <v>1100122</v>
      </c>
    </row>
    <row r="2834" spans="1:22" ht="15" x14ac:dyDescent="0.2">
      <c r="A2834" s="739">
        <v>2722</v>
      </c>
      <c r="B2834" s="743" t="s">
        <v>325</v>
      </c>
      <c r="C2834" s="736"/>
      <c r="D2834" s="736">
        <v>0</v>
      </c>
      <c r="E2834" s="749">
        <v>260700</v>
      </c>
      <c r="F2834" s="736">
        <v>253933.6</v>
      </c>
      <c r="G2834" s="736"/>
      <c r="H2834" s="736"/>
      <c r="I2834" s="736"/>
      <c r="J2834" s="736">
        <f t="shared" ref="J2834:J2847" si="872">G2834+H2834-I2834</f>
        <v>0</v>
      </c>
      <c r="K2834" s="736"/>
      <c r="L2834" s="736"/>
      <c r="M2834" s="736">
        <f t="shared" ref="M2834:M2890" si="873">J2834+K2834-L2834</f>
        <v>0</v>
      </c>
      <c r="N2834" s="738"/>
      <c r="O2834" s="738"/>
      <c r="P2834" s="738">
        <f t="shared" si="869"/>
        <v>0</v>
      </c>
      <c r="Q2834" s="738"/>
      <c r="R2834" s="738"/>
      <c r="S2834" s="738"/>
      <c r="T2834" s="739">
        <v>2610121</v>
      </c>
      <c r="U2834" s="745"/>
      <c r="V2834" s="739">
        <v>2610122</v>
      </c>
    </row>
    <row r="2835" spans="1:22" ht="15" x14ac:dyDescent="0.2">
      <c r="A2835" s="739">
        <v>2821</v>
      </c>
      <c r="B2835" s="743" t="s">
        <v>1825</v>
      </c>
      <c r="C2835" s="736"/>
      <c r="D2835" s="736">
        <v>0</v>
      </c>
      <c r="E2835" s="749">
        <v>859050</v>
      </c>
      <c r="F2835" s="736">
        <v>859050</v>
      </c>
      <c r="G2835" s="736"/>
      <c r="H2835" s="736"/>
      <c r="I2835" s="736"/>
      <c r="J2835" s="736">
        <f t="shared" si="872"/>
        <v>0</v>
      </c>
      <c r="K2835" s="736"/>
      <c r="L2835" s="736"/>
      <c r="M2835" s="736">
        <f t="shared" si="873"/>
        <v>0</v>
      </c>
      <c r="N2835" s="736"/>
      <c r="O2835" s="736"/>
      <c r="P2835" s="738">
        <f t="shared" si="869"/>
        <v>0</v>
      </c>
      <c r="Q2835" s="738"/>
      <c r="R2835" s="738"/>
      <c r="S2835" s="738"/>
      <c r="T2835" s="739">
        <v>1100119</v>
      </c>
      <c r="U2835" s="745"/>
      <c r="V2835" s="739">
        <v>1100119</v>
      </c>
    </row>
    <row r="2836" spans="1:22" ht="15" x14ac:dyDescent="0.2">
      <c r="A2836" s="739">
        <v>2911</v>
      </c>
      <c r="B2836" s="743" t="s">
        <v>60</v>
      </c>
      <c r="C2836" s="736"/>
      <c r="D2836" s="736">
        <v>0</v>
      </c>
      <c r="E2836" s="749">
        <v>15000</v>
      </c>
      <c r="F2836" s="736">
        <v>4222.01</v>
      </c>
      <c r="G2836" s="752">
        <v>10000</v>
      </c>
      <c r="H2836" s="752"/>
      <c r="I2836" s="752"/>
      <c r="J2836" s="736">
        <f t="shared" si="872"/>
        <v>10000</v>
      </c>
      <c r="K2836" s="752"/>
      <c r="L2836" s="752"/>
      <c r="M2836" s="736">
        <f t="shared" si="873"/>
        <v>10000</v>
      </c>
      <c r="N2836" s="736"/>
      <c r="O2836" s="736"/>
      <c r="P2836" s="736">
        <f t="shared" si="869"/>
        <v>10000</v>
      </c>
      <c r="Q2836" s="753">
        <v>10000</v>
      </c>
      <c r="R2836" s="738">
        <v>8531</v>
      </c>
      <c r="S2836" s="753"/>
      <c r="T2836" s="739">
        <v>1100121</v>
      </c>
      <c r="U2836" s="745"/>
      <c r="V2836" s="739">
        <v>1100122</v>
      </c>
    </row>
    <row r="2837" spans="1:22" ht="15" x14ac:dyDescent="0.2">
      <c r="A2837" s="739">
        <v>2941</v>
      </c>
      <c r="B2837" s="743" t="s">
        <v>1826</v>
      </c>
      <c r="C2837" s="736"/>
      <c r="D2837" s="736"/>
      <c r="E2837" s="749"/>
      <c r="F2837" s="736"/>
      <c r="G2837" s="752">
        <v>0</v>
      </c>
      <c r="H2837" s="752"/>
      <c r="I2837" s="752"/>
      <c r="J2837" s="736">
        <f t="shared" si="872"/>
        <v>0</v>
      </c>
      <c r="K2837" s="752"/>
      <c r="L2837" s="752"/>
      <c r="M2837" s="736">
        <f t="shared" si="873"/>
        <v>0</v>
      </c>
      <c r="N2837" s="736"/>
      <c r="O2837" s="736"/>
      <c r="P2837" s="738">
        <f t="shared" si="869"/>
        <v>0</v>
      </c>
      <c r="Q2837" s="753">
        <v>0</v>
      </c>
      <c r="R2837" s="738"/>
      <c r="S2837" s="753"/>
      <c r="T2837" s="739"/>
      <c r="U2837" s="745"/>
      <c r="V2837" s="739"/>
    </row>
    <row r="2838" spans="1:22" ht="15" x14ac:dyDescent="0.2">
      <c r="A2838" s="739">
        <v>3161</v>
      </c>
      <c r="B2838" s="743" t="s">
        <v>157</v>
      </c>
      <c r="C2838" s="736"/>
      <c r="D2838" s="736">
        <v>1750000</v>
      </c>
      <c r="E2838" s="749">
        <v>1750000</v>
      </c>
      <c r="F2838" s="736">
        <v>0</v>
      </c>
      <c r="G2838" s="736"/>
      <c r="H2838" s="736"/>
      <c r="I2838" s="736"/>
      <c r="J2838" s="736">
        <f t="shared" si="872"/>
        <v>0</v>
      </c>
      <c r="K2838" s="736"/>
      <c r="L2838" s="736"/>
      <c r="M2838" s="736">
        <f t="shared" si="873"/>
        <v>0</v>
      </c>
      <c r="N2838" s="736"/>
      <c r="O2838" s="736"/>
      <c r="P2838" s="738">
        <f t="shared" si="869"/>
        <v>0</v>
      </c>
      <c r="Q2838" s="738"/>
      <c r="R2838" s="738"/>
      <c r="S2838" s="738"/>
      <c r="T2838" s="739">
        <v>2510221</v>
      </c>
      <c r="U2838" s="745"/>
      <c r="V2838" s="739">
        <v>2510222</v>
      </c>
    </row>
    <row r="2839" spans="1:22" ht="15" x14ac:dyDescent="0.2">
      <c r="A2839" s="739">
        <v>3341</v>
      </c>
      <c r="B2839" s="743" t="s">
        <v>219</v>
      </c>
      <c r="C2839" s="736"/>
      <c r="D2839" s="736">
        <v>0</v>
      </c>
      <c r="E2839" s="749">
        <v>159889</v>
      </c>
      <c r="F2839" s="736">
        <v>159889</v>
      </c>
      <c r="G2839" s="736"/>
      <c r="H2839" s="736"/>
      <c r="I2839" s="736"/>
      <c r="J2839" s="736">
        <f t="shared" si="872"/>
        <v>0</v>
      </c>
      <c r="K2839" s="736"/>
      <c r="L2839" s="736"/>
      <c r="M2839" s="736">
        <f t="shared" si="873"/>
        <v>0</v>
      </c>
      <c r="N2839" s="736"/>
      <c r="O2839" s="736"/>
      <c r="P2839" s="738">
        <f t="shared" si="869"/>
        <v>0</v>
      </c>
      <c r="Q2839" s="738"/>
      <c r="R2839" s="738"/>
      <c r="S2839" s="738"/>
      <c r="T2839" s="739">
        <v>1100118</v>
      </c>
      <c r="U2839" s="745"/>
      <c r="V2839" s="739">
        <v>1100118</v>
      </c>
    </row>
    <row r="2840" spans="1:22" ht="30" x14ac:dyDescent="0.2">
      <c r="A2840" s="734">
        <v>3361</v>
      </c>
      <c r="B2840" s="735" t="s">
        <v>29</v>
      </c>
      <c r="C2840" s="736"/>
      <c r="D2840" s="736">
        <v>50000</v>
      </c>
      <c r="E2840" s="749">
        <v>50000</v>
      </c>
      <c r="F2840" s="736">
        <v>47500</v>
      </c>
      <c r="G2840" s="752">
        <v>52000</v>
      </c>
      <c r="H2840" s="752"/>
      <c r="I2840" s="752"/>
      <c r="J2840" s="736">
        <f t="shared" si="872"/>
        <v>52000</v>
      </c>
      <c r="K2840" s="752"/>
      <c r="L2840" s="752"/>
      <c r="M2840" s="736">
        <f t="shared" si="873"/>
        <v>52000</v>
      </c>
      <c r="N2840" s="736"/>
      <c r="O2840" s="736"/>
      <c r="P2840" s="736">
        <f t="shared" si="869"/>
        <v>52000</v>
      </c>
      <c r="Q2840" s="753">
        <v>22000</v>
      </c>
      <c r="R2840" s="738">
        <v>18332</v>
      </c>
      <c r="S2840" s="753">
        <v>40000</v>
      </c>
      <c r="T2840" s="739">
        <v>1100121</v>
      </c>
      <c r="U2840" s="754">
        <v>40000</v>
      </c>
      <c r="V2840" s="741">
        <v>1100122</v>
      </c>
    </row>
    <row r="2841" spans="1:22" ht="15" x14ac:dyDescent="0.2">
      <c r="A2841" s="734">
        <v>3451</v>
      </c>
      <c r="B2841" s="735" t="s">
        <v>1827</v>
      </c>
      <c r="C2841" s="736"/>
      <c r="D2841" s="736"/>
      <c r="E2841" s="749"/>
      <c r="F2841" s="736"/>
      <c r="G2841" s="752"/>
      <c r="H2841" s="896"/>
      <c r="I2841" s="752"/>
      <c r="J2841" s="736">
        <f t="shared" si="872"/>
        <v>0</v>
      </c>
      <c r="K2841" s="896">
        <v>6580000</v>
      </c>
      <c r="L2841" s="752"/>
      <c r="M2841" s="736">
        <f t="shared" si="873"/>
        <v>6580000</v>
      </c>
      <c r="N2841" s="736"/>
      <c r="O2841" s="736"/>
      <c r="P2841" s="736">
        <f t="shared" si="869"/>
        <v>6580000</v>
      </c>
      <c r="Q2841" s="753">
        <v>6580000</v>
      </c>
      <c r="R2841" s="738">
        <v>6580000</v>
      </c>
      <c r="S2841" s="753"/>
      <c r="T2841" s="808">
        <v>2510221</v>
      </c>
      <c r="U2841" s="742">
        <v>8187967</v>
      </c>
      <c r="V2841" s="870">
        <v>2510222</v>
      </c>
    </row>
    <row r="2842" spans="1:22" ht="15" x14ac:dyDescent="0.2">
      <c r="A2842" s="739">
        <v>3511</v>
      </c>
      <c r="B2842" s="743" t="s">
        <v>49</v>
      </c>
      <c r="C2842" s="736"/>
      <c r="D2842" s="736">
        <v>0</v>
      </c>
      <c r="E2842" s="749">
        <v>0</v>
      </c>
      <c r="F2842" s="736">
        <v>0</v>
      </c>
      <c r="G2842" s="736"/>
      <c r="H2842" s="736"/>
      <c r="I2842" s="736"/>
      <c r="J2842" s="736">
        <f t="shared" si="872"/>
        <v>0</v>
      </c>
      <c r="K2842" s="736"/>
      <c r="L2842" s="736"/>
      <c r="M2842" s="736">
        <f t="shared" si="873"/>
        <v>0</v>
      </c>
      <c r="N2842" s="736"/>
      <c r="O2842" s="736"/>
      <c r="P2842" s="738">
        <f t="shared" si="869"/>
        <v>0</v>
      </c>
      <c r="Q2842" s="738"/>
      <c r="R2842" s="738"/>
      <c r="S2842" s="738"/>
      <c r="T2842" s="739">
        <v>1100121</v>
      </c>
      <c r="U2842" s="745"/>
      <c r="V2842" s="739">
        <v>1100122</v>
      </c>
    </row>
    <row r="2843" spans="1:22" ht="15" x14ac:dyDescent="0.2">
      <c r="A2843" s="739">
        <v>3512</v>
      </c>
      <c r="B2843" s="743" t="s">
        <v>1828</v>
      </c>
      <c r="C2843" s="736">
        <v>166112</v>
      </c>
      <c r="D2843" s="736"/>
      <c r="E2843" s="736"/>
      <c r="F2843" s="736"/>
      <c r="G2843" s="736"/>
      <c r="H2843" s="736"/>
      <c r="I2843" s="736"/>
      <c r="J2843" s="736">
        <f t="shared" si="872"/>
        <v>0</v>
      </c>
      <c r="K2843" s="736"/>
      <c r="L2843" s="736"/>
      <c r="M2843" s="736">
        <f t="shared" si="873"/>
        <v>0</v>
      </c>
      <c r="N2843" s="736"/>
      <c r="O2843" s="736"/>
      <c r="P2843" s="738">
        <f t="shared" si="869"/>
        <v>0</v>
      </c>
      <c r="Q2843" s="738"/>
      <c r="R2843" s="738"/>
      <c r="S2843" s="738"/>
      <c r="T2843" s="739"/>
      <c r="U2843" s="745"/>
      <c r="V2843" s="739"/>
    </row>
    <row r="2844" spans="1:22" ht="15" x14ac:dyDescent="0.2">
      <c r="A2844" s="739">
        <v>3521</v>
      </c>
      <c r="B2844" s="743" t="s">
        <v>120</v>
      </c>
      <c r="C2844" s="736"/>
      <c r="D2844" s="736">
        <v>0</v>
      </c>
      <c r="E2844" s="749">
        <v>260325</v>
      </c>
      <c r="F2844" s="736">
        <v>260325</v>
      </c>
      <c r="G2844" s="736"/>
      <c r="H2844" s="736"/>
      <c r="I2844" s="736"/>
      <c r="J2844" s="736">
        <f t="shared" si="872"/>
        <v>0</v>
      </c>
      <c r="K2844" s="736"/>
      <c r="L2844" s="736"/>
      <c r="M2844" s="736">
        <f t="shared" si="873"/>
        <v>0</v>
      </c>
      <c r="N2844" s="736"/>
      <c r="O2844" s="736"/>
      <c r="P2844" s="738">
        <f t="shared" si="869"/>
        <v>0</v>
      </c>
      <c r="Q2844" s="738"/>
      <c r="R2844" s="738"/>
      <c r="S2844" s="738"/>
      <c r="T2844" s="739">
        <v>1100118</v>
      </c>
      <c r="U2844" s="745"/>
      <c r="V2844" s="739">
        <v>1100118</v>
      </c>
    </row>
    <row r="2845" spans="1:22" ht="15" x14ac:dyDescent="0.2">
      <c r="A2845" s="739">
        <v>3521</v>
      </c>
      <c r="B2845" s="743" t="s">
        <v>120</v>
      </c>
      <c r="C2845" s="736"/>
      <c r="D2845" s="736">
        <v>434311.3</v>
      </c>
      <c r="E2845" s="749">
        <v>173986.3</v>
      </c>
      <c r="F2845" s="736">
        <v>173986.3</v>
      </c>
      <c r="G2845" s="736"/>
      <c r="H2845" s="736"/>
      <c r="I2845" s="736"/>
      <c r="J2845" s="736">
        <f t="shared" si="872"/>
        <v>0</v>
      </c>
      <c r="K2845" s="736"/>
      <c r="L2845" s="736"/>
      <c r="M2845" s="736">
        <f t="shared" si="873"/>
        <v>0</v>
      </c>
      <c r="N2845" s="736"/>
      <c r="O2845" s="736"/>
      <c r="P2845" s="738">
        <f t="shared" si="869"/>
        <v>0</v>
      </c>
      <c r="Q2845" s="738"/>
      <c r="R2845" s="738"/>
      <c r="S2845" s="738"/>
      <c r="T2845" s="739">
        <v>2610118</v>
      </c>
      <c r="U2845" s="745"/>
      <c r="V2845" s="739">
        <v>2610118</v>
      </c>
    </row>
    <row r="2846" spans="1:22" ht="15" x14ac:dyDescent="0.2">
      <c r="A2846" s="734">
        <v>3551</v>
      </c>
      <c r="B2846" s="735" t="s">
        <v>30</v>
      </c>
      <c r="C2846" s="736"/>
      <c r="D2846" s="736">
        <v>8500000</v>
      </c>
      <c r="E2846" s="749">
        <v>8456278.4000000004</v>
      </c>
      <c r="F2846" s="736">
        <v>8301824.7000000002</v>
      </c>
      <c r="G2846" s="752">
        <v>9000000</v>
      </c>
      <c r="H2846" s="752"/>
      <c r="I2846" s="752"/>
      <c r="J2846" s="736">
        <f t="shared" si="872"/>
        <v>9000000</v>
      </c>
      <c r="K2846" s="752"/>
      <c r="L2846" s="752"/>
      <c r="M2846" s="736">
        <f t="shared" si="873"/>
        <v>9000000</v>
      </c>
      <c r="N2846" s="736"/>
      <c r="O2846" s="736"/>
      <c r="P2846" s="736">
        <f t="shared" si="869"/>
        <v>9000000</v>
      </c>
      <c r="Q2846" s="753">
        <v>9000000</v>
      </c>
      <c r="R2846" s="738">
        <v>7508737.9100000001</v>
      </c>
      <c r="S2846" s="738">
        <f>Q2846</f>
        <v>9000000</v>
      </c>
      <c r="T2846" s="739">
        <v>2510221</v>
      </c>
      <c r="U2846" s="742">
        <v>10000000</v>
      </c>
      <c r="V2846" s="741">
        <v>2510222</v>
      </c>
    </row>
    <row r="2847" spans="1:22" ht="15" x14ac:dyDescent="0.2">
      <c r="A2847" s="739">
        <v>3561</v>
      </c>
      <c r="B2847" s="743" t="s">
        <v>326</v>
      </c>
      <c r="C2847" s="736"/>
      <c r="D2847" s="736">
        <v>750000</v>
      </c>
      <c r="E2847" s="749">
        <v>150000</v>
      </c>
      <c r="F2847" s="736">
        <v>0</v>
      </c>
      <c r="G2847" s="752">
        <v>50000</v>
      </c>
      <c r="H2847" s="752"/>
      <c r="I2847" s="752"/>
      <c r="J2847" s="736">
        <f t="shared" si="872"/>
        <v>50000</v>
      </c>
      <c r="K2847" s="752"/>
      <c r="L2847" s="752">
        <v>50000</v>
      </c>
      <c r="M2847" s="736">
        <f t="shared" si="873"/>
        <v>0</v>
      </c>
      <c r="N2847" s="736"/>
      <c r="O2847" s="736"/>
      <c r="P2847" s="738">
        <f t="shared" si="869"/>
        <v>0</v>
      </c>
      <c r="Q2847" s="753"/>
      <c r="R2847" s="738"/>
      <c r="S2847" s="753"/>
      <c r="T2847" s="739">
        <v>2510221</v>
      </c>
      <c r="U2847" s="745"/>
      <c r="V2847" s="739">
        <v>2510222</v>
      </c>
    </row>
    <row r="2848" spans="1:22" ht="15" x14ac:dyDescent="0.2">
      <c r="A2848" s="734">
        <v>3561</v>
      </c>
      <c r="B2848" s="735" t="s">
        <v>326</v>
      </c>
      <c r="C2848" s="736"/>
      <c r="D2848" s="736"/>
      <c r="E2848" s="749"/>
      <c r="F2848" s="736"/>
      <c r="G2848" s="752"/>
      <c r="H2848" s="752"/>
      <c r="I2848" s="752"/>
      <c r="J2848" s="736"/>
      <c r="K2848" s="752">
        <v>50000</v>
      </c>
      <c r="L2848" s="752"/>
      <c r="M2848" s="736">
        <f t="shared" si="873"/>
        <v>50000</v>
      </c>
      <c r="N2848" s="736"/>
      <c r="O2848" s="736"/>
      <c r="P2848" s="736">
        <f t="shared" si="869"/>
        <v>50000</v>
      </c>
      <c r="Q2848" s="753"/>
      <c r="R2848" s="738"/>
      <c r="S2848" s="753">
        <v>50000</v>
      </c>
      <c r="T2848" s="739">
        <v>1100121</v>
      </c>
      <c r="U2848" s="754">
        <v>50000</v>
      </c>
      <c r="V2848" s="741">
        <v>1100122</v>
      </c>
    </row>
    <row r="2849" spans="1:22" ht="15" x14ac:dyDescent="0.2">
      <c r="A2849" s="739">
        <v>3571</v>
      </c>
      <c r="B2849" s="743" t="s">
        <v>65</v>
      </c>
      <c r="C2849" s="736">
        <v>34403.43</v>
      </c>
      <c r="D2849" s="736">
        <v>171000</v>
      </c>
      <c r="E2849" s="749">
        <v>121400</v>
      </c>
      <c r="F2849" s="736">
        <v>56420.01</v>
      </c>
      <c r="G2849" s="752">
        <v>96000</v>
      </c>
      <c r="H2849" s="752"/>
      <c r="I2849" s="752"/>
      <c r="J2849" s="736">
        <f t="shared" ref="J2849:J2856" si="874">G2849+H2849-I2849</f>
        <v>96000</v>
      </c>
      <c r="K2849" s="752"/>
      <c r="L2849" s="752"/>
      <c r="M2849" s="736">
        <f t="shared" si="873"/>
        <v>96000</v>
      </c>
      <c r="N2849" s="736"/>
      <c r="O2849" s="736"/>
      <c r="P2849" s="736">
        <f t="shared" si="869"/>
        <v>96000</v>
      </c>
      <c r="Q2849" s="753">
        <v>96000</v>
      </c>
      <c r="R2849" s="738">
        <v>52640.800000000003</v>
      </c>
      <c r="S2849" s="753"/>
      <c r="T2849" s="739">
        <v>1100121</v>
      </c>
      <c r="U2849" s="745"/>
      <c r="V2849" s="739">
        <v>1100122</v>
      </c>
    </row>
    <row r="2850" spans="1:22" ht="15" x14ac:dyDescent="0.2">
      <c r="A2850" s="739">
        <v>3821</v>
      </c>
      <c r="B2850" s="743" t="s">
        <v>31</v>
      </c>
      <c r="C2850" s="736">
        <v>12073.98</v>
      </c>
      <c r="D2850" s="736">
        <v>250000</v>
      </c>
      <c r="E2850" s="749">
        <v>250000</v>
      </c>
      <c r="F2850" s="736">
        <v>2053.1999999999998</v>
      </c>
      <c r="G2850" s="752">
        <v>350000</v>
      </c>
      <c r="H2850" s="752"/>
      <c r="I2850" s="752"/>
      <c r="J2850" s="736">
        <f t="shared" si="874"/>
        <v>350000</v>
      </c>
      <c r="K2850" s="752"/>
      <c r="L2850" s="752"/>
      <c r="M2850" s="736">
        <f t="shared" si="873"/>
        <v>350000</v>
      </c>
      <c r="N2850" s="736"/>
      <c r="O2850" s="736"/>
      <c r="P2850" s="736">
        <f t="shared" si="869"/>
        <v>350000</v>
      </c>
      <c r="Q2850" s="753">
        <v>130000</v>
      </c>
      <c r="R2850" s="738">
        <v>97730</v>
      </c>
      <c r="S2850" s="753"/>
      <c r="T2850" s="739">
        <v>1100121</v>
      </c>
      <c r="U2850" s="745"/>
      <c r="V2850" s="739">
        <v>1100122</v>
      </c>
    </row>
    <row r="2851" spans="1:22" ht="15" x14ac:dyDescent="0.2">
      <c r="A2851" s="739">
        <v>3854</v>
      </c>
      <c r="B2851" s="743" t="s">
        <v>327</v>
      </c>
      <c r="C2851" s="736">
        <v>1561083.21</v>
      </c>
      <c r="D2851" s="736">
        <v>0</v>
      </c>
      <c r="E2851" s="749">
        <v>275897.01</v>
      </c>
      <c r="F2851" s="736">
        <v>275897.01</v>
      </c>
      <c r="G2851" s="752">
        <v>1000000</v>
      </c>
      <c r="H2851" s="896"/>
      <c r="I2851" s="752"/>
      <c r="J2851" s="736">
        <f t="shared" si="874"/>
        <v>1000000</v>
      </c>
      <c r="K2851" s="896">
        <v>0</v>
      </c>
      <c r="L2851" s="752">
        <v>1000000</v>
      </c>
      <c r="M2851" s="736">
        <f t="shared" si="873"/>
        <v>0</v>
      </c>
      <c r="N2851" s="736"/>
      <c r="O2851" s="736"/>
      <c r="P2851" s="738">
        <f t="shared" si="869"/>
        <v>0</v>
      </c>
      <c r="Q2851" s="753">
        <v>1000000</v>
      </c>
      <c r="R2851" s="738"/>
      <c r="S2851" s="753"/>
      <c r="T2851" s="739">
        <v>2510221</v>
      </c>
      <c r="U2851" s="745"/>
      <c r="V2851" s="739">
        <v>2510222</v>
      </c>
    </row>
    <row r="2852" spans="1:22" ht="15" x14ac:dyDescent="0.2">
      <c r="A2852" s="739">
        <v>3854</v>
      </c>
      <c r="B2852" s="743" t="s">
        <v>327</v>
      </c>
      <c r="C2852" s="736"/>
      <c r="D2852" s="736">
        <v>3200000</v>
      </c>
      <c r="E2852" s="749">
        <v>4574000</v>
      </c>
      <c r="F2852" s="736">
        <v>893409.26</v>
      </c>
      <c r="G2852" s="736"/>
      <c r="H2852" s="736"/>
      <c r="I2852" s="736"/>
      <c r="J2852" s="736">
        <f t="shared" si="874"/>
        <v>0</v>
      </c>
      <c r="K2852" s="736">
        <f>1044000+1000000</f>
        <v>2044000</v>
      </c>
      <c r="L2852" s="736">
        <v>1044000</v>
      </c>
      <c r="M2852" s="736">
        <f t="shared" si="873"/>
        <v>1000000</v>
      </c>
      <c r="N2852" s="736"/>
      <c r="O2852" s="736">
        <v>0</v>
      </c>
      <c r="P2852" s="736">
        <f t="shared" si="869"/>
        <v>1000000</v>
      </c>
      <c r="Q2852" s="738"/>
      <c r="R2852" s="738">
        <v>419767</v>
      </c>
      <c r="S2852" s="738"/>
      <c r="T2852" s="739">
        <v>1100121</v>
      </c>
      <c r="U2852" s="745"/>
      <c r="V2852" s="739">
        <v>1100122</v>
      </c>
    </row>
    <row r="2853" spans="1:22" ht="15" x14ac:dyDescent="0.2">
      <c r="A2853" s="739">
        <v>3854</v>
      </c>
      <c r="B2853" s="743" t="s">
        <v>327</v>
      </c>
      <c r="C2853" s="736"/>
      <c r="D2853" s="736">
        <v>0</v>
      </c>
      <c r="E2853" s="736"/>
      <c r="F2853" s="736">
        <v>2466105.3199999998</v>
      </c>
      <c r="G2853" s="736"/>
      <c r="H2853" s="736"/>
      <c r="I2853" s="736"/>
      <c r="J2853" s="736">
        <f t="shared" si="874"/>
        <v>0</v>
      </c>
      <c r="K2853" s="736"/>
      <c r="L2853" s="736"/>
      <c r="M2853" s="736">
        <f t="shared" si="873"/>
        <v>0</v>
      </c>
      <c r="N2853" s="736"/>
      <c r="O2853" s="736"/>
      <c r="P2853" s="738">
        <f t="shared" si="869"/>
        <v>0</v>
      </c>
      <c r="Q2853" s="738"/>
      <c r="R2853" s="738"/>
      <c r="S2853" s="738"/>
      <c r="T2853" s="739">
        <v>2510221</v>
      </c>
      <c r="U2853" s="745"/>
      <c r="V2853" s="739">
        <v>2510222</v>
      </c>
    </row>
    <row r="2854" spans="1:22" ht="15" x14ac:dyDescent="0.2">
      <c r="A2854" s="734">
        <v>3921</v>
      </c>
      <c r="B2854" s="735" t="s">
        <v>33</v>
      </c>
      <c r="C2854" s="736"/>
      <c r="D2854" s="736">
        <v>84760</v>
      </c>
      <c r="E2854" s="749">
        <v>84760</v>
      </c>
      <c r="F2854" s="736">
        <v>49279.79</v>
      </c>
      <c r="G2854" s="752">
        <v>104200</v>
      </c>
      <c r="H2854" s="752"/>
      <c r="I2854" s="752"/>
      <c r="J2854" s="736">
        <f t="shared" si="874"/>
        <v>104200</v>
      </c>
      <c r="K2854" s="752"/>
      <c r="L2854" s="752"/>
      <c r="M2854" s="736">
        <f t="shared" si="873"/>
        <v>104200</v>
      </c>
      <c r="N2854" s="736"/>
      <c r="O2854" s="736"/>
      <c r="P2854" s="736">
        <f t="shared" si="869"/>
        <v>104200</v>
      </c>
      <c r="Q2854" s="753">
        <v>104200</v>
      </c>
      <c r="R2854" s="738">
        <v>95994.28</v>
      </c>
      <c r="S2854" s="753">
        <v>121899.88</v>
      </c>
      <c r="T2854" s="739">
        <v>1100121</v>
      </c>
      <c r="U2854" s="746">
        <v>121900</v>
      </c>
      <c r="V2854" s="741">
        <v>1100122</v>
      </c>
    </row>
    <row r="2855" spans="1:22" ht="15" x14ac:dyDescent="0.2">
      <c r="A2855" s="739">
        <v>3941</v>
      </c>
      <c r="B2855" s="743" t="s">
        <v>328</v>
      </c>
      <c r="C2855" s="736">
        <v>313494</v>
      </c>
      <c r="D2855" s="736">
        <v>550000</v>
      </c>
      <c r="E2855" s="749">
        <v>550000</v>
      </c>
      <c r="F2855" s="736">
        <v>0</v>
      </c>
      <c r="G2855" s="752">
        <v>550000</v>
      </c>
      <c r="H2855" s="752"/>
      <c r="I2855" s="752"/>
      <c r="J2855" s="736">
        <f t="shared" si="874"/>
        <v>550000</v>
      </c>
      <c r="K2855" s="752"/>
      <c r="L2855" s="752"/>
      <c r="M2855" s="736">
        <f t="shared" si="873"/>
        <v>550000</v>
      </c>
      <c r="N2855" s="736"/>
      <c r="O2855" s="736"/>
      <c r="P2855" s="736">
        <f t="shared" si="869"/>
        <v>550000</v>
      </c>
      <c r="Q2855" s="753">
        <v>516000</v>
      </c>
      <c r="R2855" s="738"/>
      <c r="S2855" s="753"/>
      <c r="T2855" s="739">
        <v>1100121</v>
      </c>
      <c r="U2855" s="745"/>
      <c r="V2855" s="739">
        <v>1100122</v>
      </c>
    </row>
    <row r="2856" spans="1:22" ht="15" x14ac:dyDescent="0.2">
      <c r="A2856" s="734">
        <v>3961</v>
      </c>
      <c r="B2856" s="735" t="s">
        <v>122</v>
      </c>
      <c r="C2856" s="736">
        <v>27089.8</v>
      </c>
      <c r="D2856" s="736">
        <v>91600</v>
      </c>
      <c r="E2856" s="749">
        <v>91600</v>
      </c>
      <c r="F2856" s="736">
        <v>48614.74</v>
      </c>
      <c r="G2856" s="752">
        <v>120000</v>
      </c>
      <c r="H2856" s="752"/>
      <c r="I2856" s="752"/>
      <c r="J2856" s="736">
        <f t="shared" si="874"/>
        <v>120000</v>
      </c>
      <c r="K2856" s="752"/>
      <c r="L2856" s="752"/>
      <c r="M2856" s="736">
        <f t="shared" si="873"/>
        <v>120000</v>
      </c>
      <c r="N2856" s="736"/>
      <c r="O2856" s="736"/>
      <c r="P2856" s="736">
        <f t="shared" si="869"/>
        <v>120000</v>
      </c>
      <c r="Q2856" s="753">
        <v>120000</v>
      </c>
      <c r="R2856" s="738">
        <v>109164.2</v>
      </c>
      <c r="S2856" s="753"/>
      <c r="T2856" s="739">
        <v>1100121</v>
      </c>
      <c r="U2856" s="740">
        <v>120000</v>
      </c>
      <c r="V2856" s="741">
        <v>1100122</v>
      </c>
    </row>
    <row r="2857" spans="1:22" ht="15" x14ac:dyDescent="0.2">
      <c r="A2857" s="734">
        <v>3981</v>
      </c>
      <c r="B2857" s="735" t="s">
        <v>234</v>
      </c>
      <c r="C2857" s="736"/>
      <c r="D2857" s="736"/>
      <c r="E2857" s="749"/>
      <c r="F2857" s="736"/>
      <c r="G2857" s="752"/>
      <c r="H2857" s="752"/>
      <c r="I2857" s="752"/>
      <c r="J2857" s="736"/>
      <c r="K2857" s="752">
        <v>5030000</v>
      </c>
      <c r="L2857" s="752"/>
      <c r="M2857" s="736">
        <f t="shared" si="873"/>
        <v>5030000</v>
      </c>
      <c r="N2857" s="736"/>
      <c r="O2857" s="736"/>
      <c r="P2857" s="736">
        <f t="shared" si="869"/>
        <v>5030000</v>
      </c>
      <c r="Q2857" s="753">
        <v>5030000</v>
      </c>
      <c r="R2857" s="738">
        <v>1893083.32</v>
      </c>
      <c r="S2857" s="753"/>
      <c r="T2857" s="739">
        <v>2510221</v>
      </c>
      <c r="U2857" s="754">
        <v>3163603</v>
      </c>
      <c r="V2857" s="741">
        <v>2510222</v>
      </c>
    </row>
    <row r="2858" spans="1:22" ht="15" x14ac:dyDescent="0.2">
      <c r="A2858" s="734">
        <v>4411</v>
      </c>
      <c r="B2858" s="735" t="s">
        <v>34</v>
      </c>
      <c r="C2858" s="736">
        <v>400000</v>
      </c>
      <c r="D2858" s="736">
        <v>0</v>
      </c>
      <c r="E2858" s="749">
        <v>231696</v>
      </c>
      <c r="F2858" s="736">
        <v>0</v>
      </c>
      <c r="G2858" s="752">
        <v>2000000</v>
      </c>
      <c r="H2858" s="752"/>
      <c r="I2858" s="752"/>
      <c r="J2858" s="736">
        <f t="shared" ref="J2858:J2890" si="875">G2858+H2858-I2858</f>
        <v>2000000</v>
      </c>
      <c r="K2858" s="752"/>
      <c r="L2858" s="752"/>
      <c r="M2858" s="736">
        <f t="shared" si="873"/>
        <v>2000000</v>
      </c>
      <c r="N2858" s="736">
        <v>750000</v>
      </c>
      <c r="O2858" s="736"/>
      <c r="P2858" s="736">
        <f t="shared" si="869"/>
        <v>2750000</v>
      </c>
      <c r="Q2858" s="753">
        <v>2750000</v>
      </c>
      <c r="R2858" s="738">
        <v>1197287.2</v>
      </c>
      <c r="S2858" s="753"/>
      <c r="T2858" s="739">
        <v>1100121</v>
      </c>
      <c r="U2858" s="740">
        <v>2000000</v>
      </c>
      <c r="V2858" s="741">
        <v>1100122</v>
      </c>
    </row>
    <row r="2859" spans="1:22" ht="15" x14ac:dyDescent="0.2">
      <c r="A2859" s="739">
        <v>4411</v>
      </c>
      <c r="B2859" s="743" t="s">
        <v>34</v>
      </c>
      <c r="C2859" s="736"/>
      <c r="D2859" s="736">
        <v>1000000</v>
      </c>
      <c r="E2859" s="749">
        <v>4754754</v>
      </c>
      <c r="F2859" s="736">
        <v>4248317.41</v>
      </c>
      <c r="G2859" s="736"/>
      <c r="H2859" s="736"/>
      <c r="I2859" s="736"/>
      <c r="J2859" s="736">
        <f t="shared" si="875"/>
        <v>0</v>
      </c>
      <c r="K2859" s="736"/>
      <c r="L2859" s="736"/>
      <c r="M2859" s="736">
        <f t="shared" si="873"/>
        <v>0</v>
      </c>
      <c r="N2859" s="736"/>
      <c r="O2859" s="736"/>
      <c r="P2859" s="738">
        <f t="shared" si="869"/>
        <v>0</v>
      </c>
      <c r="Q2859" s="738"/>
      <c r="R2859" s="738"/>
      <c r="S2859" s="738"/>
      <c r="T2859" s="739">
        <v>1100121</v>
      </c>
      <c r="U2859" s="745"/>
      <c r="V2859" s="739">
        <v>1100122</v>
      </c>
    </row>
    <row r="2860" spans="1:22" ht="15" x14ac:dyDescent="0.2">
      <c r="A2860" s="739">
        <v>5111</v>
      </c>
      <c r="B2860" s="743" t="s">
        <v>35</v>
      </c>
      <c r="C2860" s="736"/>
      <c r="D2860" s="736">
        <v>1049.3499999999999</v>
      </c>
      <c r="E2860" s="749">
        <v>0</v>
      </c>
      <c r="F2860" s="736">
        <v>0</v>
      </c>
      <c r="G2860" s="736"/>
      <c r="H2860" s="736"/>
      <c r="I2860" s="736"/>
      <c r="J2860" s="736">
        <f t="shared" si="875"/>
        <v>0</v>
      </c>
      <c r="K2860" s="736"/>
      <c r="L2860" s="736"/>
      <c r="M2860" s="736">
        <f t="shared" si="873"/>
        <v>0</v>
      </c>
      <c r="N2860" s="736"/>
      <c r="O2860" s="736"/>
      <c r="P2860" s="738">
        <f t="shared" si="869"/>
        <v>0</v>
      </c>
      <c r="Q2860" s="738"/>
      <c r="R2860" s="738"/>
      <c r="S2860" s="738"/>
      <c r="T2860" s="739">
        <v>2610117</v>
      </c>
      <c r="U2860" s="745"/>
      <c r="V2860" s="739">
        <v>2610117</v>
      </c>
    </row>
    <row r="2861" spans="1:22" ht="15" x14ac:dyDescent="0.2">
      <c r="A2861" s="739">
        <v>5111</v>
      </c>
      <c r="B2861" s="743" t="s">
        <v>35</v>
      </c>
      <c r="C2861" s="736"/>
      <c r="D2861" s="736">
        <v>26454.05</v>
      </c>
      <c r="E2861" s="749">
        <v>0</v>
      </c>
      <c r="F2861" s="736">
        <v>0</v>
      </c>
      <c r="G2861" s="736"/>
      <c r="H2861" s="736"/>
      <c r="I2861" s="736"/>
      <c r="J2861" s="736">
        <f t="shared" si="875"/>
        <v>0</v>
      </c>
      <c r="K2861" s="736"/>
      <c r="L2861" s="736"/>
      <c r="M2861" s="736">
        <f t="shared" si="873"/>
        <v>0</v>
      </c>
      <c r="N2861" s="736"/>
      <c r="O2861" s="736"/>
      <c r="P2861" s="738">
        <f t="shared" si="869"/>
        <v>0</v>
      </c>
      <c r="Q2861" s="738"/>
      <c r="R2861" s="738"/>
      <c r="S2861" s="738"/>
      <c r="T2861" s="739">
        <v>2610118</v>
      </c>
      <c r="U2861" s="745"/>
      <c r="V2861" s="739">
        <v>2610118</v>
      </c>
    </row>
    <row r="2862" spans="1:22" ht="15" x14ac:dyDescent="0.2">
      <c r="A2862" s="739">
        <v>5151</v>
      </c>
      <c r="B2862" s="743" t="s">
        <v>36</v>
      </c>
      <c r="C2862" s="736">
        <v>136502.04</v>
      </c>
      <c r="D2862" s="736">
        <v>401817.46</v>
      </c>
      <c r="E2862" s="749">
        <v>0</v>
      </c>
      <c r="F2862" s="736">
        <v>0</v>
      </c>
      <c r="G2862" s="736"/>
      <c r="H2862" s="736"/>
      <c r="I2862" s="736"/>
      <c r="J2862" s="736">
        <f t="shared" si="875"/>
        <v>0</v>
      </c>
      <c r="K2862" s="736"/>
      <c r="L2862" s="736"/>
      <c r="M2862" s="736">
        <f t="shared" si="873"/>
        <v>0</v>
      </c>
      <c r="N2862" s="736"/>
      <c r="O2862" s="736"/>
      <c r="P2862" s="738">
        <f t="shared" si="869"/>
        <v>0</v>
      </c>
      <c r="Q2862" s="738"/>
      <c r="R2862" s="738"/>
      <c r="S2862" s="738"/>
      <c r="T2862" s="739">
        <v>1100117</v>
      </c>
      <c r="U2862" s="745"/>
      <c r="V2862" s="739">
        <v>1100117</v>
      </c>
    </row>
    <row r="2863" spans="1:22" ht="15" x14ac:dyDescent="0.2">
      <c r="A2863" s="739">
        <v>5151</v>
      </c>
      <c r="B2863" s="743" t="s">
        <v>36</v>
      </c>
      <c r="C2863" s="736"/>
      <c r="D2863" s="736">
        <v>317707.53999999998</v>
      </c>
      <c r="E2863" s="749">
        <v>28478.94</v>
      </c>
      <c r="F2863" s="736">
        <v>28478.94</v>
      </c>
      <c r="G2863" s="736"/>
      <c r="H2863" s="736"/>
      <c r="I2863" s="736"/>
      <c r="J2863" s="736">
        <f t="shared" si="875"/>
        <v>0</v>
      </c>
      <c r="K2863" s="736"/>
      <c r="L2863" s="736"/>
      <c r="M2863" s="736">
        <f t="shared" si="873"/>
        <v>0</v>
      </c>
      <c r="N2863" s="736"/>
      <c r="O2863" s="736"/>
      <c r="P2863" s="738">
        <f t="shared" si="869"/>
        <v>0</v>
      </c>
      <c r="Q2863" s="738"/>
      <c r="R2863" s="738"/>
      <c r="S2863" s="738"/>
      <c r="T2863" s="739">
        <v>1100118</v>
      </c>
      <c r="U2863" s="745"/>
      <c r="V2863" s="739">
        <v>1100118</v>
      </c>
    </row>
    <row r="2864" spans="1:22" ht="15" x14ac:dyDescent="0.2">
      <c r="A2864" s="739">
        <v>5151</v>
      </c>
      <c r="B2864" s="743" t="s">
        <v>36</v>
      </c>
      <c r="C2864" s="736"/>
      <c r="D2864" s="736">
        <v>0</v>
      </c>
      <c r="E2864" s="749">
        <v>421675.68</v>
      </c>
      <c r="F2864" s="736">
        <v>421675.68</v>
      </c>
      <c r="G2864" s="736"/>
      <c r="H2864" s="736"/>
      <c r="I2864" s="736"/>
      <c r="J2864" s="736">
        <f t="shared" si="875"/>
        <v>0</v>
      </c>
      <c r="K2864" s="736"/>
      <c r="L2864" s="736"/>
      <c r="M2864" s="736">
        <f t="shared" si="873"/>
        <v>0</v>
      </c>
      <c r="N2864" s="736"/>
      <c r="O2864" s="736"/>
      <c r="P2864" s="738">
        <f t="shared" si="869"/>
        <v>0</v>
      </c>
      <c r="Q2864" s="738"/>
      <c r="R2864" s="738"/>
      <c r="S2864" s="738"/>
      <c r="T2864" s="739">
        <v>1100119</v>
      </c>
      <c r="U2864" s="745"/>
      <c r="V2864" s="739">
        <v>1100119</v>
      </c>
    </row>
    <row r="2865" spans="1:22" ht="15" x14ac:dyDescent="0.2">
      <c r="A2865" s="739">
        <v>5151</v>
      </c>
      <c r="B2865" s="743" t="s">
        <v>36</v>
      </c>
      <c r="C2865" s="736"/>
      <c r="D2865" s="736">
        <v>0</v>
      </c>
      <c r="E2865" s="749">
        <v>432845.38</v>
      </c>
      <c r="F2865" s="736">
        <v>432845.38</v>
      </c>
      <c r="G2865" s="736"/>
      <c r="H2865" s="736"/>
      <c r="I2865" s="736"/>
      <c r="J2865" s="736">
        <f t="shared" si="875"/>
        <v>0</v>
      </c>
      <c r="K2865" s="736">
        <v>27293.64</v>
      </c>
      <c r="L2865" s="736"/>
      <c r="M2865" s="736">
        <f t="shared" si="873"/>
        <v>27293.64</v>
      </c>
      <c r="N2865" s="736"/>
      <c r="O2865" s="736"/>
      <c r="P2865" s="736">
        <f t="shared" si="869"/>
        <v>27293.64</v>
      </c>
      <c r="Q2865" s="738">
        <v>27293.64</v>
      </c>
      <c r="R2865" s="738">
        <v>27293.64</v>
      </c>
      <c r="S2865" s="738"/>
      <c r="T2865" s="739">
        <v>1100121</v>
      </c>
      <c r="U2865" s="744"/>
      <c r="V2865" s="739">
        <v>1100122</v>
      </c>
    </row>
    <row r="2866" spans="1:22" ht="15" x14ac:dyDescent="0.2">
      <c r="A2866" s="739">
        <v>5151</v>
      </c>
      <c r="B2866" s="743" t="s">
        <v>36</v>
      </c>
      <c r="C2866" s="736"/>
      <c r="D2866" s="736">
        <v>287344.45</v>
      </c>
      <c r="E2866" s="736"/>
      <c r="F2866" s="736">
        <v>0</v>
      </c>
      <c r="G2866" s="736"/>
      <c r="H2866" s="736"/>
      <c r="I2866" s="736"/>
      <c r="J2866" s="736">
        <f t="shared" si="875"/>
        <v>0</v>
      </c>
      <c r="K2866" s="736"/>
      <c r="L2866" s="736"/>
      <c r="M2866" s="736">
        <f t="shared" si="873"/>
        <v>0</v>
      </c>
      <c r="N2866" s="736"/>
      <c r="O2866" s="736"/>
      <c r="P2866" s="738">
        <f t="shared" si="869"/>
        <v>0</v>
      </c>
      <c r="Q2866" s="738"/>
      <c r="R2866" s="738"/>
      <c r="S2866" s="738"/>
      <c r="T2866" s="739">
        <v>2610117</v>
      </c>
      <c r="U2866" s="745"/>
      <c r="V2866" s="739">
        <v>2610117</v>
      </c>
    </row>
    <row r="2867" spans="1:22" ht="15" x14ac:dyDescent="0.2">
      <c r="A2867" s="739">
        <v>5151</v>
      </c>
      <c r="B2867" s="743" t="s">
        <v>36</v>
      </c>
      <c r="C2867" s="736"/>
      <c r="D2867" s="736">
        <v>537239.55000000005</v>
      </c>
      <c r="E2867" s="749">
        <v>1484211</v>
      </c>
      <c r="F2867" s="736">
        <v>1484211</v>
      </c>
      <c r="G2867" s="736"/>
      <c r="H2867" s="736"/>
      <c r="I2867" s="736"/>
      <c r="J2867" s="736">
        <f t="shared" si="875"/>
        <v>0</v>
      </c>
      <c r="K2867" s="736"/>
      <c r="L2867" s="736"/>
      <c r="M2867" s="736">
        <f t="shared" si="873"/>
        <v>0</v>
      </c>
      <c r="N2867" s="736"/>
      <c r="O2867" s="736"/>
      <c r="P2867" s="738">
        <f t="shared" si="869"/>
        <v>0</v>
      </c>
      <c r="Q2867" s="738"/>
      <c r="R2867" s="738"/>
      <c r="S2867" s="738"/>
      <c r="T2867" s="739">
        <v>2610118</v>
      </c>
      <c r="U2867" s="745"/>
      <c r="V2867" s="739">
        <v>2610118</v>
      </c>
    </row>
    <row r="2868" spans="1:22" ht="15" x14ac:dyDescent="0.2">
      <c r="A2868" s="739">
        <v>5191</v>
      </c>
      <c r="B2868" s="743" t="s">
        <v>69</v>
      </c>
      <c r="C2868" s="736"/>
      <c r="D2868" s="736">
        <v>0</v>
      </c>
      <c r="E2868" s="736"/>
      <c r="F2868" s="736">
        <v>0</v>
      </c>
      <c r="G2868" s="736"/>
      <c r="H2868" s="736"/>
      <c r="I2868" s="736"/>
      <c r="J2868" s="736">
        <f t="shared" si="875"/>
        <v>0</v>
      </c>
      <c r="K2868" s="736"/>
      <c r="L2868" s="736"/>
      <c r="M2868" s="736">
        <f t="shared" si="873"/>
        <v>0</v>
      </c>
      <c r="N2868" s="736"/>
      <c r="O2868" s="736"/>
      <c r="P2868" s="738">
        <f t="shared" si="869"/>
        <v>0</v>
      </c>
      <c r="Q2868" s="738"/>
      <c r="R2868" s="738"/>
      <c r="S2868" s="738"/>
      <c r="T2868" s="739">
        <v>1100119</v>
      </c>
      <c r="U2868" s="745"/>
      <c r="V2868" s="739">
        <v>1100119</v>
      </c>
    </row>
    <row r="2869" spans="1:22" ht="15" x14ac:dyDescent="0.2">
      <c r="A2869" s="739">
        <v>5211</v>
      </c>
      <c r="B2869" s="822" t="s">
        <v>71</v>
      </c>
      <c r="C2869" s="736">
        <v>204719.11</v>
      </c>
      <c r="D2869" s="736"/>
      <c r="E2869" s="736"/>
      <c r="F2869" s="736"/>
      <c r="G2869" s="736"/>
      <c r="H2869" s="736"/>
      <c r="I2869" s="736"/>
      <c r="J2869" s="736">
        <f t="shared" si="875"/>
        <v>0</v>
      </c>
      <c r="K2869" s="736">
        <v>13681.04</v>
      </c>
      <c r="L2869" s="736"/>
      <c r="M2869" s="736">
        <f t="shared" si="873"/>
        <v>13681.04</v>
      </c>
      <c r="N2869" s="736"/>
      <c r="O2869" s="736"/>
      <c r="P2869" s="736">
        <f t="shared" si="869"/>
        <v>13681.04</v>
      </c>
      <c r="Q2869" s="738">
        <v>13681.04</v>
      </c>
      <c r="R2869" s="738">
        <v>13681.04</v>
      </c>
      <c r="S2869" s="738"/>
      <c r="T2869" s="739">
        <v>1100121</v>
      </c>
      <c r="U2869" s="745"/>
      <c r="V2869" s="739">
        <v>1100122</v>
      </c>
    </row>
    <row r="2870" spans="1:22" ht="15" x14ac:dyDescent="0.2">
      <c r="A2870" s="739">
        <v>5231</v>
      </c>
      <c r="B2870" s="743" t="s">
        <v>81</v>
      </c>
      <c r="C2870" s="736"/>
      <c r="D2870" s="736">
        <v>702975</v>
      </c>
      <c r="E2870" s="749">
        <v>730187.5</v>
      </c>
      <c r="F2870" s="736">
        <v>0</v>
      </c>
      <c r="G2870" s="736"/>
      <c r="H2870" s="736"/>
      <c r="I2870" s="736"/>
      <c r="J2870" s="736">
        <f t="shared" si="875"/>
        <v>0</v>
      </c>
      <c r="K2870" s="736"/>
      <c r="L2870" s="736"/>
      <c r="M2870" s="736">
        <f t="shared" si="873"/>
        <v>0</v>
      </c>
      <c r="N2870" s="736"/>
      <c r="O2870" s="736"/>
      <c r="P2870" s="738">
        <f t="shared" si="869"/>
        <v>0</v>
      </c>
      <c r="Q2870" s="738"/>
      <c r="R2870" s="738"/>
      <c r="S2870" s="738"/>
      <c r="T2870" s="739">
        <v>1100117</v>
      </c>
      <c r="U2870" s="745"/>
      <c r="V2870" s="739">
        <v>1100117</v>
      </c>
    </row>
    <row r="2871" spans="1:22" ht="15" x14ac:dyDescent="0.2">
      <c r="A2871" s="739">
        <v>5231</v>
      </c>
      <c r="B2871" s="743" t="s">
        <v>81</v>
      </c>
      <c r="C2871" s="736"/>
      <c r="D2871" s="736">
        <v>0</v>
      </c>
      <c r="E2871" s="736"/>
      <c r="F2871" s="736">
        <v>0</v>
      </c>
      <c r="G2871" s="736"/>
      <c r="H2871" s="736"/>
      <c r="I2871" s="736"/>
      <c r="J2871" s="736">
        <f t="shared" si="875"/>
        <v>0</v>
      </c>
      <c r="K2871" s="736"/>
      <c r="L2871" s="736"/>
      <c r="M2871" s="736">
        <f t="shared" si="873"/>
        <v>0</v>
      </c>
      <c r="N2871" s="736"/>
      <c r="O2871" s="736"/>
      <c r="P2871" s="738">
        <f t="shared" si="869"/>
        <v>0</v>
      </c>
      <c r="Q2871" s="738"/>
      <c r="R2871" s="738"/>
      <c r="S2871" s="738"/>
      <c r="T2871" s="739">
        <v>1100118</v>
      </c>
      <c r="U2871" s="745"/>
      <c r="V2871" s="739">
        <v>1100118</v>
      </c>
    </row>
    <row r="2872" spans="1:22" ht="15" x14ac:dyDescent="0.2">
      <c r="A2872" s="739">
        <v>5231</v>
      </c>
      <c r="B2872" s="743" t="s">
        <v>81</v>
      </c>
      <c r="C2872" s="736"/>
      <c r="D2872" s="736">
        <v>27212.5</v>
      </c>
      <c r="E2872" s="736"/>
      <c r="F2872" s="736">
        <v>730187.5</v>
      </c>
      <c r="G2872" s="736"/>
      <c r="H2872" s="736"/>
      <c r="I2872" s="736"/>
      <c r="J2872" s="736">
        <f t="shared" si="875"/>
        <v>0</v>
      </c>
      <c r="K2872" s="736"/>
      <c r="L2872" s="736"/>
      <c r="M2872" s="736">
        <f t="shared" si="873"/>
        <v>0</v>
      </c>
      <c r="N2872" s="736"/>
      <c r="O2872" s="736"/>
      <c r="P2872" s="738">
        <f t="shared" si="869"/>
        <v>0</v>
      </c>
      <c r="Q2872" s="738"/>
      <c r="R2872" s="738"/>
      <c r="S2872" s="738"/>
      <c r="T2872" s="739">
        <v>2610118</v>
      </c>
      <c r="U2872" s="745"/>
      <c r="V2872" s="739">
        <v>2610118</v>
      </c>
    </row>
    <row r="2873" spans="1:22" ht="15" x14ac:dyDescent="0.2">
      <c r="A2873" s="739">
        <v>5411</v>
      </c>
      <c r="B2873" s="743" t="s">
        <v>123</v>
      </c>
      <c r="C2873" s="736">
        <v>5581840</v>
      </c>
      <c r="D2873" s="736">
        <v>0</v>
      </c>
      <c r="E2873" s="749">
        <v>3217840</v>
      </c>
      <c r="F2873" s="736">
        <v>3217840</v>
      </c>
      <c r="G2873" s="736"/>
      <c r="H2873" s="736"/>
      <c r="I2873" s="736"/>
      <c r="J2873" s="736">
        <f t="shared" si="875"/>
        <v>0</v>
      </c>
      <c r="K2873" s="736"/>
      <c r="L2873" s="736"/>
      <c r="M2873" s="736">
        <f t="shared" si="873"/>
        <v>0</v>
      </c>
      <c r="N2873" s="736"/>
      <c r="O2873" s="736"/>
      <c r="P2873" s="738">
        <f t="shared" si="869"/>
        <v>0</v>
      </c>
      <c r="Q2873" s="738"/>
      <c r="R2873" s="738"/>
      <c r="S2873" s="738"/>
      <c r="T2873" s="739">
        <v>1100119</v>
      </c>
      <c r="U2873" s="745"/>
      <c r="V2873" s="739">
        <v>1100119</v>
      </c>
    </row>
    <row r="2874" spans="1:22" ht="15" x14ac:dyDescent="0.2">
      <c r="A2874" s="739">
        <v>5411</v>
      </c>
      <c r="B2874" s="743" t="s">
        <v>123</v>
      </c>
      <c r="C2874" s="736">
        <v>3189840</v>
      </c>
      <c r="D2874" s="736">
        <v>5400000</v>
      </c>
      <c r="E2874" s="736"/>
      <c r="F2874" s="736">
        <v>0</v>
      </c>
      <c r="G2874" s="736"/>
      <c r="H2874" s="736"/>
      <c r="I2874" s="736"/>
      <c r="J2874" s="736">
        <f t="shared" si="875"/>
        <v>0</v>
      </c>
      <c r="K2874" s="736"/>
      <c r="L2874" s="736"/>
      <c r="M2874" s="736">
        <f t="shared" si="873"/>
        <v>0</v>
      </c>
      <c r="N2874" s="736"/>
      <c r="O2874" s="736"/>
      <c r="P2874" s="738">
        <f t="shared" si="869"/>
        <v>0</v>
      </c>
      <c r="Q2874" s="738"/>
      <c r="R2874" s="738"/>
      <c r="S2874" s="738"/>
      <c r="T2874" s="739">
        <v>2510221</v>
      </c>
      <c r="U2874" s="745"/>
      <c r="V2874" s="739">
        <v>2510222</v>
      </c>
    </row>
    <row r="2875" spans="1:22" ht="15" x14ac:dyDescent="0.2">
      <c r="A2875" s="739">
        <v>5411</v>
      </c>
      <c r="B2875" s="743" t="s">
        <v>123</v>
      </c>
      <c r="C2875" s="736"/>
      <c r="D2875" s="736">
        <v>0</v>
      </c>
      <c r="E2875" s="749">
        <v>1810160</v>
      </c>
      <c r="F2875" s="736">
        <v>1810160</v>
      </c>
      <c r="G2875" s="736"/>
      <c r="H2875" s="736"/>
      <c r="I2875" s="736"/>
      <c r="J2875" s="736">
        <f t="shared" si="875"/>
        <v>0</v>
      </c>
      <c r="K2875" s="736"/>
      <c r="L2875" s="736"/>
      <c r="M2875" s="736">
        <f t="shared" si="873"/>
        <v>0</v>
      </c>
      <c r="N2875" s="736"/>
      <c r="O2875" s="736"/>
      <c r="P2875" s="738">
        <f t="shared" si="869"/>
        <v>0</v>
      </c>
      <c r="Q2875" s="738"/>
      <c r="R2875" s="738"/>
      <c r="S2875" s="738"/>
      <c r="T2875" s="739">
        <v>2610119</v>
      </c>
      <c r="U2875" s="745"/>
      <c r="V2875" s="739">
        <v>2610119</v>
      </c>
    </row>
    <row r="2876" spans="1:22" ht="15" x14ac:dyDescent="0.2">
      <c r="A2876" s="739">
        <v>5411</v>
      </c>
      <c r="B2876" s="743" t="s">
        <v>123</v>
      </c>
      <c r="C2876" s="736"/>
      <c r="D2876" s="736">
        <v>0</v>
      </c>
      <c r="E2876" s="749">
        <v>62399210</v>
      </c>
      <c r="F2876" s="736">
        <v>61817580.020000003</v>
      </c>
      <c r="G2876" s="736"/>
      <c r="H2876" s="736"/>
      <c r="I2876" s="736"/>
      <c r="J2876" s="736">
        <f t="shared" si="875"/>
        <v>0</v>
      </c>
      <c r="K2876" s="736"/>
      <c r="L2876" s="736"/>
      <c r="M2876" s="736">
        <f t="shared" si="873"/>
        <v>0</v>
      </c>
      <c r="N2876" s="738"/>
      <c r="O2876" s="738"/>
      <c r="P2876" s="738">
        <f t="shared" si="869"/>
        <v>0</v>
      </c>
      <c r="Q2876" s="738"/>
      <c r="R2876" s="738"/>
      <c r="S2876" s="738"/>
      <c r="T2876" s="739">
        <v>2610121</v>
      </c>
      <c r="U2876" s="745"/>
      <c r="V2876" s="739">
        <v>2610122</v>
      </c>
    </row>
    <row r="2877" spans="1:22" ht="15" x14ac:dyDescent="0.2">
      <c r="A2877" s="739">
        <v>5491</v>
      </c>
      <c r="B2877" s="743" t="s">
        <v>1735</v>
      </c>
      <c r="C2877" s="736"/>
      <c r="D2877" s="736">
        <v>0</v>
      </c>
      <c r="E2877" s="749">
        <v>6326952</v>
      </c>
      <c r="F2877" s="736">
        <v>6236000</v>
      </c>
      <c r="G2877" s="736"/>
      <c r="H2877" s="736"/>
      <c r="I2877" s="736"/>
      <c r="J2877" s="736">
        <f t="shared" si="875"/>
        <v>0</v>
      </c>
      <c r="K2877" s="736"/>
      <c r="L2877" s="736"/>
      <c r="M2877" s="736">
        <f t="shared" si="873"/>
        <v>0</v>
      </c>
      <c r="N2877" s="738"/>
      <c r="O2877" s="738"/>
      <c r="P2877" s="738">
        <f t="shared" si="869"/>
        <v>0</v>
      </c>
      <c r="Q2877" s="738"/>
      <c r="R2877" s="738"/>
      <c r="S2877" s="738"/>
      <c r="T2877" s="739">
        <v>2610121</v>
      </c>
      <c r="U2877" s="745"/>
      <c r="V2877" s="739">
        <v>2610122</v>
      </c>
    </row>
    <row r="2878" spans="1:22" ht="15" x14ac:dyDescent="0.2">
      <c r="A2878" s="739">
        <v>5511</v>
      </c>
      <c r="B2878" s="743" t="s">
        <v>1829</v>
      </c>
      <c r="C2878" s="736"/>
      <c r="D2878" s="736">
        <v>0</v>
      </c>
      <c r="E2878" s="749">
        <v>11237770</v>
      </c>
      <c r="F2878" s="736">
        <v>11131390.390000001</v>
      </c>
      <c r="G2878" s="736"/>
      <c r="H2878" s="736"/>
      <c r="I2878" s="736"/>
      <c r="J2878" s="736">
        <f t="shared" si="875"/>
        <v>0</v>
      </c>
      <c r="K2878" s="736"/>
      <c r="L2878" s="736"/>
      <c r="M2878" s="736">
        <f t="shared" si="873"/>
        <v>0</v>
      </c>
      <c r="N2878" s="738"/>
      <c r="O2878" s="738"/>
      <c r="P2878" s="738">
        <f t="shared" si="869"/>
        <v>0</v>
      </c>
      <c r="Q2878" s="738"/>
      <c r="R2878" s="738"/>
      <c r="S2878" s="738"/>
      <c r="T2878" s="739">
        <v>2610121</v>
      </c>
      <c r="U2878" s="745"/>
      <c r="V2878" s="739">
        <v>2610122</v>
      </c>
    </row>
    <row r="2879" spans="1:22" ht="15" x14ac:dyDescent="0.2">
      <c r="A2879" s="739">
        <v>5641</v>
      </c>
      <c r="B2879" s="822" t="s">
        <v>124</v>
      </c>
      <c r="C2879" s="736">
        <v>21642.639999999999</v>
      </c>
      <c r="D2879" s="736"/>
      <c r="E2879" s="736"/>
      <c r="F2879" s="736"/>
      <c r="G2879" s="736"/>
      <c r="H2879" s="736"/>
      <c r="I2879" s="736"/>
      <c r="J2879" s="736">
        <f t="shared" si="875"/>
        <v>0</v>
      </c>
      <c r="K2879" s="736"/>
      <c r="L2879" s="736"/>
      <c r="M2879" s="736">
        <f t="shared" si="873"/>
        <v>0</v>
      </c>
      <c r="N2879" s="736"/>
      <c r="O2879" s="736"/>
      <c r="P2879" s="738">
        <f t="shared" si="869"/>
        <v>0</v>
      </c>
      <c r="Q2879" s="738">
        <v>15000</v>
      </c>
      <c r="R2879" s="738">
        <v>15000</v>
      </c>
      <c r="S2879" s="738"/>
      <c r="T2879" s="739">
        <v>1500521</v>
      </c>
      <c r="U2879" s="745"/>
      <c r="V2879" s="739">
        <v>1500522</v>
      </c>
    </row>
    <row r="2880" spans="1:22" ht="15" x14ac:dyDescent="0.2">
      <c r="A2880" s="739">
        <v>5651</v>
      </c>
      <c r="B2880" s="743" t="s">
        <v>105</v>
      </c>
      <c r="C2880" s="736"/>
      <c r="D2880" s="736">
        <v>1347027.2</v>
      </c>
      <c r="E2880" s="736"/>
      <c r="F2880" s="736">
        <v>0</v>
      </c>
      <c r="G2880" s="736"/>
      <c r="H2880" s="736"/>
      <c r="I2880" s="736"/>
      <c r="J2880" s="736">
        <f t="shared" si="875"/>
        <v>0</v>
      </c>
      <c r="K2880" s="736"/>
      <c r="L2880" s="736"/>
      <c r="M2880" s="736">
        <f t="shared" si="873"/>
        <v>0</v>
      </c>
      <c r="N2880" s="736"/>
      <c r="O2880" s="736"/>
      <c r="P2880" s="738">
        <f t="shared" si="869"/>
        <v>0</v>
      </c>
      <c r="Q2880" s="738"/>
      <c r="R2880" s="738"/>
      <c r="S2880" s="738"/>
      <c r="T2880" s="739">
        <v>2610117</v>
      </c>
      <c r="U2880" s="745"/>
      <c r="V2880" s="739">
        <v>2610117</v>
      </c>
    </row>
    <row r="2881" spans="1:22" ht="15" x14ac:dyDescent="0.2">
      <c r="A2881" s="739">
        <v>5651</v>
      </c>
      <c r="B2881" s="743" t="s">
        <v>105</v>
      </c>
      <c r="C2881" s="736"/>
      <c r="D2881" s="736">
        <v>0</v>
      </c>
      <c r="E2881" s="749">
        <v>1347027.2</v>
      </c>
      <c r="F2881" s="736">
        <v>1347027.05</v>
      </c>
      <c r="G2881" s="736"/>
      <c r="H2881" s="736"/>
      <c r="I2881" s="736"/>
      <c r="J2881" s="736">
        <f t="shared" si="875"/>
        <v>0</v>
      </c>
      <c r="K2881" s="736"/>
      <c r="L2881" s="736"/>
      <c r="M2881" s="736">
        <f t="shared" si="873"/>
        <v>0</v>
      </c>
      <c r="N2881" s="736"/>
      <c r="O2881" s="736"/>
      <c r="P2881" s="738">
        <f t="shared" si="869"/>
        <v>0</v>
      </c>
      <c r="Q2881" s="738"/>
      <c r="R2881" s="738"/>
      <c r="S2881" s="738"/>
      <c r="T2881" s="739">
        <v>2610118</v>
      </c>
      <c r="U2881" s="745"/>
      <c r="V2881" s="739">
        <v>2610118</v>
      </c>
    </row>
    <row r="2882" spans="1:22" ht="15" x14ac:dyDescent="0.2">
      <c r="A2882" s="739">
        <v>5651</v>
      </c>
      <c r="B2882" s="743" t="s">
        <v>105</v>
      </c>
      <c r="C2882" s="736"/>
      <c r="D2882" s="736">
        <v>0</v>
      </c>
      <c r="E2882" s="749">
        <v>2400000</v>
      </c>
      <c r="F2882" s="736">
        <v>2374000</v>
      </c>
      <c r="G2882" s="736"/>
      <c r="H2882" s="736"/>
      <c r="I2882" s="736"/>
      <c r="J2882" s="736">
        <f t="shared" si="875"/>
        <v>0</v>
      </c>
      <c r="K2882" s="736"/>
      <c r="L2882" s="736"/>
      <c r="M2882" s="736">
        <f t="shared" si="873"/>
        <v>0</v>
      </c>
      <c r="N2882" s="738"/>
      <c r="O2882" s="738"/>
      <c r="P2882" s="738">
        <f t="shared" si="869"/>
        <v>0</v>
      </c>
      <c r="Q2882" s="738"/>
      <c r="R2882" s="738"/>
      <c r="S2882" s="738"/>
      <c r="T2882" s="739">
        <v>2610121</v>
      </c>
      <c r="U2882" s="745"/>
      <c r="V2882" s="739">
        <v>2610122</v>
      </c>
    </row>
    <row r="2883" spans="1:22" ht="15" x14ac:dyDescent="0.2">
      <c r="A2883" s="739">
        <v>5691</v>
      </c>
      <c r="B2883" s="743" t="s">
        <v>112</v>
      </c>
      <c r="C2883" s="736">
        <v>6650.67</v>
      </c>
      <c r="D2883" s="736">
        <v>975.54</v>
      </c>
      <c r="E2883" s="736"/>
      <c r="F2883" s="736">
        <v>0</v>
      </c>
      <c r="G2883" s="736"/>
      <c r="H2883" s="736"/>
      <c r="I2883" s="736"/>
      <c r="J2883" s="736">
        <f t="shared" si="875"/>
        <v>0</v>
      </c>
      <c r="K2883" s="736"/>
      <c r="L2883" s="736"/>
      <c r="M2883" s="736">
        <f t="shared" si="873"/>
        <v>0</v>
      </c>
      <c r="N2883" s="736"/>
      <c r="O2883" s="736"/>
      <c r="P2883" s="738">
        <f t="shared" si="869"/>
        <v>0</v>
      </c>
      <c r="Q2883" s="738"/>
      <c r="R2883" s="738"/>
      <c r="S2883" s="738"/>
      <c r="T2883" s="739">
        <v>1100117</v>
      </c>
      <c r="U2883" s="745"/>
      <c r="V2883" s="739">
        <v>1100117</v>
      </c>
    </row>
    <row r="2884" spans="1:22" ht="15" x14ac:dyDescent="0.2">
      <c r="A2884" s="739">
        <v>5691</v>
      </c>
      <c r="B2884" s="743" t="s">
        <v>112</v>
      </c>
      <c r="C2884" s="736"/>
      <c r="D2884" s="736">
        <v>0</v>
      </c>
      <c r="E2884" s="736"/>
      <c r="F2884" s="736">
        <v>0</v>
      </c>
      <c r="G2884" s="736"/>
      <c r="H2884" s="736"/>
      <c r="I2884" s="736"/>
      <c r="J2884" s="736">
        <f t="shared" si="875"/>
        <v>0</v>
      </c>
      <c r="K2884" s="736"/>
      <c r="L2884" s="736"/>
      <c r="M2884" s="736">
        <f t="shared" si="873"/>
        <v>0</v>
      </c>
      <c r="N2884" s="736"/>
      <c r="O2884" s="736"/>
      <c r="P2884" s="738">
        <f t="shared" si="869"/>
        <v>0</v>
      </c>
      <c r="Q2884" s="738"/>
      <c r="R2884" s="738"/>
      <c r="S2884" s="738"/>
      <c r="T2884" s="739">
        <v>1100118</v>
      </c>
      <c r="U2884" s="745"/>
      <c r="V2884" s="739">
        <v>1100118</v>
      </c>
    </row>
    <row r="2885" spans="1:22" ht="15" x14ac:dyDescent="0.2">
      <c r="A2885" s="739">
        <v>5691</v>
      </c>
      <c r="B2885" s="743" t="s">
        <v>112</v>
      </c>
      <c r="C2885" s="736"/>
      <c r="D2885" s="736">
        <v>0</v>
      </c>
      <c r="E2885" s="749">
        <v>28721.599999999999</v>
      </c>
      <c r="F2885" s="736">
        <v>28721.599999999999</v>
      </c>
      <c r="G2885" s="736"/>
      <c r="H2885" s="736"/>
      <c r="I2885" s="736"/>
      <c r="J2885" s="736">
        <f t="shared" si="875"/>
        <v>0</v>
      </c>
      <c r="K2885" s="736">
        <v>13980.32</v>
      </c>
      <c r="L2885" s="736"/>
      <c r="M2885" s="736">
        <f t="shared" si="873"/>
        <v>13980.32</v>
      </c>
      <c r="N2885" s="736"/>
      <c r="O2885" s="736"/>
      <c r="P2885" s="736">
        <f t="shared" si="869"/>
        <v>13980.32</v>
      </c>
      <c r="Q2885" s="738">
        <v>13980.32</v>
      </c>
      <c r="R2885" s="738">
        <v>13980.32</v>
      </c>
      <c r="S2885" s="738"/>
      <c r="T2885" s="739">
        <v>1100121</v>
      </c>
      <c r="U2885" s="745"/>
      <c r="V2885" s="739">
        <v>1100122</v>
      </c>
    </row>
    <row r="2886" spans="1:22" ht="15" x14ac:dyDescent="0.2">
      <c r="A2886" s="739">
        <v>5691</v>
      </c>
      <c r="B2886" s="743" t="s">
        <v>112</v>
      </c>
      <c r="C2886" s="736"/>
      <c r="D2886" s="736">
        <v>2724033</v>
      </c>
      <c r="E2886" s="736"/>
      <c r="F2886" s="736">
        <v>0</v>
      </c>
      <c r="G2886" s="736"/>
      <c r="H2886" s="736"/>
      <c r="I2886" s="736"/>
      <c r="J2886" s="736">
        <f t="shared" si="875"/>
        <v>0</v>
      </c>
      <c r="K2886" s="736"/>
      <c r="L2886" s="736"/>
      <c r="M2886" s="736">
        <f t="shared" si="873"/>
        <v>0</v>
      </c>
      <c r="N2886" s="736"/>
      <c r="O2886" s="736"/>
      <c r="P2886" s="738">
        <f t="shared" si="869"/>
        <v>0</v>
      </c>
      <c r="Q2886" s="738"/>
      <c r="R2886" s="738"/>
      <c r="S2886" s="738"/>
      <c r="T2886" s="739">
        <v>2610117</v>
      </c>
      <c r="U2886" s="745"/>
      <c r="V2886" s="739">
        <v>2610117</v>
      </c>
    </row>
    <row r="2887" spans="1:22" ht="15" x14ac:dyDescent="0.2">
      <c r="A2887" s="739">
        <v>5691</v>
      </c>
      <c r="B2887" s="743" t="s">
        <v>112</v>
      </c>
      <c r="C2887" s="736"/>
      <c r="D2887" s="736">
        <v>0</v>
      </c>
      <c r="E2887" s="749">
        <v>2724033</v>
      </c>
      <c r="F2887" s="736">
        <v>2724033</v>
      </c>
      <c r="G2887" s="736"/>
      <c r="H2887" s="736"/>
      <c r="I2887" s="736"/>
      <c r="J2887" s="736">
        <f t="shared" si="875"/>
        <v>0</v>
      </c>
      <c r="K2887" s="736"/>
      <c r="L2887" s="736"/>
      <c r="M2887" s="736">
        <f t="shared" si="873"/>
        <v>0</v>
      </c>
      <c r="N2887" s="736"/>
      <c r="O2887" s="736"/>
      <c r="P2887" s="738">
        <f t="shared" si="869"/>
        <v>0</v>
      </c>
      <c r="Q2887" s="738"/>
      <c r="R2887" s="738"/>
      <c r="S2887" s="738"/>
      <c r="T2887" s="739">
        <v>2610118</v>
      </c>
      <c r="U2887" s="745"/>
      <c r="V2887" s="739">
        <v>2610118</v>
      </c>
    </row>
    <row r="2888" spans="1:22" ht="15" x14ac:dyDescent="0.2">
      <c r="A2888" s="739">
        <v>5971</v>
      </c>
      <c r="B2888" s="743" t="s">
        <v>250</v>
      </c>
      <c r="C2888" s="736"/>
      <c r="D2888" s="736">
        <v>480657</v>
      </c>
      <c r="E2888" s="736"/>
      <c r="F2888" s="736">
        <v>0</v>
      </c>
      <c r="G2888" s="736"/>
      <c r="H2888" s="736"/>
      <c r="I2888" s="736"/>
      <c r="J2888" s="736">
        <f t="shared" si="875"/>
        <v>0</v>
      </c>
      <c r="K2888" s="736"/>
      <c r="L2888" s="736"/>
      <c r="M2888" s="736">
        <f t="shared" si="873"/>
        <v>0</v>
      </c>
      <c r="N2888" s="736"/>
      <c r="O2888" s="736"/>
      <c r="P2888" s="738">
        <f t="shared" si="869"/>
        <v>0</v>
      </c>
      <c r="Q2888" s="738"/>
      <c r="R2888" s="738"/>
      <c r="S2888" s="738"/>
      <c r="T2888" s="739">
        <v>2610117</v>
      </c>
      <c r="U2888" s="745"/>
      <c r="V2888" s="739">
        <v>2610117</v>
      </c>
    </row>
    <row r="2889" spans="1:22" ht="15" x14ac:dyDescent="0.2">
      <c r="A2889" s="739">
        <v>5971</v>
      </c>
      <c r="B2889" s="743" t="s">
        <v>250</v>
      </c>
      <c r="C2889" s="736"/>
      <c r="D2889" s="736">
        <v>0</v>
      </c>
      <c r="E2889" s="749">
        <v>540555</v>
      </c>
      <c r="F2889" s="736">
        <v>540555</v>
      </c>
      <c r="G2889" s="736"/>
      <c r="H2889" s="736"/>
      <c r="I2889" s="736"/>
      <c r="J2889" s="736">
        <f t="shared" si="875"/>
        <v>0</v>
      </c>
      <c r="K2889" s="736"/>
      <c r="L2889" s="736"/>
      <c r="M2889" s="736">
        <f t="shared" si="873"/>
        <v>0</v>
      </c>
      <c r="N2889" s="736"/>
      <c r="O2889" s="736"/>
      <c r="P2889" s="738">
        <f t="shared" si="869"/>
        <v>0</v>
      </c>
      <c r="Q2889" s="738"/>
      <c r="R2889" s="738"/>
      <c r="S2889" s="738"/>
      <c r="T2889" s="739">
        <v>2610118</v>
      </c>
      <c r="U2889" s="745"/>
      <c r="V2889" s="739">
        <v>2610118</v>
      </c>
    </row>
    <row r="2890" spans="1:22" ht="15" x14ac:dyDescent="0.2">
      <c r="A2890" s="739">
        <v>8531</v>
      </c>
      <c r="B2890" s="743" t="s">
        <v>1649</v>
      </c>
      <c r="C2890" s="736"/>
      <c r="D2890" s="736">
        <v>0</v>
      </c>
      <c r="E2890" s="736"/>
      <c r="F2890" s="736">
        <v>29232562.77</v>
      </c>
      <c r="G2890" s="736"/>
      <c r="H2890" s="736"/>
      <c r="I2890" s="736"/>
      <c r="J2890" s="736">
        <f t="shared" si="875"/>
        <v>0</v>
      </c>
      <c r="K2890" s="736"/>
      <c r="L2890" s="736"/>
      <c r="M2890" s="736">
        <f t="shared" si="873"/>
        <v>0</v>
      </c>
      <c r="N2890" s="738"/>
      <c r="O2890" s="738"/>
      <c r="P2890" s="738">
        <f t="shared" si="869"/>
        <v>0</v>
      </c>
      <c r="Q2890" s="738"/>
      <c r="R2890" s="738"/>
      <c r="S2890" s="738"/>
      <c r="T2890" s="739">
        <v>2610121</v>
      </c>
      <c r="U2890" s="745"/>
      <c r="V2890" s="739">
        <v>2610122</v>
      </c>
    </row>
    <row r="2891" spans="1:22" ht="15" x14ac:dyDescent="0.2">
      <c r="A2891" s="728" t="s">
        <v>1830</v>
      </c>
      <c r="B2891" s="729" t="s">
        <v>1831</v>
      </c>
      <c r="C2891" s="730">
        <f t="shared" ref="C2891:S2891" si="876">SUM(C2892:C2902)</f>
        <v>41455575.439999998</v>
      </c>
      <c r="D2891" s="730">
        <f t="shared" si="876"/>
        <v>0</v>
      </c>
      <c r="E2891" s="730">
        <f t="shared" si="876"/>
        <v>0</v>
      </c>
      <c r="F2891" s="730">
        <f t="shared" si="876"/>
        <v>0</v>
      </c>
      <c r="G2891" s="730">
        <f t="shared" si="876"/>
        <v>0</v>
      </c>
      <c r="H2891" s="730">
        <f t="shared" si="876"/>
        <v>0</v>
      </c>
      <c r="I2891" s="730">
        <f t="shared" si="876"/>
        <v>0</v>
      </c>
      <c r="J2891" s="730">
        <f t="shared" si="876"/>
        <v>0</v>
      </c>
      <c r="K2891" s="730">
        <f t="shared" si="876"/>
        <v>0</v>
      </c>
      <c r="L2891" s="730">
        <f t="shared" si="876"/>
        <v>0</v>
      </c>
      <c r="M2891" s="730">
        <f t="shared" si="876"/>
        <v>0</v>
      </c>
      <c r="N2891" s="730">
        <f t="shared" si="876"/>
        <v>0</v>
      </c>
      <c r="O2891" s="730">
        <f t="shared" si="876"/>
        <v>0</v>
      </c>
      <c r="P2891" s="748">
        <f t="shared" si="876"/>
        <v>0</v>
      </c>
      <c r="Q2891" s="748">
        <f t="shared" si="876"/>
        <v>0</v>
      </c>
      <c r="R2891" s="748">
        <f t="shared" si="876"/>
        <v>0</v>
      </c>
      <c r="S2891" s="748">
        <f t="shared" si="876"/>
        <v>0</v>
      </c>
      <c r="T2891" s="731"/>
      <c r="U2891" s="732">
        <f t="shared" ref="U2891" si="877">SUM(U2892:U2902)</f>
        <v>0</v>
      </c>
      <c r="V2891" s="728"/>
    </row>
    <row r="2892" spans="1:22" ht="15" x14ac:dyDescent="0.2">
      <c r="A2892" s="739">
        <v>2491</v>
      </c>
      <c r="B2892" s="822" t="s">
        <v>41</v>
      </c>
      <c r="C2892" s="736">
        <v>199778.91</v>
      </c>
      <c r="D2892" s="823"/>
      <c r="E2892" s="823"/>
      <c r="F2892" s="823"/>
      <c r="G2892" s="823"/>
      <c r="H2892" s="823"/>
      <c r="I2892" s="823"/>
      <c r="J2892" s="736">
        <f t="shared" ref="J2892:J2902" si="878">G2892+H2892-I2892</f>
        <v>0</v>
      </c>
      <c r="K2892" s="823"/>
      <c r="L2892" s="823"/>
      <c r="M2892" s="736">
        <f t="shared" ref="M2892:M2902" si="879">J2892+K2892-L2892</f>
        <v>0</v>
      </c>
      <c r="N2892" s="736"/>
      <c r="O2892" s="736"/>
      <c r="P2892" s="738">
        <f t="shared" ref="P2892:P2902" si="880">M2892+N2892-O2892</f>
        <v>0</v>
      </c>
      <c r="Q2892" s="887"/>
      <c r="R2892" s="738"/>
      <c r="S2892" s="887"/>
      <c r="T2892" s="778"/>
      <c r="U2892" s="745"/>
      <c r="V2892" s="778"/>
    </row>
    <row r="2893" spans="1:22" ht="30" x14ac:dyDescent="0.2">
      <c r="A2893" s="739">
        <v>2611</v>
      </c>
      <c r="B2893" s="822" t="s">
        <v>324</v>
      </c>
      <c r="C2893" s="736">
        <v>26469555.25</v>
      </c>
      <c r="D2893" s="823"/>
      <c r="E2893" s="823"/>
      <c r="F2893" s="823"/>
      <c r="G2893" s="823"/>
      <c r="H2893" s="823"/>
      <c r="I2893" s="823"/>
      <c r="J2893" s="736">
        <f t="shared" si="878"/>
        <v>0</v>
      </c>
      <c r="K2893" s="823"/>
      <c r="L2893" s="823"/>
      <c r="M2893" s="736">
        <f t="shared" si="879"/>
        <v>0</v>
      </c>
      <c r="N2893" s="736"/>
      <c r="O2893" s="736"/>
      <c r="P2893" s="738">
        <f t="shared" si="880"/>
        <v>0</v>
      </c>
      <c r="Q2893" s="887"/>
      <c r="R2893" s="738"/>
      <c r="S2893" s="738">
        <f>Q2893</f>
        <v>0</v>
      </c>
      <c r="T2893" s="778"/>
      <c r="U2893" s="745"/>
      <c r="V2893" s="778"/>
    </row>
    <row r="2894" spans="1:22" ht="15" x14ac:dyDescent="0.2">
      <c r="A2894" s="739">
        <v>2821</v>
      </c>
      <c r="B2894" s="743" t="s">
        <v>1825</v>
      </c>
      <c r="C2894" s="736">
        <v>347570.11</v>
      </c>
      <c r="D2894" s="736">
        <v>0</v>
      </c>
      <c r="E2894" s="736"/>
      <c r="F2894" s="736">
        <v>0</v>
      </c>
      <c r="G2894" s="736"/>
      <c r="H2894" s="736"/>
      <c r="I2894" s="736"/>
      <c r="J2894" s="736">
        <f t="shared" si="878"/>
        <v>0</v>
      </c>
      <c r="K2894" s="736"/>
      <c r="L2894" s="736"/>
      <c r="M2894" s="736">
        <f t="shared" si="879"/>
        <v>0</v>
      </c>
      <c r="N2894" s="736"/>
      <c r="O2894" s="736"/>
      <c r="P2894" s="738">
        <f t="shared" si="880"/>
        <v>0</v>
      </c>
      <c r="Q2894" s="738"/>
      <c r="R2894" s="738"/>
      <c r="S2894" s="738"/>
      <c r="T2894" s="739">
        <v>1100119</v>
      </c>
      <c r="U2894" s="745"/>
      <c r="V2894" s="739">
        <v>1100119</v>
      </c>
    </row>
    <row r="2895" spans="1:22" ht="15" x14ac:dyDescent="0.2">
      <c r="A2895" s="739">
        <v>2941</v>
      </c>
      <c r="B2895" s="822" t="s">
        <v>79</v>
      </c>
      <c r="C2895" s="736">
        <v>1124.25</v>
      </c>
      <c r="D2895" s="736"/>
      <c r="E2895" s="736"/>
      <c r="F2895" s="736"/>
      <c r="G2895" s="736"/>
      <c r="H2895" s="736"/>
      <c r="I2895" s="736"/>
      <c r="J2895" s="736">
        <f t="shared" si="878"/>
        <v>0</v>
      </c>
      <c r="K2895" s="736"/>
      <c r="L2895" s="736"/>
      <c r="M2895" s="736">
        <f t="shared" si="879"/>
        <v>0</v>
      </c>
      <c r="N2895" s="736"/>
      <c r="O2895" s="736"/>
      <c r="P2895" s="738">
        <f t="shared" si="880"/>
        <v>0</v>
      </c>
      <c r="Q2895" s="738"/>
      <c r="R2895" s="738"/>
      <c r="S2895" s="738"/>
      <c r="T2895" s="739"/>
      <c r="U2895" s="745"/>
      <c r="V2895" s="739"/>
    </row>
    <row r="2896" spans="1:22" ht="15" x14ac:dyDescent="0.2">
      <c r="A2896" s="739">
        <v>3511</v>
      </c>
      <c r="B2896" s="822" t="s">
        <v>49</v>
      </c>
      <c r="C2896" s="736">
        <v>2431</v>
      </c>
      <c r="D2896" s="736"/>
      <c r="E2896" s="736"/>
      <c r="F2896" s="736"/>
      <c r="G2896" s="736"/>
      <c r="H2896" s="736"/>
      <c r="I2896" s="736"/>
      <c r="J2896" s="736">
        <f t="shared" si="878"/>
        <v>0</v>
      </c>
      <c r="K2896" s="736"/>
      <c r="L2896" s="736"/>
      <c r="M2896" s="736">
        <f t="shared" si="879"/>
        <v>0</v>
      </c>
      <c r="N2896" s="736"/>
      <c r="O2896" s="736"/>
      <c r="P2896" s="738">
        <f t="shared" si="880"/>
        <v>0</v>
      </c>
      <c r="Q2896" s="738"/>
      <c r="R2896" s="738"/>
      <c r="S2896" s="738"/>
      <c r="T2896" s="739"/>
      <c r="U2896" s="745"/>
      <c r="V2896" s="739"/>
    </row>
    <row r="2897" spans="1:22" ht="15" x14ac:dyDescent="0.2">
      <c r="A2897" s="739">
        <v>3551</v>
      </c>
      <c r="B2897" s="822" t="s">
        <v>30</v>
      </c>
      <c r="C2897" s="736">
        <v>7498582.9900000002</v>
      </c>
      <c r="D2897" s="736"/>
      <c r="E2897" s="736"/>
      <c r="F2897" s="736"/>
      <c r="G2897" s="736"/>
      <c r="H2897" s="736"/>
      <c r="I2897" s="736"/>
      <c r="J2897" s="736">
        <f t="shared" si="878"/>
        <v>0</v>
      </c>
      <c r="K2897" s="736"/>
      <c r="L2897" s="736"/>
      <c r="M2897" s="736">
        <f t="shared" si="879"/>
        <v>0</v>
      </c>
      <c r="N2897" s="736"/>
      <c r="O2897" s="736"/>
      <c r="P2897" s="738">
        <f t="shared" si="880"/>
        <v>0</v>
      </c>
      <c r="Q2897" s="738"/>
      <c r="R2897" s="738"/>
      <c r="S2897" s="738">
        <f>Q2897</f>
        <v>0</v>
      </c>
      <c r="T2897" s="739"/>
      <c r="U2897" s="745"/>
      <c r="V2897" s="739"/>
    </row>
    <row r="2898" spans="1:22" ht="15" x14ac:dyDescent="0.2">
      <c r="A2898" s="739">
        <v>3561</v>
      </c>
      <c r="B2898" s="822" t="s">
        <v>326</v>
      </c>
      <c r="C2898" s="736">
        <v>709200.8</v>
      </c>
      <c r="D2898" s="736"/>
      <c r="E2898" s="736"/>
      <c r="F2898" s="736"/>
      <c r="G2898" s="736"/>
      <c r="H2898" s="736"/>
      <c r="I2898" s="736"/>
      <c r="J2898" s="736">
        <f t="shared" si="878"/>
        <v>0</v>
      </c>
      <c r="K2898" s="736"/>
      <c r="L2898" s="736"/>
      <c r="M2898" s="736">
        <f t="shared" si="879"/>
        <v>0</v>
      </c>
      <c r="N2898" s="736"/>
      <c r="O2898" s="736"/>
      <c r="P2898" s="738">
        <f t="shared" si="880"/>
        <v>0</v>
      </c>
      <c r="Q2898" s="738"/>
      <c r="R2898" s="738"/>
      <c r="S2898" s="738"/>
      <c r="T2898" s="739"/>
      <c r="U2898" s="745"/>
      <c r="V2898" s="739"/>
    </row>
    <row r="2899" spans="1:22" ht="15" x14ac:dyDescent="0.2">
      <c r="A2899" s="739">
        <v>3921</v>
      </c>
      <c r="B2899" s="822" t="s">
        <v>33</v>
      </c>
      <c r="C2899" s="736">
        <v>60866.13</v>
      </c>
      <c r="D2899" s="736"/>
      <c r="E2899" s="900"/>
      <c r="F2899" s="736"/>
      <c r="G2899" s="736"/>
      <c r="H2899" s="736"/>
      <c r="I2899" s="736"/>
      <c r="J2899" s="736">
        <f t="shared" si="878"/>
        <v>0</v>
      </c>
      <c r="K2899" s="736"/>
      <c r="L2899" s="736"/>
      <c r="M2899" s="736">
        <f t="shared" si="879"/>
        <v>0</v>
      </c>
      <c r="N2899" s="736"/>
      <c r="O2899" s="736"/>
      <c r="P2899" s="738">
        <f t="shared" si="880"/>
        <v>0</v>
      </c>
      <c r="Q2899" s="738"/>
      <c r="R2899" s="738"/>
      <c r="S2899" s="738"/>
      <c r="T2899" s="739"/>
      <c r="U2899" s="745"/>
      <c r="V2899" s="739"/>
    </row>
    <row r="2900" spans="1:22" ht="15" x14ac:dyDescent="0.2">
      <c r="A2900" s="739">
        <v>5411</v>
      </c>
      <c r="B2900" s="822" t="s">
        <v>123</v>
      </c>
      <c r="C2900" s="736">
        <v>4655580</v>
      </c>
      <c r="D2900" s="736"/>
      <c r="E2900" s="736"/>
      <c r="F2900" s="736"/>
      <c r="G2900" s="736"/>
      <c r="H2900" s="736"/>
      <c r="I2900" s="736"/>
      <c r="J2900" s="736">
        <f t="shared" si="878"/>
        <v>0</v>
      </c>
      <c r="K2900" s="736"/>
      <c r="L2900" s="736"/>
      <c r="M2900" s="736">
        <f t="shared" si="879"/>
        <v>0</v>
      </c>
      <c r="N2900" s="736"/>
      <c r="O2900" s="736"/>
      <c r="P2900" s="738">
        <f t="shared" si="880"/>
        <v>0</v>
      </c>
      <c r="Q2900" s="738"/>
      <c r="R2900" s="738"/>
      <c r="S2900" s="738"/>
      <c r="T2900" s="739"/>
      <c r="U2900" s="745"/>
      <c r="V2900" s="739"/>
    </row>
    <row r="2901" spans="1:22" ht="15" x14ac:dyDescent="0.2">
      <c r="A2901" s="739">
        <v>5651</v>
      </c>
      <c r="B2901" s="822" t="s">
        <v>105</v>
      </c>
      <c r="C2901" s="736">
        <v>1493196</v>
      </c>
      <c r="D2901" s="736"/>
      <c r="E2901" s="736"/>
      <c r="F2901" s="736"/>
      <c r="G2901" s="736"/>
      <c r="H2901" s="736"/>
      <c r="I2901" s="736"/>
      <c r="J2901" s="736">
        <f t="shared" si="878"/>
        <v>0</v>
      </c>
      <c r="K2901" s="736"/>
      <c r="L2901" s="736"/>
      <c r="M2901" s="736">
        <f t="shared" si="879"/>
        <v>0</v>
      </c>
      <c r="N2901" s="736"/>
      <c r="O2901" s="736"/>
      <c r="P2901" s="738">
        <f t="shared" si="880"/>
        <v>0</v>
      </c>
      <c r="Q2901" s="738"/>
      <c r="R2901" s="738"/>
      <c r="S2901" s="738"/>
      <c r="T2901" s="739"/>
      <c r="U2901" s="745"/>
      <c r="V2901" s="739"/>
    </row>
    <row r="2902" spans="1:22" ht="15" x14ac:dyDescent="0.2">
      <c r="A2902" s="739">
        <v>5691</v>
      </c>
      <c r="B2902" s="822" t="s">
        <v>112</v>
      </c>
      <c r="C2902" s="736">
        <v>17690</v>
      </c>
      <c r="D2902" s="736"/>
      <c r="E2902" s="736"/>
      <c r="F2902" s="736"/>
      <c r="G2902" s="736"/>
      <c r="H2902" s="736"/>
      <c r="I2902" s="736"/>
      <c r="J2902" s="736">
        <f t="shared" si="878"/>
        <v>0</v>
      </c>
      <c r="K2902" s="736"/>
      <c r="L2902" s="736"/>
      <c r="M2902" s="736">
        <f t="shared" si="879"/>
        <v>0</v>
      </c>
      <c r="N2902" s="736"/>
      <c r="O2902" s="736"/>
      <c r="P2902" s="738">
        <f t="shared" si="880"/>
        <v>0</v>
      </c>
      <c r="Q2902" s="738"/>
      <c r="R2902" s="738"/>
      <c r="S2902" s="738"/>
      <c r="T2902" s="739"/>
      <c r="U2902" s="745"/>
      <c r="V2902" s="739"/>
    </row>
    <row r="2903" spans="1:22" ht="15" x14ac:dyDescent="0.2">
      <c r="A2903" s="728" t="s">
        <v>329</v>
      </c>
      <c r="B2903" s="729" t="s">
        <v>1637</v>
      </c>
      <c r="C2903" s="730">
        <f t="shared" ref="C2903:Q2903" si="881">SUM(C2904:C2935)</f>
        <v>52227113.589999989</v>
      </c>
      <c r="D2903" s="730">
        <f t="shared" si="881"/>
        <v>67704522.020000011</v>
      </c>
      <c r="E2903" s="730">
        <f t="shared" si="881"/>
        <v>103875353.84</v>
      </c>
      <c r="F2903" s="730">
        <f t="shared" si="881"/>
        <v>99731420.430000007</v>
      </c>
      <c r="G2903" s="730">
        <f t="shared" si="881"/>
        <v>124853701.40000004</v>
      </c>
      <c r="H2903" s="730">
        <f t="shared" si="881"/>
        <v>0</v>
      </c>
      <c r="I2903" s="730">
        <f t="shared" si="881"/>
        <v>0</v>
      </c>
      <c r="J2903" s="730">
        <f t="shared" si="881"/>
        <v>124853701.40000004</v>
      </c>
      <c r="K2903" s="730">
        <f t="shared" si="881"/>
        <v>20932679.739999998</v>
      </c>
      <c r="L2903" s="730">
        <f t="shared" si="881"/>
        <v>21929145.080000002</v>
      </c>
      <c r="M2903" s="730">
        <f t="shared" si="881"/>
        <v>123857236.06000005</v>
      </c>
      <c r="N2903" s="730">
        <f t="shared" si="881"/>
        <v>364743.83999999985</v>
      </c>
      <c r="O2903" s="730">
        <f t="shared" si="881"/>
        <v>564743.83999999985</v>
      </c>
      <c r="P2903" s="730">
        <f t="shared" si="881"/>
        <v>123657236.06000005</v>
      </c>
      <c r="Q2903" s="748">
        <f t="shared" si="881"/>
        <v>123510251.61000003</v>
      </c>
      <c r="R2903" s="748">
        <f>SUM(R2904:R2936)</f>
        <v>77950588.589999974</v>
      </c>
      <c r="S2903" s="748">
        <f>SUM(S2904:S2936)</f>
        <v>104919494.68000001</v>
      </c>
      <c r="T2903" s="731"/>
      <c r="U2903" s="732">
        <f>SUM(U2904:U2936)</f>
        <v>140273378.11000001</v>
      </c>
      <c r="V2903" s="733"/>
    </row>
    <row r="2904" spans="1:22" ht="15" x14ac:dyDescent="0.25">
      <c r="A2904" s="734">
        <v>1131</v>
      </c>
      <c r="B2904" s="735" t="s">
        <v>6</v>
      </c>
      <c r="C2904" s="736">
        <v>1541410.94</v>
      </c>
      <c r="D2904" s="736">
        <v>3231133.36</v>
      </c>
      <c r="E2904" s="749">
        <v>3078149.15</v>
      </c>
      <c r="F2904" s="736">
        <v>3312964.95</v>
      </c>
      <c r="G2904" s="736">
        <v>3415889.6</v>
      </c>
      <c r="H2904" s="736"/>
      <c r="I2904" s="736"/>
      <c r="J2904" s="736">
        <f t="shared" ref="J2904:J2908" si="882">G2904+H2904-I2904</f>
        <v>3415889.6</v>
      </c>
      <c r="K2904" s="737">
        <v>44680.67</v>
      </c>
      <c r="L2904" s="736"/>
      <c r="M2904" s="736">
        <f t="shared" ref="M2904:M2909" si="883">J2904+K2904-L2904</f>
        <v>3460570.27</v>
      </c>
      <c r="N2904" s="736"/>
      <c r="O2904" s="736"/>
      <c r="P2904" s="736">
        <f t="shared" ref="P2904:P2935" si="884">M2904+N2904-O2904</f>
        <v>3460570.27</v>
      </c>
      <c r="Q2904" s="738">
        <v>3460570.29</v>
      </c>
      <c r="R2904" s="738">
        <v>2469212.2999999998</v>
      </c>
      <c r="S2904" s="751">
        <v>3663860.2</v>
      </c>
      <c r="T2904" s="739">
        <v>1100121</v>
      </c>
      <c r="U2904" s="779">
        <v>3531014.59</v>
      </c>
      <c r="V2904" s="741">
        <v>1100122</v>
      </c>
    </row>
    <row r="2905" spans="1:22" ht="15" x14ac:dyDescent="0.25">
      <c r="A2905" s="734">
        <v>1132</v>
      </c>
      <c r="B2905" s="735" t="s">
        <v>8</v>
      </c>
      <c r="C2905" s="736">
        <v>3217861.16</v>
      </c>
      <c r="D2905" s="736">
        <v>3879546.87</v>
      </c>
      <c r="E2905" s="749">
        <v>3310294.17</v>
      </c>
      <c r="F2905" s="736">
        <v>3441319.15</v>
      </c>
      <c r="G2905" s="736">
        <v>3432993.2</v>
      </c>
      <c r="H2905" s="736"/>
      <c r="I2905" s="736"/>
      <c r="J2905" s="736">
        <f t="shared" si="882"/>
        <v>3432993.2</v>
      </c>
      <c r="K2905" s="737">
        <v>121020.55</v>
      </c>
      <c r="L2905" s="736"/>
      <c r="M2905" s="736">
        <f t="shared" si="883"/>
        <v>3554013.75</v>
      </c>
      <c r="N2905" s="736"/>
      <c r="O2905" s="736"/>
      <c r="P2905" s="736">
        <f t="shared" si="884"/>
        <v>3554013.75</v>
      </c>
      <c r="Q2905" s="738">
        <v>3554013.75</v>
      </c>
      <c r="R2905" s="738">
        <v>2464149.63</v>
      </c>
      <c r="S2905" s="751">
        <v>4410719.04</v>
      </c>
      <c r="T2905" s="739">
        <v>1100121</v>
      </c>
      <c r="U2905" s="779">
        <v>3543888.77</v>
      </c>
      <c r="V2905" s="741">
        <v>1100122</v>
      </c>
    </row>
    <row r="2906" spans="1:22" ht="15" x14ac:dyDescent="0.25">
      <c r="A2906" s="734">
        <v>1212</v>
      </c>
      <c r="B2906" s="735" t="s">
        <v>53</v>
      </c>
      <c r="C2906" s="736">
        <v>24553304.25</v>
      </c>
      <c r="D2906" s="736">
        <v>4852415.12</v>
      </c>
      <c r="E2906" s="749">
        <v>5769561.2599999998</v>
      </c>
      <c r="F2906" s="736">
        <v>2653717.4300000002</v>
      </c>
      <c r="G2906" s="736">
        <v>56686995.780000001</v>
      </c>
      <c r="H2906" s="736"/>
      <c r="I2906" s="736"/>
      <c r="J2906" s="736">
        <f t="shared" si="882"/>
        <v>56686995.780000001</v>
      </c>
      <c r="K2906" s="736"/>
      <c r="L2906" s="736">
        <v>2080075.08</v>
      </c>
      <c r="M2906" s="736">
        <f t="shared" si="883"/>
        <v>54606920.700000003</v>
      </c>
      <c r="N2906" s="736"/>
      <c r="O2906" s="736"/>
      <c r="P2906" s="736">
        <f t="shared" si="884"/>
        <v>54606920.700000003</v>
      </c>
      <c r="Q2906" s="738">
        <v>54606920.700000003</v>
      </c>
      <c r="R2906" s="738">
        <v>45512700.340000004</v>
      </c>
      <c r="S2906" s="751">
        <v>64786804.759999998</v>
      </c>
      <c r="T2906" s="739">
        <v>1100121</v>
      </c>
      <c r="U2906" s="779">
        <v>88915111.760000005</v>
      </c>
      <c r="V2906" s="741">
        <v>1100122</v>
      </c>
    </row>
    <row r="2907" spans="1:22" ht="15" x14ac:dyDescent="0.25">
      <c r="A2907" s="739">
        <v>1212</v>
      </c>
      <c r="B2907" s="743" t="s">
        <v>53</v>
      </c>
      <c r="C2907" s="736">
        <v>4398068.7300000004</v>
      </c>
      <c r="D2907" s="736">
        <v>31854405.82</v>
      </c>
      <c r="E2907" s="749">
        <v>60380097.619999997</v>
      </c>
      <c r="F2907" s="736">
        <v>61055233.380000003</v>
      </c>
      <c r="G2907" s="736">
        <v>15264285.120000029</v>
      </c>
      <c r="H2907" s="736"/>
      <c r="I2907" s="736"/>
      <c r="J2907" s="736">
        <f t="shared" si="882"/>
        <v>15264285.120000029</v>
      </c>
      <c r="K2907" s="736">
        <v>0.11</v>
      </c>
      <c r="L2907" s="736">
        <f>3292241.82+279012</f>
        <v>3571253.82</v>
      </c>
      <c r="M2907" s="736">
        <f t="shared" si="883"/>
        <v>11693031.410000028</v>
      </c>
      <c r="N2907" s="736"/>
      <c r="O2907" s="736"/>
      <c r="P2907" s="736">
        <f t="shared" si="884"/>
        <v>11693031.410000028</v>
      </c>
      <c r="Q2907" s="738">
        <v>11693031.41</v>
      </c>
      <c r="R2907" s="738"/>
      <c r="S2907" s="751"/>
      <c r="T2907" s="739">
        <v>1100121</v>
      </c>
      <c r="U2907" s="780"/>
      <c r="V2907" s="739">
        <v>1100122</v>
      </c>
    </row>
    <row r="2908" spans="1:22" ht="15" x14ac:dyDescent="0.25">
      <c r="A2908" s="734">
        <v>1321</v>
      </c>
      <c r="B2908" s="735" t="s">
        <v>9</v>
      </c>
      <c r="C2908" s="736">
        <v>470225.16</v>
      </c>
      <c r="D2908" s="736">
        <v>585831.94999999995</v>
      </c>
      <c r="E2908" s="749">
        <v>863785.95</v>
      </c>
      <c r="F2908" s="736">
        <v>687758.2</v>
      </c>
      <c r="G2908" s="736">
        <v>4022840.7</v>
      </c>
      <c r="H2908" s="736"/>
      <c r="I2908" s="736"/>
      <c r="J2908" s="736">
        <f t="shared" si="882"/>
        <v>4022840.7</v>
      </c>
      <c r="K2908" s="736">
        <f>279011.88</f>
        <v>279011.88</v>
      </c>
      <c r="L2908" s="736">
        <v>1682564</v>
      </c>
      <c r="M2908" s="736">
        <f t="shared" si="883"/>
        <v>2619288.58</v>
      </c>
      <c r="N2908" s="736"/>
      <c r="O2908" s="736">
        <v>87526</v>
      </c>
      <c r="P2908" s="736">
        <f t="shared" si="884"/>
        <v>2531762.58</v>
      </c>
      <c r="Q2908" s="738">
        <v>2240598.17</v>
      </c>
      <c r="R2908" s="738">
        <v>34256.080000000002</v>
      </c>
      <c r="S2908" s="751">
        <v>775460.05</v>
      </c>
      <c r="T2908" s="739">
        <v>1500521</v>
      </c>
      <c r="U2908" s="779">
        <v>1026465.41</v>
      </c>
      <c r="V2908" s="741">
        <v>1500522</v>
      </c>
    </row>
    <row r="2909" spans="1:22" ht="15" x14ac:dyDescent="0.25">
      <c r="A2909" s="739">
        <v>1321</v>
      </c>
      <c r="B2909" s="743" t="s">
        <v>9</v>
      </c>
      <c r="C2909" s="736"/>
      <c r="D2909" s="736"/>
      <c r="E2909" s="749"/>
      <c r="F2909" s="736"/>
      <c r="G2909" s="736"/>
      <c r="H2909" s="736"/>
      <c r="I2909" s="736"/>
      <c r="J2909" s="736"/>
      <c r="K2909" s="736">
        <v>1682564</v>
      </c>
      <c r="L2909" s="736"/>
      <c r="M2909" s="736">
        <f t="shared" si="883"/>
        <v>1682564</v>
      </c>
      <c r="N2909" s="736">
        <v>87526</v>
      </c>
      <c r="O2909" s="736"/>
      <c r="P2909" s="736">
        <f t="shared" si="884"/>
        <v>1770090</v>
      </c>
      <c r="Q2909" s="738">
        <v>1719814.61</v>
      </c>
      <c r="R2909" s="738">
        <v>441365.94</v>
      </c>
      <c r="S2909" s="751"/>
      <c r="T2909" s="739">
        <v>1100121</v>
      </c>
      <c r="U2909" s="780"/>
      <c r="V2909" s="739">
        <v>1100122</v>
      </c>
    </row>
    <row r="2910" spans="1:22" ht="15" x14ac:dyDescent="0.25">
      <c r="A2910" s="734">
        <v>1323</v>
      </c>
      <c r="B2910" s="735" t="s">
        <v>11</v>
      </c>
      <c r="C2910" s="736"/>
      <c r="D2910" s="736"/>
      <c r="E2910" s="749"/>
      <c r="F2910" s="736"/>
      <c r="G2910" s="736"/>
      <c r="H2910" s="736"/>
      <c r="I2910" s="736"/>
      <c r="J2910" s="736"/>
      <c r="K2910" s="736"/>
      <c r="L2910" s="736"/>
      <c r="M2910" s="736"/>
      <c r="N2910" s="736">
        <v>277217.83999999985</v>
      </c>
      <c r="O2910" s="736"/>
      <c r="P2910" s="736">
        <f t="shared" si="884"/>
        <v>277217.83999999985</v>
      </c>
      <c r="Q2910" s="738">
        <v>3767444.64</v>
      </c>
      <c r="R2910" s="738"/>
      <c r="S2910" s="751">
        <v>4084484.45</v>
      </c>
      <c r="T2910" s="739">
        <v>1500821</v>
      </c>
      <c r="U2910" s="779">
        <v>4839469.62</v>
      </c>
      <c r="V2910" s="741">
        <v>1500522</v>
      </c>
    </row>
    <row r="2911" spans="1:22" ht="15" x14ac:dyDescent="0.25">
      <c r="A2911" s="739">
        <v>1323</v>
      </c>
      <c r="B2911" s="743" t="s">
        <v>11</v>
      </c>
      <c r="C2911" s="736">
        <v>2130885.11</v>
      </c>
      <c r="D2911" s="736">
        <v>2633620.42</v>
      </c>
      <c r="E2911" s="749">
        <v>3695751.82</v>
      </c>
      <c r="F2911" s="736">
        <v>3416273.22</v>
      </c>
      <c r="G2911" s="736">
        <v>14182245.9</v>
      </c>
      <c r="H2911" s="736"/>
      <c r="I2911" s="736"/>
      <c r="J2911" s="736">
        <f t="shared" ref="J2911:J2935" si="885">G2911+H2911-I2911</f>
        <v>14182245.9</v>
      </c>
      <c r="K2911" s="736"/>
      <c r="L2911" s="736">
        <v>10137583.42</v>
      </c>
      <c r="M2911" s="736">
        <f t="shared" ref="M2911:M2935" si="886">J2911+K2911-L2911</f>
        <v>4044662.4800000004</v>
      </c>
      <c r="N2911" s="736"/>
      <c r="O2911" s="736">
        <v>277217.83999999985</v>
      </c>
      <c r="P2911" s="736">
        <f t="shared" si="884"/>
        <v>3767444.6400000006</v>
      </c>
      <c r="Q2911" s="738">
        <v>277217.84000000003</v>
      </c>
      <c r="R2911" s="738">
        <v>1106580.98</v>
      </c>
      <c r="S2911" s="751"/>
      <c r="T2911" s="739">
        <v>1500521</v>
      </c>
      <c r="U2911" s="780"/>
      <c r="V2911" s="739">
        <v>1500522</v>
      </c>
    </row>
    <row r="2912" spans="1:22" ht="15" x14ac:dyDescent="0.25">
      <c r="A2912" s="734">
        <v>1413</v>
      </c>
      <c r="B2912" s="735" t="s">
        <v>13</v>
      </c>
      <c r="C2912" s="736">
        <v>6321572.79</v>
      </c>
      <c r="D2912" s="736">
        <v>8065405.4299999997</v>
      </c>
      <c r="E2912" s="749">
        <v>12437198.029999999</v>
      </c>
      <c r="F2912" s="736">
        <v>11711941.5</v>
      </c>
      <c r="G2912" s="736">
        <v>4187747</v>
      </c>
      <c r="H2912" s="736"/>
      <c r="I2912" s="736"/>
      <c r="J2912" s="736">
        <f t="shared" si="885"/>
        <v>4187747</v>
      </c>
      <c r="K2912" s="737">
        <v>10042569.67</v>
      </c>
      <c r="L2912" s="736"/>
      <c r="M2912" s="736">
        <f t="shared" si="886"/>
        <v>14230316.67</v>
      </c>
      <c r="N2912" s="736"/>
      <c r="O2912" s="736"/>
      <c r="P2912" s="736">
        <f t="shared" si="884"/>
        <v>14230316.67</v>
      </c>
      <c r="Q2912" s="738">
        <v>14085640.560000001</v>
      </c>
      <c r="R2912" s="738">
        <v>9164514.75</v>
      </c>
      <c r="S2912" s="751">
        <v>14570541.720000001</v>
      </c>
      <c r="T2912" s="739">
        <v>2510221</v>
      </c>
      <c r="U2912" s="779">
        <v>17998211.68</v>
      </c>
      <c r="V2912" s="741">
        <v>2510222</v>
      </c>
    </row>
    <row r="2913" spans="1:22" ht="15" x14ac:dyDescent="0.25">
      <c r="A2913" s="734">
        <v>1421</v>
      </c>
      <c r="B2913" s="735" t="s">
        <v>15</v>
      </c>
      <c r="C2913" s="736">
        <v>1978363.65</v>
      </c>
      <c r="D2913" s="736">
        <v>2331130.38</v>
      </c>
      <c r="E2913" s="749">
        <v>3420796.24</v>
      </c>
      <c r="F2913" s="736">
        <v>3580789.54</v>
      </c>
      <c r="G2913" s="736">
        <v>4313381</v>
      </c>
      <c r="H2913" s="736"/>
      <c r="I2913" s="736"/>
      <c r="J2913" s="736">
        <f t="shared" si="885"/>
        <v>4313381</v>
      </c>
      <c r="K2913" s="736"/>
      <c r="L2913" s="736">
        <v>136818.96</v>
      </c>
      <c r="M2913" s="736">
        <f t="shared" si="886"/>
        <v>4176562.04</v>
      </c>
      <c r="N2913" s="736"/>
      <c r="O2913" s="736"/>
      <c r="P2913" s="736">
        <f t="shared" si="884"/>
        <v>4176562.04</v>
      </c>
      <c r="Q2913" s="738">
        <v>4656209.57</v>
      </c>
      <c r="R2913" s="738">
        <v>3117600.48</v>
      </c>
      <c r="S2913" s="751">
        <v>4059571.56</v>
      </c>
      <c r="T2913" s="739">
        <v>2510221</v>
      </c>
      <c r="U2913" s="779">
        <v>5315629.76</v>
      </c>
      <c r="V2913" s="741">
        <v>2510222</v>
      </c>
    </row>
    <row r="2914" spans="1:22" ht="15" x14ac:dyDescent="0.25">
      <c r="A2914" s="734">
        <v>1431</v>
      </c>
      <c r="B2914" s="735" t="s">
        <v>16</v>
      </c>
      <c r="C2914" s="736">
        <v>2089506.9</v>
      </c>
      <c r="D2914" s="736">
        <v>2399232.33</v>
      </c>
      <c r="E2914" s="749">
        <v>3574845.08</v>
      </c>
      <c r="F2914" s="736">
        <v>3764364.61</v>
      </c>
      <c r="G2914" s="736">
        <v>175877.6</v>
      </c>
      <c r="H2914" s="736"/>
      <c r="I2914" s="736"/>
      <c r="J2914" s="736">
        <f t="shared" si="885"/>
        <v>175877.6</v>
      </c>
      <c r="K2914" s="737">
        <v>4125974.99</v>
      </c>
      <c r="L2914" s="736"/>
      <c r="M2914" s="736">
        <f t="shared" si="886"/>
        <v>4301852.59</v>
      </c>
      <c r="N2914" s="736"/>
      <c r="O2914" s="736"/>
      <c r="P2914" s="736">
        <f t="shared" si="884"/>
        <v>4301852.59</v>
      </c>
      <c r="Q2914" s="738">
        <v>4301852.59</v>
      </c>
      <c r="R2914" s="738">
        <v>1885418.56</v>
      </c>
      <c r="S2914" s="751">
        <v>4181368.08</v>
      </c>
      <c r="T2914" s="739">
        <v>2510221</v>
      </c>
      <c r="U2914" s="779">
        <v>4808463.87</v>
      </c>
      <c r="V2914" s="741">
        <v>2510222</v>
      </c>
    </row>
    <row r="2915" spans="1:22" ht="15" x14ac:dyDescent="0.2">
      <c r="A2915" s="734">
        <v>1511</v>
      </c>
      <c r="B2915" s="735" t="s">
        <v>18</v>
      </c>
      <c r="C2915" s="736">
        <v>156301.76999999999</v>
      </c>
      <c r="D2915" s="736">
        <v>244936.24</v>
      </c>
      <c r="E2915" s="749">
        <v>164809.64000000001</v>
      </c>
      <c r="F2915" s="736">
        <v>170829.22</v>
      </c>
      <c r="G2915" s="736">
        <v>1578642.1</v>
      </c>
      <c r="H2915" s="736"/>
      <c r="I2915" s="736"/>
      <c r="J2915" s="736">
        <f t="shared" si="885"/>
        <v>1578642.1</v>
      </c>
      <c r="K2915" s="736"/>
      <c r="L2915" s="736">
        <v>1395977.04</v>
      </c>
      <c r="M2915" s="736">
        <f t="shared" si="886"/>
        <v>182665.06000000006</v>
      </c>
      <c r="N2915" s="736"/>
      <c r="O2915" s="736"/>
      <c r="P2915" s="736">
        <f t="shared" si="884"/>
        <v>182665.06000000006</v>
      </c>
      <c r="Q2915" s="738">
        <v>182665.06</v>
      </c>
      <c r="R2915" s="738">
        <v>126711.56</v>
      </c>
      <c r="S2915" s="751">
        <v>210675.92</v>
      </c>
      <c r="T2915" s="739">
        <v>1100121</v>
      </c>
      <c r="U2915" s="742">
        <v>190830.05</v>
      </c>
      <c r="V2915" s="741">
        <v>1100122</v>
      </c>
    </row>
    <row r="2916" spans="1:22" ht="15" x14ac:dyDescent="0.2">
      <c r="A2916" s="734">
        <v>1541</v>
      </c>
      <c r="B2916" s="735" t="s">
        <v>19</v>
      </c>
      <c r="C2916" s="736">
        <v>1152201.47</v>
      </c>
      <c r="D2916" s="736">
        <v>1265053.6599999999</v>
      </c>
      <c r="E2916" s="749">
        <v>1213601.23</v>
      </c>
      <c r="F2916" s="736">
        <v>1248917.6200000001</v>
      </c>
      <c r="G2916" s="736">
        <v>2063603.4000000001</v>
      </c>
      <c r="H2916" s="736"/>
      <c r="I2916" s="736"/>
      <c r="J2916" s="736">
        <f t="shared" si="885"/>
        <v>2063603.4000000001</v>
      </c>
      <c r="K2916" s="736"/>
      <c r="L2916" s="736">
        <v>424872.76</v>
      </c>
      <c r="M2916" s="736">
        <f t="shared" si="886"/>
        <v>1638730.6400000001</v>
      </c>
      <c r="N2916" s="736"/>
      <c r="O2916" s="736"/>
      <c r="P2916" s="736">
        <f t="shared" si="884"/>
        <v>1638730.6400000001</v>
      </c>
      <c r="Q2916" s="738">
        <v>1638730.64</v>
      </c>
      <c r="R2916" s="738">
        <v>1270774.49</v>
      </c>
      <c r="S2916" s="751">
        <v>1510420.86</v>
      </c>
      <c r="T2916" s="739">
        <v>1500521</v>
      </c>
      <c r="U2916" s="742">
        <v>1862392.44</v>
      </c>
      <c r="V2916" s="741">
        <v>1500522</v>
      </c>
    </row>
    <row r="2917" spans="1:22" ht="15" x14ac:dyDescent="0.2">
      <c r="A2917" s="734">
        <v>1592</v>
      </c>
      <c r="B2917" s="735" t="s">
        <v>20</v>
      </c>
      <c r="C2917" s="736">
        <v>1826304.55</v>
      </c>
      <c r="D2917" s="736">
        <v>3032560.44</v>
      </c>
      <c r="E2917" s="749">
        <v>1931413.65</v>
      </c>
      <c r="F2917" s="736">
        <v>2001556.64</v>
      </c>
      <c r="G2917" s="736"/>
      <c r="H2917" s="736"/>
      <c r="I2917" s="736"/>
      <c r="J2917" s="736">
        <f t="shared" si="885"/>
        <v>0</v>
      </c>
      <c r="K2917" s="737">
        <v>2136857.87</v>
      </c>
      <c r="L2917" s="736"/>
      <c r="M2917" s="736">
        <f t="shared" si="886"/>
        <v>2136857.87</v>
      </c>
      <c r="N2917" s="736"/>
      <c r="O2917" s="736"/>
      <c r="P2917" s="736">
        <f t="shared" si="884"/>
        <v>2136857.87</v>
      </c>
      <c r="Q2917" s="738">
        <v>1976341.78</v>
      </c>
      <c r="R2917" s="738">
        <v>1010675.03</v>
      </c>
      <c r="S2917" s="738">
        <v>2459588.04</v>
      </c>
      <c r="T2917" s="739">
        <v>1100121</v>
      </c>
      <c r="U2917" s="742">
        <v>1640900.16</v>
      </c>
      <c r="V2917" s="741">
        <v>1100122</v>
      </c>
    </row>
    <row r="2918" spans="1:22" ht="15" x14ac:dyDescent="0.2">
      <c r="A2918" s="734">
        <v>2111</v>
      </c>
      <c r="B2918" s="735" t="s">
        <v>1709</v>
      </c>
      <c r="C2918" s="736">
        <v>6297.9</v>
      </c>
      <c r="D2918" s="736"/>
      <c r="E2918" s="736"/>
      <c r="F2918" s="736"/>
      <c r="G2918" s="752">
        <v>70000</v>
      </c>
      <c r="H2918" s="752"/>
      <c r="I2918" s="752"/>
      <c r="J2918" s="736">
        <f t="shared" si="885"/>
        <v>70000</v>
      </c>
      <c r="K2918" s="752"/>
      <c r="L2918" s="752"/>
      <c r="M2918" s="736">
        <f t="shared" si="886"/>
        <v>70000</v>
      </c>
      <c r="N2918" s="736"/>
      <c r="O2918" s="736"/>
      <c r="P2918" s="736">
        <f t="shared" si="884"/>
        <v>70000</v>
      </c>
      <c r="Q2918" s="753">
        <v>70000</v>
      </c>
      <c r="R2918" s="738">
        <v>44999.71</v>
      </c>
      <c r="S2918" s="753">
        <v>20000</v>
      </c>
      <c r="T2918" s="739">
        <v>1100121</v>
      </c>
      <c r="U2918" s="754">
        <v>70000</v>
      </c>
      <c r="V2918" s="741">
        <v>1100122</v>
      </c>
    </row>
    <row r="2919" spans="1:22" ht="15" x14ac:dyDescent="0.2">
      <c r="A2919" s="739">
        <v>2121</v>
      </c>
      <c r="B2919" s="822" t="s">
        <v>24</v>
      </c>
      <c r="C2919" s="736">
        <v>81894.540000000008</v>
      </c>
      <c r="D2919" s="736"/>
      <c r="E2919" s="736"/>
      <c r="F2919" s="736"/>
      <c r="G2919" s="736"/>
      <c r="H2919" s="736"/>
      <c r="I2919" s="736"/>
      <c r="J2919" s="736">
        <f t="shared" si="885"/>
        <v>0</v>
      </c>
      <c r="K2919" s="736"/>
      <c r="L2919" s="736"/>
      <c r="M2919" s="736">
        <f t="shared" si="886"/>
        <v>0</v>
      </c>
      <c r="N2919" s="736"/>
      <c r="O2919" s="736"/>
      <c r="P2919" s="738">
        <f t="shared" si="884"/>
        <v>0</v>
      </c>
      <c r="Q2919" s="738"/>
      <c r="R2919" s="738"/>
      <c r="S2919" s="738"/>
      <c r="T2919" s="739"/>
      <c r="U2919" s="745"/>
      <c r="V2919" s="739"/>
    </row>
    <row r="2920" spans="1:22" ht="15" x14ac:dyDescent="0.2">
      <c r="A2920" s="734">
        <v>2161</v>
      </c>
      <c r="B2920" s="735" t="s">
        <v>59</v>
      </c>
      <c r="C2920" s="736">
        <v>67397.97</v>
      </c>
      <c r="D2920" s="736">
        <v>80000</v>
      </c>
      <c r="E2920" s="749">
        <v>80000</v>
      </c>
      <c r="F2920" s="736">
        <v>66310.240000000005</v>
      </c>
      <c r="G2920" s="752">
        <v>84000</v>
      </c>
      <c r="H2920" s="752"/>
      <c r="I2920" s="752"/>
      <c r="J2920" s="736">
        <f t="shared" si="885"/>
        <v>84000</v>
      </c>
      <c r="K2920" s="752"/>
      <c r="L2920" s="752"/>
      <c r="M2920" s="736">
        <f t="shared" si="886"/>
        <v>84000</v>
      </c>
      <c r="N2920" s="736"/>
      <c r="O2920" s="736"/>
      <c r="P2920" s="736">
        <f t="shared" si="884"/>
        <v>84000</v>
      </c>
      <c r="Q2920" s="753">
        <v>84000</v>
      </c>
      <c r="R2920" s="738">
        <v>65871.55</v>
      </c>
      <c r="S2920" s="753">
        <v>84000</v>
      </c>
      <c r="T2920" s="739">
        <v>1100121</v>
      </c>
      <c r="U2920" s="754">
        <v>84000</v>
      </c>
      <c r="V2920" s="741">
        <v>1100122</v>
      </c>
    </row>
    <row r="2921" spans="1:22" ht="15" x14ac:dyDescent="0.2">
      <c r="A2921" s="739">
        <v>2211</v>
      </c>
      <c r="B2921" s="743" t="s">
        <v>323</v>
      </c>
      <c r="C2921" s="736">
        <v>217920.47</v>
      </c>
      <c r="D2921" s="736">
        <v>250000</v>
      </c>
      <c r="E2921" s="749">
        <v>150000</v>
      </c>
      <c r="F2921" s="736">
        <v>58643.37</v>
      </c>
      <c r="G2921" s="752">
        <v>8500000</v>
      </c>
      <c r="H2921" s="752"/>
      <c r="I2921" s="752"/>
      <c r="J2921" s="736">
        <f t="shared" si="885"/>
        <v>8500000</v>
      </c>
      <c r="K2921" s="752"/>
      <c r="L2921" s="752"/>
      <c r="M2921" s="736">
        <f t="shared" si="886"/>
        <v>8500000</v>
      </c>
      <c r="N2921" s="736"/>
      <c r="O2921" s="736">
        <v>200000</v>
      </c>
      <c r="P2921" s="736">
        <f t="shared" si="884"/>
        <v>8300000</v>
      </c>
      <c r="Q2921" s="753">
        <v>8300000</v>
      </c>
      <c r="R2921" s="738">
        <v>6900076.96</v>
      </c>
      <c r="S2921" s="753"/>
      <c r="T2921" s="739">
        <v>2510221</v>
      </c>
      <c r="U2921" s="744"/>
      <c r="V2921" s="739">
        <v>2510222</v>
      </c>
    </row>
    <row r="2922" spans="1:22" ht="15" x14ac:dyDescent="0.2">
      <c r="A2922" s="739">
        <v>2212</v>
      </c>
      <c r="B2922" s="743" t="s">
        <v>40</v>
      </c>
      <c r="C2922" s="736">
        <v>111254.95</v>
      </c>
      <c r="D2922" s="736">
        <v>200000</v>
      </c>
      <c r="E2922" s="749">
        <v>65800</v>
      </c>
      <c r="F2922" s="736">
        <v>20558.54</v>
      </c>
      <c r="G2922" s="752"/>
      <c r="H2922" s="752"/>
      <c r="I2922" s="752"/>
      <c r="J2922" s="736">
        <f t="shared" si="885"/>
        <v>0</v>
      </c>
      <c r="K2922" s="752"/>
      <c r="L2922" s="752"/>
      <c r="M2922" s="736">
        <f t="shared" si="886"/>
        <v>0</v>
      </c>
      <c r="N2922" s="736"/>
      <c r="O2922" s="736"/>
      <c r="P2922" s="738">
        <f t="shared" si="884"/>
        <v>0</v>
      </c>
      <c r="Q2922" s="753"/>
      <c r="R2922" s="738"/>
      <c r="S2922" s="753"/>
      <c r="T2922" s="739">
        <v>1100121</v>
      </c>
      <c r="U2922" s="744"/>
      <c r="V2922" s="739">
        <v>1100122</v>
      </c>
    </row>
    <row r="2923" spans="1:22" ht="15" x14ac:dyDescent="0.2">
      <c r="A2923" s="734">
        <v>2491</v>
      </c>
      <c r="B2923" s="735" t="s">
        <v>41</v>
      </c>
      <c r="C2923" s="736"/>
      <c r="D2923" s="736">
        <v>100000</v>
      </c>
      <c r="E2923" s="749">
        <v>100000</v>
      </c>
      <c r="F2923" s="736">
        <v>83397.37</v>
      </c>
      <c r="G2923" s="752">
        <v>70000</v>
      </c>
      <c r="H2923" s="752"/>
      <c r="I2923" s="752"/>
      <c r="J2923" s="736">
        <f t="shared" si="885"/>
        <v>70000</v>
      </c>
      <c r="K2923" s="752"/>
      <c r="L2923" s="752"/>
      <c r="M2923" s="736">
        <f t="shared" si="886"/>
        <v>70000</v>
      </c>
      <c r="N2923" s="736"/>
      <c r="O2923" s="736"/>
      <c r="P2923" s="736">
        <f t="shared" si="884"/>
        <v>70000</v>
      </c>
      <c r="Q2923" s="753">
        <v>70000</v>
      </c>
      <c r="R2923" s="738">
        <v>67430.22</v>
      </c>
      <c r="S2923" s="753"/>
      <c r="T2923" s="739">
        <v>1100121</v>
      </c>
      <c r="U2923" s="754">
        <v>70000</v>
      </c>
      <c r="V2923" s="741">
        <v>1100122</v>
      </c>
    </row>
    <row r="2924" spans="1:22" ht="15" x14ac:dyDescent="0.2">
      <c r="A2924" s="739">
        <v>3111</v>
      </c>
      <c r="B2924" s="743" t="s">
        <v>47</v>
      </c>
      <c r="C2924" s="736">
        <v>1337559</v>
      </c>
      <c r="D2924" s="736">
        <v>1800000</v>
      </c>
      <c r="E2924" s="749">
        <v>2000000</v>
      </c>
      <c r="F2924" s="736">
        <v>0</v>
      </c>
      <c r="G2924" s="752">
        <v>2500000</v>
      </c>
      <c r="H2924" s="752"/>
      <c r="I2924" s="752"/>
      <c r="J2924" s="736">
        <f t="shared" si="885"/>
        <v>2500000</v>
      </c>
      <c r="K2924" s="752"/>
      <c r="L2924" s="752">
        <v>2500000</v>
      </c>
      <c r="M2924" s="736">
        <f t="shared" si="886"/>
        <v>0</v>
      </c>
      <c r="N2924" s="736"/>
      <c r="O2924" s="736"/>
      <c r="P2924" s="738">
        <f t="shared" si="884"/>
        <v>0</v>
      </c>
      <c r="Q2924" s="753">
        <v>2500000</v>
      </c>
      <c r="R2924" s="738"/>
      <c r="S2924" s="753"/>
      <c r="T2924" s="739">
        <v>2510221</v>
      </c>
      <c r="U2924" s="744"/>
      <c r="V2924" s="739">
        <v>2510222</v>
      </c>
    </row>
    <row r="2925" spans="1:22" ht="15" x14ac:dyDescent="0.2">
      <c r="A2925" s="734">
        <v>3111</v>
      </c>
      <c r="B2925" s="735" t="s">
        <v>47</v>
      </c>
      <c r="C2925" s="736"/>
      <c r="D2925" s="736">
        <v>0</v>
      </c>
      <c r="E2925" s="736"/>
      <c r="F2925" s="736">
        <v>1766839</v>
      </c>
      <c r="G2925" s="736"/>
      <c r="H2925" s="736"/>
      <c r="I2925" s="736"/>
      <c r="J2925" s="736">
        <f t="shared" si="885"/>
        <v>0</v>
      </c>
      <c r="K2925" s="736">
        <v>2500000</v>
      </c>
      <c r="L2925" s="736"/>
      <c r="M2925" s="736">
        <f t="shared" si="886"/>
        <v>2500000</v>
      </c>
      <c r="N2925" s="736"/>
      <c r="O2925" s="736"/>
      <c r="P2925" s="736">
        <f t="shared" si="884"/>
        <v>2500000</v>
      </c>
      <c r="Q2925" s="738"/>
      <c r="R2925" s="738">
        <v>1092948</v>
      </c>
      <c r="S2925" s="738"/>
      <c r="T2925" s="739">
        <v>1100121</v>
      </c>
      <c r="U2925" s="746">
        <v>2100000</v>
      </c>
      <c r="V2925" s="741">
        <v>1100122</v>
      </c>
    </row>
    <row r="2926" spans="1:22" ht="15" x14ac:dyDescent="0.2">
      <c r="A2926" s="734">
        <v>3131</v>
      </c>
      <c r="B2926" s="735" t="s">
        <v>61</v>
      </c>
      <c r="C2926" s="736">
        <v>33411.17</v>
      </c>
      <c r="D2926" s="736">
        <v>47250</v>
      </c>
      <c r="E2926" s="749">
        <v>47250</v>
      </c>
      <c r="F2926" s="736">
        <v>34567.410000000003</v>
      </c>
      <c r="G2926" s="752">
        <v>55000</v>
      </c>
      <c r="H2926" s="752"/>
      <c r="I2926" s="752"/>
      <c r="J2926" s="736">
        <f t="shared" si="885"/>
        <v>55000</v>
      </c>
      <c r="K2926" s="752"/>
      <c r="L2926" s="752"/>
      <c r="M2926" s="736">
        <f t="shared" si="886"/>
        <v>55000</v>
      </c>
      <c r="N2926" s="736"/>
      <c r="O2926" s="736"/>
      <c r="P2926" s="736">
        <f t="shared" si="884"/>
        <v>55000</v>
      </c>
      <c r="Q2926" s="753">
        <v>55000</v>
      </c>
      <c r="R2926" s="738">
        <v>37687.97</v>
      </c>
      <c r="S2926" s="753"/>
      <c r="T2926" s="739">
        <v>1100121</v>
      </c>
      <c r="U2926" s="746">
        <v>70000</v>
      </c>
      <c r="V2926" s="741">
        <v>1100122</v>
      </c>
    </row>
    <row r="2927" spans="1:22" ht="15" x14ac:dyDescent="0.2">
      <c r="A2927" s="734">
        <v>3141</v>
      </c>
      <c r="B2927" s="735" t="s">
        <v>48</v>
      </c>
      <c r="C2927" s="736">
        <v>434627.67</v>
      </c>
      <c r="D2927" s="736">
        <v>550000</v>
      </c>
      <c r="E2927" s="749">
        <v>550000</v>
      </c>
      <c r="F2927" s="736">
        <v>455199.29</v>
      </c>
      <c r="G2927" s="752">
        <v>605000</v>
      </c>
      <c r="H2927" s="752"/>
      <c r="I2927" s="752"/>
      <c r="J2927" s="736">
        <f t="shared" si="885"/>
        <v>605000</v>
      </c>
      <c r="K2927" s="752"/>
      <c r="L2927" s="752"/>
      <c r="M2927" s="736">
        <f t="shared" si="886"/>
        <v>605000</v>
      </c>
      <c r="N2927" s="736"/>
      <c r="O2927" s="736"/>
      <c r="P2927" s="736">
        <f t="shared" si="884"/>
        <v>605000</v>
      </c>
      <c r="Q2927" s="753">
        <v>605000</v>
      </c>
      <c r="R2927" s="738">
        <v>375732.16</v>
      </c>
      <c r="S2927" s="753"/>
      <c r="T2927" s="739">
        <v>1100121</v>
      </c>
      <c r="U2927" s="746">
        <v>600000</v>
      </c>
      <c r="V2927" s="741">
        <v>1100122</v>
      </c>
    </row>
    <row r="2928" spans="1:22" ht="15" x14ac:dyDescent="0.2">
      <c r="A2928" s="734">
        <v>3151</v>
      </c>
      <c r="B2928" s="735" t="s">
        <v>28</v>
      </c>
      <c r="C2928" s="736">
        <v>11346.02</v>
      </c>
      <c r="D2928" s="736">
        <v>30000</v>
      </c>
      <c r="E2928" s="749">
        <v>45000</v>
      </c>
      <c r="F2928" s="736">
        <v>44553.97</v>
      </c>
      <c r="G2928" s="752">
        <v>70000</v>
      </c>
      <c r="H2928" s="752"/>
      <c r="I2928" s="752"/>
      <c r="J2928" s="736">
        <f t="shared" si="885"/>
        <v>70000</v>
      </c>
      <c r="K2928" s="752"/>
      <c r="L2928" s="752"/>
      <c r="M2928" s="736">
        <f t="shared" si="886"/>
        <v>70000</v>
      </c>
      <c r="N2928" s="736"/>
      <c r="O2928" s="736"/>
      <c r="P2928" s="736">
        <f t="shared" si="884"/>
        <v>70000</v>
      </c>
      <c r="Q2928" s="753">
        <v>90000</v>
      </c>
      <c r="R2928" s="738">
        <v>55759.08</v>
      </c>
      <c r="S2928" s="753"/>
      <c r="T2928" s="739">
        <v>1100121</v>
      </c>
      <c r="U2928" s="746">
        <v>77000</v>
      </c>
      <c r="V2928" s="741">
        <v>1100122</v>
      </c>
    </row>
    <row r="2929" spans="1:22" ht="15" x14ac:dyDescent="0.2">
      <c r="A2929" s="734">
        <v>3341</v>
      </c>
      <c r="B2929" s="735" t="s">
        <v>219</v>
      </c>
      <c r="C2929" s="736"/>
      <c r="D2929" s="736">
        <v>0</v>
      </c>
      <c r="E2929" s="749">
        <v>827000</v>
      </c>
      <c r="F2929" s="736">
        <v>92400</v>
      </c>
      <c r="G2929" s="752">
        <v>1523200</v>
      </c>
      <c r="H2929" s="752"/>
      <c r="I2929" s="752"/>
      <c r="J2929" s="736">
        <f t="shared" si="885"/>
        <v>1523200</v>
      </c>
      <c r="K2929" s="752"/>
      <c r="L2929" s="752"/>
      <c r="M2929" s="736">
        <f t="shared" si="886"/>
        <v>1523200</v>
      </c>
      <c r="N2929" s="736"/>
      <c r="O2929" s="736"/>
      <c r="P2929" s="736">
        <f t="shared" si="884"/>
        <v>1523200</v>
      </c>
      <c r="Q2929" s="753">
        <v>1765087</v>
      </c>
      <c r="R2929" s="738"/>
      <c r="S2929" s="753"/>
      <c r="T2929" s="739">
        <v>2510221</v>
      </c>
      <c r="U2929" s="746">
        <v>1500000</v>
      </c>
      <c r="V2929" s="741">
        <v>2510222</v>
      </c>
    </row>
    <row r="2930" spans="1:22" ht="30" x14ac:dyDescent="0.2">
      <c r="A2930" s="739">
        <v>3361</v>
      </c>
      <c r="B2930" s="822" t="s">
        <v>29</v>
      </c>
      <c r="C2930" s="736">
        <v>36734.370000000003</v>
      </c>
      <c r="D2930" s="736"/>
      <c r="E2930" s="736"/>
      <c r="F2930" s="736"/>
      <c r="G2930" s="752"/>
      <c r="H2930" s="752"/>
      <c r="I2930" s="752"/>
      <c r="J2930" s="736">
        <f t="shared" si="885"/>
        <v>0</v>
      </c>
      <c r="K2930" s="752"/>
      <c r="L2930" s="752"/>
      <c r="M2930" s="736">
        <f t="shared" si="886"/>
        <v>0</v>
      </c>
      <c r="N2930" s="736"/>
      <c r="O2930" s="736"/>
      <c r="P2930" s="738">
        <f t="shared" si="884"/>
        <v>0</v>
      </c>
      <c r="Q2930" s="753"/>
      <c r="R2930" s="738"/>
      <c r="S2930" s="753"/>
      <c r="T2930" s="739"/>
      <c r="U2930" s="744"/>
      <c r="V2930" s="739"/>
    </row>
    <row r="2931" spans="1:22" ht="15" x14ac:dyDescent="0.2">
      <c r="A2931" s="734">
        <v>3391</v>
      </c>
      <c r="B2931" s="762" t="s">
        <v>118</v>
      </c>
      <c r="C2931" s="736"/>
      <c r="D2931" s="736"/>
      <c r="E2931" s="736"/>
      <c r="F2931" s="736"/>
      <c r="G2931" s="752">
        <v>1800000</v>
      </c>
      <c r="H2931" s="752"/>
      <c r="I2931" s="752"/>
      <c r="J2931" s="736">
        <f t="shared" si="885"/>
        <v>1800000</v>
      </c>
      <c r="K2931" s="752"/>
      <c r="L2931" s="752"/>
      <c r="M2931" s="736">
        <f t="shared" si="886"/>
        <v>1800000</v>
      </c>
      <c r="N2931" s="736"/>
      <c r="O2931" s="736"/>
      <c r="P2931" s="736">
        <f t="shared" si="884"/>
        <v>1800000</v>
      </c>
      <c r="Q2931" s="753">
        <v>1558113</v>
      </c>
      <c r="R2931" s="738">
        <v>591500</v>
      </c>
      <c r="S2931" s="753"/>
      <c r="T2931" s="739">
        <v>2510221</v>
      </c>
      <c r="U2931" s="754">
        <v>1800000</v>
      </c>
      <c r="V2931" s="741">
        <v>2510222</v>
      </c>
    </row>
    <row r="2932" spans="1:22" ht="15" x14ac:dyDescent="0.2">
      <c r="A2932" s="734">
        <v>3571</v>
      </c>
      <c r="B2932" s="735" t="s">
        <v>65</v>
      </c>
      <c r="C2932" s="736">
        <v>3904</v>
      </c>
      <c r="D2932" s="736">
        <v>150000</v>
      </c>
      <c r="E2932" s="749">
        <v>10000</v>
      </c>
      <c r="F2932" s="736">
        <v>0</v>
      </c>
      <c r="G2932" s="752">
        <v>150000</v>
      </c>
      <c r="H2932" s="752"/>
      <c r="I2932" s="752"/>
      <c r="J2932" s="736">
        <f t="shared" si="885"/>
        <v>150000</v>
      </c>
      <c r="K2932" s="752"/>
      <c r="L2932" s="752"/>
      <c r="M2932" s="736">
        <f t="shared" si="886"/>
        <v>150000</v>
      </c>
      <c r="N2932" s="736"/>
      <c r="O2932" s="736"/>
      <c r="P2932" s="736">
        <f t="shared" si="884"/>
        <v>150000</v>
      </c>
      <c r="Q2932" s="753">
        <v>150000</v>
      </c>
      <c r="R2932" s="738">
        <v>91203.839999999997</v>
      </c>
      <c r="S2932" s="753">
        <v>15000</v>
      </c>
      <c r="T2932" s="739">
        <v>1100121</v>
      </c>
      <c r="U2932" s="740">
        <v>150000</v>
      </c>
      <c r="V2932" s="741">
        <v>1100122</v>
      </c>
    </row>
    <row r="2933" spans="1:22" ht="15" x14ac:dyDescent="0.2">
      <c r="A2933" s="739">
        <v>3751</v>
      </c>
      <c r="B2933" s="743" t="s">
        <v>44</v>
      </c>
      <c r="C2933" s="736"/>
      <c r="D2933" s="736">
        <v>10000</v>
      </c>
      <c r="E2933" s="749">
        <v>33000</v>
      </c>
      <c r="F2933" s="736">
        <v>23105.72</v>
      </c>
      <c r="G2933" s="752">
        <v>15000</v>
      </c>
      <c r="H2933" s="752"/>
      <c r="I2933" s="752"/>
      <c r="J2933" s="736">
        <f t="shared" si="885"/>
        <v>15000</v>
      </c>
      <c r="K2933" s="752"/>
      <c r="L2933" s="752"/>
      <c r="M2933" s="736">
        <f t="shared" si="886"/>
        <v>15000</v>
      </c>
      <c r="N2933" s="736"/>
      <c r="O2933" s="736"/>
      <c r="P2933" s="736">
        <f t="shared" si="884"/>
        <v>15000</v>
      </c>
      <c r="Q2933" s="753">
        <v>15000</v>
      </c>
      <c r="R2933" s="738"/>
      <c r="S2933" s="753"/>
      <c r="T2933" s="739">
        <v>1100121</v>
      </c>
      <c r="U2933" s="744"/>
      <c r="V2933" s="739">
        <v>1100122</v>
      </c>
    </row>
    <row r="2934" spans="1:22" ht="15" x14ac:dyDescent="0.2">
      <c r="A2934" s="734">
        <v>3791</v>
      </c>
      <c r="B2934" s="735" t="s">
        <v>45</v>
      </c>
      <c r="C2934" s="736">
        <v>8330</v>
      </c>
      <c r="D2934" s="736">
        <v>12000</v>
      </c>
      <c r="E2934" s="749">
        <v>27000</v>
      </c>
      <c r="F2934" s="736">
        <v>20952.990000000002</v>
      </c>
      <c r="G2934" s="752">
        <v>27000</v>
      </c>
      <c r="H2934" s="752"/>
      <c r="I2934" s="752"/>
      <c r="J2934" s="736">
        <f t="shared" si="885"/>
        <v>27000</v>
      </c>
      <c r="K2934" s="752"/>
      <c r="L2934" s="752"/>
      <c r="M2934" s="736">
        <f t="shared" si="886"/>
        <v>27000</v>
      </c>
      <c r="N2934" s="736"/>
      <c r="O2934" s="736"/>
      <c r="P2934" s="736">
        <f t="shared" si="884"/>
        <v>27000</v>
      </c>
      <c r="Q2934" s="753">
        <v>27000</v>
      </c>
      <c r="R2934" s="738"/>
      <c r="S2934" s="753"/>
      <c r="T2934" s="739">
        <v>1100121</v>
      </c>
      <c r="U2934" s="754">
        <v>20000</v>
      </c>
      <c r="V2934" s="741">
        <v>1100122</v>
      </c>
    </row>
    <row r="2935" spans="1:22" ht="15" x14ac:dyDescent="0.2">
      <c r="A2935" s="734">
        <v>3852</v>
      </c>
      <c r="B2935" s="735" t="s">
        <v>32</v>
      </c>
      <c r="C2935" s="736">
        <v>40429.050000000003</v>
      </c>
      <c r="D2935" s="736">
        <v>100000</v>
      </c>
      <c r="E2935" s="749">
        <v>100000</v>
      </c>
      <c r="F2935" s="736">
        <v>19227.07</v>
      </c>
      <c r="G2935" s="752">
        <v>60000</v>
      </c>
      <c r="H2935" s="752"/>
      <c r="I2935" s="752"/>
      <c r="J2935" s="736">
        <f t="shared" si="885"/>
        <v>60000</v>
      </c>
      <c r="K2935" s="752"/>
      <c r="L2935" s="752"/>
      <c r="M2935" s="736">
        <f t="shared" si="886"/>
        <v>60000</v>
      </c>
      <c r="N2935" s="736"/>
      <c r="O2935" s="736"/>
      <c r="P2935" s="736">
        <f t="shared" si="884"/>
        <v>60000</v>
      </c>
      <c r="Q2935" s="753">
        <v>60000</v>
      </c>
      <c r="R2935" s="738">
        <v>23418.959999999999</v>
      </c>
      <c r="S2935" s="753">
        <v>60000</v>
      </c>
      <c r="T2935" s="739">
        <v>1100121</v>
      </c>
      <c r="U2935" s="754">
        <v>60000</v>
      </c>
      <c r="V2935" s="741">
        <v>1100122</v>
      </c>
    </row>
    <row r="2936" spans="1:22" ht="15" x14ac:dyDescent="0.2">
      <c r="A2936" s="739">
        <v>5151</v>
      </c>
      <c r="B2936" s="743" t="s">
        <v>1681</v>
      </c>
      <c r="C2936" s="736"/>
      <c r="D2936" s="736"/>
      <c r="E2936" s="749"/>
      <c r="F2936" s="736"/>
      <c r="G2936" s="752"/>
      <c r="H2936" s="752"/>
      <c r="I2936" s="752"/>
      <c r="J2936" s="736"/>
      <c r="K2936" s="752"/>
      <c r="L2936" s="752"/>
      <c r="M2936" s="736"/>
      <c r="N2936" s="736"/>
      <c r="O2936" s="736"/>
      <c r="P2936" s="736"/>
      <c r="Q2936" s="753"/>
      <c r="R2936" s="738"/>
      <c r="S2936" s="753">
        <v>27000</v>
      </c>
      <c r="T2936" s="739"/>
      <c r="U2936" s="744"/>
      <c r="V2936" s="739"/>
    </row>
    <row r="2937" spans="1:22" ht="15" x14ac:dyDescent="0.2">
      <c r="A2937" s="728" t="s">
        <v>1832</v>
      </c>
      <c r="B2937" s="729" t="s">
        <v>1833</v>
      </c>
      <c r="C2937" s="730">
        <f t="shared" ref="C2937:S2937" si="887">SUM(C2938:C2960)</f>
        <v>21778781.259999998</v>
      </c>
      <c r="D2937" s="730">
        <f t="shared" si="887"/>
        <v>18472175</v>
      </c>
      <c r="E2937" s="730">
        <f t="shared" si="887"/>
        <v>20656263.920000002</v>
      </c>
      <c r="F2937" s="730">
        <f t="shared" si="887"/>
        <v>20578767.969999995</v>
      </c>
      <c r="G2937" s="730">
        <f t="shared" si="887"/>
        <v>0</v>
      </c>
      <c r="H2937" s="730">
        <f t="shared" si="887"/>
        <v>0</v>
      </c>
      <c r="I2937" s="730">
        <f t="shared" si="887"/>
        <v>0</v>
      </c>
      <c r="J2937" s="730">
        <f t="shared" si="887"/>
        <v>0</v>
      </c>
      <c r="K2937" s="730">
        <f t="shared" si="887"/>
        <v>0</v>
      </c>
      <c r="L2937" s="730">
        <f t="shared" si="887"/>
        <v>0</v>
      </c>
      <c r="M2937" s="730">
        <f t="shared" si="887"/>
        <v>0</v>
      </c>
      <c r="N2937" s="730">
        <f t="shared" si="887"/>
        <v>0</v>
      </c>
      <c r="O2937" s="730">
        <f t="shared" si="887"/>
        <v>0</v>
      </c>
      <c r="P2937" s="748">
        <f t="shared" si="887"/>
        <v>0</v>
      </c>
      <c r="Q2937" s="748">
        <f t="shared" si="887"/>
        <v>0</v>
      </c>
      <c r="R2937" s="748">
        <f>SUM(R2938:R2960)</f>
        <v>0</v>
      </c>
      <c r="S2937" s="748">
        <f t="shared" si="887"/>
        <v>0</v>
      </c>
      <c r="T2937" s="731"/>
      <c r="U2937" s="732">
        <f t="shared" ref="U2937" si="888">SUM(U2938:U2960)</f>
        <v>0</v>
      </c>
      <c r="V2937" s="728"/>
    </row>
    <row r="2938" spans="1:22" ht="15" x14ac:dyDescent="0.2">
      <c r="A2938" s="739">
        <v>1431</v>
      </c>
      <c r="B2938" s="743" t="s">
        <v>16</v>
      </c>
      <c r="C2938" s="736">
        <v>3636835</v>
      </c>
      <c r="D2938" s="736">
        <v>0</v>
      </c>
      <c r="E2938" s="749">
        <v>2000002.92</v>
      </c>
      <c r="F2938" s="736">
        <v>2000002.92</v>
      </c>
      <c r="G2938" s="736"/>
      <c r="H2938" s="736"/>
      <c r="I2938" s="736"/>
      <c r="J2938" s="736">
        <f t="shared" ref="J2938:J2960" si="889">G2938+H2938-I2938</f>
        <v>0</v>
      </c>
      <c r="K2938" s="736"/>
      <c r="L2938" s="736"/>
      <c r="M2938" s="736">
        <f t="shared" ref="M2938:M2960" si="890">J2938+K2938-L2938</f>
        <v>0</v>
      </c>
      <c r="N2938" s="736"/>
      <c r="O2938" s="736"/>
      <c r="P2938" s="738">
        <f t="shared" ref="P2938:P2960" si="891">M2938+N2938-O2938</f>
        <v>0</v>
      </c>
      <c r="Q2938" s="738"/>
      <c r="R2938" s="738"/>
      <c r="S2938" s="738"/>
      <c r="T2938" s="739">
        <v>2510221</v>
      </c>
      <c r="U2938" s="750"/>
      <c r="V2938" s="739">
        <v>2510222</v>
      </c>
    </row>
    <row r="2939" spans="1:22" ht="15" x14ac:dyDescent="0.2">
      <c r="A2939" s="739">
        <v>1593</v>
      </c>
      <c r="B2939" s="743" t="s">
        <v>322</v>
      </c>
      <c r="C2939" s="736"/>
      <c r="D2939" s="736">
        <v>0</v>
      </c>
      <c r="E2939" s="749">
        <v>1382708</v>
      </c>
      <c r="F2939" s="736">
        <v>1368057.82</v>
      </c>
      <c r="G2939" s="736"/>
      <c r="H2939" s="736"/>
      <c r="I2939" s="736"/>
      <c r="J2939" s="736">
        <f t="shared" si="889"/>
        <v>0</v>
      </c>
      <c r="K2939" s="736"/>
      <c r="L2939" s="736"/>
      <c r="M2939" s="736">
        <f t="shared" si="890"/>
        <v>0</v>
      </c>
      <c r="N2939" s="736"/>
      <c r="O2939" s="736"/>
      <c r="P2939" s="738">
        <f t="shared" si="891"/>
        <v>0</v>
      </c>
      <c r="Q2939" s="738"/>
      <c r="R2939" s="738"/>
      <c r="S2939" s="738"/>
      <c r="T2939" s="739">
        <v>2510221</v>
      </c>
      <c r="U2939" s="750"/>
      <c r="V2939" s="739">
        <v>2510222</v>
      </c>
    </row>
    <row r="2940" spans="1:22" ht="15" x14ac:dyDescent="0.2">
      <c r="A2940" s="739">
        <v>1712</v>
      </c>
      <c r="B2940" s="743" t="s">
        <v>1834</v>
      </c>
      <c r="C2940" s="736"/>
      <c r="D2940" s="736">
        <v>0</v>
      </c>
      <c r="E2940" s="749">
        <v>0</v>
      </c>
      <c r="F2940" s="736">
        <v>0</v>
      </c>
      <c r="G2940" s="736"/>
      <c r="H2940" s="736"/>
      <c r="I2940" s="736"/>
      <c r="J2940" s="736">
        <f t="shared" si="889"/>
        <v>0</v>
      </c>
      <c r="K2940" s="736"/>
      <c r="L2940" s="736"/>
      <c r="M2940" s="736">
        <f t="shared" si="890"/>
        <v>0</v>
      </c>
      <c r="N2940" s="736"/>
      <c r="O2940" s="736"/>
      <c r="P2940" s="738">
        <f t="shared" si="891"/>
        <v>0</v>
      </c>
      <c r="Q2940" s="738"/>
      <c r="R2940" s="738"/>
      <c r="S2940" s="738"/>
      <c r="T2940" s="739">
        <v>2510221</v>
      </c>
      <c r="U2940" s="750"/>
      <c r="V2940" s="739">
        <v>2510222</v>
      </c>
    </row>
    <row r="2941" spans="1:22" ht="15" x14ac:dyDescent="0.2">
      <c r="A2941" s="739">
        <v>2111</v>
      </c>
      <c r="B2941" s="743" t="s">
        <v>22</v>
      </c>
      <c r="C2941" s="736">
        <v>24600</v>
      </c>
      <c r="D2941" s="736">
        <v>24750</v>
      </c>
      <c r="E2941" s="749">
        <v>70500</v>
      </c>
      <c r="F2941" s="736">
        <v>62821.42</v>
      </c>
      <c r="G2941" s="736"/>
      <c r="H2941" s="736"/>
      <c r="I2941" s="736"/>
      <c r="J2941" s="736">
        <f t="shared" si="889"/>
        <v>0</v>
      </c>
      <c r="K2941" s="736"/>
      <c r="L2941" s="736"/>
      <c r="M2941" s="736">
        <f t="shared" si="890"/>
        <v>0</v>
      </c>
      <c r="N2941" s="736"/>
      <c r="O2941" s="736"/>
      <c r="P2941" s="738">
        <f t="shared" si="891"/>
        <v>0</v>
      </c>
      <c r="Q2941" s="738"/>
      <c r="R2941" s="738"/>
      <c r="S2941" s="738"/>
      <c r="T2941" s="739">
        <v>2520321</v>
      </c>
      <c r="U2941" s="745"/>
      <c r="V2941" s="739">
        <v>2520322</v>
      </c>
    </row>
    <row r="2942" spans="1:22" ht="15" x14ac:dyDescent="0.2">
      <c r="A2942" s="739">
        <v>2171</v>
      </c>
      <c r="B2942" s="743" t="s">
        <v>174</v>
      </c>
      <c r="C2942" s="736"/>
      <c r="D2942" s="736">
        <v>0</v>
      </c>
      <c r="E2942" s="749">
        <v>18000</v>
      </c>
      <c r="F2942" s="736">
        <v>17999.96</v>
      </c>
      <c r="G2942" s="736"/>
      <c r="H2942" s="736"/>
      <c r="I2942" s="736"/>
      <c r="J2942" s="736">
        <f t="shared" si="889"/>
        <v>0</v>
      </c>
      <c r="K2942" s="736"/>
      <c r="L2942" s="736"/>
      <c r="M2942" s="736">
        <f t="shared" si="890"/>
        <v>0</v>
      </c>
      <c r="N2942" s="736"/>
      <c r="O2942" s="736"/>
      <c r="P2942" s="738">
        <f t="shared" si="891"/>
        <v>0</v>
      </c>
      <c r="Q2942" s="738"/>
      <c r="R2942" s="738"/>
      <c r="S2942" s="738"/>
      <c r="T2942" s="739">
        <v>2520321</v>
      </c>
      <c r="U2942" s="745"/>
      <c r="V2942" s="739">
        <v>2520322</v>
      </c>
    </row>
    <row r="2943" spans="1:22" ht="15" x14ac:dyDescent="0.2">
      <c r="A2943" s="739">
        <v>2491</v>
      </c>
      <c r="B2943" s="743" t="s">
        <v>41</v>
      </c>
      <c r="C2943" s="736"/>
      <c r="D2943" s="736">
        <v>0</v>
      </c>
      <c r="E2943" s="749">
        <v>28276</v>
      </c>
      <c r="F2943" s="736">
        <v>25053.39</v>
      </c>
      <c r="G2943" s="736"/>
      <c r="H2943" s="736"/>
      <c r="I2943" s="736"/>
      <c r="J2943" s="736">
        <f t="shared" si="889"/>
        <v>0</v>
      </c>
      <c r="K2943" s="736"/>
      <c r="L2943" s="736"/>
      <c r="M2943" s="736">
        <f t="shared" si="890"/>
        <v>0</v>
      </c>
      <c r="N2943" s="736"/>
      <c r="O2943" s="736"/>
      <c r="P2943" s="738">
        <f t="shared" si="891"/>
        <v>0</v>
      </c>
      <c r="Q2943" s="738"/>
      <c r="R2943" s="738"/>
      <c r="S2943" s="738"/>
      <c r="T2943" s="739">
        <v>2520321</v>
      </c>
      <c r="U2943" s="745"/>
      <c r="V2943" s="739">
        <v>2520322</v>
      </c>
    </row>
    <row r="2944" spans="1:22" ht="30" x14ac:dyDescent="0.2">
      <c r="A2944" s="739">
        <v>2612</v>
      </c>
      <c r="B2944" s="743" t="s">
        <v>26</v>
      </c>
      <c r="C2944" s="736"/>
      <c r="D2944" s="736">
        <v>15000</v>
      </c>
      <c r="E2944" s="749">
        <v>14000</v>
      </c>
      <c r="F2944" s="736">
        <v>620.12</v>
      </c>
      <c r="G2944" s="736"/>
      <c r="H2944" s="736"/>
      <c r="I2944" s="736"/>
      <c r="J2944" s="736">
        <f t="shared" si="889"/>
        <v>0</v>
      </c>
      <c r="K2944" s="736"/>
      <c r="L2944" s="736"/>
      <c r="M2944" s="736">
        <f t="shared" si="890"/>
        <v>0</v>
      </c>
      <c r="N2944" s="736"/>
      <c r="O2944" s="736"/>
      <c r="P2944" s="738">
        <f t="shared" si="891"/>
        <v>0</v>
      </c>
      <c r="Q2944" s="738"/>
      <c r="R2944" s="738"/>
      <c r="S2944" s="738">
        <f>Q2944</f>
        <v>0</v>
      </c>
      <c r="T2944" s="739">
        <v>2510221</v>
      </c>
      <c r="U2944" s="745"/>
      <c r="V2944" s="739">
        <v>2510222</v>
      </c>
    </row>
    <row r="2945" spans="1:22" ht="15" x14ac:dyDescent="0.2">
      <c r="A2945" s="739">
        <v>2711</v>
      </c>
      <c r="B2945" s="743" t="s">
        <v>27</v>
      </c>
      <c r="C2945" s="736">
        <v>7161840</v>
      </c>
      <c r="D2945" s="736">
        <v>7188000</v>
      </c>
      <c r="E2945" s="749">
        <v>11878664</v>
      </c>
      <c r="F2945" s="736">
        <v>12151001.140000001</v>
      </c>
      <c r="G2945" s="736"/>
      <c r="H2945" s="736"/>
      <c r="I2945" s="736"/>
      <c r="J2945" s="736">
        <f t="shared" si="889"/>
        <v>0</v>
      </c>
      <c r="K2945" s="736"/>
      <c r="L2945" s="736"/>
      <c r="M2945" s="736">
        <f t="shared" si="890"/>
        <v>0</v>
      </c>
      <c r="N2945" s="736"/>
      <c r="O2945" s="736"/>
      <c r="P2945" s="738">
        <f t="shared" si="891"/>
        <v>0</v>
      </c>
      <c r="Q2945" s="738"/>
      <c r="R2945" s="738"/>
      <c r="S2945" s="738"/>
      <c r="T2945" s="739">
        <v>2520321</v>
      </c>
      <c r="U2945" s="745"/>
      <c r="V2945" s="739">
        <v>2520322</v>
      </c>
    </row>
    <row r="2946" spans="1:22" ht="15" x14ac:dyDescent="0.2">
      <c r="A2946" s="739">
        <v>2731</v>
      </c>
      <c r="B2946" s="743" t="s">
        <v>330</v>
      </c>
      <c r="C2946" s="736"/>
      <c r="D2946" s="736">
        <v>0</v>
      </c>
      <c r="E2946" s="749">
        <v>15000</v>
      </c>
      <c r="F2946" s="736">
        <v>14999.96</v>
      </c>
      <c r="G2946" s="736"/>
      <c r="H2946" s="736"/>
      <c r="I2946" s="736"/>
      <c r="J2946" s="736">
        <f t="shared" si="889"/>
        <v>0</v>
      </c>
      <c r="K2946" s="736"/>
      <c r="L2946" s="736"/>
      <c r="M2946" s="736">
        <f t="shared" si="890"/>
        <v>0</v>
      </c>
      <c r="N2946" s="736"/>
      <c r="O2946" s="736"/>
      <c r="P2946" s="738">
        <f t="shared" si="891"/>
        <v>0</v>
      </c>
      <c r="Q2946" s="738"/>
      <c r="R2946" s="738"/>
      <c r="S2946" s="738"/>
      <c r="T2946" s="739">
        <v>2520321</v>
      </c>
      <c r="U2946" s="745"/>
      <c r="V2946" s="739">
        <v>2520322</v>
      </c>
    </row>
    <row r="2947" spans="1:22" ht="15" x14ac:dyDescent="0.2">
      <c r="A2947" s="739">
        <v>2831</v>
      </c>
      <c r="B2947" s="743" t="s">
        <v>1835</v>
      </c>
      <c r="C2947" s="736">
        <v>4779432</v>
      </c>
      <c r="D2947" s="736">
        <v>5012000</v>
      </c>
      <c r="E2947" s="749">
        <v>0</v>
      </c>
      <c r="F2947" s="736">
        <v>0</v>
      </c>
      <c r="G2947" s="736"/>
      <c r="H2947" s="736"/>
      <c r="I2947" s="736"/>
      <c r="J2947" s="736">
        <f t="shared" si="889"/>
        <v>0</v>
      </c>
      <c r="K2947" s="736"/>
      <c r="L2947" s="736"/>
      <c r="M2947" s="736">
        <f t="shared" si="890"/>
        <v>0</v>
      </c>
      <c r="N2947" s="736"/>
      <c r="O2947" s="736"/>
      <c r="P2947" s="738">
        <f t="shared" si="891"/>
        <v>0</v>
      </c>
      <c r="Q2947" s="738"/>
      <c r="R2947" s="738"/>
      <c r="S2947" s="738"/>
      <c r="T2947" s="739">
        <v>2520321</v>
      </c>
      <c r="U2947" s="745"/>
      <c r="V2947" s="739">
        <v>2520322</v>
      </c>
    </row>
    <row r="2948" spans="1:22" ht="15" x14ac:dyDescent="0.2">
      <c r="A2948" s="739">
        <v>2911</v>
      </c>
      <c r="B2948" s="743" t="s">
        <v>60</v>
      </c>
      <c r="C2948" s="736"/>
      <c r="D2948" s="736">
        <v>0</v>
      </c>
      <c r="E2948" s="749">
        <v>14974.43</v>
      </c>
      <c r="F2948" s="736">
        <v>14847.45</v>
      </c>
      <c r="G2948" s="736"/>
      <c r="H2948" s="736"/>
      <c r="I2948" s="736"/>
      <c r="J2948" s="736">
        <f t="shared" si="889"/>
        <v>0</v>
      </c>
      <c r="K2948" s="736"/>
      <c r="L2948" s="736"/>
      <c r="M2948" s="736">
        <f t="shared" si="890"/>
        <v>0</v>
      </c>
      <c r="N2948" s="736"/>
      <c r="O2948" s="736"/>
      <c r="P2948" s="738">
        <f t="shared" si="891"/>
        <v>0</v>
      </c>
      <c r="Q2948" s="738"/>
      <c r="R2948" s="738"/>
      <c r="S2948" s="738"/>
      <c r="T2948" s="739">
        <v>2520321</v>
      </c>
      <c r="U2948" s="745"/>
      <c r="V2948" s="739">
        <v>2520322</v>
      </c>
    </row>
    <row r="2949" spans="1:22" ht="15" x14ac:dyDescent="0.2">
      <c r="A2949" s="739">
        <v>3181</v>
      </c>
      <c r="B2949" s="743" t="s">
        <v>62</v>
      </c>
      <c r="C2949" s="736"/>
      <c r="D2949" s="736">
        <v>0</v>
      </c>
      <c r="E2949" s="749">
        <v>4000</v>
      </c>
      <c r="F2949" s="736">
        <v>236.79</v>
      </c>
      <c r="G2949" s="736"/>
      <c r="H2949" s="736"/>
      <c r="I2949" s="736"/>
      <c r="J2949" s="736">
        <f t="shared" si="889"/>
        <v>0</v>
      </c>
      <c r="K2949" s="736"/>
      <c r="L2949" s="736"/>
      <c r="M2949" s="736">
        <f t="shared" si="890"/>
        <v>0</v>
      </c>
      <c r="N2949" s="736"/>
      <c r="O2949" s="736"/>
      <c r="P2949" s="738">
        <f t="shared" si="891"/>
        <v>0</v>
      </c>
      <c r="Q2949" s="738"/>
      <c r="R2949" s="738"/>
      <c r="S2949" s="738"/>
      <c r="T2949" s="739">
        <v>2510221</v>
      </c>
      <c r="U2949" s="745"/>
      <c r="V2949" s="739">
        <v>2510222</v>
      </c>
    </row>
    <row r="2950" spans="1:22" ht="15" x14ac:dyDescent="0.2">
      <c r="A2950" s="739">
        <v>3341</v>
      </c>
      <c r="B2950" s="743" t="s">
        <v>219</v>
      </c>
      <c r="C2950" s="736">
        <v>3173200</v>
      </c>
      <c r="D2950" s="736">
        <v>3174700</v>
      </c>
      <c r="E2950" s="749">
        <v>3910000</v>
      </c>
      <c r="F2950" s="736">
        <v>3648355</v>
      </c>
      <c r="G2950" s="736"/>
      <c r="H2950" s="736"/>
      <c r="I2950" s="736"/>
      <c r="J2950" s="736">
        <f t="shared" si="889"/>
        <v>0</v>
      </c>
      <c r="K2950" s="736"/>
      <c r="L2950" s="736"/>
      <c r="M2950" s="736">
        <f t="shared" si="890"/>
        <v>0</v>
      </c>
      <c r="N2950" s="736"/>
      <c r="O2950" s="736"/>
      <c r="P2950" s="738">
        <f t="shared" si="891"/>
        <v>0</v>
      </c>
      <c r="Q2950" s="738"/>
      <c r="R2950" s="738"/>
      <c r="S2950" s="738"/>
      <c r="T2950" s="739">
        <v>2520321</v>
      </c>
      <c r="U2950" s="745"/>
      <c r="V2950" s="739">
        <v>2520322</v>
      </c>
    </row>
    <row r="2951" spans="1:22" ht="15" x14ac:dyDescent="0.2">
      <c r="A2951" s="739">
        <v>3352</v>
      </c>
      <c r="B2951" s="743" t="s">
        <v>1836</v>
      </c>
      <c r="C2951" s="736"/>
      <c r="D2951" s="736">
        <v>0</v>
      </c>
      <c r="E2951" s="749">
        <v>25000.32</v>
      </c>
      <c r="F2951" s="736">
        <v>25000</v>
      </c>
      <c r="G2951" s="736"/>
      <c r="H2951" s="736"/>
      <c r="I2951" s="736"/>
      <c r="J2951" s="736">
        <f t="shared" si="889"/>
        <v>0</v>
      </c>
      <c r="K2951" s="736"/>
      <c r="L2951" s="736"/>
      <c r="M2951" s="736">
        <f t="shared" si="890"/>
        <v>0</v>
      </c>
      <c r="N2951" s="736"/>
      <c r="O2951" s="736"/>
      <c r="P2951" s="738">
        <f t="shared" si="891"/>
        <v>0</v>
      </c>
      <c r="Q2951" s="738"/>
      <c r="R2951" s="738"/>
      <c r="S2951" s="738"/>
      <c r="T2951" s="739">
        <v>2520321</v>
      </c>
      <c r="U2951" s="745"/>
      <c r="V2951" s="739">
        <v>2520322</v>
      </c>
    </row>
    <row r="2952" spans="1:22" ht="15" x14ac:dyDescent="0.2">
      <c r="A2952" s="739">
        <v>3391</v>
      </c>
      <c r="B2952" s="743" t="s">
        <v>118</v>
      </c>
      <c r="C2952" s="736">
        <v>2921200</v>
      </c>
      <c r="D2952" s="736">
        <v>2951300</v>
      </c>
      <c r="E2952" s="749">
        <v>1116500</v>
      </c>
      <c r="F2952" s="736">
        <v>1116500</v>
      </c>
      <c r="G2952" s="736"/>
      <c r="H2952" s="736"/>
      <c r="I2952" s="736"/>
      <c r="J2952" s="736">
        <f t="shared" si="889"/>
        <v>0</v>
      </c>
      <c r="K2952" s="736"/>
      <c r="L2952" s="736"/>
      <c r="M2952" s="736">
        <f t="shared" si="890"/>
        <v>0</v>
      </c>
      <c r="N2952" s="736"/>
      <c r="O2952" s="736"/>
      <c r="P2952" s="738">
        <f t="shared" si="891"/>
        <v>0</v>
      </c>
      <c r="Q2952" s="738"/>
      <c r="R2952" s="738"/>
      <c r="S2952" s="738"/>
      <c r="T2952" s="739">
        <v>2520321</v>
      </c>
      <c r="U2952" s="745"/>
      <c r="V2952" s="739">
        <v>2520322</v>
      </c>
    </row>
    <row r="2953" spans="1:22" ht="15" x14ac:dyDescent="0.2">
      <c r="A2953" s="739">
        <v>3611</v>
      </c>
      <c r="B2953" s="743" t="s">
        <v>66</v>
      </c>
      <c r="C2953" s="736">
        <v>73400</v>
      </c>
      <c r="D2953" s="736">
        <v>73425</v>
      </c>
      <c r="E2953" s="749">
        <v>50000</v>
      </c>
      <c r="F2953" s="736">
        <v>41504.92</v>
      </c>
      <c r="G2953" s="736"/>
      <c r="H2953" s="736"/>
      <c r="I2953" s="736"/>
      <c r="J2953" s="736">
        <f t="shared" si="889"/>
        <v>0</v>
      </c>
      <c r="K2953" s="736"/>
      <c r="L2953" s="736"/>
      <c r="M2953" s="736">
        <f t="shared" si="890"/>
        <v>0</v>
      </c>
      <c r="N2953" s="736"/>
      <c r="O2953" s="736"/>
      <c r="P2953" s="738">
        <f t="shared" si="891"/>
        <v>0</v>
      </c>
      <c r="Q2953" s="738"/>
      <c r="R2953" s="738"/>
      <c r="S2953" s="738"/>
      <c r="T2953" s="739">
        <v>2520321</v>
      </c>
      <c r="U2953" s="745"/>
      <c r="V2953" s="739">
        <v>2520322</v>
      </c>
    </row>
    <row r="2954" spans="1:22" ht="15" x14ac:dyDescent="0.2">
      <c r="A2954" s="739">
        <v>3721</v>
      </c>
      <c r="B2954" s="743" t="s">
        <v>50</v>
      </c>
      <c r="C2954" s="736">
        <v>2469.27</v>
      </c>
      <c r="D2954" s="736">
        <v>11000</v>
      </c>
      <c r="E2954" s="749">
        <v>14000</v>
      </c>
      <c r="F2954" s="736">
        <v>4479.95</v>
      </c>
      <c r="G2954" s="736"/>
      <c r="H2954" s="736"/>
      <c r="I2954" s="736"/>
      <c r="J2954" s="736">
        <f t="shared" si="889"/>
        <v>0</v>
      </c>
      <c r="K2954" s="736"/>
      <c r="L2954" s="736"/>
      <c r="M2954" s="736">
        <f t="shared" si="890"/>
        <v>0</v>
      </c>
      <c r="N2954" s="736"/>
      <c r="O2954" s="736"/>
      <c r="P2954" s="738">
        <f t="shared" si="891"/>
        <v>0</v>
      </c>
      <c r="Q2954" s="738"/>
      <c r="R2954" s="738"/>
      <c r="S2954" s="738"/>
      <c r="T2954" s="739">
        <v>2510221</v>
      </c>
      <c r="U2954" s="745"/>
      <c r="V2954" s="739">
        <v>2510222</v>
      </c>
    </row>
    <row r="2955" spans="1:22" ht="15" x14ac:dyDescent="0.2">
      <c r="A2955" s="739">
        <v>3751</v>
      </c>
      <c r="B2955" s="743" t="s">
        <v>44</v>
      </c>
      <c r="C2955" s="736">
        <v>1584</v>
      </c>
      <c r="D2955" s="736">
        <v>11000</v>
      </c>
      <c r="E2955" s="749">
        <v>14000</v>
      </c>
      <c r="F2955" s="736">
        <v>2342.13</v>
      </c>
      <c r="G2955" s="736"/>
      <c r="H2955" s="736"/>
      <c r="I2955" s="736"/>
      <c r="J2955" s="736">
        <f t="shared" si="889"/>
        <v>0</v>
      </c>
      <c r="K2955" s="736"/>
      <c r="L2955" s="736"/>
      <c r="M2955" s="736">
        <f t="shared" si="890"/>
        <v>0</v>
      </c>
      <c r="N2955" s="736"/>
      <c r="O2955" s="736"/>
      <c r="P2955" s="738">
        <f t="shared" si="891"/>
        <v>0</v>
      </c>
      <c r="Q2955" s="738"/>
      <c r="R2955" s="738"/>
      <c r="S2955" s="738"/>
      <c r="T2955" s="739">
        <v>2510221</v>
      </c>
      <c r="U2955" s="745"/>
      <c r="V2955" s="739">
        <v>2510222</v>
      </c>
    </row>
    <row r="2956" spans="1:22" ht="15" x14ac:dyDescent="0.2">
      <c r="A2956" s="739">
        <v>3791</v>
      </c>
      <c r="B2956" s="743" t="s">
        <v>45</v>
      </c>
      <c r="C2956" s="736">
        <v>4220.99</v>
      </c>
      <c r="D2956" s="736">
        <v>11000</v>
      </c>
      <c r="E2956" s="749">
        <v>14000</v>
      </c>
      <c r="F2956" s="736">
        <v>1741</v>
      </c>
      <c r="G2956" s="736"/>
      <c r="H2956" s="736"/>
      <c r="I2956" s="736"/>
      <c r="J2956" s="736">
        <f t="shared" si="889"/>
        <v>0</v>
      </c>
      <c r="K2956" s="736"/>
      <c r="L2956" s="736"/>
      <c r="M2956" s="736">
        <f t="shared" si="890"/>
        <v>0</v>
      </c>
      <c r="N2956" s="736"/>
      <c r="O2956" s="736"/>
      <c r="P2956" s="738">
        <f t="shared" si="891"/>
        <v>0</v>
      </c>
      <c r="Q2956" s="738"/>
      <c r="R2956" s="738"/>
      <c r="S2956" s="738"/>
      <c r="T2956" s="739">
        <v>2510221</v>
      </c>
      <c r="U2956" s="745"/>
      <c r="V2956" s="739">
        <v>2510222</v>
      </c>
    </row>
    <row r="2957" spans="1:22" ht="15" x14ac:dyDescent="0.2">
      <c r="A2957" s="739">
        <v>5111</v>
      </c>
      <c r="B2957" s="743" t="s">
        <v>35</v>
      </c>
      <c r="C2957" s="736"/>
      <c r="D2957" s="736">
        <v>0</v>
      </c>
      <c r="E2957" s="749">
        <v>17327.650000000001</v>
      </c>
      <c r="F2957" s="736">
        <v>17327.650000000001</v>
      </c>
      <c r="G2957" s="736"/>
      <c r="H2957" s="736"/>
      <c r="I2957" s="736"/>
      <c r="J2957" s="736">
        <f t="shared" si="889"/>
        <v>0</v>
      </c>
      <c r="K2957" s="736"/>
      <c r="L2957" s="736"/>
      <c r="M2957" s="736">
        <f t="shared" si="890"/>
        <v>0</v>
      </c>
      <c r="N2957" s="736"/>
      <c r="O2957" s="736"/>
      <c r="P2957" s="738">
        <f t="shared" si="891"/>
        <v>0</v>
      </c>
      <c r="Q2957" s="738"/>
      <c r="R2957" s="738"/>
      <c r="S2957" s="738"/>
      <c r="T2957" s="739">
        <v>2520321</v>
      </c>
      <c r="U2957" s="745"/>
      <c r="V2957" s="739">
        <v>2520322</v>
      </c>
    </row>
    <row r="2958" spans="1:22" ht="15" x14ac:dyDescent="0.2">
      <c r="A2958" s="739">
        <v>5151</v>
      </c>
      <c r="B2958" s="743" t="s">
        <v>36</v>
      </c>
      <c r="C2958" s="736"/>
      <c r="D2958" s="736">
        <v>0</v>
      </c>
      <c r="E2958" s="749">
        <v>25000</v>
      </c>
      <c r="F2958" s="736">
        <v>22993.06</v>
      </c>
      <c r="G2958" s="736"/>
      <c r="H2958" s="736"/>
      <c r="I2958" s="736"/>
      <c r="J2958" s="736">
        <f t="shared" si="889"/>
        <v>0</v>
      </c>
      <c r="K2958" s="736"/>
      <c r="L2958" s="736"/>
      <c r="M2958" s="736">
        <f t="shared" si="890"/>
        <v>0</v>
      </c>
      <c r="N2958" s="736"/>
      <c r="O2958" s="736"/>
      <c r="P2958" s="738">
        <f t="shared" si="891"/>
        <v>0</v>
      </c>
      <c r="Q2958" s="738"/>
      <c r="R2958" s="738"/>
      <c r="S2958" s="738"/>
      <c r="T2958" s="739">
        <v>2520321</v>
      </c>
      <c r="U2958" s="745"/>
      <c r="V2958" s="739">
        <v>2520322</v>
      </c>
    </row>
    <row r="2959" spans="1:22" ht="15" x14ac:dyDescent="0.2">
      <c r="A2959" s="739">
        <v>5211</v>
      </c>
      <c r="B2959" s="743" t="s">
        <v>71</v>
      </c>
      <c r="C2959" s="736"/>
      <c r="D2959" s="736">
        <v>0</v>
      </c>
      <c r="E2959" s="749">
        <v>19310.599999999999</v>
      </c>
      <c r="F2959" s="736">
        <v>18535.29</v>
      </c>
      <c r="G2959" s="736"/>
      <c r="H2959" s="736"/>
      <c r="I2959" s="736"/>
      <c r="J2959" s="736">
        <f t="shared" si="889"/>
        <v>0</v>
      </c>
      <c r="K2959" s="736"/>
      <c r="L2959" s="736"/>
      <c r="M2959" s="736">
        <f t="shared" si="890"/>
        <v>0</v>
      </c>
      <c r="N2959" s="736"/>
      <c r="O2959" s="736"/>
      <c r="P2959" s="738">
        <f t="shared" si="891"/>
        <v>0</v>
      </c>
      <c r="Q2959" s="738"/>
      <c r="R2959" s="738"/>
      <c r="S2959" s="738"/>
      <c r="T2959" s="739">
        <v>2520321</v>
      </c>
      <c r="U2959" s="745"/>
      <c r="V2959" s="739">
        <v>2520322</v>
      </c>
    </row>
    <row r="2960" spans="1:22" ht="15" x14ac:dyDescent="0.2">
      <c r="A2960" s="739">
        <v>5291</v>
      </c>
      <c r="B2960" s="743" t="s">
        <v>1767</v>
      </c>
      <c r="C2960" s="736"/>
      <c r="D2960" s="736">
        <v>0</v>
      </c>
      <c r="E2960" s="749">
        <v>25000</v>
      </c>
      <c r="F2960" s="736">
        <v>24348</v>
      </c>
      <c r="G2960" s="736"/>
      <c r="H2960" s="736"/>
      <c r="I2960" s="736"/>
      <c r="J2960" s="736">
        <f t="shared" si="889"/>
        <v>0</v>
      </c>
      <c r="K2960" s="736"/>
      <c r="L2960" s="736"/>
      <c r="M2960" s="736">
        <f t="shared" si="890"/>
        <v>0</v>
      </c>
      <c r="N2960" s="736"/>
      <c r="O2960" s="736"/>
      <c r="P2960" s="738">
        <f t="shared" si="891"/>
        <v>0</v>
      </c>
      <c r="Q2960" s="738"/>
      <c r="R2960" s="738"/>
      <c r="S2960" s="738"/>
      <c r="T2960" s="739">
        <v>2520321</v>
      </c>
      <c r="U2960" s="745"/>
      <c r="V2960" s="739">
        <v>2520322</v>
      </c>
    </row>
    <row r="2961" spans="1:22" ht="15" x14ac:dyDescent="0.2">
      <c r="A2961" s="724" t="s">
        <v>331</v>
      </c>
      <c r="B2961" s="725" t="s">
        <v>1125</v>
      </c>
      <c r="C2961" s="721">
        <f t="shared" ref="C2961:S2961" si="892">SUM(C2962+C2989+C3061)</f>
        <v>78358523.659999996</v>
      </c>
      <c r="D2961" s="721">
        <f t="shared" si="892"/>
        <v>89925973.599999994</v>
      </c>
      <c r="E2961" s="721">
        <f t="shared" si="892"/>
        <v>93590501.140000001</v>
      </c>
      <c r="F2961" s="721">
        <f t="shared" si="892"/>
        <v>87103697.709999993</v>
      </c>
      <c r="G2961" s="721">
        <f t="shared" si="892"/>
        <v>89308190.519999996</v>
      </c>
      <c r="H2961" s="721">
        <f t="shared" si="892"/>
        <v>8407113.4199999999</v>
      </c>
      <c r="I2961" s="721">
        <f t="shared" si="892"/>
        <v>715333.44</v>
      </c>
      <c r="J2961" s="721">
        <f t="shared" si="892"/>
        <v>96999970.500000015</v>
      </c>
      <c r="K2961" s="721">
        <f t="shared" si="892"/>
        <v>2252435.8563198661</v>
      </c>
      <c r="L2961" s="721">
        <f t="shared" si="892"/>
        <v>3604413.7</v>
      </c>
      <c r="M2961" s="721">
        <f t="shared" si="892"/>
        <v>95647992.650000006</v>
      </c>
      <c r="N2961" s="721">
        <f t="shared" si="892"/>
        <v>6901360</v>
      </c>
      <c r="O2961" s="721">
        <f t="shared" si="892"/>
        <v>2167000</v>
      </c>
      <c r="P2961" s="721">
        <f t="shared" si="892"/>
        <v>100382352.65000001</v>
      </c>
      <c r="Q2961" s="756">
        <f t="shared" si="892"/>
        <v>103840868.90000001</v>
      </c>
      <c r="R2961" s="756">
        <f t="shared" si="892"/>
        <v>67085572.860000007</v>
      </c>
      <c r="S2961" s="756">
        <f t="shared" si="892"/>
        <v>116131937.05999997</v>
      </c>
      <c r="T2961" s="724"/>
      <c r="U2961" s="726">
        <f>SUM(U2962+U2989+U3061)</f>
        <v>86678218.070000008</v>
      </c>
      <c r="V2961" s="727"/>
    </row>
    <row r="2962" spans="1:22" ht="15" x14ac:dyDescent="0.2">
      <c r="A2962" s="728" t="s">
        <v>332</v>
      </c>
      <c r="B2962" s="729" t="s">
        <v>1571</v>
      </c>
      <c r="C2962" s="730">
        <f t="shared" ref="C2962:Q2962" si="893">SUM(C2963:C2987)</f>
        <v>8967764.2300000004</v>
      </c>
      <c r="D2962" s="730">
        <f t="shared" si="893"/>
        <v>9415020.3000000007</v>
      </c>
      <c r="E2962" s="730">
        <f t="shared" si="893"/>
        <v>9193896.370000001</v>
      </c>
      <c r="F2962" s="730">
        <f t="shared" si="893"/>
        <v>7938577.4400000004</v>
      </c>
      <c r="G2962" s="730">
        <f t="shared" si="893"/>
        <v>9541976.8999999985</v>
      </c>
      <c r="H2962" s="730">
        <f t="shared" si="893"/>
        <v>0</v>
      </c>
      <c r="I2962" s="730">
        <f t="shared" si="893"/>
        <v>0</v>
      </c>
      <c r="J2962" s="730">
        <f t="shared" si="893"/>
        <v>9541976.8999999985</v>
      </c>
      <c r="K2962" s="730">
        <f t="shared" si="893"/>
        <v>78899.586319866168</v>
      </c>
      <c r="L2962" s="730">
        <f t="shared" si="893"/>
        <v>4413.68</v>
      </c>
      <c r="M2962" s="730">
        <f t="shared" si="893"/>
        <v>9616462.8000000007</v>
      </c>
      <c r="N2962" s="730">
        <f t="shared" si="893"/>
        <v>192000</v>
      </c>
      <c r="O2962" s="730">
        <f t="shared" si="893"/>
        <v>192000</v>
      </c>
      <c r="P2962" s="730">
        <f t="shared" si="893"/>
        <v>9616462.8000000007</v>
      </c>
      <c r="Q2962" s="748">
        <f t="shared" si="893"/>
        <v>9608639.1699999981</v>
      </c>
      <c r="R2962" s="748">
        <f>SUM(R2963:R2988)</f>
        <v>3814948.67</v>
      </c>
      <c r="S2962" s="748">
        <f>SUM(S2963:S2988)</f>
        <v>9092396.4699999988</v>
      </c>
      <c r="T2962" s="731"/>
      <c r="U2962" s="732">
        <f>SUM(U2963:U2988)</f>
        <v>5735267.1899999995</v>
      </c>
      <c r="V2962" s="733"/>
    </row>
    <row r="2963" spans="1:22" ht="15" x14ac:dyDescent="0.25">
      <c r="A2963" s="734">
        <v>1131</v>
      </c>
      <c r="B2963" s="735" t="s">
        <v>6</v>
      </c>
      <c r="C2963" s="736">
        <v>391186.65</v>
      </c>
      <c r="D2963" s="736">
        <v>464307.48</v>
      </c>
      <c r="E2963" s="749">
        <v>417217.51</v>
      </c>
      <c r="F2963" s="736">
        <v>400676.21</v>
      </c>
      <c r="G2963" s="736">
        <v>397107.5</v>
      </c>
      <c r="H2963" s="736"/>
      <c r="I2963" s="736"/>
      <c r="J2963" s="736">
        <f t="shared" ref="J2963:J2972" si="894">G2963+H2963-I2963</f>
        <v>397107.5</v>
      </c>
      <c r="K2963" s="737">
        <v>1784.88</v>
      </c>
      <c r="L2963" s="736"/>
      <c r="M2963" s="736">
        <f t="shared" ref="M2963:M2972" si="895">J2963+K2963-L2963</f>
        <v>398892.38</v>
      </c>
      <c r="N2963" s="736"/>
      <c r="O2963" s="736"/>
      <c r="P2963" s="736">
        <f t="shared" ref="P2963:P2982" si="896">M2963+N2963-O2963</f>
        <v>398892.38</v>
      </c>
      <c r="Q2963" s="738">
        <v>398892.38</v>
      </c>
      <c r="R2963" s="738">
        <v>286772.63</v>
      </c>
      <c r="S2963" s="751">
        <v>524760.6</v>
      </c>
      <c r="T2963" s="739">
        <v>1500521</v>
      </c>
      <c r="U2963" s="779">
        <v>411579.35</v>
      </c>
      <c r="V2963" s="741">
        <v>1500522</v>
      </c>
    </row>
    <row r="2964" spans="1:22" ht="15" x14ac:dyDescent="0.25">
      <c r="A2964" s="734">
        <v>1132</v>
      </c>
      <c r="B2964" s="735" t="s">
        <v>8</v>
      </c>
      <c r="C2964" s="736">
        <v>394620.07</v>
      </c>
      <c r="D2964" s="736">
        <v>427907.48</v>
      </c>
      <c r="E2964" s="749">
        <v>234793.48</v>
      </c>
      <c r="F2964" s="736">
        <v>238134.99</v>
      </c>
      <c r="G2964" s="736">
        <v>96252.6</v>
      </c>
      <c r="H2964" s="736"/>
      <c r="I2964" s="736"/>
      <c r="J2964" s="736">
        <f t="shared" si="894"/>
        <v>96252.6</v>
      </c>
      <c r="K2964" s="737">
        <v>3392.82</v>
      </c>
      <c r="L2964" s="736"/>
      <c r="M2964" s="736">
        <f t="shared" si="895"/>
        <v>99645.420000000013</v>
      </c>
      <c r="N2964" s="736"/>
      <c r="O2964" s="736"/>
      <c r="P2964" s="736">
        <f t="shared" si="896"/>
        <v>99645.420000000013</v>
      </c>
      <c r="Q2964" s="738">
        <v>99645.42</v>
      </c>
      <c r="R2964" s="738">
        <v>70865.539999999994</v>
      </c>
      <c r="S2964" s="751">
        <v>293085.52</v>
      </c>
      <c r="T2964" s="739">
        <v>1500521</v>
      </c>
      <c r="U2964" s="779">
        <v>101739.53</v>
      </c>
      <c r="V2964" s="741">
        <v>1500522</v>
      </c>
    </row>
    <row r="2965" spans="1:22" ht="15" x14ac:dyDescent="0.25">
      <c r="A2965" s="734">
        <v>1212</v>
      </c>
      <c r="B2965" s="735" t="s">
        <v>53</v>
      </c>
      <c r="C2965" s="736">
        <v>1685412.19</v>
      </c>
      <c r="D2965" s="736">
        <v>2103332.4</v>
      </c>
      <c r="E2965" s="749">
        <v>2488238.5</v>
      </c>
      <c r="F2965" s="736">
        <v>2474749.33</v>
      </c>
      <c r="G2965" s="736">
        <v>2636946</v>
      </c>
      <c r="H2965" s="736"/>
      <c r="I2965" s="736"/>
      <c r="J2965" s="736">
        <f t="shared" si="894"/>
        <v>2636946</v>
      </c>
      <c r="K2965" s="737">
        <v>25470.18</v>
      </c>
      <c r="L2965" s="736"/>
      <c r="M2965" s="736">
        <f t="shared" si="895"/>
        <v>2662416.1800000002</v>
      </c>
      <c r="N2965" s="736"/>
      <c r="O2965" s="736"/>
      <c r="P2965" s="736">
        <f t="shared" si="896"/>
        <v>2662416.1800000002</v>
      </c>
      <c r="Q2965" s="738">
        <v>2662416.1800000002</v>
      </c>
      <c r="R2965" s="738">
        <v>1655960.42</v>
      </c>
      <c r="S2965" s="751">
        <v>2495005.2000000002</v>
      </c>
      <c r="T2965" s="739">
        <v>1500521</v>
      </c>
      <c r="U2965" s="779">
        <v>2224124.62</v>
      </c>
      <c r="V2965" s="741">
        <v>1500522</v>
      </c>
    </row>
    <row r="2966" spans="1:22" ht="15" x14ac:dyDescent="0.25">
      <c r="A2966" s="734">
        <v>1321</v>
      </c>
      <c r="B2966" s="735" t="s">
        <v>9</v>
      </c>
      <c r="C2966" s="736">
        <v>55547.18</v>
      </c>
      <c r="D2966" s="736">
        <v>60667.55</v>
      </c>
      <c r="E2966" s="749">
        <v>56643.55</v>
      </c>
      <c r="F2966" s="736">
        <v>50921.78</v>
      </c>
      <c r="G2966" s="736">
        <v>43792.4</v>
      </c>
      <c r="H2966" s="736"/>
      <c r="I2966" s="736"/>
      <c r="J2966" s="736">
        <f t="shared" si="894"/>
        <v>43792.4</v>
      </c>
      <c r="K2966" s="737">
        <v>3964</v>
      </c>
      <c r="L2966" s="736"/>
      <c r="M2966" s="736">
        <f t="shared" si="895"/>
        <v>47756.4</v>
      </c>
      <c r="N2966" s="736"/>
      <c r="O2966" s="736"/>
      <c r="P2966" s="736">
        <f t="shared" si="896"/>
        <v>47756.4</v>
      </c>
      <c r="Q2966" s="738">
        <v>53598.31</v>
      </c>
      <c r="R2966" s="738">
        <v>26821.119999999999</v>
      </c>
      <c r="S2966" s="751">
        <v>66886.2</v>
      </c>
      <c r="T2966" s="739">
        <v>1500521</v>
      </c>
      <c r="U2966" s="779">
        <v>48516.04</v>
      </c>
      <c r="V2966" s="741">
        <v>1500522</v>
      </c>
    </row>
    <row r="2967" spans="1:22" ht="15" x14ac:dyDescent="0.25">
      <c r="A2967" s="734">
        <v>1323</v>
      </c>
      <c r="B2967" s="735" t="s">
        <v>11</v>
      </c>
      <c r="C2967" s="736">
        <v>217749</v>
      </c>
      <c r="D2967" s="736">
        <v>245689.85</v>
      </c>
      <c r="E2967" s="749">
        <v>238344.62</v>
      </c>
      <c r="F2967" s="736">
        <v>204584.14</v>
      </c>
      <c r="G2967" s="736">
        <v>195761.80000000002</v>
      </c>
      <c r="H2967" s="736"/>
      <c r="I2967" s="736"/>
      <c r="J2967" s="736">
        <f t="shared" si="894"/>
        <v>195761.80000000002</v>
      </c>
      <c r="K2967" s="737">
        <v>4858.8500000000004</v>
      </c>
      <c r="L2967" s="736"/>
      <c r="M2967" s="736">
        <f t="shared" si="895"/>
        <v>200620.65000000002</v>
      </c>
      <c r="N2967" s="736"/>
      <c r="O2967" s="736"/>
      <c r="P2967" s="736">
        <f t="shared" si="896"/>
        <v>200620.65000000002</v>
      </c>
      <c r="Q2967" s="738">
        <v>200620.65</v>
      </c>
      <c r="R2967" s="738">
        <v>71786.36</v>
      </c>
      <c r="S2967" s="751">
        <v>253613.55</v>
      </c>
      <c r="T2967" s="739">
        <v>1500521</v>
      </c>
      <c r="U2967" s="779">
        <v>187558.12</v>
      </c>
      <c r="V2967" s="741">
        <v>1500522</v>
      </c>
    </row>
    <row r="2968" spans="1:22" ht="15" x14ac:dyDescent="0.25">
      <c r="A2968" s="734">
        <v>1331</v>
      </c>
      <c r="B2968" s="735" t="s">
        <v>183</v>
      </c>
      <c r="C2968" s="736">
        <v>19753.310000000001</v>
      </c>
      <c r="D2968" s="736">
        <v>22000</v>
      </c>
      <c r="E2968" s="749">
        <v>20885.96</v>
      </c>
      <c r="F2968" s="736">
        <v>7582.98</v>
      </c>
      <c r="G2968" s="736">
        <v>20886</v>
      </c>
      <c r="H2968" s="736"/>
      <c r="I2968" s="736"/>
      <c r="J2968" s="736">
        <f t="shared" si="894"/>
        <v>20886</v>
      </c>
      <c r="K2968" s="736"/>
      <c r="L2968" s="736">
        <v>0.04</v>
      </c>
      <c r="M2968" s="736">
        <f t="shared" si="895"/>
        <v>20885.96</v>
      </c>
      <c r="N2968" s="736"/>
      <c r="O2968" s="736"/>
      <c r="P2968" s="736">
        <f t="shared" si="896"/>
        <v>20885.96</v>
      </c>
      <c r="Q2968" s="738">
        <v>20885.96</v>
      </c>
      <c r="R2968" s="738"/>
      <c r="S2968" s="751">
        <v>20885.96</v>
      </c>
      <c r="T2968" s="739">
        <v>1500521</v>
      </c>
      <c r="U2968" s="779">
        <v>20885.96</v>
      </c>
      <c r="V2968" s="741">
        <v>1500522</v>
      </c>
    </row>
    <row r="2969" spans="1:22" ht="15" x14ac:dyDescent="0.25">
      <c r="A2969" s="734">
        <v>1413</v>
      </c>
      <c r="B2969" s="735" t="s">
        <v>13</v>
      </c>
      <c r="C2969" s="736">
        <v>442311.32</v>
      </c>
      <c r="D2969" s="736">
        <v>596064.64</v>
      </c>
      <c r="E2969" s="749">
        <v>575038.89</v>
      </c>
      <c r="F2969" s="736">
        <v>571879.47</v>
      </c>
      <c r="G2969" s="736">
        <v>623824.69999999995</v>
      </c>
      <c r="H2969" s="736"/>
      <c r="I2969" s="736"/>
      <c r="J2969" s="736">
        <f t="shared" si="894"/>
        <v>623824.69999999995</v>
      </c>
      <c r="K2969" s="737">
        <v>14945.81</v>
      </c>
      <c r="L2969" s="736"/>
      <c r="M2969" s="736">
        <f t="shared" si="895"/>
        <v>638770.51</v>
      </c>
      <c r="N2969" s="736"/>
      <c r="O2969" s="736"/>
      <c r="P2969" s="736">
        <f t="shared" si="896"/>
        <v>638770.51</v>
      </c>
      <c r="Q2969" s="738">
        <v>617665.06999999995</v>
      </c>
      <c r="R2969" s="738">
        <v>383269.92</v>
      </c>
      <c r="S2969" s="751">
        <v>724488.12</v>
      </c>
      <c r="T2969" s="739">
        <v>1500521</v>
      </c>
      <c r="U2969" s="779">
        <v>516260.48</v>
      </c>
      <c r="V2969" s="741">
        <v>1500522</v>
      </c>
    </row>
    <row r="2970" spans="1:22" ht="15" x14ac:dyDescent="0.25">
      <c r="A2970" s="734">
        <v>1421</v>
      </c>
      <c r="B2970" s="735" t="s">
        <v>15</v>
      </c>
      <c r="C2970" s="736">
        <v>145524.6</v>
      </c>
      <c r="D2970" s="736">
        <v>182249.08</v>
      </c>
      <c r="E2970" s="749">
        <v>158022.38</v>
      </c>
      <c r="F2970" s="736">
        <v>173825.07</v>
      </c>
      <c r="G2970" s="736">
        <v>180794.9</v>
      </c>
      <c r="H2970" s="736"/>
      <c r="I2970" s="736"/>
      <c r="J2970" s="736">
        <f t="shared" si="894"/>
        <v>180794.9</v>
      </c>
      <c r="K2970" s="737">
        <v>3879.45</v>
      </c>
      <c r="L2970" s="736"/>
      <c r="M2970" s="736">
        <f t="shared" si="895"/>
        <v>184674.35</v>
      </c>
      <c r="N2970" s="736"/>
      <c r="O2970" s="736"/>
      <c r="P2970" s="736">
        <f t="shared" si="896"/>
        <v>184674.35</v>
      </c>
      <c r="Q2970" s="738">
        <v>184674.35</v>
      </c>
      <c r="R2970" s="738">
        <v>102105.58</v>
      </c>
      <c r="S2970" s="751">
        <v>200776.68</v>
      </c>
      <c r="T2970" s="739">
        <v>1500521</v>
      </c>
      <c r="U2970" s="779">
        <v>185700.61</v>
      </c>
      <c r="V2970" s="741">
        <v>1500522</v>
      </c>
    </row>
    <row r="2971" spans="1:22" ht="15" x14ac:dyDescent="0.25">
      <c r="A2971" s="734">
        <v>1431</v>
      </c>
      <c r="B2971" s="735" t="s">
        <v>16</v>
      </c>
      <c r="C2971" s="736">
        <v>152605.20000000001</v>
      </c>
      <c r="D2971" s="736">
        <v>187716.6</v>
      </c>
      <c r="E2971" s="749">
        <v>165840.5</v>
      </c>
      <c r="F2971" s="736">
        <v>183670.28</v>
      </c>
      <c r="G2971" s="736">
        <v>186218.80000000002</v>
      </c>
      <c r="H2971" s="736"/>
      <c r="I2971" s="736"/>
      <c r="J2971" s="736">
        <f t="shared" si="894"/>
        <v>186218.80000000002</v>
      </c>
      <c r="K2971" s="737">
        <v>3957.82</v>
      </c>
      <c r="L2971" s="736"/>
      <c r="M2971" s="736">
        <f t="shared" si="895"/>
        <v>190176.62000000002</v>
      </c>
      <c r="N2971" s="736"/>
      <c r="O2971" s="736"/>
      <c r="P2971" s="736">
        <f t="shared" si="896"/>
        <v>190176.62000000002</v>
      </c>
      <c r="Q2971" s="738">
        <v>190176.62</v>
      </c>
      <c r="R2971" s="738">
        <v>105235.79</v>
      </c>
      <c r="S2971" s="751">
        <v>206799.96</v>
      </c>
      <c r="T2971" s="739">
        <v>1500521</v>
      </c>
      <c r="U2971" s="779">
        <v>187140.15</v>
      </c>
      <c r="V2971" s="741">
        <v>1500522</v>
      </c>
    </row>
    <row r="2972" spans="1:22" ht="15" x14ac:dyDescent="0.25">
      <c r="A2972" s="734">
        <v>1511</v>
      </c>
      <c r="B2972" s="735" t="s">
        <v>18</v>
      </c>
      <c r="C2972" s="736">
        <v>19897.77</v>
      </c>
      <c r="D2972" s="736">
        <v>23015.72</v>
      </c>
      <c r="E2972" s="749">
        <v>20679.72</v>
      </c>
      <c r="F2972" s="736">
        <v>15496.59</v>
      </c>
      <c r="G2972" s="736">
        <v>12507.1</v>
      </c>
      <c r="H2972" s="736"/>
      <c r="I2972" s="736"/>
      <c r="J2972" s="736">
        <f t="shared" si="894"/>
        <v>12507.1</v>
      </c>
      <c r="K2972" s="737">
        <v>419.02</v>
      </c>
      <c r="L2972" s="736">
        <v>4413.6400000000003</v>
      </c>
      <c r="M2972" s="736">
        <f t="shared" si="895"/>
        <v>8512.48</v>
      </c>
      <c r="N2972" s="736"/>
      <c r="O2972" s="736"/>
      <c r="P2972" s="736">
        <f t="shared" si="896"/>
        <v>8512.48</v>
      </c>
      <c r="Q2972" s="738">
        <v>8512.48</v>
      </c>
      <c r="R2972" s="738">
        <v>8185.4</v>
      </c>
      <c r="S2972" s="751">
        <v>21792.68</v>
      </c>
      <c r="T2972" s="739">
        <v>1500521</v>
      </c>
      <c r="U2972" s="779">
        <v>12556.75</v>
      </c>
      <c r="V2972" s="741">
        <v>1500522</v>
      </c>
    </row>
    <row r="2973" spans="1:22" ht="15" x14ac:dyDescent="0.25">
      <c r="A2973" s="739">
        <v>1511</v>
      </c>
      <c r="B2973" s="743" t="s">
        <v>18</v>
      </c>
      <c r="C2973" s="736"/>
      <c r="D2973" s="736"/>
      <c r="E2973" s="749"/>
      <c r="F2973" s="736"/>
      <c r="G2973" s="736"/>
      <c r="H2973" s="736"/>
      <c r="I2973" s="736"/>
      <c r="J2973" s="736"/>
      <c r="K2973" s="737">
        <v>4413.6463198661804</v>
      </c>
      <c r="L2973" s="736"/>
      <c r="M2973" s="924">
        <v>4413.6400000000003</v>
      </c>
      <c r="N2973" s="736"/>
      <c r="O2973" s="736"/>
      <c r="P2973" s="736">
        <f t="shared" si="896"/>
        <v>4413.6400000000003</v>
      </c>
      <c r="Q2973" s="738">
        <v>4413.6400000000003</v>
      </c>
      <c r="R2973" s="738">
        <v>976.08</v>
      </c>
      <c r="S2973" s="751"/>
      <c r="T2973" s="739">
        <v>1100121</v>
      </c>
      <c r="U2973" s="780"/>
      <c r="V2973" s="739">
        <v>1100122</v>
      </c>
    </row>
    <row r="2974" spans="1:22" ht="15" x14ac:dyDescent="0.25">
      <c r="A2974" s="734">
        <v>1541</v>
      </c>
      <c r="B2974" s="735" t="s">
        <v>19</v>
      </c>
      <c r="C2974" s="736">
        <v>150033.24</v>
      </c>
      <c r="D2974" s="736">
        <v>150421.18</v>
      </c>
      <c r="E2974" s="749">
        <v>141746.4</v>
      </c>
      <c r="F2974" s="736">
        <v>146134.32</v>
      </c>
      <c r="G2974" s="736">
        <v>182185.1</v>
      </c>
      <c r="H2974" s="736"/>
      <c r="I2974" s="736"/>
      <c r="J2974" s="736">
        <f t="shared" ref="J2974:J2982" si="897">G2974+H2974-I2974</f>
        <v>182185.1</v>
      </c>
      <c r="K2974" s="737">
        <v>6934.42</v>
      </c>
      <c r="L2974" s="736"/>
      <c r="M2974" s="736">
        <f t="shared" ref="M2974:M2982" si="898">J2974+K2974-L2974</f>
        <v>189119.52000000002</v>
      </c>
      <c r="N2974" s="736"/>
      <c r="O2974" s="736"/>
      <c r="P2974" s="736">
        <f t="shared" si="896"/>
        <v>189119.52000000002</v>
      </c>
      <c r="Q2974" s="738">
        <v>189119.52</v>
      </c>
      <c r="R2974" s="738">
        <v>113789.22</v>
      </c>
      <c r="S2974" s="751">
        <v>191859.72</v>
      </c>
      <c r="T2974" s="739">
        <v>1500521</v>
      </c>
      <c r="U2974" s="779">
        <v>185971.5</v>
      </c>
      <c r="V2974" s="741">
        <v>1500522</v>
      </c>
    </row>
    <row r="2975" spans="1:22" ht="15" x14ac:dyDescent="0.2">
      <c r="A2975" s="734">
        <v>1592</v>
      </c>
      <c r="B2975" s="735" t="s">
        <v>20</v>
      </c>
      <c r="C2975" s="736">
        <v>222812.6</v>
      </c>
      <c r="D2975" s="736">
        <v>258396.32</v>
      </c>
      <c r="E2975" s="749">
        <v>171425.37</v>
      </c>
      <c r="F2975" s="736">
        <v>176369.79</v>
      </c>
      <c r="G2975" s="736">
        <v>145600</v>
      </c>
      <c r="H2975" s="736"/>
      <c r="I2975" s="736"/>
      <c r="J2975" s="736">
        <f t="shared" si="897"/>
        <v>145600</v>
      </c>
      <c r="K2975" s="737">
        <v>4878.6899999999996</v>
      </c>
      <c r="L2975" s="736"/>
      <c r="M2975" s="736">
        <f t="shared" si="898"/>
        <v>150478.69</v>
      </c>
      <c r="N2975" s="736"/>
      <c r="O2975" s="736"/>
      <c r="P2975" s="736">
        <f t="shared" si="896"/>
        <v>150478.69</v>
      </c>
      <c r="Q2975" s="738">
        <v>161775.93</v>
      </c>
      <c r="R2975" s="738">
        <v>106659.92</v>
      </c>
      <c r="S2975" s="751">
        <v>271642.28000000003</v>
      </c>
      <c r="T2975" s="739">
        <v>1500521</v>
      </c>
      <c r="U2975" s="742">
        <v>153234.07999999999</v>
      </c>
      <c r="V2975" s="741">
        <v>1500522</v>
      </c>
    </row>
    <row r="2976" spans="1:22" ht="15" x14ac:dyDescent="0.2">
      <c r="A2976" s="734">
        <v>2111</v>
      </c>
      <c r="B2976" s="735" t="s">
        <v>22</v>
      </c>
      <c r="C2976" s="736">
        <v>43528.53</v>
      </c>
      <c r="D2976" s="736">
        <v>20000</v>
      </c>
      <c r="E2976" s="749">
        <v>14000</v>
      </c>
      <c r="F2976" s="736">
        <v>13000</v>
      </c>
      <c r="G2976" s="752">
        <v>14000</v>
      </c>
      <c r="H2976" s="752"/>
      <c r="I2976" s="752"/>
      <c r="J2976" s="736">
        <f t="shared" si="897"/>
        <v>14000</v>
      </c>
      <c r="K2976" s="752"/>
      <c r="L2976" s="752"/>
      <c r="M2976" s="736">
        <f t="shared" si="898"/>
        <v>14000</v>
      </c>
      <c r="N2976" s="736"/>
      <c r="O2976" s="736"/>
      <c r="P2976" s="736">
        <f t="shared" si="896"/>
        <v>14000</v>
      </c>
      <c r="Q2976" s="753">
        <v>12202.98</v>
      </c>
      <c r="R2976" s="738">
        <v>10340.52</v>
      </c>
      <c r="S2976" s="753">
        <v>20000</v>
      </c>
      <c r="T2976" s="739">
        <v>1100121</v>
      </c>
      <c r="U2976" s="754">
        <v>20000</v>
      </c>
      <c r="V2976" s="741">
        <v>1100122</v>
      </c>
    </row>
    <row r="2977" spans="1:22" ht="15" x14ac:dyDescent="0.2">
      <c r="A2977" s="739">
        <v>2112</v>
      </c>
      <c r="B2977" s="743" t="s">
        <v>39</v>
      </c>
      <c r="C2977" s="736">
        <v>49699.07</v>
      </c>
      <c r="D2977" s="736">
        <v>50000</v>
      </c>
      <c r="E2977" s="749">
        <v>50000</v>
      </c>
      <c r="F2977" s="736">
        <v>26129.99</v>
      </c>
      <c r="G2977" s="736"/>
      <c r="H2977" s="736"/>
      <c r="I2977" s="736"/>
      <c r="J2977" s="736">
        <f t="shared" si="897"/>
        <v>0</v>
      </c>
      <c r="K2977" s="736"/>
      <c r="L2977" s="736"/>
      <c r="M2977" s="736">
        <f t="shared" si="898"/>
        <v>0</v>
      </c>
      <c r="N2977" s="736"/>
      <c r="O2977" s="736"/>
      <c r="P2977" s="738">
        <f t="shared" si="896"/>
        <v>0</v>
      </c>
      <c r="Q2977" s="738"/>
      <c r="R2977" s="738"/>
      <c r="S2977" s="738">
        <v>142000</v>
      </c>
      <c r="T2977" s="739">
        <v>1100121</v>
      </c>
      <c r="U2977" s="750">
        <v>0</v>
      </c>
      <c r="V2977" s="739">
        <v>1100122</v>
      </c>
    </row>
    <row r="2978" spans="1:22" ht="15" x14ac:dyDescent="0.2">
      <c r="A2978" s="734">
        <v>2121</v>
      </c>
      <c r="B2978" s="735" t="s">
        <v>24</v>
      </c>
      <c r="C2978" s="736">
        <v>19000</v>
      </c>
      <c r="D2978" s="736">
        <v>20000</v>
      </c>
      <c r="E2978" s="749">
        <v>14000</v>
      </c>
      <c r="F2978" s="736">
        <v>13000</v>
      </c>
      <c r="G2978" s="752">
        <v>14000</v>
      </c>
      <c r="H2978" s="752"/>
      <c r="I2978" s="752"/>
      <c r="J2978" s="736">
        <f t="shared" si="897"/>
        <v>14000</v>
      </c>
      <c r="K2978" s="752"/>
      <c r="L2978" s="752"/>
      <c r="M2978" s="736">
        <f t="shared" si="898"/>
        <v>14000</v>
      </c>
      <c r="N2978" s="736"/>
      <c r="O2978" s="736"/>
      <c r="P2978" s="736">
        <f t="shared" si="896"/>
        <v>14000</v>
      </c>
      <c r="Q2978" s="753">
        <v>11939.68</v>
      </c>
      <c r="R2978" s="738">
        <v>10977.61</v>
      </c>
      <c r="S2978" s="753">
        <v>20000</v>
      </c>
      <c r="T2978" s="739">
        <v>1100121</v>
      </c>
      <c r="U2978" s="754">
        <v>20000</v>
      </c>
      <c r="V2978" s="741">
        <v>1100122</v>
      </c>
    </row>
    <row r="2979" spans="1:22" ht="15" x14ac:dyDescent="0.2">
      <c r="A2979" s="734">
        <v>2182</v>
      </c>
      <c r="B2979" s="735" t="s">
        <v>203</v>
      </c>
      <c r="C2979" s="736">
        <v>4755072</v>
      </c>
      <c r="D2979" s="736">
        <v>4593252</v>
      </c>
      <c r="E2979" s="749">
        <v>2769384</v>
      </c>
      <c r="F2979" s="736">
        <v>2769384</v>
      </c>
      <c r="G2979" s="752">
        <v>4782100</v>
      </c>
      <c r="H2979" s="752"/>
      <c r="I2979" s="752"/>
      <c r="J2979" s="736">
        <f t="shared" si="897"/>
        <v>4782100</v>
      </c>
      <c r="K2979" s="752"/>
      <c r="L2979" s="752"/>
      <c r="M2979" s="736">
        <f t="shared" si="898"/>
        <v>4782100</v>
      </c>
      <c r="N2979" s="736"/>
      <c r="O2979" s="736">
        <v>192000</v>
      </c>
      <c r="P2979" s="736">
        <f t="shared" si="896"/>
        <v>4590100</v>
      </c>
      <c r="Q2979" s="753">
        <v>4590100</v>
      </c>
      <c r="R2979" s="738">
        <v>711602</v>
      </c>
      <c r="S2979" s="753">
        <v>1400000</v>
      </c>
      <c r="T2979" s="739">
        <v>1100121</v>
      </c>
      <c r="U2979" s="754">
        <v>1400000</v>
      </c>
      <c r="V2979" s="741">
        <v>1100122</v>
      </c>
    </row>
    <row r="2980" spans="1:22" ht="15" x14ac:dyDescent="0.2">
      <c r="A2980" s="739">
        <v>2492</v>
      </c>
      <c r="B2980" s="743" t="s">
        <v>333</v>
      </c>
      <c r="C2980" s="736"/>
      <c r="D2980" s="736">
        <v>0</v>
      </c>
      <c r="E2980" s="749">
        <v>299034.81</v>
      </c>
      <c r="F2980" s="736">
        <v>17104.5</v>
      </c>
      <c r="G2980" s="736"/>
      <c r="H2980" s="736"/>
      <c r="I2980" s="736"/>
      <c r="J2980" s="736">
        <f t="shared" si="897"/>
        <v>0</v>
      </c>
      <c r="K2980" s="736"/>
      <c r="L2980" s="736"/>
      <c r="M2980" s="736">
        <f t="shared" si="898"/>
        <v>0</v>
      </c>
      <c r="N2980" s="736"/>
      <c r="O2980" s="736"/>
      <c r="P2980" s="738">
        <f t="shared" si="896"/>
        <v>0</v>
      </c>
      <c r="Q2980" s="738"/>
      <c r="R2980" s="738"/>
      <c r="S2980" s="738"/>
      <c r="T2980" s="739">
        <v>1100119</v>
      </c>
      <c r="U2980" s="744"/>
      <c r="V2980" s="739">
        <v>1100119</v>
      </c>
    </row>
    <row r="2981" spans="1:22" ht="15" x14ac:dyDescent="0.2">
      <c r="A2981" s="739">
        <v>2492</v>
      </c>
      <c r="B2981" s="743" t="s">
        <v>333</v>
      </c>
      <c r="C2981" s="736"/>
      <c r="D2981" s="736">
        <v>0</v>
      </c>
      <c r="E2981" s="749">
        <v>510176.82</v>
      </c>
      <c r="F2981" s="736">
        <v>0</v>
      </c>
      <c r="G2981" s="736"/>
      <c r="H2981" s="736"/>
      <c r="I2981" s="736"/>
      <c r="J2981" s="736">
        <f t="shared" si="897"/>
        <v>0</v>
      </c>
      <c r="K2981" s="736"/>
      <c r="L2981" s="736"/>
      <c r="M2981" s="736">
        <f t="shared" si="898"/>
        <v>0</v>
      </c>
      <c r="N2981" s="736"/>
      <c r="O2981" s="736"/>
      <c r="P2981" s="738">
        <f t="shared" si="896"/>
        <v>0</v>
      </c>
      <c r="Q2981" s="738"/>
      <c r="R2981" s="738"/>
      <c r="S2981" s="738"/>
      <c r="T2981" s="739">
        <v>1100121</v>
      </c>
      <c r="U2981" s="744"/>
      <c r="V2981" s="739">
        <v>1100122</v>
      </c>
    </row>
    <row r="2982" spans="1:22" ht="15" x14ac:dyDescent="0.2">
      <c r="A2982" s="739">
        <v>2492</v>
      </c>
      <c r="B2982" s="743" t="s">
        <v>333</v>
      </c>
      <c r="C2982" s="736"/>
      <c r="D2982" s="736">
        <v>0</v>
      </c>
      <c r="E2982" s="749">
        <v>0</v>
      </c>
      <c r="F2982" s="736">
        <v>0</v>
      </c>
      <c r="G2982" s="736"/>
      <c r="H2982" s="736"/>
      <c r="I2982" s="736"/>
      <c r="J2982" s="736">
        <f t="shared" si="897"/>
        <v>0</v>
      </c>
      <c r="K2982" s="736"/>
      <c r="L2982" s="736"/>
      <c r="M2982" s="736">
        <f t="shared" si="898"/>
        <v>0</v>
      </c>
      <c r="N2982" s="736"/>
      <c r="O2982" s="736"/>
      <c r="P2982" s="738">
        <f t="shared" si="896"/>
        <v>0</v>
      </c>
      <c r="Q2982" s="738"/>
      <c r="R2982" s="738"/>
      <c r="S2982" s="738"/>
      <c r="T2982" s="739">
        <v>2510221</v>
      </c>
      <c r="U2982" s="744"/>
      <c r="V2982" s="739">
        <v>2510222</v>
      </c>
    </row>
    <row r="2983" spans="1:22" ht="15" x14ac:dyDescent="0.2">
      <c r="A2983" s="739">
        <v>3511</v>
      </c>
      <c r="B2983" s="743" t="s">
        <v>1837</v>
      </c>
      <c r="C2983" s="736"/>
      <c r="D2983" s="736"/>
      <c r="E2983" s="749"/>
      <c r="F2983" s="736"/>
      <c r="G2983" s="736"/>
      <c r="H2983" s="736"/>
      <c r="I2983" s="736"/>
      <c r="J2983" s="736"/>
      <c r="K2983" s="736"/>
      <c r="L2983" s="736"/>
      <c r="M2983" s="736"/>
      <c r="N2983" s="736"/>
      <c r="O2983" s="736"/>
      <c r="P2983" s="738"/>
      <c r="Q2983" s="738"/>
      <c r="R2983" s="738"/>
      <c r="S2983" s="738">
        <v>100000</v>
      </c>
      <c r="T2983" s="739"/>
      <c r="U2983" s="750">
        <v>0</v>
      </c>
      <c r="V2983" s="739">
        <v>1100122</v>
      </c>
    </row>
    <row r="2984" spans="1:22" ht="15" x14ac:dyDescent="0.2">
      <c r="A2984" s="734">
        <v>3571</v>
      </c>
      <c r="B2984" s="735" t="s">
        <v>65</v>
      </c>
      <c r="C2984" s="736">
        <v>1844.4</v>
      </c>
      <c r="D2984" s="736">
        <v>10000</v>
      </c>
      <c r="E2984" s="749">
        <v>10000</v>
      </c>
      <c r="F2984" s="736">
        <v>0</v>
      </c>
      <c r="G2984" s="752">
        <v>10000</v>
      </c>
      <c r="H2984" s="752"/>
      <c r="I2984" s="752"/>
      <c r="J2984" s="736">
        <f>G2984+H2984-I2984</f>
        <v>10000</v>
      </c>
      <c r="K2984" s="752"/>
      <c r="L2984" s="752"/>
      <c r="M2984" s="736">
        <f>J2984+K2984-L2984</f>
        <v>10000</v>
      </c>
      <c r="N2984" s="736"/>
      <c r="O2984" s="736"/>
      <c r="P2984" s="736">
        <f>M2984+N2984-O2984</f>
        <v>10000</v>
      </c>
      <c r="Q2984" s="753">
        <v>10000</v>
      </c>
      <c r="R2984" s="738">
        <v>5301.2</v>
      </c>
      <c r="S2984" s="753">
        <v>60000</v>
      </c>
      <c r="T2984" s="739">
        <v>1100121</v>
      </c>
      <c r="U2984" s="754">
        <v>60000</v>
      </c>
      <c r="V2984" s="741">
        <v>1100122</v>
      </c>
    </row>
    <row r="2985" spans="1:22" ht="15" x14ac:dyDescent="0.2">
      <c r="A2985" s="739">
        <v>5110</v>
      </c>
      <c r="B2985" s="743" t="s">
        <v>1838</v>
      </c>
      <c r="C2985" s="736"/>
      <c r="D2985" s="736"/>
      <c r="E2985" s="749"/>
      <c r="F2985" s="736"/>
      <c r="G2985" s="752"/>
      <c r="H2985" s="752"/>
      <c r="I2985" s="752"/>
      <c r="J2985" s="736"/>
      <c r="K2985" s="752"/>
      <c r="L2985" s="752"/>
      <c r="M2985" s="736"/>
      <c r="N2985" s="736"/>
      <c r="O2985" s="736"/>
      <c r="P2985" s="736"/>
      <c r="Q2985" s="753"/>
      <c r="R2985" s="738"/>
      <c r="S2985" s="753">
        <v>390000</v>
      </c>
      <c r="T2985" s="739"/>
      <c r="U2985" s="920"/>
      <c r="V2985" s="739"/>
    </row>
    <row r="2986" spans="1:22" ht="15" x14ac:dyDescent="0.2">
      <c r="A2986" s="739">
        <v>5151</v>
      </c>
      <c r="B2986" s="743" t="s">
        <v>36</v>
      </c>
      <c r="C2986" s="736">
        <v>201167.1</v>
      </c>
      <c r="D2986" s="736">
        <v>0</v>
      </c>
      <c r="E2986" s="749">
        <v>18423.86</v>
      </c>
      <c r="F2986" s="736">
        <v>18423.86</v>
      </c>
      <c r="G2986" s="736"/>
      <c r="H2986" s="736"/>
      <c r="I2986" s="736"/>
      <c r="J2986" s="736">
        <f t="shared" ref="J2986:J2987" si="899">G2986+H2986-I2986</f>
        <v>0</v>
      </c>
      <c r="K2986" s="736"/>
      <c r="L2986" s="736"/>
      <c r="M2986" s="736">
        <f t="shared" ref="M2986:M2987" si="900">J2986+K2986-L2986</f>
        <v>0</v>
      </c>
      <c r="N2986" s="736"/>
      <c r="O2986" s="736"/>
      <c r="P2986" s="738">
        <f t="shared" ref="P2986:P2987" si="901">M2986+N2986-O2986</f>
        <v>0</v>
      </c>
      <c r="Q2986" s="738"/>
      <c r="R2986" s="738"/>
      <c r="S2986" s="738"/>
      <c r="T2986" s="739">
        <v>1100119</v>
      </c>
      <c r="U2986" s="920"/>
      <c r="V2986" s="739">
        <v>1100119</v>
      </c>
    </row>
    <row r="2987" spans="1:22" ht="15" x14ac:dyDescent="0.2">
      <c r="A2987" s="739">
        <v>5151</v>
      </c>
      <c r="B2987" s="743" t="s">
        <v>36</v>
      </c>
      <c r="C2987" s="736"/>
      <c r="D2987" s="736">
        <v>0</v>
      </c>
      <c r="E2987" s="749">
        <v>820000</v>
      </c>
      <c r="F2987" s="736">
        <v>437510.14</v>
      </c>
      <c r="G2987" s="736"/>
      <c r="H2987" s="736"/>
      <c r="I2987" s="736"/>
      <c r="J2987" s="736">
        <f t="shared" si="899"/>
        <v>0</v>
      </c>
      <c r="K2987" s="736"/>
      <c r="L2987" s="736"/>
      <c r="M2987" s="736">
        <f t="shared" si="900"/>
        <v>0</v>
      </c>
      <c r="N2987" s="736">
        <v>192000</v>
      </c>
      <c r="O2987" s="736"/>
      <c r="P2987" s="736">
        <f t="shared" si="901"/>
        <v>192000</v>
      </c>
      <c r="Q2987" s="738">
        <v>192000</v>
      </c>
      <c r="R2987" s="738">
        <v>144299.35999999999</v>
      </c>
      <c r="S2987" s="738">
        <v>1600000</v>
      </c>
      <c r="T2987" s="739">
        <v>1100121</v>
      </c>
      <c r="U2987" s="920"/>
      <c r="V2987" s="739">
        <v>1100122</v>
      </c>
    </row>
    <row r="2988" spans="1:22" ht="15" x14ac:dyDescent="0.2">
      <c r="A2988" s="739">
        <v>5641</v>
      </c>
      <c r="B2988" s="743" t="s">
        <v>1839</v>
      </c>
      <c r="C2988" s="736"/>
      <c r="D2988" s="736"/>
      <c r="E2988" s="749"/>
      <c r="F2988" s="736"/>
      <c r="G2988" s="736"/>
      <c r="H2988" s="736"/>
      <c r="I2988" s="736"/>
      <c r="J2988" s="736"/>
      <c r="K2988" s="736"/>
      <c r="L2988" s="736"/>
      <c r="M2988" s="736"/>
      <c r="N2988" s="736"/>
      <c r="O2988" s="736"/>
      <c r="P2988" s="736"/>
      <c r="Q2988" s="738"/>
      <c r="R2988" s="738"/>
      <c r="S2988" s="738">
        <v>88800</v>
      </c>
      <c r="T2988" s="739"/>
      <c r="U2988" s="920"/>
      <c r="V2988" s="739"/>
    </row>
    <row r="2989" spans="1:22" ht="15" x14ac:dyDescent="0.2">
      <c r="A2989" s="728" t="s">
        <v>334</v>
      </c>
      <c r="B2989" s="729" t="s">
        <v>1572</v>
      </c>
      <c r="C2989" s="730">
        <f t="shared" ref="C2989:S2989" si="902">SUM(C2990:C3060)</f>
        <v>63649931.68</v>
      </c>
      <c r="D2989" s="730">
        <f t="shared" si="902"/>
        <v>74598823.640000001</v>
      </c>
      <c r="E2989" s="730">
        <f t="shared" si="902"/>
        <v>77512158.969999999</v>
      </c>
      <c r="F2989" s="730">
        <f t="shared" si="902"/>
        <v>72187788.579999998</v>
      </c>
      <c r="G2989" s="730">
        <f t="shared" si="902"/>
        <v>71199176.419999987</v>
      </c>
      <c r="H2989" s="730">
        <f t="shared" si="902"/>
        <v>8407113.4199999999</v>
      </c>
      <c r="I2989" s="730">
        <f t="shared" si="902"/>
        <v>715333.44</v>
      </c>
      <c r="J2989" s="730">
        <f t="shared" si="902"/>
        <v>78890956.400000021</v>
      </c>
      <c r="K2989" s="730">
        <f t="shared" si="902"/>
        <v>2006984.79</v>
      </c>
      <c r="L2989" s="730">
        <f t="shared" si="902"/>
        <v>3600000.02</v>
      </c>
      <c r="M2989" s="730">
        <f t="shared" si="902"/>
        <v>77297941.170000017</v>
      </c>
      <c r="N2989" s="730">
        <f t="shared" si="902"/>
        <v>6709360</v>
      </c>
      <c r="O2989" s="730">
        <f t="shared" si="902"/>
        <v>1975000</v>
      </c>
      <c r="P2989" s="730">
        <f t="shared" si="902"/>
        <v>82032301.170000017</v>
      </c>
      <c r="Q2989" s="748">
        <f>SUM(Q2990:Q3060)</f>
        <v>85451573.079999998</v>
      </c>
      <c r="R2989" s="748">
        <f>SUM(R2990:R3060)</f>
        <v>57321738.940000005</v>
      </c>
      <c r="S2989" s="748">
        <f t="shared" si="902"/>
        <v>100115701.90999997</v>
      </c>
      <c r="T2989" s="731"/>
      <c r="U2989" s="732">
        <f>SUM(U2990:U3060)</f>
        <v>72940751.620000005</v>
      </c>
      <c r="V2989" s="733"/>
    </row>
    <row r="2990" spans="1:22" ht="15" x14ac:dyDescent="0.25">
      <c r="A2990" s="734">
        <v>1131</v>
      </c>
      <c r="B2990" s="735" t="s">
        <v>6</v>
      </c>
      <c r="C2990" s="736">
        <v>2206531.87</v>
      </c>
      <c r="D2990" s="736">
        <v>2506787.92</v>
      </c>
      <c r="E2990" s="749">
        <v>2405141.7599999998</v>
      </c>
      <c r="F2990" s="736">
        <v>2542159.42</v>
      </c>
      <c r="G2990" s="736">
        <v>2727440.6</v>
      </c>
      <c r="H2990" s="736"/>
      <c r="I2990" s="736"/>
      <c r="J2990" s="736">
        <f t="shared" ref="J2990:J3039" si="903">G2990+H2990-I2990</f>
        <v>2727440.6</v>
      </c>
      <c r="K2990" s="737">
        <v>12333.9</v>
      </c>
      <c r="L2990" s="736"/>
      <c r="M2990" s="736">
        <f t="shared" ref="M2990:M3039" si="904">J2990+K2990-L2990</f>
        <v>2739774.5</v>
      </c>
      <c r="N2990" s="736"/>
      <c r="O2990" s="736"/>
      <c r="P2990" s="736">
        <f t="shared" ref="P2990:P3053" si="905">M2990+N2990-O2990</f>
        <v>2739774.5</v>
      </c>
      <c r="Q2990" s="738">
        <v>2739774.5</v>
      </c>
      <c r="R2990" s="738">
        <v>1974482.34</v>
      </c>
      <c r="S2990" s="751">
        <v>2890069</v>
      </c>
      <c r="T2990" s="739">
        <v>1500521</v>
      </c>
      <c r="U2990" s="779">
        <v>2839771.54</v>
      </c>
      <c r="V2990" s="741">
        <v>1500522</v>
      </c>
    </row>
    <row r="2991" spans="1:22" ht="15" x14ac:dyDescent="0.25">
      <c r="A2991" s="734">
        <v>1132</v>
      </c>
      <c r="B2991" s="735" t="s">
        <v>8</v>
      </c>
      <c r="C2991" s="736">
        <v>20727472.91</v>
      </c>
      <c r="D2991" s="736">
        <v>22124910.079999998</v>
      </c>
      <c r="E2991" s="749">
        <v>22201660.440000001</v>
      </c>
      <c r="F2991" s="736">
        <v>22007256.829999998</v>
      </c>
      <c r="G2991" s="736">
        <v>21686934.400000002</v>
      </c>
      <c r="H2991" s="736"/>
      <c r="I2991" s="736"/>
      <c r="J2991" s="736">
        <f t="shared" si="903"/>
        <v>21686934.400000002</v>
      </c>
      <c r="K2991" s="737">
        <v>688860.79</v>
      </c>
      <c r="L2991" s="736"/>
      <c r="M2991" s="736">
        <f t="shared" si="904"/>
        <v>22375795.190000001</v>
      </c>
      <c r="N2991" s="736"/>
      <c r="O2991" s="736"/>
      <c r="P2991" s="736">
        <f t="shared" si="905"/>
        <v>22375795.190000001</v>
      </c>
      <c r="Q2991" s="738">
        <v>22158750.719999999</v>
      </c>
      <c r="R2991" s="738">
        <v>15446325.01</v>
      </c>
      <c r="S2991" s="751">
        <v>27792313.640000001</v>
      </c>
      <c r="T2991" s="739">
        <v>1500521</v>
      </c>
      <c r="U2991" s="779">
        <v>22172852.359999999</v>
      </c>
      <c r="V2991" s="741">
        <v>1500522</v>
      </c>
    </row>
    <row r="2992" spans="1:22" ht="15" x14ac:dyDescent="0.25">
      <c r="A2992" s="734">
        <v>1321</v>
      </c>
      <c r="B2992" s="735" t="s">
        <v>9</v>
      </c>
      <c r="C2992" s="736">
        <v>1347775.4</v>
      </c>
      <c r="D2992" s="736">
        <v>1448479.12</v>
      </c>
      <c r="E2992" s="749">
        <v>1345279.12</v>
      </c>
      <c r="F2992" s="736">
        <v>1344577.55</v>
      </c>
      <c r="G2992" s="736">
        <v>1448531.3</v>
      </c>
      <c r="H2992" s="736"/>
      <c r="I2992" s="736"/>
      <c r="J2992" s="736">
        <f t="shared" si="903"/>
        <v>1448531.3</v>
      </c>
      <c r="K2992" s="737">
        <v>43759.85</v>
      </c>
      <c r="L2992" s="736"/>
      <c r="M2992" s="736">
        <f t="shared" si="904"/>
        <v>1492291.1500000001</v>
      </c>
      <c r="N2992" s="736"/>
      <c r="O2992" s="736"/>
      <c r="P2992" s="736">
        <f t="shared" si="905"/>
        <v>1492291.1500000001</v>
      </c>
      <c r="Q2992" s="738">
        <v>1492291.15</v>
      </c>
      <c r="R2992" s="738">
        <v>692806.35</v>
      </c>
      <c r="S2992" s="751">
        <v>1838930.88</v>
      </c>
      <c r="T2992" s="739">
        <v>1500521</v>
      </c>
      <c r="U2992" s="779">
        <v>1493260.59</v>
      </c>
      <c r="V2992" s="741">
        <v>1500522</v>
      </c>
    </row>
    <row r="2993" spans="1:22" ht="15" x14ac:dyDescent="0.25">
      <c r="A2993" s="734">
        <v>1323</v>
      </c>
      <c r="B2993" s="735" t="s">
        <v>11</v>
      </c>
      <c r="C2993" s="736">
        <v>4323522</v>
      </c>
      <c r="D2993" s="736">
        <v>4449625</v>
      </c>
      <c r="E2993" s="749">
        <v>5332160.82</v>
      </c>
      <c r="F2993" s="736">
        <v>4333243.91</v>
      </c>
      <c r="G2993" s="736">
        <v>4382346.5999999996</v>
      </c>
      <c r="H2993" s="736"/>
      <c r="I2993" s="736"/>
      <c r="J2993" s="736">
        <f t="shared" si="903"/>
        <v>4382346.5999999996</v>
      </c>
      <c r="K2993" s="737">
        <v>136304.85</v>
      </c>
      <c r="L2993" s="736"/>
      <c r="M2993" s="736">
        <f t="shared" si="904"/>
        <v>4518651.4499999993</v>
      </c>
      <c r="N2993" s="736"/>
      <c r="O2993" s="736"/>
      <c r="P2993" s="736">
        <f t="shared" si="905"/>
        <v>4518651.4499999993</v>
      </c>
      <c r="Q2993" s="738">
        <v>4475697.66</v>
      </c>
      <c r="R2993" s="738">
        <v>3283085.33</v>
      </c>
      <c r="S2993" s="751">
        <v>5546168</v>
      </c>
      <c r="T2993" s="739">
        <v>1500521</v>
      </c>
      <c r="U2993" s="779">
        <v>4407354.01</v>
      </c>
      <c r="V2993" s="741">
        <v>1500522</v>
      </c>
    </row>
    <row r="2994" spans="1:22" ht="15" x14ac:dyDescent="0.25">
      <c r="A2994" s="734">
        <v>1331</v>
      </c>
      <c r="B2994" s="735" t="s">
        <v>183</v>
      </c>
      <c r="C2994" s="736">
        <v>124891.18</v>
      </c>
      <c r="D2994" s="736">
        <v>210000</v>
      </c>
      <c r="E2994" s="749">
        <v>151338.57999999999</v>
      </c>
      <c r="F2994" s="736">
        <v>37783.56</v>
      </c>
      <c r="G2994" s="736">
        <v>151338.6</v>
      </c>
      <c r="H2994" s="736"/>
      <c r="I2994" s="736"/>
      <c r="J2994" s="736">
        <f t="shared" si="903"/>
        <v>151338.6</v>
      </c>
      <c r="K2994" s="736"/>
      <c r="L2994" s="736">
        <v>0.02</v>
      </c>
      <c r="M2994" s="736">
        <f t="shared" si="904"/>
        <v>151338.58000000002</v>
      </c>
      <c r="N2994" s="736"/>
      <c r="O2994" s="736"/>
      <c r="P2994" s="736">
        <f t="shared" si="905"/>
        <v>151338.58000000002</v>
      </c>
      <c r="Q2994" s="738">
        <v>151338.57999999999</v>
      </c>
      <c r="R2994" s="738">
        <v>410.8</v>
      </c>
      <c r="S2994" s="751">
        <v>151338.57999999999</v>
      </c>
      <c r="T2994" s="739">
        <v>1500521</v>
      </c>
      <c r="U2994" s="779">
        <v>151338.57999999999</v>
      </c>
      <c r="V2994" s="741">
        <v>1500522</v>
      </c>
    </row>
    <row r="2995" spans="1:22" ht="15" x14ac:dyDescent="0.25">
      <c r="A2995" s="734">
        <v>1413</v>
      </c>
      <c r="B2995" s="735" t="s">
        <v>13</v>
      </c>
      <c r="C2995" s="736">
        <v>5445650.0499999998</v>
      </c>
      <c r="D2995" s="736">
        <v>6354967.5599999996</v>
      </c>
      <c r="E2995" s="749">
        <v>5933083.5599999996</v>
      </c>
      <c r="F2995" s="736">
        <v>5848683.0599999996</v>
      </c>
      <c r="G2995" s="736">
        <v>6706371.5999999996</v>
      </c>
      <c r="H2995" s="736"/>
      <c r="I2995" s="736"/>
      <c r="J2995" s="736">
        <f t="shared" si="903"/>
        <v>6706371.5999999996</v>
      </c>
      <c r="K2995" s="737">
        <v>217337.11</v>
      </c>
      <c r="L2995" s="736"/>
      <c r="M2995" s="736">
        <f t="shared" si="904"/>
        <v>6923708.71</v>
      </c>
      <c r="N2995" s="736"/>
      <c r="O2995" s="736"/>
      <c r="P2995" s="736">
        <f t="shared" si="905"/>
        <v>6923708.71</v>
      </c>
      <c r="Q2995" s="738">
        <v>6825846.5300000003</v>
      </c>
      <c r="R2995" s="738">
        <v>4627208.75</v>
      </c>
      <c r="S2995" s="751">
        <v>8885403.1199999992</v>
      </c>
      <c r="T2995" s="739">
        <v>1500521</v>
      </c>
      <c r="U2995" s="779">
        <v>6231426.6600000001</v>
      </c>
      <c r="V2995" s="741">
        <v>1500522</v>
      </c>
    </row>
    <row r="2996" spans="1:22" ht="15" x14ac:dyDescent="0.25">
      <c r="A2996" s="734">
        <v>1421</v>
      </c>
      <c r="B2996" s="735" t="s">
        <v>15</v>
      </c>
      <c r="C2996" s="736">
        <v>1853395.92</v>
      </c>
      <c r="D2996" s="736">
        <v>1943388.1599999999</v>
      </c>
      <c r="E2996" s="749">
        <v>1674267.76</v>
      </c>
      <c r="F2996" s="736">
        <v>1793947.47</v>
      </c>
      <c r="G2996" s="736">
        <v>1930310.8</v>
      </c>
      <c r="H2996" s="736"/>
      <c r="I2996" s="736"/>
      <c r="J2996" s="736">
        <f t="shared" si="903"/>
        <v>1930310.8</v>
      </c>
      <c r="K2996" s="737">
        <v>61128.19</v>
      </c>
      <c r="L2996" s="736"/>
      <c r="M2996" s="736">
        <f t="shared" si="904"/>
        <v>1991438.99</v>
      </c>
      <c r="N2996" s="736"/>
      <c r="O2996" s="736"/>
      <c r="P2996" s="736">
        <f t="shared" si="905"/>
        <v>1991438.99</v>
      </c>
      <c r="Q2996" s="738">
        <v>1991438.99</v>
      </c>
      <c r="R2996" s="738">
        <v>1243545.78</v>
      </c>
      <c r="S2996" s="751">
        <v>2432699.2799999998</v>
      </c>
      <c r="T2996" s="739">
        <v>1500521</v>
      </c>
      <c r="U2996" s="779">
        <v>2237247.64</v>
      </c>
      <c r="V2996" s="741">
        <v>1500522</v>
      </c>
    </row>
    <row r="2997" spans="1:22" ht="15" x14ac:dyDescent="0.25">
      <c r="A2997" s="734">
        <v>1431</v>
      </c>
      <c r="B2997" s="735" t="s">
        <v>16</v>
      </c>
      <c r="C2997" s="736">
        <v>1951994.15</v>
      </c>
      <c r="D2997" s="736">
        <v>2001692.64</v>
      </c>
      <c r="E2997" s="749">
        <v>1744304.14</v>
      </c>
      <c r="F2997" s="736">
        <v>1881775.23</v>
      </c>
      <c r="G2997" s="736">
        <v>1988221.7000000002</v>
      </c>
      <c r="H2997" s="736"/>
      <c r="I2997" s="736"/>
      <c r="J2997" s="736">
        <f t="shared" si="903"/>
        <v>1988221.7000000002</v>
      </c>
      <c r="K2997" s="737">
        <v>62555.41</v>
      </c>
      <c r="L2997" s="736"/>
      <c r="M2997" s="736">
        <f t="shared" si="904"/>
        <v>2050777.11</v>
      </c>
      <c r="N2997" s="736"/>
      <c r="O2997" s="736"/>
      <c r="P2997" s="736">
        <f t="shared" si="905"/>
        <v>2050777.11</v>
      </c>
      <c r="Q2997" s="738">
        <v>2009138.75</v>
      </c>
      <c r="R2997" s="738">
        <v>1268834.0900000001</v>
      </c>
      <c r="S2997" s="751">
        <v>2505678.36</v>
      </c>
      <c r="T2997" s="739">
        <v>1500521</v>
      </c>
      <c r="U2997" s="779">
        <v>2238607.0499999998</v>
      </c>
      <c r="V2997" s="741">
        <v>1500522</v>
      </c>
    </row>
    <row r="2998" spans="1:22" ht="15" x14ac:dyDescent="0.25">
      <c r="A2998" s="734">
        <v>1511</v>
      </c>
      <c r="B2998" s="735" t="s">
        <v>18</v>
      </c>
      <c r="C2998" s="736">
        <v>60298.16</v>
      </c>
      <c r="D2998" s="736">
        <v>68260.92</v>
      </c>
      <c r="E2998" s="749">
        <v>66942.720000000001</v>
      </c>
      <c r="F2998" s="736">
        <v>69477.3</v>
      </c>
      <c r="G2998" s="736">
        <v>75217</v>
      </c>
      <c r="H2998" s="736"/>
      <c r="I2998" s="736"/>
      <c r="J2998" s="736">
        <f t="shared" si="903"/>
        <v>75217</v>
      </c>
      <c r="K2998" s="737">
        <v>2520.29</v>
      </c>
      <c r="L2998" s="736"/>
      <c r="M2998" s="736">
        <f t="shared" si="904"/>
        <v>77737.289999999994</v>
      </c>
      <c r="N2998" s="736"/>
      <c r="O2998" s="736"/>
      <c r="P2998" s="736">
        <f t="shared" si="905"/>
        <v>77737.289999999994</v>
      </c>
      <c r="Q2998" s="738">
        <v>77737.289999999994</v>
      </c>
      <c r="R2998" s="738">
        <v>55082.62</v>
      </c>
      <c r="S2998" s="751">
        <v>82835.48</v>
      </c>
      <c r="T2998" s="739">
        <v>1500521</v>
      </c>
      <c r="U2998" s="779">
        <v>79720.02</v>
      </c>
      <c r="V2998" s="741">
        <v>1500522</v>
      </c>
    </row>
    <row r="2999" spans="1:22" ht="15" x14ac:dyDescent="0.25">
      <c r="A2999" s="734">
        <v>1541</v>
      </c>
      <c r="B2999" s="735" t="s">
        <v>19</v>
      </c>
      <c r="C2999" s="736">
        <v>1612077.99</v>
      </c>
      <c r="D2999" s="736">
        <v>1726198.24</v>
      </c>
      <c r="E2999" s="749">
        <v>1613824.2</v>
      </c>
      <c r="F2999" s="736">
        <v>1652141.48</v>
      </c>
      <c r="G2999" s="736">
        <v>2009766.4000000001</v>
      </c>
      <c r="H2999" s="736"/>
      <c r="I2999" s="736"/>
      <c r="J2999" s="736">
        <f t="shared" si="903"/>
        <v>2009766.4000000001</v>
      </c>
      <c r="K2999" s="737">
        <v>76493.83</v>
      </c>
      <c r="L2999" s="736"/>
      <c r="M2999" s="736">
        <f t="shared" si="904"/>
        <v>2086260.2300000002</v>
      </c>
      <c r="N2999" s="736"/>
      <c r="O2999" s="736"/>
      <c r="P2999" s="736">
        <f t="shared" si="905"/>
        <v>2086260.2300000002</v>
      </c>
      <c r="Q2999" s="738">
        <v>2086260.23</v>
      </c>
      <c r="R2999" s="738">
        <v>1209357.95</v>
      </c>
      <c r="S2999" s="751">
        <v>1840014.28</v>
      </c>
      <c r="T2999" s="739">
        <v>1500521</v>
      </c>
      <c r="U2999" s="779">
        <v>1840014.28</v>
      </c>
      <c r="V2999" s="741">
        <v>1500522</v>
      </c>
    </row>
    <row r="3000" spans="1:22" ht="15" x14ac:dyDescent="0.25">
      <c r="A3000" s="734">
        <v>1592</v>
      </c>
      <c r="B3000" s="735" t="s">
        <v>20</v>
      </c>
      <c r="C3000" s="736">
        <v>7153346.1100000003</v>
      </c>
      <c r="D3000" s="736">
        <v>7761572</v>
      </c>
      <c r="E3000" s="749">
        <v>7648421.46</v>
      </c>
      <c r="F3000" s="736">
        <v>7661732.8200000003</v>
      </c>
      <c r="G3000" s="736">
        <v>7668235.1999999993</v>
      </c>
      <c r="H3000" s="736"/>
      <c r="I3000" s="736"/>
      <c r="J3000" s="736">
        <f t="shared" si="903"/>
        <v>7668235.1999999993</v>
      </c>
      <c r="K3000" s="737">
        <v>255690.57</v>
      </c>
      <c r="L3000" s="736"/>
      <c r="M3000" s="736">
        <f t="shared" si="904"/>
        <v>7923925.7699999996</v>
      </c>
      <c r="N3000" s="736"/>
      <c r="O3000" s="736"/>
      <c r="P3000" s="736">
        <f t="shared" si="905"/>
        <v>7923925.7699999996</v>
      </c>
      <c r="Q3000" s="925">
        <v>8283616.4000000004</v>
      </c>
      <c r="R3000" s="738">
        <v>5440803.46</v>
      </c>
      <c r="S3000" s="751">
        <v>9693720.4000000004</v>
      </c>
      <c r="T3000" s="739">
        <v>1500521</v>
      </c>
      <c r="U3000" s="779">
        <v>7806127.9500000002</v>
      </c>
      <c r="V3000" s="741">
        <v>1500522</v>
      </c>
    </row>
    <row r="3001" spans="1:22" ht="15" x14ac:dyDescent="0.25">
      <c r="A3001" s="734">
        <v>1593</v>
      </c>
      <c r="B3001" s="735" t="s">
        <v>322</v>
      </c>
      <c r="C3001" s="736">
        <v>762879.16</v>
      </c>
      <c r="D3001" s="736">
        <v>811200</v>
      </c>
      <c r="E3001" s="749">
        <v>804877</v>
      </c>
      <c r="F3001" s="736">
        <v>773957.94</v>
      </c>
      <c r="G3001" s="736">
        <v>729300</v>
      </c>
      <c r="H3001" s="736"/>
      <c r="I3001" s="736"/>
      <c r="J3001" s="736">
        <f t="shared" si="903"/>
        <v>729300</v>
      </c>
      <c r="K3001" s="736"/>
      <c r="L3001" s="736"/>
      <c r="M3001" s="736">
        <f t="shared" si="904"/>
        <v>729300</v>
      </c>
      <c r="N3001" s="736"/>
      <c r="O3001" s="736"/>
      <c r="P3001" s="736">
        <f t="shared" si="905"/>
        <v>729300</v>
      </c>
      <c r="Q3001" s="738">
        <v>729300</v>
      </c>
      <c r="R3001" s="738">
        <v>517392.06</v>
      </c>
      <c r="S3001" s="751">
        <v>869700</v>
      </c>
      <c r="T3001" s="739">
        <v>1500521</v>
      </c>
      <c r="U3001" s="779">
        <v>741805.6</v>
      </c>
      <c r="V3001" s="741">
        <v>1500522</v>
      </c>
    </row>
    <row r="3002" spans="1:22" ht="15" x14ac:dyDescent="0.2">
      <c r="A3002" s="734">
        <v>2111</v>
      </c>
      <c r="B3002" s="735" t="s">
        <v>22</v>
      </c>
      <c r="C3002" s="736">
        <v>32457.279999999999</v>
      </c>
      <c r="D3002" s="736">
        <v>35000</v>
      </c>
      <c r="E3002" s="749">
        <v>24500</v>
      </c>
      <c r="F3002" s="736">
        <v>22274.639999999999</v>
      </c>
      <c r="G3002" s="752">
        <v>24500</v>
      </c>
      <c r="H3002" s="752"/>
      <c r="I3002" s="752"/>
      <c r="J3002" s="736">
        <f t="shared" si="903"/>
        <v>24500</v>
      </c>
      <c r="K3002" s="752"/>
      <c r="L3002" s="752"/>
      <c r="M3002" s="736">
        <f t="shared" si="904"/>
        <v>24500</v>
      </c>
      <c r="N3002" s="736"/>
      <c r="O3002" s="736"/>
      <c r="P3002" s="736">
        <f t="shared" si="905"/>
        <v>24500</v>
      </c>
      <c r="Q3002" s="753">
        <v>20385.63</v>
      </c>
      <c r="R3002" s="738">
        <v>18268.2</v>
      </c>
      <c r="S3002" s="753">
        <v>25000</v>
      </c>
      <c r="T3002" s="739">
        <v>1100121</v>
      </c>
      <c r="U3002" s="754">
        <v>25000</v>
      </c>
      <c r="V3002" s="741">
        <v>1100122</v>
      </c>
    </row>
    <row r="3003" spans="1:22" ht="15" x14ac:dyDescent="0.2">
      <c r="A3003" s="739">
        <v>2112</v>
      </c>
      <c r="B3003" s="743" t="s">
        <v>39</v>
      </c>
      <c r="C3003" s="736"/>
      <c r="D3003" s="736">
        <v>84000</v>
      </c>
      <c r="E3003" s="749">
        <v>84000</v>
      </c>
      <c r="F3003" s="736">
        <v>83395.399999999994</v>
      </c>
      <c r="G3003" s="736"/>
      <c r="H3003" s="736"/>
      <c r="I3003" s="736"/>
      <c r="J3003" s="736">
        <f t="shared" si="903"/>
        <v>0</v>
      </c>
      <c r="K3003" s="736"/>
      <c r="L3003" s="736"/>
      <c r="M3003" s="736">
        <f t="shared" si="904"/>
        <v>0</v>
      </c>
      <c r="N3003" s="736"/>
      <c r="O3003" s="736"/>
      <c r="P3003" s="738">
        <f t="shared" si="905"/>
        <v>0</v>
      </c>
      <c r="Q3003" s="738"/>
      <c r="R3003" s="738"/>
      <c r="S3003" s="738"/>
      <c r="T3003" s="739">
        <v>1100121</v>
      </c>
      <c r="U3003" s="745"/>
      <c r="V3003" s="739">
        <v>1100122</v>
      </c>
    </row>
    <row r="3004" spans="1:22" ht="15" x14ac:dyDescent="0.2">
      <c r="A3004" s="734">
        <v>2121</v>
      </c>
      <c r="B3004" s="735" t="s">
        <v>24</v>
      </c>
      <c r="C3004" s="736">
        <v>12328.5</v>
      </c>
      <c r="D3004" s="736">
        <v>30000</v>
      </c>
      <c r="E3004" s="749">
        <v>21000</v>
      </c>
      <c r="F3004" s="736">
        <v>15643</v>
      </c>
      <c r="G3004" s="752">
        <v>21000</v>
      </c>
      <c r="H3004" s="752"/>
      <c r="I3004" s="752"/>
      <c r="J3004" s="736">
        <f t="shared" si="903"/>
        <v>21000</v>
      </c>
      <c r="K3004" s="752"/>
      <c r="L3004" s="752"/>
      <c r="M3004" s="736">
        <f t="shared" si="904"/>
        <v>21000</v>
      </c>
      <c r="N3004" s="736"/>
      <c r="O3004" s="736"/>
      <c r="P3004" s="736">
        <f t="shared" si="905"/>
        <v>21000</v>
      </c>
      <c r="Q3004" s="753">
        <v>20720</v>
      </c>
      <c r="R3004" s="738">
        <v>19670</v>
      </c>
      <c r="S3004" s="753">
        <v>25000</v>
      </c>
      <c r="T3004" s="739">
        <v>1100121</v>
      </c>
      <c r="U3004" s="754">
        <v>25000</v>
      </c>
      <c r="V3004" s="741">
        <v>1100122</v>
      </c>
    </row>
    <row r="3005" spans="1:22" ht="15" x14ac:dyDescent="0.2">
      <c r="A3005" s="739">
        <v>2142</v>
      </c>
      <c r="B3005" s="743" t="s">
        <v>170</v>
      </c>
      <c r="C3005" s="736">
        <v>331441</v>
      </c>
      <c r="D3005" s="736">
        <v>470844</v>
      </c>
      <c r="E3005" s="749">
        <v>1223844</v>
      </c>
      <c r="F3005" s="736">
        <v>528000.01</v>
      </c>
      <c r="G3005" s="752">
        <v>70957.2</v>
      </c>
      <c r="H3005" s="752"/>
      <c r="I3005" s="752"/>
      <c r="J3005" s="736">
        <f t="shared" si="903"/>
        <v>70957.2</v>
      </c>
      <c r="K3005" s="752"/>
      <c r="L3005" s="752"/>
      <c r="M3005" s="736">
        <f t="shared" si="904"/>
        <v>70957.2</v>
      </c>
      <c r="N3005" s="736"/>
      <c r="O3005" s="736"/>
      <c r="P3005" s="736">
        <f t="shared" si="905"/>
        <v>70957.2</v>
      </c>
      <c r="Q3005" s="753">
        <v>70957.2</v>
      </c>
      <c r="R3005" s="738">
        <v>44294.28</v>
      </c>
      <c r="S3005" s="753"/>
      <c r="T3005" s="739">
        <v>1100121</v>
      </c>
      <c r="U3005" s="745"/>
      <c r="V3005" s="739">
        <v>1100122</v>
      </c>
    </row>
    <row r="3006" spans="1:22" ht="15" x14ac:dyDescent="0.2">
      <c r="A3006" s="734">
        <v>2161</v>
      </c>
      <c r="B3006" s="735" t="s">
        <v>59</v>
      </c>
      <c r="C3006" s="736">
        <v>19535.490000000002</v>
      </c>
      <c r="D3006" s="736">
        <v>30000</v>
      </c>
      <c r="E3006" s="749">
        <v>30000</v>
      </c>
      <c r="F3006" s="736">
        <v>29571.47</v>
      </c>
      <c r="G3006" s="752">
        <v>30000</v>
      </c>
      <c r="H3006" s="752"/>
      <c r="I3006" s="752"/>
      <c r="J3006" s="736">
        <f t="shared" si="903"/>
        <v>30000</v>
      </c>
      <c r="K3006" s="752"/>
      <c r="L3006" s="752"/>
      <c r="M3006" s="736">
        <f t="shared" si="904"/>
        <v>30000</v>
      </c>
      <c r="N3006" s="736"/>
      <c r="O3006" s="736"/>
      <c r="P3006" s="736">
        <f t="shared" si="905"/>
        <v>30000</v>
      </c>
      <c r="Q3006" s="753">
        <v>30000</v>
      </c>
      <c r="R3006" s="738">
        <v>19176.68</v>
      </c>
      <c r="S3006" s="753">
        <v>30000</v>
      </c>
      <c r="T3006" s="739">
        <v>1100121</v>
      </c>
      <c r="U3006" s="754">
        <v>30000</v>
      </c>
      <c r="V3006" s="741">
        <v>1100122</v>
      </c>
    </row>
    <row r="3007" spans="1:22" ht="15" x14ac:dyDescent="0.2">
      <c r="A3007" s="739">
        <v>2171</v>
      </c>
      <c r="B3007" s="743" t="s">
        <v>174</v>
      </c>
      <c r="C3007" s="736">
        <v>57578.47</v>
      </c>
      <c r="D3007" s="736">
        <v>0</v>
      </c>
      <c r="E3007" s="749">
        <v>2807.96</v>
      </c>
      <c r="F3007" s="736">
        <v>0</v>
      </c>
      <c r="G3007" s="736"/>
      <c r="H3007" s="736"/>
      <c r="I3007" s="736"/>
      <c r="J3007" s="736">
        <f t="shared" si="903"/>
        <v>0</v>
      </c>
      <c r="K3007" s="736"/>
      <c r="L3007" s="736"/>
      <c r="M3007" s="736">
        <f t="shared" si="904"/>
        <v>0</v>
      </c>
      <c r="N3007" s="736"/>
      <c r="O3007" s="736"/>
      <c r="P3007" s="738">
        <f t="shared" si="905"/>
        <v>0</v>
      </c>
      <c r="Q3007" s="738"/>
      <c r="R3007" s="738"/>
      <c r="S3007" s="738"/>
      <c r="T3007" s="739">
        <v>1100119</v>
      </c>
      <c r="U3007" s="745"/>
      <c r="V3007" s="739">
        <v>1100119</v>
      </c>
    </row>
    <row r="3008" spans="1:22" ht="15" x14ac:dyDescent="0.25">
      <c r="A3008" s="739">
        <v>2171</v>
      </c>
      <c r="B3008" s="743" t="s">
        <v>174</v>
      </c>
      <c r="C3008" s="736"/>
      <c r="D3008" s="736"/>
      <c r="E3008" s="749"/>
      <c r="F3008" s="736"/>
      <c r="G3008" s="736"/>
      <c r="H3008" s="759">
        <v>2807.45</v>
      </c>
      <c r="I3008" s="736"/>
      <c r="J3008" s="736">
        <f t="shared" si="903"/>
        <v>2807.45</v>
      </c>
      <c r="K3008" s="759"/>
      <c r="L3008" s="736"/>
      <c r="M3008" s="736">
        <f t="shared" si="904"/>
        <v>2807.45</v>
      </c>
      <c r="N3008" s="736"/>
      <c r="O3008" s="736"/>
      <c r="P3008" s="736">
        <f t="shared" si="905"/>
        <v>2807.45</v>
      </c>
      <c r="Q3008" s="738">
        <v>0.01</v>
      </c>
      <c r="R3008" s="738"/>
      <c r="S3008" s="738"/>
      <c r="T3008" s="739">
        <v>1100120</v>
      </c>
      <c r="U3008" s="745"/>
      <c r="V3008" s="739">
        <v>1100120</v>
      </c>
    </row>
    <row r="3009" spans="1:22" ht="15" x14ac:dyDescent="0.2">
      <c r="A3009" s="734">
        <v>2171</v>
      </c>
      <c r="B3009" s="735" t="s">
        <v>174</v>
      </c>
      <c r="C3009" s="736"/>
      <c r="D3009" s="736">
        <v>100000</v>
      </c>
      <c r="E3009" s="749">
        <v>50000</v>
      </c>
      <c r="F3009" s="736">
        <v>493.63</v>
      </c>
      <c r="G3009" s="752">
        <v>70000</v>
      </c>
      <c r="H3009" s="752"/>
      <c r="I3009" s="752"/>
      <c r="J3009" s="736">
        <f t="shared" si="903"/>
        <v>70000</v>
      </c>
      <c r="K3009" s="752"/>
      <c r="L3009" s="752"/>
      <c r="M3009" s="736">
        <f t="shared" si="904"/>
        <v>70000</v>
      </c>
      <c r="N3009" s="736"/>
      <c r="O3009" s="736"/>
      <c r="P3009" s="736">
        <f t="shared" si="905"/>
        <v>70000</v>
      </c>
      <c r="Q3009" s="753">
        <v>70000</v>
      </c>
      <c r="R3009" s="738"/>
      <c r="S3009" s="753">
        <v>100000</v>
      </c>
      <c r="T3009" s="739">
        <v>1100121</v>
      </c>
      <c r="U3009" s="754">
        <v>100000</v>
      </c>
      <c r="V3009" s="741">
        <v>1100122</v>
      </c>
    </row>
    <row r="3010" spans="1:22" ht="15" x14ac:dyDescent="0.2">
      <c r="A3010" s="739">
        <v>2212</v>
      </c>
      <c r="B3010" s="743" t="s">
        <v>40</v>
      </c>
      <c r="C3010" s="736">
        <v>416</v>
      </c>
      <c r="D3010" s="736">
        <v>0</v>
      </c>
      <c r="E3010" s="749">
        <v>9396</v>
      </c>
      <c r="F3010" s="736">
        <v>9396</v>
      </c>
      <c r="G3010" s="736"/>
      <c r="H3010" s="736"/>
      <c r="I3010" s="736"/>
      <c r="J3010" s="736">
        <f t="shared" si="903"/>
        <v>0</v>
      </c>
      <c r="K3010" s="736"/>
      <c r="L3010" s="736"/>
      <c r="M3010" s="736">
        <f t="shared" si="904"/>
        <v>0</v>
      </c>
      <c r="N3010" s="736"/>
      <c r="O3010" s="736"/>
      <c r="P3010" s="738">
        <f t="shared" si="905"/>
        <v>0</v>
      </c>
      <c r="Q3010" s="738"/>
      <c r="R3010" s="738"/>
      <c r="S3010" s="738"/>
      <c r="T3010" s="739">
        <v>1100119</v>
      </c>
      <c r="U3010" s="745"/>
      <c r="V3010" s="739">
        <v>1100119</v>
      </c>
    </row>
    <row r="3011" spans="1:22" ht="15" x14ac:dyDescent="0.2">
      <c r="A3011" s="734">
        <v>2212</v>
      </c>
      <c r="B3011" s="735" t="s">
        <v>40</v>
      </c>
      <c r="C3011" s="736"/>
      <c r="D3011" s="736">
        <v>10000</v>
      </c>
      <c r="E3011" s="749">
        <v>10000</v>
      </c>
      <c r="F3011" s="736">
        <v>9946.49</v>
      </c>
      <c r="G3011" s="752">
        <v>10000</v>
      </c>
      <c r="H3011" s="752"/>
      <c r="I3011" s="752"/>
      <c r="J3011" s="736">
        <f t="shared" si="903"/>
        <v>10000</v>
      </c>
      <c r="K3011" s="752"/>
      <c r="L3011" s="752"/>
      <c r="M3011" s="736">
        <f t="shared" si="904"/>
        <v>10000</v>
      </c>
      <c r="N3011" s="736"/>
      <c r="O3011" s="736"/>
      <c r="P3011" s="736">
        <f t="shared" si="905"/>
        <v>10000</v>
      </c>
      <c r="Q3011" s="753">
        <v>10000</v>
      </c>
      <c r="R3011" s="738"/>
      <c r="S3011" s="753">
        <v>10000</v>
      </c>
      <c r="T3011" s="739">
        <v>1100121</v>
      </c>
      <c r="U3011" s="754">
        <v>10000</v>
      </c>
      <c r="V3011" s="741">
        <v>1100122</v>
      </c>
    </row>
    <row r="3012" spans="1:22" ht="15" x14ac:dyDescent="0.2">
      <c r="A3012" s="734">
        <v>2421</v>
      </c>
      <c r="B3012" s="735" t="s">
        <v>1840</v>
      </c>
      <c r="C3012" s="736">
        <v>24706.240000000002</v>
      </c>
      <c r="D3012" s="736"/>
      <c r="E3012" s="749"/>
      <c r="F3012" s="736"/>
      <c r="G3012" s="752">
        <v>8352</v>
      </c>
      <c r="H3012" s="752"/>
      <c r="I3012" s="752"/>
      <c r="J3012" s="736">
        <f t="shared" si="903"/>
        <v>8352</v>
      </c>
      <c r="K3012" s="752"/>
      <c r="L3012" s="752"/>
      <c r="M3012" s="736">
        <f t="shared" si="904"/>
        <v>8352</v>
      </c>
      <c r="N3012" s="736"/>
      <c r="O3012" s="736"/>
      <c r="P3012" s="736">
        <f t="shared" si="905"/>
        <v>8352</v>
      </c>
      <c r="Q3012" s="753">
        <v>8352</v>
      </c>
      <c r="R3012" s="738"/>
      <c r="S3012" s="753">
        <v>18500</v>
      </c>
      <c r="T3012" s="739">
        <v>1100121</v>
      </c>
      <c r="U3012" s="754">
        <v>18500</v>
      </c>
      <c r="V3012" s="741">
        <v>1100122</v>
      </c>
    </row>
    <row r="3013" spans="1:22" ht="15" x14ac:dyDescent="0.2">
      <c r="A3013" s="734">
        <v>2461</v>
      </c>
      <c r="B3013" s="762" t="s">
        <v>1792</v>
      </c>
      <c r="C3013" s="736"/>
      <c r="D3013" s="736"/>
      <c r="E3013" s="749"/>
      <c r="F3013" s="736"/>
      <c r="G3013" s="752">
        <v>100003.39</v>
      </c>
      <c r="H3013" s="752"/>
      <c r="I3013" s="752"/>
      <c r="J3013" s="736">
        <f t="shared" si="903"/>
        <v>100003.39</v>
      </c>
      <c r="K3013" s="752"/>
      <c r="L3013" s="752"/>
      <c r="M3013" s="736">
        <f t="shared" si="904"/>
        <v>100003.39</v>
      </c>
      <c r="N3013" s="736"/>
      <c r="O3013" s="736"/>
      <c r="P3013" s="736">
        <f t="shared" si="905"/>
        <v>100003.39</v>
      </c>
      <c r="Q3013" s="753">
        <v>100003.39</v>
      </c>
      <c r="R3013" s="738">
        <v>20299.38</v>
      </c>
      <c r="S3013" s="753">
        <v>100000</v>
      </c>
      <c r="T3013" s="739">
        <v>1100121</v>
      </c>
      <c r="U3013" s="754">
        <v>100000</v>
      </c>
      <c r="V3013" s="741">
        <v>1100122</v>
      </c>
    </row>
    <row r="3014" spans="1:22" ht="15" x14ac:dyDescent="0.2">
      <c r="A3014" s="739">
        <v>2491</v>
      </c>
      <c r="B3014" s="743" t="s">
        <v>41</v>
      </c>
      <c r="C3014" s="736">
        <v>15649.28</v>
      </c>
      <c r="D3014" s="736">
        <v>0</v>
      </c>
      <c r="E3014" s="749">
        <v>386513.45</v>
      </c>
      <c r="F3014" s="736">
        <v>386513.45</v>
      </c>
      <c r="G3014" s="736"/>
      <c r="H3014" s="736"/>
      <c r="I3014" s="736"/>
      <c r="J3014" s="736">
        <f t="shared" si="903"/>
        <v>0</v>
      </c>
      <c r="K3014" s="736"/>
      <c r="L3014" s="736"/>
      <c r="M3014" s="736">
        <f t="shared" si="904"/>
        <v>0</v>
      </c>
      <c r="N3014" s="736"/>
      <c r="O3014" s="736"/>
      <c r="P3014" s="738">
        <f t="shared" si="905"/>
        <v>0</v>
      </c>
      <c r="Q3014" s="738"/>
      <c r="R3014" s="738"/>
      <c r="S3014" s="738"/>
      <c r="T3014" s="739">
        <v>1100119</v>
      </c>
      <c r="U3014" s="926"/>
      <c r="V3014" s="739">
        <v>1100119</v>
      </c>
    </row>
    <row r="3015" spans="1:22" ht="15" x14ac:dyDescent="0.25">
      <c r="A3015" s="739">
        <v>2491</v>
      </c>
      <c r="B3015" s="743" t="s">
        <v>41</v>
      </c>
      <c r="C3015" s="736"/>
      <c r="D3015" s="736"/>
      <c r="E3015" s="749"/>
      <c r="F3015" s="736"/>
      <c r="G3015" s="736"/>
      <c r="H3015" s="759">
        <v>1900</v>
      </c>
      <c r="I3015" s="736"/>
      <c r="J3015" s="736">
        <f t="shared" si="903"/>
        <v>1900</v>
      </c>
      <c r="K3015" s="759"/>
      <c r="L3015" s="736"/>
      <c r="M3015" s="736">
        <f t="shared" si="904"/>
        <v>1900</v>
      </c>
      <c r="N3015" s="736"/>
      <c r="O3015" s="736"/>
      <c r="P3015" s="736">
        <f t="shared" si="905"/>
        <v>1900</v>
      </c>
      <c r="Q3015" s="738"/>
      <c r="R3015" s="738">
        <v>185950</v>
      </c>
      <c r="S3015" s="738"/>
      <c r="T3015" s="864">
        <v>1100120</v>
      </c>
      <c r="U3015" s="745"/>
      <c r="V3015" s="864">
        <v>1100120</v>
      </c>
    </row>
    <row r="3016" spans="1:22" ht="15" x14ac:dyDescent="0.25">
      <c r="A3016" s="739">
        <v>2491</v>
      </c>
      <c r="B3016" s="743" t="s">
        <v>41</v>
      </c>
      <c r="C3016" s="736"/>
      <c r="D3016" s="736"/>
      <c r="E3016" s="749"/>
      <c r="F3016" s="736"/>
      <c r="G3016" s="736"/>
      <c r="H3016" s="759">
        <v>91360</v>
      </c>
      <c r="I3016" s="736"/>
      <c r="J3016" s="736">
        <f t="shared" si="903"/>
        <v>91360</v>
      </c>
      <c r="K3016" s="759"/>
      <c r="L3016" s="736"/>
      <c r="M3016" s="736">
        <f t="shared" si="904"/>
        <v>91360</v>
      </c>
      <c r="N3016" s="736"/>
      <c r="O3016" s="736"/>
      <c r="P3016" s="736">
        <f t="shared" si="905"/>
        <v>91360</v>
      </c>
      <c r="Q3016" s="738"/>
      <c r="R3016" s="738">
        <v>6364659.4800000004</v>
      </c>
      <c r="S3016" s="738"/>
      <c r="T3016" s="864">
        <v>1100120</v>
      </c>
      <c r="U3016" s="745"/>
      <c r="V3016" s="864">
        <v>1100120</v>
      </c>
    </row>
    <row r="3017" spans="1:22" ht="15" x14ac:dyDescent="0.25">
      <c r="A3017" s="739">
        <v>2491</v>
      </c>
      <c r="B3017" s="743" t="s">
        <v>41</v>
      </c>
      <c r="C3017" s="736"/>
      <c r="D3017" s="736"/>
      <c r="E3017" s="749"/>
      <c r="F3017" s="736"/>
      <c r="G3017" s="736"/>
      <c r="H3017" s="759">
        <v>94590</v>
      </c>
      <c r="I3017" s="736"/>
      <c r="J3017" s="736">
        <f t="shared" si="903"/>
        <v>94590</v>
      </c>
      <c r="K3017" s="759"/>
      <c r="L3017" s="736"/>
      <c r="M3017" s="736">
        <f t="shared" si="904"/>
        <v>94590</v>
      </c>
      <c r="N3017" s="736"/>
      <c r="O3017" s="736"/>
      <c r="P3017" s="736">
        <f t="shared" si="905"/>
        <v>94590</v>
      </c>
      <c r="Q3017" s="738">
        <v>185950</v>
      </c>
      <c r="R3017" s="738"/>
      <c r="S3017" s="738"/>
      <c r="T3017" s="864">
        <v>1100120</v>
      </c>
      <c r="U3017" s="745"/>
      <c r="V3017" s="864">
        <v>1100120</v>
      </c>
    </row>
    <row r="3018" spans="1:22" ht="15" x14ac:dyDescent="0.2">
      <c r="A3018" s="734">
        <v>2491</v>
      </c>
      <c r="B3018" s="735" t="s">
        <v>41</v>
      </c>
      <c r="C3018" s="736">
        <v>2935713.67</v>
      </c>
      <c r="D3018" s="736">
        <v>6985000</v>
      </c>
      <c r="E3018" s="749">
        <v>620000</v>
      </c>
      <c r="F3018" s="736">
        <v>330651.87000000005</v>
      </c>
      <c r="G3018" s="752">
        <v>7000000</v>
      </c>
      <c r="H3018" s="752"/>
      <c r="I3018" s="752"/>
      <c r="J3018" s="736">
        <f t="shared" si="903"/>
        <v>7000000</v>
      </c>
      <c r="K3018" s="752"/>
      <c r="L3018" s="752"/>
      <c r="M3018" s="736">
        <f t="shared" si="904"/>
        <v>7000000</v>
      </c>
      <c r="N3018" s="736"/>
      <c r="O3018" s="736">
        <v>500000</v>
      </c>
      <c r="P3018" s="736">
        <f t="shared" si="905"/>
        <v>6500000</v>
      </c>
      <c r="Q3018" s="753">
        <v>6444000</v>
      </c>
      <c r="R3018" s="738"/>
      <c r="S3018" s="753">
        <v>1298186.3400000001</v>
      </c>
      <c r="T3018" s="739">
        <v>1100121</v>
      </c>
      <c r="U3018" s="754">
        <v>1298186.3400000001</v>
      </c>
      <c r="V3018" s="741">
        <v>1100122</v>
      </c>
    </row>
    <row r="3019" spans="1:22" ht="15" x14ac:dyDescent="0.25">
      <c r="A3019" s="739">
        <v>2492</v>
      </c>
      <c r="B3019" s="743" t="s">
        <v>333</v>
      </c>
      <c r="C3019" s="736"/>
      <c r="D3019" s="736"/>
      <c r="E3019" s="749"/>
      <c r="F3019" s="736"/>
      <c r="G3019" s="752"/>
      <c r="H3019" s="759">
        <v>177194.42</v>
      </c>
      <c r="I3019" s="752"/>
      <c r="J3019" s="736">
        <f t="shared" si="903"/>
        <v>177194.42</v>
      </c>
      <c r="K3019" s="759"/>
      <c r="L3019" s="752"/>
      <c r="M3019" s="736">
        <f t="shared" si="904"/>
        <v>177194.42</v>
      </c>
      <c r="N3019" s="736"/>
      <c r="O3019" s="736"/>
      <c r="P3019" s="736">
        <f t="shared" si="905"/>
        <v>177194.42</v>
      </c>
      <c r="Q3019" s="753">
        <v>1477194.42</v>
      </c>
      <c r="R3019" s="738">
        <v>1183336.76</v>
      </c>
      <c r="S3019" s="753"/>
      <c r="T3019" s="739">
        <v>1100120</v>
      </c>
      <c r="U3019" s="926"/>
      <c r="V3019" s="739">
        <v>1100120</v>
      </c>
    </row>
    <row r="3020" spans="1:22" ht="15" x14ac:dyDescent="0.25">
      <c r="A3020" s="739">
        <v>2492</v>
      </c>
      <c r="B3020" s="743" t="s">
        <v>333</v>
      </c>
      <c r="C3020" s="736"/>
      <c r="D3020" s="736"/>
      <c r="E3020" s="749"/>
      <c r="F3020" s="736"/>
      <c r="G3020" s="752"/>
      <c r="H3020" s="757">
        <v>1800000</v>
      </c>
      <c r="I3020" s="752"/>
      <c r="J3020" s="736">
        <f t="shared" si="903"/>
        <v>1800000</v>
      </c>
      <c r="K3020" s="757"/>
      <c r="L3020" s="752"/>
      <c r="M3020" s="736">
        <f t="shared" si="904"/>
        <v>1800000</v>
      </c>
      <c r="N3020" s="736"/>
      <c r="O3020" s="736">
        <v>500000</v>
      </c>
      <c r="P3020" s="736">
        <f t="shared" si="905"/>
        <v>1300000</v>
      </c>
      <c r="Q3020" s="753">
        <v>256360</v>
      </c>
      <c r="R3020" s="738"/>
      <c r="S3020" s="753"/>
      <c r="T3020" s="739">
        <v>1100120</v>
      </c>
      <c r="U3020" s="745"/>
      <c r="V3020" s="739">
        <v>1100120</v>
      </c>
    </row>
    <row r="3021" spans="1:22" ht="15" x14ac:dyDescent="0.2">
      <c r="A3021" s="734">
        <v>2492</v>
      </c>
      <c r="B3021" s="735" t="s">
        <v>333</v>
      </c>
      <c r="C3021" s="736"/>
      <c r="D3021" s="736">
        <v>0</v>
      </c>
      <c r="E3021" s="749">
        <v>4900000</v>
      </c>
      <c r="F3021" s="736">
        <v>5424823.4400000004</v>
      </c>
      <c r="G3021" s="736"/>
      <c r="H3021" s="736"/>
      <c r="I3021" s="736"/>
      <c r="J3021" s="736">
        <f t="shared" si="903"/>
        <v>0</v>
      </c>
      <c r="K3021" s="736"/>
      <c r="L3021" s="736"/>
      <c r="M3021" s="736">
        <f t="shared" si="904"/>
        <v>0</v>
      </c>
      <c r="N3021" s="736">
        <v>256360</v>
      </c>
      <c r="O3021" s="736"/>
      <c r="P3021" s="736">
        <f t="shared" si="905"/>
        <v>256360</v>
      </c>
      <c r="Q3021" s="738">
        <v>388031.89</v>
      </c>
      <c r="R3021" s="738"/>
      <c r="S3021" s="738">
        <v>4444841.5999999996</v>
      </c>
      <c r="T3021" s="739">
        <v>1100121</v>
      </c>
      <c r="U3021" s="742">
        <v>4000000</v>
      </c>
      <c r="V3021" s="741">
        <v>2510222</v>
      </c>
    </row>
    <row r="3022" spans="1:22" ht="15" x14ac:dyDescent="0.25">
      <c r="A3022" s="739">
        <v>2493</v>
      </c>
      <c r="B3022" s="743" t="s">
        <v>335</v>
      </c>
      <c r="C3022" s="736"/>
      <c r="D3022" s="736"/>
      <c r="E3022" s="749"/>
      <c r="F3022" s="736"/>
      <c r="G3022" s="736"/>
      <c r="H3022" s="757">
        <v>763039.3</v>
      </c>
      <c r="I3022" s="736"/>
      <c r="J3022" s="736">
        <f t="shared" si="903"/>
        <v>763039.3</v>
      </c>
      <c r="K3022" s="757"/>
      <c r="L3022" s="736"/>
      <c r="M3022" s="736">
        <f t="shared" si="904"/>
        <v>763039.3</v>
      </c>
      <c r="N3022" s="736">
        <v>3500000</v>
      </c>
      <c r="O3022" s="736"/>
      <c r="P3022" s="736">
        <f t="shared" si="905"/>
        <v>4263039.3</v>
      </c>
      <c r="Q3022" s="738">
        <v>4263039.3</v>
      </c>
      <c r="R3022" s="738">
        <v>4239060.5</v>
      </c>
      <c r="S3022" s="738"/>
      <c r="T3022" s="739">
        <v>1100120</v>
      </c>
      <c r="U3022" s="926"/>
      <c r="V3022" s="739">
        <v>1100120</v>
      </c>
    </row>
    <row r="3023" spans="1:22" ht="15" x14ac:dyDescent="0.2">
      <c r="A3023" s="734">
        <v>2493</v>
      </c>
      <c r="B3023" s="735" t="s">
        <v>335</v>
      </c>
      <c r="C3023" s="736"/>
      <c r="D3023" s="736">
        <v>0</v>
      </c>
      <c r="E3023" s="749">
        <v>3765000</v>
      </c>
      <c r="F3023" s="736">
        <v>2914420.24</v>
      </c>
      <c r="G3023" s="736"/>
      <c r="H3023" s="736"/>
      <c r="I3023" s="736"/>
      <c r="J3023" s="736">
        <f t="shared" si="903"/>
        <v>0</v>
      </c>
      <c r="K3023" s="736"/>
      <c r="L3023" s="736"/>
      <c r="M3023" s="736">
        <f t="shared" si="904"/>
        <v>0</v>
      </c>
      <c r="N3023" s="736"/>
      <c r="O3023" s="736"/>
      <c r="P3023" s="738">
        <f t="shared" si="905"/>
        <v>0</v>
      </c>
      <c r="Q3023" s="738"/>
      <c r="R3023" s="738"/>
      <c r="S3023" s="738">
        <v>6622163.9299999997</v>
      </c>
      <c r="T3023" s="739">
        <v>1100121</v>
      </c>
      <c r="U3023" s="742">
        <f>6622163.93-3500000+2836.07</f>
        <v>3124999.9999999995</v>
      </c>
      <c r="V3023" s="741">
        <v>2510222</v>
      </c>
    </row>
    <row r="3024" spans="1:22" ht="15" x14ac:dyDescent="0.2">
      <c r="A3024" s="734">
        <v>2531</v>
      </c>
      <c r="B3024" s="735" t="s">
        <v>145</v>
      </c>
      <c r="C3024" s="736">
        <v>4818.3999999999996</v>
      </c>
      <c r="D3024" s="736">
        <v>10000</v>
      </c>
      <c r="E3024" s="749">
        <v>10000</v>
      </c>
      <c r="F3024" s="736">
        <v>4157.1000000000004</v>
      </c>
      <c r="G3024" s="752">
        <v>10000</v>
      </c>
      <c r="H3024" s="752"/>
      <c r="I3024" s="752"/>
      <c r="J3024" s="736">
        <f t="shared" si="903"/>
        <v>10000</v>
      </c>
      <c r="K3024" s="752"/>
      <c r="L3024" s="752"/>
      <c r="M3024" s="736">
        <f t="shared" si="904"/>
        <v>10000</v>
      </c>
      <c r="N3024" s="736"/>
      <c r="O3024" s="736"/>
      <c r="P3024" s="736">
        <f t="shared" si="905"/>
        <v>10000</v>
      </c>
      <c r="Q3024" s="753">
        <v>10000</v>
      </c>
      <c r="R3024" s="738">
        <v>9870</v>
      </c>
      <c r="S3024" s="753">
        <v>10000</v>
      </c>
      <c r="T3024" s="739">
        <v>1100121</v>
      </c>
      <c r="U3024" s="754">
        <v>10000</v>
      </c>
      <c r="V3024" s="741">
        <v>1100122</v>
      </c>
    </row>
    <row r="3025" spans="1:22" ht="30" x14ac:dyDescent="0.2">
      <c r="A3025" s="734">
        <v>2612</v>
      </c>
      <c r="B3025" s="735" t="s">
        <v>26</v>
      </c>
      <c r="C3025" s="736">
        <v>4594726.38</v>
      </c>
      <c r="D3025" s="736">
        <v>2200000</v>
      </c>
      <c r="E3025" s="749">
        <v>2300000</v>
      </c>
      <c r="F3025" s="736">
        <v>2156702.37</v>
      </c>
      <c r="G3025" s="752">
        <v>2300000</v>
      </c>
      <c r="H3025" s="752"/>
      <c r="I3025" s="752"/>
      <c r="J3025" s="736">
        <f t="shared" si="903"/>
        <v>2300000</v>
      </c>
      <c r="K3025" s="752"/>
      <c r="L3025" s="752"/>
      <c r="M3025" s="736">
        <f t="shared" si="904"/>
        <v>2300000</v>
      </c>
      <c r="N3025" s="736">
        <v>200000</v>
      </c>
      <c r="O3025" s="736"/>
      <c r="P3025" s="736">
        <f t="shared" si="905"/>
        <v>2500000</v>
      </c>
      <c r="Q3025" s="753">
        <v>2500000</v>
      </c>
      <c r="R3025" s="738">
        <v>2347046.84</v>
      </c>
      <c r="S3025" s="738">
        <f>Q3025</f>
        <v>2500000</v>
      </c>
      <c r="T3025" s="739">
        <v>1100121</v>
      </c>
      <c r="U3025" s="746">
        <v>3000000</v>
      </c>
      <c r="V3025" s="741">
        <v>1100122</v>
      </c>
    </row>
    <row r="3026" spans="1:22" ht="15" x14ac:dyDescent="0.2">
      <c r="A3026" s="734">
        <v>2614</v>
      </c>
      <c r="B3026" s="735" t="s">
        <v>116</v>
      </c>
      <c r="C3026" s="736"/>
      <c r="D3026" s="736">
        <v>1800000</v>
      </c>
      <c r="E3026" s="749">
        <v>900000</v>
      </c>
      <c r="F3026" s="736">
        <v>758492.13</v>
      </c>
      <c r="G3026" s="752">
        <v>1200000</v>
      </c>
      <c r="H3026" s="752"/>
      <c r="I3026" s="752"/>
      <c r="J3026" s="736">
        <f t="shared" si="903"/>
        <v>1200000</v>
      </c>
      <c r="K3026" s="752"/>
      <c r="L3026" s="752"/>
      <c r="M3026" s="736">
        <f t="shared" si="904"/>
        <v>1200000</v>
      </c>
      <c r="N3026" s="736"/>
      <c r="O3026" s="736">
        <v>400000</v>
      </c>
      <c r="P3026" s="736">
        <f t="shared" si="905"/>
        <v>800000</v>
      </c>
      <c r="Q3026" s="753">
        <v>800000</v>
      </c>
      <c r="R3026" s="738">
        <v>537978.80000000005</v>
      </c>
      <c r="S3026" s="738">
        <f>Q3026</f>
        <v>800000</v>
      </c>
      <c r="T3026" s="739">
        <v>1100121</v>
      </c>
      <c r="U3026" s="746">
        <v>950000</v>
      </c>
      <c r="V3026" s="741">
        <v>1100122</v>
      </c>
    </row>
    <row r="3027" spans="1:22" ht="15" x14ac:dyDescent="0.2">
      <c r="A3027" s="739">
        <v>2711</v>
      </c>
      <c r="B3027" s="743" t="s">
        <v>27</v>
      </c>
      <c r="C3027" s="736"/>
      <c r="D3027" s="736">
        <v>0</v>
      </c>
      <c r="E3027" s="749">
        <v>3000000</v>
      </c>
      <c r="F3027" s="736">
        <v>3000000</v>
      </c>
      <c r="G3027" s="752">
        <v>715333.44</v>
      </c>
      <c r="H3027" s="752"/>
      <c r="I3027" s="752">
        <v>715333.44</v>
      </c>
      <c r="J3027" s="736">
        <f t="shared" si="903"/>
        <v>0</v>
      </c>
      <c r="K3027" s="752"/>
      <c r="L3027" s="752"/>
      <c r="M3027" s="736">
        <f t="shared" si="904"/>
        <v>0</v>
      </c>
      <c r="N3027" s="736"/>
      <c r="O3027" s="736"/>
      <c r="P3027" s="738">
        <f t="shared" si="905"/>
        <v>0</v>
      </c>
      <c r="Q3027" s="753">
        <v>1469138.84</v>
      </c>
      <c r="R3027" s="738">
        <v>1469138.84</v>
      </c>
      <c r="S3027" s="753"/>
      <c r="T3027" s="739">
        <v>1100120</v>
      </c>
      <c r="U3027" s="745"/>
      <c r="V3027" s="739">
        <v>1100120</v>
      </c>
    </row>
    <row r="3028" spans="1:22" ht="15" x14ac:dyDescent="0.25">
      <c r="A3028" s="734">
        <v>2711</v>
      </c>
      <c r="B3028" s="735" t="s">
        <v>27</v>
      </c>
      <c r="C3028" s="736"/>
      <c r="D3028" s="736"/>
      <c r="E3028" s="749"/>
      <c r="F3028" s="736"/>
      <c r="G3028" s="752"/>
      <c r="H3028" s="757">
        <v>1469138.84</v>
      </c>
      <c r="I3028" s="752"/>
      <c r="J3028" s="736">
        <f t="shared" si="903"/>
        <v>1469138.84</v>
      </c>
      <c r="K3028" s="757"/>
      <c r="L3028" s="752"/>
      <c r="M3028" s="736">
        <f t="shared" si="904"/>
        <v>1469138.84</v>
      </c>
      <c r="N3028" s="736"/>
      <c r="O3028" s="736"/>
      <c r="P3028" s="736">
        <f t="shared" si="905"/>
        <v>1469138.84</v>
      </c>
      <c r="Q3028" s="753"/>
      <c r="R3028" s="738"/>
      <c r="S3028" s="753"/>
      <c r="T3028" s="739">
        <v>1100120</v>
      </c>
      <c r="U3028" s="740">
        <v>1500000</v>
      </c>
      <c r="V3028" s="741">
        <v>1100121</v>
      </c>
    </row>
    <row r="3029" spans="1:22" ht="15" x14ac:dyDescent="0.2">
      <c r="A3029" s="739">
        <v>2711</v>
      </c>
      <c r="B3029" s="743" t="s">
        <v>27</v>
      </c>
      <c r="C3029" s="736"/>
      <c r="D3029" s="736">
        <v>3120000</v>
      </c>
      <c r="E3029" s="749">
        <v>1560000</v>
      </c>
      <c r="F3029" s="736">
        <v>61999.68</v>
      </c>
      <c r="G3029" s="752">
        <v>1500000</v>
      </c>
      <c r="H3029" s="752"/>
      <c r="I3029" s="752"/>
      <c r="J3029" s="736">
        <f t="shared" si="903"/>
        <v>1500000</v>
      </c>
      <c r="K3029" s="752"/>
      <c r="L3029" s="752"/>
      <c r="M3029" s="736">
        <f t="shared" si="904"/>
        <v>1500000</v>
      </c>
      <c r="N3029" s="736"/>
      <c r="O3029" s="736"/>
      <c r="P3029" s="736">
        <f t="shared" si="905"/>
        <v>1500000</v>
      </c>
      <c r="Q3029" s="753">
        <v>1500000</v>
      </c>
      <c r="R3029" s="738"/>
      <c r="S3029" s="753">
        <v>4712000</v>
      </c>
      <c r="T3029" s="739">
        <v>1100121</v>
      </c>
      <c r="U3029" s="841">
        <v>0</v>
      </c>
      <c r="V3029" s="739">
        <v>1100122</v>
      </c>
    </row>
    <row r="3030" spans="1:22" ht="15" x14ac:dyDescent="0.2">
      <c r="A3030" s="912">
        <v>2722</v>
      </c>
      <c r="B3030" s="762" t="s">
        <v>1841</v>
      </c>
      <c r="C3030" s="736"/>
      <c r="D3030" s="736"/>
      <c r="E3030" s="749"/>
      <c r="F3030" s="736"/>
      <c r="G3030" s="752">
        <v>9129.43</v>
      </c>
      <c r="H3030" s="752"/>
      <c r="I3030" s="752"/>
      <c r="J3030" s="736">
        <f t="shared" si="903"/>
        <v>9129.43</v>
      </c>
      <c r="K3030" s="752"/>
      <c r="L3030" s="752"/>
      <c r="M3030" s="736">
        <f t="shared" si="904"/>
        <v>9129.43</v>
      </c>
      <c r="N3030" s="736"/>
      <c r="O3030" s="736"/>
      <c r="P3030" s="736">
        <f t="shared" si="905"/>
        <v>9129.43</v>
      </c>
      <c r="Q3030" s="753">
        <v>9129.43</v>
      </c>
      <c r="R3030" s="738"/>
      <c r="S3030" s="753">
        <v>119589.89</v>
      </c>
      <c r="T3030" s="739">
        <v>1100121</v>
      </c>
      <c r="U3030" s="878">
        <v>100000</v>
      </c>
      <c r="V3030" s="741">
        <v>1100122</v>
      </c>
    </row>
    <row r="3031" spans="1:22" ht="15" x14ac:dyDescent="0.2">
      <c r="A3031" s="734">
        <v>2911</v>
      </c>
      <c r="B3031" s="735" t="s">
        <v>60</v>
      </c>
      <c r="C3031" s="736">
        <v>49438.61</v>
      </c>
      <c r="D3031" s="736">
        <v>50000</v>
      </c>
      <c r="E3031" s="749">
        <v>50000</v>
      </c>
      <c r="F3031" s="736">
        <v>49827.199999999997</v>
      </c>
      <c r="G3031" s="752">
        <v>37142.04</v>
      </c>
      <c r="H3031" s="752"/>
      <c r="I3031" s="752"/>
      <c r="J3031" s="736">
        <f t="shared" si="903"/>
        <v>37142.04</v>
      </c>
      <c r="K3031" s="752"/>
      <c r="L3031" s="752"/>
      <c r="M3031" s="736">
        <f t="shared" si="904"/>
        <v>37142.04</v>
      </c>
      <c r="N3031" s="736"/>
      <c r="O3031" s="736"/>
      <c r="P3031" s="736">
        <f t="shared" si="905"/>
        <v>37142.04</v>
      </c>
      <c r="Q3031" s="753">
        <v>37142.04</v>
      </c>
      <c r="R3031" s="738">
        <v>4392.5</v>
      </c>
      <c r="S3031" s="753">
        <v>42524.44</v>
      </c>
      <c r="T3031" s="739">
        <v>1100121</v>
      </c>
      <c r="U3031" s="878">
        <v>20000</v>
      </c>
      <c r="V3031" s="741">
        <v>1100122</v>
      </c>
    </row>
    <row r="3032" spans="1:22" ht="15" x14ac:dyDescent="0.2">
      <c r="A3032" s="739">
        <v>2961</v>
      </c>
      <c r="B3032" s="822" t="s">
        <v>1764</v>
      </c>
      <c r="C3032" s="736">
        <v>12750.72</v>
      </c>
      <c r="D3032" s="736"/>
      <c r="E3032" s="749"/>
      <c r="F3032" s="736"/>
      <c r="G3032" s="736"/>
      <c r="H3032" s="736"/>
      <c r="I3032" s="736"/>
      <c r="J3032" s="736">
        <f t="shared" si="903"/>
        <v>0</v>
      </c>
      <c r="K3032" s="736"/>
      <c r="L3032" s="736"/>
      <c r="M3032" s="736">
        <f t="shared" si="904"/>
        <v>0</v>
      </c>
      <c r="N3032" s="736"/>
      <c r="O3032" s="736"/>
      <c r="P3032" s="738">
        <f t="shared" si="905"/>
        <v>0</v>
      </c>
      <c r="Q3032" s="738"/>
      <c r="R3032" s="738"/>
      <c r="S3032" s="738"/>
      <c r="T3032" s="739"/>
      <c r="U3032" s="745"/>
      <c r="V3032" s="739"/>
    </row>
    <row r="3033" spans="1:22" ht="15" x14ac:dyDescent="0.2">
      <c r="A3033" s="739">
        <v>3151</v>
      </c>
      <c r="B3033" s="743" t="s">
        <v>28</v>
      </c>
      <c r="C3033" s="736"/>
      <c r="D3033" s="736">
        <v>0</v>
      </c>
      <c r="E3033" s="736"/>
      <c r="F3033" s="736">
        <v>0</v>
      </c>
      <c r="G3033" s="736"/>
      <c r="H3033" s="736"/>
      <c r="I3033" s="736"/>
      <c r="J3033" s="736">
        <f t="shared" si="903"/>
        <v>0</v>
      </c>
      <c r="K3033" s="736"/>
      <c r="L3033" s="736"/>
      <c r="M3033" s="736">
        <f t="shared" si="904"/>
        <v>0</v>
      </c>
      <c r="N3033" s="736"/>
      <c r="O3033" s="736"/>
      <c r="P3033" s="738">
        <f t="shared" si="905"/>
        <v>0</v>
      </c>
      <c r="Q3033" s="738"/>
      <c r="R3033" s="738"/>
      <c r="S3033" s="738"/>
      <c r="T3033" s="739">
        <v>1100121</v>
      </c>
      <c r="U3033" s="745"/>
      <c r="V3033" s="739">
        <v>1100122</v>
      </c>
    </row>
    <row r="3034" spans="1:22" ht="30" x14ac:dyDescent="0.25">
      <c r="A3034" s="734">
        <v>3361</v>
      </c>
      <c r="B3034" s="735" t="s">
        <v>29</v>
      </c>
      <c r="C3034" s="736"/>
      <c r="D3034" s="736"/>
      <c r="E3034" s="736"/>
      <c r="F3034" s="736"/>
      <c r="G3034" s="736"/>
      <c r="H3034" s="759">
        <v>30160</v>
      </c>
      <c r="I3034" s="736"/>
      <c r="J3034" s="736">
        <f t="shared" si="903"/>
        <v>30160</v>
      </c>
      <c r="K3034" s="759"/>
      <c r="L3034" s="736"/>
      <c r="M3034" s="736">
        <f t="shared" si="904"/>
        <v>30160</v>
      </c>
      <c r="N3034" s="736"/>
      <c r="O3034" s="736"/>
      <c r="P3034" s="736">
        <f t="shared" si="905"/>
        <v>30160</v>
      </c>
      <c r="Q3034" s="738">
        <v>30160</v>
      </c>
      <c r="R3034" s="738">
        <v>30160</v>
      </c>
      <c r="S3034" s="738">
        <v>170000</v>
      </c>
      <c r="T3034" s="739">
        <v>1100120</v>
      </c>
      <c r="U3034" s="742">
        <v>100000</v>
      </c>
      <c r="V3034" s="741">
        <v>1100122</v>
      </c>
    </row>
    <row r="3035" spans="1:22" ht="30" x14ac:dyDescent="0.2">
      <c r="A3035" s="739">
        <v>3361</v>
      </c>
      <c r="B3035" s="743" t="s">
        <v>29</v>
      </c>
      <c r="C3035" s="736">
        <v>126164.72</v>
      </c>
      <c r="D3035" s="736">
        <v>170000</v>
      </c>
      <c r="E3035" s="749">
        <v>170000</v>
      </c>
      <c r="F3035" s="736">
        <v>131325.66</v>
      </c>
      <c r="G3035" s="752">
        <v>170000</v>
      </c>
      <c r="H3035" s="752"/>
      <c r="I3035" s="752"/>
      <c r="J3035" s="736">
        <f t="shared" si="903"/>
        <v>170000</v>
      </c>
      <c r="K3035" s="752"/>
      <c r="L3035" s="752"/>
      <c r="M3035" s="736">
        <f t="shared" si="904"/>
        <v>170000</v>
      </c>
      <c r="N3035" s="736"/>
      <c r="O3035" s="736"/>
      <c r="P3035" s="736">
        <f t="shared" si="905"/>
        <v>170000</v>
      </c>
      <c r="Q3035" s="753">
        <v>170000</v>
      </c>
      <c r="R3035" s="738">
        <v>30703.599999999999</v>
      </c>
      <c r="S3035" s="753"/>
      <c r="T3035" s="739">
        <v>1100121</v>
      </c>
      <c r="U3035" s="745"/>
      <c r="V3035" s="739">
        <v>1100122</v>
      </c>
    </row>
    <row r="3036" spans="1:22" ht="15" x14ac:dyDescent="0.2">
      <c r="A3036" s="739">
        <v>3511</v>
      </c>
      <c r="B3036" s="743" t="s">
        <v>49</v>
      </c>
      <c r="C3036" s="736">
        <v>445864</v>
      </c>
      <c r="D3036" s="736">
        <v>0</v>
      </c>
      <c r="E3036" s="749">
        <v>114840</v>
      </c>
      <c r="F3036" s="736">
        <v>114840</v>
      </c>
      <c r="G3036" s="736"/>
      <c r="H3036" s="736"/>
      <c r="I3036" s="736"/>
      <c r="J3036" s="736">
        <f t="shared" si="903"/>
        <v>0</v>
      </c>
      <c r="K3036" s="736"/>
      <c r="L3036" s="736"/>
      <c r="M3036" s="736">
        <f t="shared" si="904"/>
        <v>0</v>
      </c>
      <c r="N3036" s="736"/>
      <c r="O3036" s="736"/>
      <c r="P3036" s="738">
        <f t="shared" si="905"/>
        <v>0</v>
      </c>
      <c r="Q3036" s="738">
        <v>234073.41</v>
      </c>
      <c r="R3036" s="738"/>
      <c r="S3036" s="738"/>
      <c r="T3036" s="739">
        <v>1100119</v>
      </c>
      <c r="U3036" s="745"/>
      <c r="V3036" s="739">
        <v>1100119</v>
      </c>
    </row>
    <row r="3037" spans="1:22" ht="15" x14ac:dyDescent="0.25">
      <c r="A3037" s="739">
        <v>3511</v>
      </c>
      <c r="B3037" s="743" t="s">
        <v>49</v>
      </c>
      <c r="C3037" s="736"/>
      <c r="D3037" s="736"/>
      <c r="E3037" s="749"/>
      <c r="F3037" s="736"/>
      <c r="G3037" s="736"/>
      <c r="H3037" s="757">
        <v>234073.41</v>
      </c>
      <c r="I3037" s="736"/>
      <c r="J3037" s="736">
        <f t="shared" si="903"/>
        <v>234073.41</v>
      </c>
      <c r="K3037" s="757"/>
      <c r="L3037" s="736"/>
      <c r="M3037" s="736">
        <f t="shared" si="904"/>
        <v>234073.41</v>
      </c>
      <c r="N3037" s="736"/>
      <c r="O3037" s="736"/>
      <c r="P3037" s="736">
        <f t="shared" si="905"/>
        <v>234073.41</v>
      </c>
      <c r="Q3037" s="738"/>
      <c r="R3037" s="738">
        <v>234073.41</v>
      </c>
      <c r="S3037" s="738"/>
      <c r="T3037" s="917">
        <v>1100120</v>
      </c>
      <c r="U3037" s="745"/>
      <c r="V3037" s="917">
        <v>1100120</v>
      </c>
    </row>
    <row r="3038" spans="1:22" ht="15" x14ac:dyDescent="0.2">
      <c r="A3038" s="739">
        <v>3511</v>
      </c>
      <c r="B3038" s="743" t="s">
        <v>49</v>
      </c>
      <c r="C3038" s="736"/>
      <c r="D3038" s="736">
        <v>446000</v>
      </c>
      <c r="E3038" s="749">
        <v>466000</v>
      </c>
      <c r="F3038" s="736">
        <v>84302.91</v>
      </c>
      <c r="G3038" s="736"/>
      <c r="H3038" s="736"/>
      <c r="I3038" s="736"/>
      <c r="J3038" s="736">
        <f t="shared" si="903"/>
        <v>0</v>
      </c>
      <c r="K3038" s="736"/>
      <c r="L3038" s="736"/>
      <c r="M3038" s="736">
        <f t="shared" si="904"/>
        <v>0</v>
      </c>
      <c r="N3038" s="736"/>
      <c r="O3038" s="736"/>
      <c r="P3038" s="738">
        <f t="shared" si="905"/>
        <v>0</v>
      </c>
      <c r="Q3038" s="738"/>
      <c r="R3038" s="738"/>
      <c r="S3038" s="927">
        <v>100000</v>
      </c>
      <c r="T3038" s="739">
        <v>1100121</v>
      </c>
      <c r="U3038" s="928">
        <v>0</v>
      </c>
      <c r="V3038" s="739">
        <v>1100122</v>
      </c>
    </row>
    <row r="3039" spans="1:22" ht="15" x14ac:dyDescent="0.2">
      <c r="A3039" s="739">
        <v>3551</v>
      </c>
      <c r="B3039" s="743" t="s">
        <v>30</v>
      </c>
      <c r="C3039" s="736"/>
      <c r="D3039" s="736"/>
      <c r="E3039" s="749"/>
      <c r="F3039" s="736"/>
      <c r="G3039" s="736"/>
      <c r="H3039" s="736">
        <v>125000</v>
      </c>
      <c r="I3039" s="736"/>
      <c r="J3039" s="736">
        <f t="shared" si="903"/>
        <v>125000</v>
      </c>
      <c r="K3039" s="736"/>
      <c r="L3039" s="736"/>
      <c r="M3039" s="736">
        <f t="shared" si="904"/>
        <v>125000</v>
      </c>
      <c r="N3039" s="736"/>
      <c r="O3039" s="736">
        <v>125000</v>
      </c>
      <c r="P3039" s="738">
        <f t="shared" si="905"/>
        <v>0</v>
      </c>
      <c r="Q3039" s="738"/>
      <c r="R3039" s="738"/>
      <c r="S3039" s="738">
        <f>Q3039</f>
        <v>0</v>
      </c>
      <c r="T3039" s="739">
        <v>1100120</v>
      </c>
      <c r="U3039" s="785"/>
      <c r="V3039" s="739">
        <v>1100120</v>
      </c>
    </row>
    <row r="3040" spans="1:22" ht="15" x14ac:dyDescent="0.2">
      <c r="A3040" s="734">
        <v>5691</v>
      </c>
      <c r="B3040" s="735" t="s">
        <v>1713</v>
      </c>
      <c r="C3040" s="736"/>
      <c r="D3040" s="736"/>
      <c r="E3040" s="749"/>
      <c r="F3040" s="736"/>
      <c r="G3040" s="736"/>
      <c r="H3040" s="736"/>
      <c r="I3040" s="736"/>
      <c r="J3040" s="736"/>
      <c r="K3040" s="736"/>
      <c r="L3040" s="736"/>
      <c r="M3040" s="736"/>
      <c r="N3040" s="736">
        <f>125000+148000</f>
        <v>273000</v>
      </c>
      <c r="O3040" s="736"/>
      <c r="P3040" s="736">
        <f t="shared" si="905"/>
        <v>273000</v>
      </c>
      <c r="Q3040" s="738">
        <v>273000</v>
      </c>
      <c r="R3040" s="738"/>
      <c r="S3040" s="738"/>
      <c r="T3040" s="739">
        <v>1100120</v>
      </c>
      <c r="U3040" s="740">
        <v>138000</v>
      </c>
      <c r="V3040" s="741">
        <v>1100121</v>
      </c>
    </row>
    <row r="3041" spans="1:22" ht="15" x14ac:dyDescent="0.25">
      <c r="A3041" s="739">
        <v>3551</v>
      </c>
      <c r="B3041" s="743" t="s">
        <v>30</v>
      </c>
      <c r="C3041" s="736"/>
      <c r="D3041" s="736"/>
      <c r="E3041" s="749"/>
      <c r="F3041" s="736"/>
      <c r="G3041" s="736"/>
      <c r="H3041" s="759">
        <v>17850</v>
      </c>
      <c r="I3041" s="736"/>
      <c r="J3041" s="736">
        <f t="shared" ref="J3041:J3060" si="906">G3041+H3041-I3041</f>
        <v>17850</v>
      </c>
      <c r="K3041" s="759"/>
      <c r="L3041" s="736"/>
      <c r="M3041" s="736">
        <f t="shared" ref="M3041:M3060" si="907">J3041+K3041-L3041</f>
        <v>17850</v>
      </c>
      <c r="N3041" s="736"/>
      <c r="O3041" s="736"/>
      <c r="P3041" s="736">
        <f t="shared" si="905"/>
        <v>17850</v>
      </c>
      <c r="Q3041" s="738"/>
      <c r="R3041" s="738"/>
      <c r="S3041" s="738">
        <f>Q3041</f>
        <v>0</v>
      </c>
      <c r="T3041" s="739">
        <v>1100120</v>
      </c>
      <c r="U3041" s="744"/>
      <c r="V3041" s="739">
        <v>1100120</v>
      </c>
    </row>
    <row r="3042" spans="1:22" ht="15" x14ac:dyDescent="0.2">
      <c r="A3042" s="734">
        <v>3551</v>
      </c>
      <c r="B3042" s="735" t="s">
        <v>30</v>
      </c>
      <c r="C3042" s="736">
        <v>2403740.7000000002</v>
      </c>
      <c r="D3042" s="736">
        <v>2800000</v>
      </c>
      <c r="E3042" s="749">
        <v>2500000</v>
      </c>
      <c r="F3042" s="736">
        <v>2225751.13</v>
      </c>
      <c r="G3042" s="752">
        <v>2000000</v>
      </c>
      <c r="H3042" s="752"/>
      <c r="I3042" s="752"/>
      <c r="J3042" s="736">
        <f t="shared" si="906"/>
        <v>2000000</v>
      </c>
      <c r="K3042" s="752"/>
      <c r="L3042" s="752"/>
      <c r="M3042" s="736">
        <f t="shared" si="907"/>
        <v>2000000</v>
      </c>
      <c r="N3042" s="736">
        <v>280000</v>
      </c>
      <c r="O3042" s="736"/>
      <c r="P3042" s="736">
        <f t="shared" si="905"/>
        <v>2280000</v>
      </c>
      <c r="Q3042" s="753">
        <v>2280000</v>
      </c>
      <c r="R3042" s="738">
        <v>2186722.86</v>
      </c>
      <c r="S3042" s="738">
        <f>Q3042</f>
        <v>2280000</v>
      </c>
      <c r="T3042" s="739">
        <v>1100121</v>
      </c>
      <c r="U3042" s="746">
        <v>2800000</v>
      </c>
      <c r="V3042" s="741">
        <v>1100122</v>
      </c>
    </row>
    <row r="3043" spans="1:22" ht="15" x14ac:dyDescent="0.2">
      <c r="A3043" s="734">
        <v>3571</v>
      </c>
      <c r="B3043" s="735" t="s">
        <v>65</v>
      </c>
      <c r="C3043" s="736">
        <v>1422423.08</v>
      </c>
      <c r="D3043" s="736">
        <v>670000</v>
      </c>
      <c r="E3043" s="749">
        <v>100000</v>
      </c>
      <c r="F3043" s="736">
        <v>8054.34</v>
      </c>
      <c r="G3043" s="752">
        <v>100000</v>
      </c>
      <c r="H3043" s="752"/>
      <c r="I3043" s="752"/>
      <c r="J3043" s="736">
        <f t="shared" si="906"/>
        <v>100000</v>
      </c>
      <c r="K3043" s="752"/>
      <c r="L3043" s="752"/>
      <c r="M3043" s="736">
        <f t="shared" si="907"/>
        <v>100000</v>
      </c>
      <c r="N3043" s="736"/>
      <c r="O3043" s="736"/>
      <c r="P3043" s="736">
        <f t="shared" si="905"/>
        <v>100000</v>
      </c>
      <c r="Q3043" s="753">
        <v>100000</v>
      </c>
      <c r="R3043" s="738">
        <v>27007.119999999999</v>
      </c>
      <c r="S3043" s="929">
        <v>100000</v>
      </c>
      <c r="T3043" s="739">
        <v>1100121</v>
      </c>
      <c r="U3043" s="930">
        <v>50000</v>
      </c>
      <c r="V3043" s="741">
        <v>1100122</v>
      </c>
    </row>
    <row r="3044" spans="1:22" ht="15" x14ac:dyDescent="0.2">
      <c r="A3044" s="739">
        <v>3611</v>
      </c>
      <c r="B3044" s="743" t="s">
        <v>66</v>
      </c>
      <c r="C3044" s="736">
        <v>18805.849999999999</v>
      </c>
      <c r="D3044" s="736">
        <v>50000</v>
      </c>
      <c r="E3044" s="749">
        <v>50000</v>
      </c>
      <c r="F3044" s="736">
        <v>0</v>
      </c>
      <c r="G3044" s="752">
        <v>50000</v>
      </c>
      <c r="H3044" s="752"/>
      <c r="I3044" s="752"/>
      <c r="J3044" s="736">
        <f t="shared" si="906"/>
        <v>50000</v>
      </c>
      <c r="K3044" s="752"/>
      <c r="L3044" s="752"/>
      <c r="M3044" s="736">
        <f t="shared" si="907"/>
        <v>50000</v>
      </c>
      <c r="N3044" s="736"/>
      <c r="O3044" s="736"/>
      <c r="P3044" s="736">
        <f t="shared" si="905"/>
        <v>50000</v>
      </c>
      <c r="Q3044" s="753">
        <v>50000</v>
      </c>
      <c r="R3044" s="738"/>
      <c r="S3044" s="929">
        <v>50000</v>
      </c>
      <c r="T3044" s="739">
        <v>1100121</v>
      </c>
      <c r="U3044" s="931">
        <v>0</v>
      </c>
      <c r="V3044" s="739">
        <v>1100122</v>
      </c>
    </row>
    <row r="3045" spans="1:22" ht="15" x14ac:dyDescent="0.2">
      <c r="A3045" s="739">
        <v>3821</v>
      </c>
      <c r="B3045" s="743" t="s">
        <v>31</v>
      </c>
      <c r="C3045" s="736">
        <v>115394.67</v>
      </c>
      <c r="D3045" s="736">
        <v>0</v>
      </c>
      <c r="E3045" s="749">
        <v>3016</v>
      </c>
      <c r="F3045" s="736">
        <v>3016</v>
      </c>
      <c r="G3045" s="736"/>
      <c r="H3045" s="736"/>
      <c r="I3045" s="736"/>
      <c r="J3045" s="736">
        <f t="shared" si="906"/>
        <v>0</v>
      </c>
      <c r="K3045" s="736"/>
      <c r="L3045" s="736"/>
      <c r="M3045" s="736">
        <f t="shared" si="907"/>
        <v>0</v>
      </c>
      <c r="N3045" s="736"/>
      <c r="O3045" s="736"/>
      <c r="P3045" s="738">
        <f t="shared" si="905"/>
        <v>0</v>
      </c>
      <c r="Q3045" s="738"/>
      <c r="R3045" s="738"/>
      <c r="S3045" s="738"/>
      <c r="T3045" s="739">
        <v>1100119</v>
      </c>
      <c r="U3045" s="745"/>
      <c r="V3045" s="739">
        <v>1100119</v>
      </c>
    </row>
    <row r="3046" spans="1:22" ht="15" x14ac:dyDescent="0.2">
      <c r="A3046" s="734">
        <v>3821</v>
      </c>
      <c r="B3046" s="735" t="s">
        <v>31</v>
      </c>
      <c r="C3046" s="736"/>
      <c r="D3046" s="736">
        <v>100000</v>
      </c>
      <c r="E3046" s="749">
        <v>100000</v>
      </c>
      <c r="F3046" s="736">
        <v>49774.400000000001</v>
      </c>
      <c r="G3046" s="752">
        <v>100000</v>
      </c>
      <c r="H3046" s="752"/>
      <c r="I3046" s="752"/>
      <c r="J3046" s="736">
        <f t="shared" si="906"/>
        <v>100000</v>
      </c>
      <c r="K3046" s="752"/>
      <c r="L3046" s="752"/>
      <c r="M3046" s="736">
        <f t="shared" si="907"/>
        <v>100000</v>
      </c>
      <c r="N3046" s="736"/>
      <c r="O3046" s="736"/>
      <c r="P3046" s="736">
        <f t="shared" si="905"/>
        <v>100000</v>
      </c>
      <c r="Q3046" s="753">
        <v>100000</v>
      </c>
      <c r="R3046" s="738">
        <v>99961.71</v>
      </c>
      <c r="S3046" s="929">
        <v>100000</v>
      </c>
      <c r="T3046" s="739">
        <v>1100121</v>
      </c>
      <c r="U3046" s="930">
        <v>100000</v>
      </c>
      <c r="V3046" s="741">
        <v>1100122</v>
      </c>
    </row>
    <row r="3047" spans="1:22" ht="15" x14ac:dyDescent="0.2">
      <c r="A3047" s="734">
        <v>3921</v>
      </c>
      <c r="B3047" s="735" t="s">
        <v>33</v>
      </c>
      <c r="C3047" s="736">
        <v>22795.42</v>
      </c>
      <c r="D3047" s="736">
        <v>33280</v>
      </c>
      <c r="E3047" s="749">
        <v>33280</v>
      </c>
      <c r="F3047" s="736">
        <v>18503.689999999999</v>
      </c>
      <c r="G3047" s="752">
        <v>37030.400000000001</v>
      </c>
      <c r="H3047" s="752"/>
      <c r="I3047" s="752"/>
      <c r="J3047" s="736">
        <f t="shared" si="906"/>
        <v>37030.400000000001</v>
      </c>
      <c r="K3047" s="752"/>
      <c r="L3047" s="752"/>
      <c r="M3047" s="736">
        <f t="shared" si="907"/>
        <v>37030.400000000001</v>
      </c>
      <c r="N3047" s="736"/>
      <c r="O3047" s="736"/>
      <c r="P3047" s="736">
        <f t="shared" si="905"/>
        <v>37030.400000000001</v>
      </c>
      <c r="Q3047" s="753">
        <v>41030.400000000001</v>
      </c>
      <c r="R3047" s="738">
        <v>31033.439999999999</v>
      </c>
      <c r="S3047" s="753">
        <v>43776.2</v>
      </c>
      <c r="T3047" s="739">
        <v>1100121</v>
      </c>
      <c r="U3047" s="740">
        <v>46471</v>
      </c>
      <c r="V3047" s="741">
        <v>1100122</v>
      </c>
    </row>
    <row r="3048" spans="1:22" ht="15" x14ac:dyDescent="0.2">
      <c r="A3048" s="739">
        <v>3961</v>
      </c>
      <c r="B3048" s="822" t="s">
        <v>122</v>
      </c>
      <c r="C3048" s="736">
        <v>1452578.68</v>
      </c>
      <c r="D3048" s="736"/>
      <c r="E3048" s="736"/>
      <c r="F3048" s="736"/>
      <c r="G3048" s="736"/>
      <c r="H3048" s="736"/>
      <c r="I3048" s="736"/>
      <c r="J3048" s="736">
        <f t="shared" si="906"/>
        <v>0</v>
      </c>
      <c r="K3048" s="736"/>
      <c r="L3048" s="736"/>
      <c r="M3048" s="736">
        <f t="shared" si="907"/>
        <v>0</v>
      </c>
      <c r="N3048" s="736"/>
      <c r="O3048" s="736"/>
      <c r="P3048" s="738">
        <f t="shared" si="905"/>
        <v>0</v>
      </c>
      <c r="Q3048" s="738"/>
      <c r="R3048" s="738"/>
      <c r="S3048" s="738"/>
      <c r="T3048" s="739"/>
      <c r="U3048" s="745"/>
      <c r="V3048" s="739"/>
    </row>
    <row r="3049" spans="1:22" ht="15" x14ac:dyDescent="0.2">
      <c r="A3049" s="739">
        <v>5151</v>
      </c>
      <c r="B3049" s="822" t="s">
        <v>36</v>
      </c>
      <c r="C3049" s="736">
        <v>23957.97</v>
      </c>
      <c r="D3049" s="736"/>
      <c r="E3049" s="736"/>
      <c r="F3049" s="736"/>
      <c r="G3049" s="736"/>
      <c r="H3049" s="736"/>
      <c r="I3049" s="736"/>
      <c r="J3049" s="736">
        <f t="shared" si="906"/>
        <v>0</v>
      </c>
      <c r="K3049" s="736"/>
      <c r="L3049" s="736"/>
      <c r="M3049" s="736">
        <f t="shared" si="907"/>
        <v>0</v>
      </c>
      <c r="N3049" s="736"/>
      <c r="O3049" s="736"/>
      <c r="P3049" s="738">
        <f t="shared" si="905"/>
        <v>0</v>
      </c>
      <c r="Q3049" s="738"/>
      <c r="R3049" s="738"/>
      <c r="S3049" s="738"/>
      <c r="T3049" s="739"/>
      <c r="U3049" s="745"/>
      <c r="V3049" s="739"/>
    </row>
    <row r="3050" spans="1:22" ht="15" x14ac:dyDescent="0.2">
      <c r="A3050" s="739">
        <v>5231</v>
      </c>
      <c r="B3050" s="743" t="s">
        <v>81</v>
      </c>
      <c r="C3050" s="736"/>
      <c r="D3050" s="736">
        <v>0</v>
      </c>
      <c r="E3050" s="736"/>
      <c r="F3050" s="736">
        <v>0</v>
      </c>
      <c r="G3050" s="736"/>
      <c r="H3050" s="736"/>
      <c r="I3050" s="736"/>
      <c r="J3050" s="736">
        <f t="shared" si="906"/>
        <v>0</v>
      </c>
      <c r="K3050" s="736"/>
      <c r="L3050" s="736"/>
      <c r="M3050" s="736">
        <f t="shared" si="907"/>
        <v>0</v>
      </c>
      <c r="N3050" s="736"/>
      <c r="O3050" s="736"/>
      <c r="P3050" s="738">
        <f t="shared" si="905"/>
        <v>0</v>
      </c>
      <c r="Q3050" s="738"/>
      <c r="R3050" s="738"/>
      <c r="S3050" s="738"/>
      <c r="T3050" s="739">
        <v>1100121</v>
      </c>
      <c r="U3050" s="745"/>
      <c r="V3050" s="739">
        <v>1100122</v>
      </c>
    </row>
    <row r="3051" spans="1:22" ht="15" x14ac:dyDescent="0.2">
      <c r="A3051" s="739">
        <v>5411</v>
      </c>
      <c r="B3051" s="743" t="s">
        <v>123</v>
      </c>
      <c r="C3051" s="736">
        <v>1027236</v>
      </c>
      <c r="D3051" s="736">
        <v>0</v>
      </c>
      <c r="E3051" s="749">
        <v>3000000</v>
      </c>
      <c r="F3051" s="736">
        <v>2995045.06</v>
      </c>
      <c r="G3051" s="752">
        <v>3600000</v>
      </c>
      <c r="H3051" s="752"/>
      <c r="I3051" s="896"/>
      <c r="J3051" s="736">
        <f t="shared" si="906"/>
        <v>3600000</v>
      </c>
      <c r="K3051" s="752"/>
      <c r="L3051" s="896">
        <v>3600000</v>
      </c>
      <c r="M3051" s="736">
        <f t="shared" si="907"/>
        <v>0</v>
      </c>
      <c r="N3051" s="736"/>
      <c r="O3051" s="736"/>
      <c r="P3051" s="738">
        <f t="shared" si="905"/>
        <v>0</v>
      </c>
      <c r="Q3051" s="753">
        <v>3600000</v>
      </c>
      <c r="R3051" s="738"/>
      <c r="S3051" s="932">
        <v>8939066.7899999991</v>
      </c>
      <c r="T3051" s="739">
        <v>1500521</v>
      </c>
      <c r="U3051" s="933">
        <v>0</v>
      </c>
      <c r="V3051" s="739">
        <v>1500522</v>
      </c>
    </row>
    <row r="3052" spans="1:22" ht="15" x14ac:dyDescent="0.2">
      <c r="A3052" s="739">
        <v>5411</v>
      </c>
      <c r="B3052" s="743" t="s">
        <v>123</v>
      </c>
      <c r="C3052" s="736"/>
      <c r="D3052" s="736"/>
      <c r="E3052" s="749"/>
      <c r="F3052" s="736"/>
      <c r="G3052" s="752"/>
      <c r="H3052" s="752">
        <v>3600000</v>
      </c>
      <c r="I3052" s="752"/>
      <c r="J3052" s="736">
        <f t="shared" si="906"/>
        <v>3600000</v>
      </c>
      <c r="K3052" s="752"/>
      <c r="L3052" s="752"/>
      <c r="M3052" s="736">
        <f t="shared" si="907"/>
        <v>3600000</v>
      </c>
      <c r="N3052" s="736"/>
      <c r="O3052" s="736"/>
      <c r="P3052" s="736">
        <f t="shared" si="905"/>
        <v>3600000</v>
      </c>
      <c r="Q3052" s="753">
        <v>150000</v>
      </c>
      <c r="R3052" s="738"/>
      <c r="S3052" s="753"/>
      <c r="T3052" s="739">
        <v>1100120</v>
      </c>
      <c r="U3052" s="745"/>
      <c r="V3052" s="739">
        <v>1100120</v>
      </c>
    </row>
    <row r="3053" spans="1:22" ht="15" x14ac:dyDescent="0.2">
      <c r="A3053" s="739">
        <v>5411</v>
      </c>
      <c r="B3053" s="743" t="s">
        <v>123</v>
      </c>
      <c r="C3053" s="736"/>
      <c r="D3053" s="736">
        <v>0</v>
      </c>
      <c r="E3053" s="736"/>
      <c r="F3053" s="736">
        <v>0</v>
      </c>
      <c r="G3053" s="736"/>
      <c r="H3053" s="736"/>
      <c r="I3053" s="736"/>
      <c r="J3053" s="736">
        <f t="shared" si="906"/>
        <v>0</v>
      </c>
      <c r="K3053" s="736">
        <v>450000</v>
      </c>
      <c r="L3053" s="736"/>
      <c r="M3053" s="736">
        <f t="shared" si="907"/>
        <v>450000</v>
      </c>
      <c r="N3053" s="736"/>
      <c r="O3053" s="736">
        <v>450000</v>
      </c>
      <c r="P3053" s="738">
        <f t="shared" si="905"/>
        <v>0</v>
      </c>
      <c r="Q3053" s="738">
        <v>3000000</v>
      </c>
      <c r="R3053" s="738"/>
      <c r="S3053" s="738"/>
      <c r="T3053" s="739">
        <v>2510221</v>
      </c>
      <c r="U3053" s="745"/>
      <c r="V3053" s="739">
        <v>2510222</v>
      </c>
    </row>
    <row r="3054" spans="1:22" ht="15" x14ac:dyDescent="0.2">
      <c r="A3054" s="739">
        <v>5411</v>
      </c>
      <c r="B3054" s="743" t="s">
        <v>123</v>
      </c>
      <c r="C3054" s="736"/>
      <c r="D3054" s="736">
        <v>0</v>
      </c>
      <c r="E3054" s="736"/>
      <c r="F3054" s="736">
        <v>0</v>
      </c>
      <c r="G3054" s="736"/>
      <c r="H3054" s="736"/>
      <c r="I3054" s="736"/>
      <c r="J3054" s="736">
        <f t="shared" si="906"/>
        <v>0</v>
      </c>
      <c r="K3054" s="736"/>
      <c r="L3054" s="736"/>
      <c r="M3054" s="736">
        <f t="shared" si="907"/>
        <v>0</v>
      </c>
      <c r="N3054" s="736"/>
      <c r="O3054" s="736"/>
      <c r="P3054" s="738"/>
      <c r="Q3054" s="738"/>
      <c r="R3054" s="738"/>
      <c r="S3054" s="738"/>
      <c r="T3054" s="739">
        <v>1100120</v>
      </c>
      <c r="U3054" s="745"/>
      <c r="V3054" s="739">
        <v>1100120</v>
      </c>
    </row>
    <row r="3055" spans="1:22" ht="15" x14ac:dyDescent="0.2">
      <c r="A3055" s="734">
        <v>5411</v>
      </c>
      <c r="B3055" s="735" t="s">
        <v>123</v>
      </c>
      <c r="C3055" s="736"/>
      <c r="D3055" s="736">
        <v>1955000</v>
      </c>
      <c r="E3055" s="736"/>
      <c r="F3055" s="736">
        <v>0</v>
      </c>
      <c r="G3055" s="736"/>
      <c r="H3055" s="736"/>
      <c r="I3055" s="736"/>
      <c r="J3055" s="736">
        <f t="shared" si="906"/>
        <v>0</v>
      </c>
      <c r="K3055" s="736"/>
      <c r="L3055" s="736"/>
      <c r="M3055" s="736">
        <f t="shared" si="907"/>
        <v>0</v>
      </c>
      <c r="N3055" s="736"/>
      <c r="O3055" s="736"/>
      <c r="P3055" s="738"/>
      <c r="Q3055" s="738"/>
      <c r="R3055" s="738"/>
      <c r="S3055" s="738"/>
      <c r="T3055" s="739">
        <v>2510221</v>
      </c>
      <c r="U3055" s="740">
        <v>3000000</v>
      </c>
      <c r="V3055" s="741">
        <v>1100121</v>
      </c>
    </row>
    <row r="3056" spans="1:22" ht="15" x14ac:dyDescent="0.2">
      <c r="A3056" s="739">
        <v>5491</v>
      </c>
      <c r="B3056" s="743" t="s">
        <v>1735</v>
      </c>
      <c r="C3056" s="736"/>
      <c r="D3056" s="736">
        <v>1497400</v>
      </c>
      <c r="E3056" s="736"/>
      <c r="F3056" s="736">
        <v>0</v>
      </c>
      <c r="G3056" s="736"/>
      <c r="H3056" s="736"/>
      <c r="I3056" s="736"/>
      <c r="J3056" s="736">
        <f t="shared" si="906"/>
        <v>0</v>
      </c>
      <c r="K3056" s="736"/>
      <c r="L3056" s="736"/>
      <c r="M3056" s="736">
        <f t="shared" si="907"/>
        <v>0</v>
      </c>
      <c r="N3056" s="736">
        <v>2200000</v>
      </c>
      <c r="O3056" s="736"/>
      <c r="P3056" s="736">
        <f t="shared" ref="P3056:P3060" si="908">M3056+N3056-O3056</f>
        <v>2200000</v>
      </c>
      <c r="Q3056" s="738">
        <v>2200000</v>
      </c>
      <c r="R3056" s="738">
        <v>2199000</v>
      </c>
      <c r="S3056" s="807">
        <v>1027080</v>
      </c>
      <c r="T3056" s="739">
        <v>2510221</v>
      </c>
      <c r="U3056" s="750">
        <v>0</v>
      </c>
      <c r="V3056" s="739">
        <v>2510222</v>
      </c>
    </row>
    <row r="3057" spans="1:22" ht="15" x14ac:dyDescent="0.2">
      <c r="A3057" s="739">
        <v>5641</v>
      </c>
      <c r="B3057" s="743" t="s">
        <v>124</v>
      </c>
      <c r="C3057" s="736"/>
      <c r="D3057" s="736">
        <v>0</v>
      </c>
      <c r="E3057" s="749">
        <v>36660</v>
      </c>
      <c r="F3057" s="736">
        <v>32832.639999999999</v>
      </c>
      <c r="G3057" s="736"/>
      <c r="H3057" s="736"/>
      <c r="I3057" s="736"/>
      <c r="J3057" s="736">
        <f t="shared" si="906"/>
        <v>0</v>
      </c>
      <c r="K3057" s="736"/>
      <c r="L3057" s="736"/>
      <c r="M3057" s="736">
        <f t="shared" si="907"/>
        <v>0</v>
      </c>
      <c r="N3057" s="736"/>
      <c r="O3057" s="736"/>
      <c r="P3057" s="738">
        <f t="shared" si="908"/>
        <v>0</v>
      </c>
      <c r="Q3057" s="738"/>
      <c r="R3057" s="738"/>
      <c r="S3057" s="738"/>
      <c r="T3057" s="739">
        <v>1100121</v>
      </c>
      <c r="U3057" s="745"/>
      <c r="V3057" s="739">
        <v>1100122</v>
      </c>
    </row>
    <row r="3058" spans="1:22" ht="15" x14ac:dyDescent="0.2">
      <c r="A3058" s="734">
        <v>5651</v>
      </c>
      <c r="B3058" s="735" t="s">
        <v>105</v>
      </c>
      <c r="C3058" s="736">
        <v>544336.68000000005</v>
      </c>
      <c r="D3058" s="736">
        <v>75218</v>
      </c>
      <c r="E3058" s="736"/>
      <c r="F3058" s="736">
        <v>0</v>
      </c>
      <c r="G3058" s="736"/>
      <c r="H3058" s="736"/>
      <c r="I3058" s="736"/>
      <c r="J3058" s="736">
        <f t="shared" si="906"/>
        <v>0</v>
      </c>
      <c r="K3058" s="736"/>
      <c r="L3058" s="736"/>
      <c r="M3058" s="736">
        <f t="shared" si="907"/>
        <v>0</v>
      </c>
      <c r="N3058" s="736"/>
      <c r="O3058" s="736"/>
      <c r="P3058" s="738">
        <f t="shared" si="908"/>
        <v>0</v>
      </c>
      <c r="Q3058" s="738"/>
      <c r="R3058" s="738"/>
      <c r="S3058" s="934">
        <v>155068.79999999999</v>
      </c>
      <c r="T3058" s="739">
        <v>1100121</v>
      </c>
      <c r="U3058" s="935">
        <v>155068</v>
      </c>
      <c r="V3058" s="741">
        <v>1100122</v>
      </c>
    </row>
    <row r="3059" spans="1:22" ht="15" x14ac:dyDescent="0.2">
      <c r="A3059" s="739">
        <v>5671</v>
      </c>
      <c r="B3059" s="743" t="s">
        <v>1728</v>
      </c>
      <c r="C3059" s="736">
        <v>259212.17</v>
      </c>
      <c r="D3059" s="736">
        <v>181000</v>
      </c>
      <c r="E3059" s="749">
        <v>81000</v>
      </c>
      <c r="F3059" s="736">
        <v>72095.16</v>
      </c>
      <c r="G3059" s="752">
        <v>408875.32</v>
      </c>
      <c r="H3059" s="752"/>
      <c r="I3059" s="752"/>
      <c r="J3059" s="736">
        <f t="shared" si="906"/>
        <v>408875.32</v>
      </c>
      <c r="K3059" s="752"/>
      <c r="L3059" s="752"/>
      <c r="M3059" s="736">
        <f t="shared" si="907"/>
        <v>408875.32</v>
      </c>
      <c r="N3059" s="736"/>
      <c r="O3059" s="736"/>
      <c r="P3059" s="736">
        <f t="shared" si="908"/>
        <v>408875.32</v>
      </c>
      <c r="Q3059" s="753">
        <v>408875.32</v>
      </c>
      <c r="R3059" s="738">
        <v>191000</v>
      </c>
      <c r="S3059" s="936">
        <v>1420793.55</v>
      </c>
      <c r="T3059" s="739">
        <v>1500521</v>
      </c>
      <c r="U3059" s="933">
        <v>0</v>
      </c>
      <c r="V3059" s="739">
        <v>1500522</v>
      </c>
    </row>
    <row r="3060" spans="1:22" ht="15" x14ac:dyDescent="0.2">
      <c r="A3060" s="739">
        <v>5691</v>
      </c>
      <c r="B3060" s="743" t="s">
        <v>112</v>
      </c>
      <c r="C3060" s="736">
        <v>126026.8</v>
      </c>
      <c r="D3060" s="736">
        <v>289000</v>
      </c>
      <c r="E3060" s="749">
        <v>989000</v>
      </c>
      <c r="F3060" s="736">
        <v>719202.9</v>
      </c>
      <c r="G3060" s="752">
        <v>122839</v>
      </c>
      <c r="H3060" s="752"/>
      <c r="I3060" s="752"/>
      <c r="J3060" s="736">
        <f t="shared" si="906"/>
        <v>122839</v>
      </c>
      <c r="K3060" s="752"/>
      <c r="L3060" s="752"/>
      <c r="M3060" s="736">
        <f t="shared" si="907"/>
        <v>122839</v>
      </c>
      <c r="N3060" s="736"/>
      <c r="O3060" s="736"/>
      <c r="P3060" s="736">
        <f t="shared" si="908"/>
        <v>122839</v>
      </c>
      <c r="Q3060" s="753">
        <v>122839</v>
      </c>
      <c r="R3060" s="738">
        <v>69600</v>
      </c>
      <c r="S3060" s="937">
        <v>343239.35</v>
      </c>
      <c r="T3060" s="739">
        <v>1500521</v>
      </c>
      <c r="U3060" s="938">
        <v>0</v>
      </c>
      <c r="V3060" s="739">
        <v>1500522</v>
      </c>
    </row>
    <row r="3061" spans="1:22" ht="15" x14ac:dyDescent="0.2">
      <c r="A3061" s="728" t="s">
        <v>336</v>
      </c>
      <c r="B3061" s="729" t="s">
        <v>1573</v>
      </c>
      <c r="C3061" s="730">
        <f t="shared" ref="C3061:S3061" si="909">SUM(C3062:C3083)</f>
        <v>5740827.75</v>
      </c>
      <c r="D3061" s="730">
        <f t="shared" si="909"/>
        <v>5912129.6600000011</v>
      </c>
      <c r="E3061" s="730">
        <f t="shared" si="909"/>
        <v>6884445.8000000017</v>
      </c>
      <c r="F3061" s="730">
        <f t="shared" si="909"/>
        <v>6977331.6899999985</v>
      </c>
      <c r="G3061" s="730">
        <f t="shared" si="909"/>
        <v>8567037.1999999993</v>
      </c>
      <c r="H3061" s="730">
        <f t="shared" si="909"/>
        <v>0</v>
      </c>
      <c r="I3061" s="730">
        <f t="shared" si="909"/>
        <v>0</v>
      </c>
      <c r="J3061" s="730">
        <f t="shared" si="909"/>
        <v>8567037.1999999993</v>
      </c>
      <c r="K3061" s="730">
        <f t="shared" si="909"/>
        <v>166551.48000000001</v>
      </c>
      <c r="L3061" s="730">
        <f t="shared" si="909"/>
        <v>0</v>
      </c>
      <c r="M3061" s="730">
        <f t="shared" si="909"/>
        <v>8733588.6799999997</v>
      </c>
      <c r="N3061" s="730">
        <f t="shared" si="909"/>
        <v>0</v>
      </c>
      <c r="O3061" s="730">
        <f t="shared" si="909"/>
        <v>0</v>
      </c>
      <c r="P3061" s="730">
        <f t="shared" si="909"/>
        <v>8733588.6799999997</v>
      </c>
      <c r="Q3061" s="748">
        <f t="shared" si="909"/>
        <v>8780656.6499999985</v>
      </c>
      <c r="R3061" s="748">
        <f>SUM(R3062:R3083)</f>
        <v>5948885.25</v>
      </c>
      <c r="S3061" s="748">
        <f t="shared" si="909"/>
        <v>6923838.6799999997</v>
      </c>
      <c r="T3061" s="731"/>
      <c r="U3061" s="732">
        <f>SUM(U3062:U3083)</f>
        <v>8002199.2600000007</v>
      </c>
      <c r="V3061" s="733"/>
    </row>
    <row r="3062" spans="1:22" ht="15" x14ac:dyDescent="0.25">
      <c r="A3062" s="734">
        <v>1131</v>
      </c>
      <c r="B3062" s="735" t="s">
        <v>6</v>
      </c>
      <c r="C3062" s="736">
        <v>1453736.21</v>
      </c>
      <c r="D3062" s="736">
        <v>1505766.08</v>
      </c>
      <c r="E3062" s="749">
        <v>1509556.08</v>
      </c>
      <c r="F3062" s="736">
        <v>1635065.63</v>
      </c>
      <c r="G3062" s="736">
        <v>1638336.5</v>
      </c>
      <c r="H3062" s="736"/>
      <c r="I3062" s="736"/>
      <c r="J3062" s="736">
        <f t="shared" ref="J3062:J3073" si="910">G3062+H3062-I3062</f>
        <v>1638336.5</v>
      </c>
      <c r="K3062" s="736">
        <v>7406.54</v>
      </c>
      <c r="L3062" s="736"/>
      <c r="M3062" s="736">
        <f t="shared" ref="M3062:M3073" si="911">J3062+K3062-L3062</f>
        <v>1645743.04</v>
      </c>
      <c r="N3062" s="736"/>
      <c r="O3062" s="736"/>
      <c r="P3062" s="736">
        <f t="shared" ref="P3062:P3073" si="912">M3062+N3062-O3062</f>
        <v>1645743.04</v>
      </c>
      <c r="Q3062" s="738">
        <v>1628302.76</v>
      </c>
      <c r="R3062" s="738">
        <v>1171211.83</v>
      </c>
      <c r="S3062" s="751">
        <v>1601676.44</v>
      </c>
      <c r="T3062" s="739">
        <v>1500521</v>
      </c>
      <c r="U3062" s="779">
        <v>1669725.62</v>
      </c>
      <c r="V3062" s="741">
        <v>1500522</v>
      </c>
    </row>
    <row r="3063" spans="1:22" ht="15" x14ac:dyDescent="0.25">
      <c r="A3063" s="734">
        <v>1132</v>
      </c>
      <c r="B3063" s="735" t="s">
        <v>8</v>
      </c>
      <c r="C3063" s="736">
        <v>734994.4</v>
      </c>
      <c r="D3063" s="736">
        <v>606740.68000000005</v>
      </c>
      <c r="E3063" s="749">
        <v>1192494.8600000001</v>
      </c>
      <c r="F3063" s="736">
        <v>1239420.77</v>
      </c>
      <c r="G3063" s="736">
        <v>1418777.4000000001</v>
      </c>
      <c r="H3063" s="736"/>
      <c r="I3063" s="736"/>
      <c r="J3063" s="736">
        <f t="shared" si="910"/>
        <v>1418777.4000000001</v>
      </c>
      <c r="K3063" s="736">
        <v>44408.38</v>
      </c>
      <c r="L3063" s="736"/>
      <c r="M3063" s="736">
        <f t="shared" si="911"/>
        <v>1463185.78</v>
      </c>
      <c r="N3063" s="736"/>
      <c r="O3063" s="736"/>
      <c r="P3063" s="736">
        <f t="shared" si="912"/>
        <v>1463185.78</v>
      </c>
      <c r="Q3063" s="738">
        <v>1455417.26</v>
      </c>
      <c r="R3063" s="738">
        <v>1037156.79</v>
      </c>
      <c r="S3063" s="751">
        <v>1604675.8</v>
      </c>
      <c r="T3063" s="739">
        <v>1500521</v>
      </c>
      <c r="U3063" s="779">
        <v>1491438.35</v>
      </c>
      <c r="V3063" s="741">
        <v>1500522</v>
      </c>
    </row>
    <row r="3064" spans="1:22" ht="15" x14ac:dyDescent="0.25">
      <c r="A3064" s="734">
        <v>1321</v>
      </c>
      <c r="B3064" s="735" t="s">
        <v>9</v>
      </c>
      <c r="C3064" s="736">
        <v>112929.37</v>
      </c>
      <c r="D3064" s="736">
        <v>117311.02</v>
      </c>
      <c r="E3064" s="749">
        <v>139563.01999999999</v>
      </c>
      <c r="F3064" s="736">
        <v>139453.68</v>
      </c>
      <c r="G3064" s="736">
        <v>157289.20000000001</v>
      </c>
      <c r="H3064" s="736"/>
      <c r="I3064" s="736"/>
      <c r="J3064" s="736">
        <f t="shared" si="910"/>
        <v>157289.20000000001</v>
      </c>
      <c r="K3064" s="736">
        <v>4748.26</v>
      </c>
      <c r="L3064" s="736"/>
      <c r="M3064" s="736">
        <f t="shared" si="911"/>
        <v>162037.46000000002</v>
      </c>
      <c r="N3064" s="736"/>
      <c r="O3064" s="736"/>
      <c r="P3064" s="736">
        <f t="shared" si="912"/>
        <v>162037.46000000002</v>
      </c>
      <c r="Q3064" s="738">
        <v>162037.46</v>
      </c>
      <c r="R3064" s="738">
        <v>77724.72</v>
      </c>
      <c r="S3064" s="751">
        <v>172048.64000000001</v>
      </c>
      <c r="T3064" s="739">
        <v>1500521</v>
      </c>
      <c r="U3064" s="779">
        <v>157706.16</v>
      </c>
      <c r="V3064" s="741">
        <v>1500522</v>
      </c>
    </row>
    <row r="3065" spans="1:22" ht="15" x14ac:dyDescent="0.25">
      <c r="A3065" s="734">
        <v>1323</v>
      </c>
      <c r="B3065" s="735" t="s">
        <v>11</v>
      </c>
      <c r="C3065" s="736">
        <v>381830</v>
      </c>
      <c r="D3065" s="736">
        <v>368508.5</v>
      </c>
      <c r="E3065" s="749">
        <v>451415.38</v>
      </c>
      <c r="F3065" s="736">
        <v>475788.11</v>
      </c>
      <c r="G3065" s="736">
        <v>520637</v>
      </c>
      <c r="H3065" s="736"/>
      <c r="I3065" s="736"/>
      <c r="J3065" s="736">
        <f t="shared" si="910"/>
        <v>520637</v>
      </c>
      <c r="K3065" s="736">
        <v>14828.92</v>
      </c>
      <c r="L3065" s="736"/>
      <c r="M3065" s="736">
        <f t="shared" si="911"/>
        <v>535465.92000000004</v>
      </c>
      <c r="N3065" s="736"/>
      <c r="O3065" s="736"/>
      <c r="P3065" s="736">
        <f t="shared" si="912"/>
        <v>535465.92000000004</v>
      </c>
      <c r="Q3065" s="738">
        <v>529427.93999999994</v>
      </c>
      <c r="R3065" s="738">
        <v>391428</v>
      </c>
      <c r="S3065" s="751">
        <v>555194</v>
      </c>
      <c r="T3065" s="739">
        <v>1500521</v>
      </c>
      <c r="U3065" s="779">
        <v>524745.54</v>
      </c>
      <c r="V3065" s="741">
        <v>1500522</v>
      </c>
    </row>
    <row r="3066" spans="1:22" ht="15" x14ac:dyDescent="0.25">
      <c r="A3066" s="734">
        <v>1413</v>
      </c>
      <c r="B3066" s="735" t="s">
        <v>13</v>
      </c>
      <c r="C3066" s="736">
        <v>437479.77</v>
      </c>
      <c r="D3066" s="736">
        <v>477992.66</v>
      </c>
      <c r="E3066" s="749">
        <v>542036.66</v>
      </c>
      <c r="F3066" s="736">
        <v>509099.3</v>
      </c>
      <c r="G3066" s="736">
        <v>739294</v>
      </c>
      <c r="H3066" s="736"/>
      <c r="I3066" s="736"/>
      <c r="J3066" s="736">
        <f t="shared" si="910"/>
        <v>739294</v>
      </c>
      <c r="K3066" s="736">
        <v>28155.51</v>
      </c>
      <c r="L3066" s="736"/>
      <c r="M3066" s="736">
        <f t="shared" si="911"/>
        <v>767449.51</v>
      </c>
      <c r="N3066" s="736"/>
      <c r="O3066" s="736"/>
      <c r="P3066" s="736">
        <f t="shared" si="912"/>
        <v>767449.51</v>
      </c>
      <c r="Q3066" s="738">
        <v>747900.71</v>
      </c>
      <c r="R3066" s="738">
        <v>466925.44</v>
      </c>
      <c r="S3066" s="751">
        <v>838898.16</v>
      </c>
      <c r="T3066" s="739">
        <v>1500521</v>
      </c>
      <c r="U3066" s="779">
        <v>628062.35</v>
      </c>
      <c r="V3066" s="741">
        <v>1500522</v>
      </c>
    </row>
    <row r="3067" spans="1:22" ht="15" x14ac:dyDescent="0.25">
      <c r="A3067" s="734">
        <v>1421</v>
      </c>
      <c r="B3067" s="735" t="s">
        <v>15</v>
      </c>
      <c r="C3067" s="736">
        <v>150013.94</v>
      </c>
      <c r="D3067" s="736">
        <v>150154.56</v>
      </c>
      <c r="E3067" s="749">
        <v>155704.56</v>
      </c>
      <c r="F3067" s="736">
        <v>158187.57</v>
      </c>
      <c r="G3067" s="736">
        <v>221279.2</v>
      </c>
      <c r="H3067" s="736"/>
      <c r="I3067" s="736"/>
      <c r="J3067" s="736">
        <f t="shared" si="910"/>
        <v>221279.2</v>
      </c>
      <c r="K3067" s="736">
        <v>8523.4</v>
      </c>
      <c r="L3067" s="736"/>
      <c r="M3067" s="736">
        <f t="shared" si="911"/>
        <v>229802.6</v>
      </c>
      <c r="N3067" s="736"/>
      <c r="O3067" s="736"/>
      <c r="P3067" s="736">
        <f t="shared" si="912"/>
        <v>229802.6</v>
      </c>
      <c r="Q3067" s="738">
        <v>229802.6</v>
      </c>
      <c r="R3067" s="738">
        <v>127498.34</v>
      </c>
      <c r="S3067" s="751">
        <v>238180.8</v>
      </c>
      <c r="T3067" s="739">
        <v>1500521</v>
      </c>
      <c r="U3067" s="779">
        <v>228694.73</v>
      </c>
      <c r="V3067" s="741">
        <v>1500522</v>
      </c>
    </row>
    <row r="3068" spans="1:22" ht="15" x14ac:dyDescent="0.25">
      <c r="A3068" s="734">
        <v>1431</v>
      </c>
      <c r="B3068" s="735" t="s">
        <v>16</v>
      </c>
      <c r="C3068" s="736">
        <v>159751.44</v>
      </c>
      <c r="D3068" s="736">
        <v>154659.07999999999</v>
      </c>
      <c r="E3068" s="749">
        <v>163215.07999999999</v>
      </c>
      <c r="F3068" s="736">
        <v>167134.54</v>
      </c>
      <c r="G3068" s="736">
        <v>227917.5</v>
      </c>
      <c r="H3068" s="736"/>
      <c r="I3068" s="736"/>
      <c r="J3068" s="736">
        <f t="shared" si="910"/>
        <v>227917.5</v>
      </c>
      <c r="K3068" s="736">
        <v>8732.36</v>
      </c>
      <c r="L3068" s="736"/>
      <c r="M3068" s="736">
        <f t="shared" si="911"/>
        <v>236649.86</v>
      </c>
      <c r="N3068" s="736"/>
      <c r="O3068" s="736"/>
      <c r="P3068" s="736">
        <f t="shared" si="912"/>
        <v>236649.86</v>
      </c>
      <c r="Q3068" s="738">
        <v>236649.86</v>
      </c>
      <c r="R3068" s="738">
        <v>131376.06</v>
      </c>
      <c r="S3068" s="751">
        <v>245326.44</v>
      </c>
      <c r="T3068" s="739">
        <v>1500521</v>
      </c>
      <c r="U3068" s="779">
        <v>233361.71</v>
      </c>
      <c r="V3068" s="741">
        <v>1500522</v>
      </c>
    </row>
    <row r="3069" spans="1:22" ht="15" x14ac:dyDescent="0.25">
      <c r="A3069" s="734">
        <v>1511</v>
      </c>
      <c r="B3069" s="735" t="s">
        <v>18</v>
      </c>
      <c r="C3069" s="736">
        <v>53604.38</v>
      </c>
      <c r="D3069" s="736">
        <v>53657.24</v>
      </c>
      <c r="E3069" s="749">
        <v>67168.240000000005</v>
      </c>
      <c r="F3069" s="736">
        <v>69695.92</v>
      </c>
      <c r="G3069" s="736">
        <v>75803</v>
      </c>
      <c r="H3069" s="736"/>
      <c r="I3069" s="736"/>
      <c r="J3069" s="736">
        <f t="shared" si="910"/>
        <v>75803</v>
      </c>
      <c r="K3069" s="736">
        <v>2156.25</v>
      </c>
      <c r="L3069" s="736"/>
      <c r="M3069" s="736">
        <f t="shared" si="911"/>
        <v>77959.25</v>
      </c>
      <c r="N3069" s="736"/>
      <c r="O3069" s="736"/>
      <c r="P3069" s="736">
        <f t="shared" si="912"/>
        <v>77959.25</v>
      </c>
      <c r="Q3069" s="738">
        <v>77959.25</v>
      </c>
      <c r="R3069" s="738">
        <v>54941.53</v>
      </c>
      <c r="S3069" s="751">
        <v>80829.84</v>
      </c>
      <c r="T3069" s="739">
        <v>1500521</v>
      </c>
      <c r="U3069" s="779">
        <v>78600.710000000006</v>
      </c>
      <c r="V3069" s="741">
        <v>1500522</v>
      </c>
    </row>
    <row r="3070" spans="1:22" ht="15" x14ac:dyDescent="0.25">
      <c r="A3070" s="734">
        <v>1541</v>
      </c>
      <c r="B3070" s="735" t="s">
        <v>19</v>
      </c>
      <c r="C3070" s="736">
        <v>386440.48</v>
      </c>
      <c r="D3070" s="736">
        <v>450754.72</v>
      </c>
      <c r="E3070" s="749">
        <v>449738.74</v>
      </c>
      <c r="F3070" s="736">
        <v>463822.6</v>
      </c>
      <c r="G3070" s="736">
        <v>607487.29999999993</v>
      </c>
      <c r="H3070" s="736"/>
      <c r="I3070" s="736"/>
      <c r="J3070" s="736">
        <f t="shared" si="910"/>
        <v>607487.29999999993</v>
      </c>
      <c r="K3070" s="736">
        <v>23123.57</v>
      </c>
      <c r="L3070" s="736"/>
      <c r="M3070" s="736">
        <f t="shared" si="911"/>
        <v>630610.86999999988</v>
      </c>
      <c r="N3070" s="736"/>
      <c r="O3070" s="736"/>
      <c r="P3070" s="736">
        <f t="shared" si="912"/>
        <v>630610.86999999988</v>
      </c>
      <c r="Q3070" s="738">
        <v>630610.87</v>
      </c>
      <c r="R3070" s="738">
        <v>375939.65</v>
      </c>
      <c r="S3070" s="751">
        <v>601548.48</v>
      </c>
      <c r="T3070" s="739">
        <v>1500521</v>
      </c>
      <c r="U3070" s="779">
        <v>604785.23</v>
      </c>
      <c r="V3070" s="741">
        <v>1500522</v>
      </c>
    </row>
    <row r="3071" spans="1:22" ht="15" x14ac:dyDescent="0.25">
      <c r="A3071" s="734">
        <v>1592</v>
      </c>
      <c r="B3071" s="735" t="s">
        <v>20</v>
      </c>
      <c r="C3071" s="736">
        <v>565705.44999999995</v>
      </c>
      <c r="D3071" s="736">
        <v>570235.12</v>
      </c>
      <c r="E3071" s="749">
        <v>702163.74</v>
      </c>
      <c r="F3071" s="736">
        <v>728607.85</v>
      </c>
      <c r="G3071" s="736">
        <v>789596.1</v>
      </c>
      <c r="H3071" s="736"/>
      <c r="I3071" s="736"/>
      <c r="J3071" s="736">
        <f t="shared" si="910"/>
        <v>789596.1</v>
      </c>
      <c r="K3071" s="736">
        <v>12993.29</v>
      </c>
      <c r="L3071" s="736"/>
      <c r="M3071" s="736">
        <f t="shared" si="911"/>
        <v>802589.39</v>
      </c>
      <c r="N3071" s="736"/>
      <c r="O3071" s="736"/>
      <c r="P3071" s="736">
        <f t="shared" si="912"/>
        <v>802589.39</v>
      </c>
      <c r="Q3071" s="738">
        <v>849738.6</v>
      </c>
      <c r="R3071" s="738">
        <v>565401.82999999996</v>
      </c>
      <c r="S3071" s="751">
        <v>835460.08</v>
      </c>
      <c r="T3071" s="739">
        <v>1500521</v>
      </c>
      <c r="U3071" s="779">
        <v>807796.86</v>
      </c>
      <c r="V3071" s="741">
        <v>1500522</v>
      </c>
    </row>
    <row r="3072" spans="1:22" ht="15" x14ac:dyDescent="0.2">
      <c r="A3072" s="734">
        <v>2111</v>
      </c>
      <c r="B3072" s="735" t="s">
        <v>22</v>
      </c>
      <c r="C3072" s="736">
        <v>14486</v>
      </c>
      <c r="D3072" s="736">
        <v>20000</v>
      </c>
      <c r="E3072" s="749">
        <v>14000</v>
      </c>
      <c r="F3072" s="736">
        <v>12933.48</v>
      </c>
      <c r="G3072" s="752">
        <v>14000</v>
      </c>
      <c r="H3072" s="752"/>
      <c r="I3072" s="752"/>
      <c r="J3072" s="736">
        <f t="shared" si="910"/>
        <v>14000</v>
      </c>
      <c r="K3072" s="752"/>
      <c r="L3072" s="752"/>
      <c r="M3072" s="736">
        <f t="shared" si="911"/>
        <v>14000</v>
      </c>
      <c r="N3072" s="736"/>
      <c r="O3072" s="736"/>
      <c r="P3072" s="736">
        <f t="shared" si="912"/>
        <v>14000</v>
      </c>
      <c r="Q3072" s="753">
        <v>12714.34</v>
      </c>
      <c r="R3072" s="738">
        <v>11466.05</v>
      </c>
      <c r="S3072" s="929">
        <v>20000</v>
      </c>
      <c r="T3072" s="739">
        <v>1100121</v>
      </c>
      <c r="U3072" s="930">
        <v>20000</v>
      </c>
      <c r="V3072" s="741">
        <v>1100122</v>
      </c>
    </row>
    <row r="3073" spans="1:22" ht="15" x14ac:dyDescent="0.2">
      <c r="A3073" s="739">
        <v>2112</v>
      </c>
      <c r="B3073" s="743" t="s">
        <v>39</v>
      </c>
      <c r="C3073" s="736">
        <v>15314.32</v>
      </c>
      <c r="D3073" s="736">
        <v>0</v>
      </c>
      <c r="E3073" s="749">
        <v>31939.439999999999</v>
      </c>
      <c r="F3073" s="736">
        <v>0</v>
      </c>
      <c r="G3073" s="736"/>
      <c r="H3073" s="736"/>
      <c r="I3073" s="736"/>
      <c r="J3073" s="736">
        <f t="shared" si="910"/>
        <v>0</v>
      </c>
      <c r="K3073" s="736"/>
      <c r="L3073" s="736"/>
      <c r="M3073" s="736">
        <f t="shared" si="911"/>
        <v>0</v>
      </c>
      <c r="N3073" s="736"/>
      <c r="O3073" s="736"/>
      <c r="P3073" s="738">
        <f t="shared" si="912"/>
        <v>0</v>
      </c>
      <c r="Q3073" s="738"/>
      <c r="R3073" s="738"/>
      <c r="S3073" s="738"/>
      <c r="T3073" s="739">
        <v>1100119</v>
      </c>
      <c r="U3073" s="745"/>
      <c r="V3073" s="739">
        <v>1100119</v>
      </c>
    </row>
    <row r="3074" spans="1:22" ht="15" x14ac:dyDescent="0.2">
      <c r="A3074" s="939">
        <v>2121</v>
      </c>
      <c r="B3074" s="2" t="s">
        <v>1842</v>
      </c>
      <c r="C3074" s="736"/>
      <c r="D3074" s="736"/>
      <c r="E3074" s="749"/>
      <c r="F3074" s="736"/>
      <c r="G3074" s="736"/>
      <c r="H3074" s="736"/>
      <c r="I3074" s="736"/>
      <c r="J3074" s="736"/>
      <c r="K3074" s="736"/>
      <c r="L3074" s="736"/>
      <c r="M3074" s="736"/>
      <c r="N3074" s="736"/>
      <c r="O3074" s="736"/>
      <c r="P3074" s="738"/>
      <c r="Q3074" s="738"/>
      <c r="R3074" s="738"/>
      <c r="S3074" s="927">
        <v>25000</v>
      </c>
      <c r="T3074" s="739"/>
      <c r="U3074" s="745"/>
      <c r="V3074" s="739"/>
    </row>
    <row r="3075" spans="1:22" ht="15" x14ac:dyDescent="0.2">
      <c r="A3075" s="739">
        <v>2112</v>
      </c>
      <c r="B3075" s="743" t="s">
        <v>39</v>
      </c>
      <c r="C3075" s="736"/>
      <c r="D3075" s="736">
        <v>50000</v>
      </c>
      <c r="E3075" s="749">
        <v>25000</v>
      </c>
      <c r="F3075" s="736">
        <v>22950.04</v>
      </c>
      <c r="G3075" s="736"/>
      <c r="H3075" s="736"/>
      <c r="I3075" s="736"/>
      <c r="J3075" s="736">
        <f t="shared" ref="J3075:J3083" si="913">G3075+H3075-I3075</f>
        <v>0</v>
      </c>
      <c r="K3075" s="736"/>
      <c r="L3075" s="736"/>
      <c r="M3075" s="736">
        <f t="shared" ref="M3075:M3083" si="914">J3075+K3075-L3075</f>
        <v>0</v>
      </c>
      <c r="N3075" s="736"/>
      <c r="O3075" s="736"/>
      <c r="P3075" s="738">
        <f t="shared" ref="P3075:P3083" si="915">M3075+N3075-O3075</f>
        <v>0</v>
      </c>
      <c r="Q3075" s="738"/>
      <c r="R3075" s="738"/>
      <c r="S3075" s="738"/>
      <c r="T3075" s="739">
        <v>1100121</v>
      </c>
      <c r="U3075" s="745"/>
      <c r="V3075" s="739">
        <v>1100122</v>
      </c>
    </row>
    <row r="3076" spans="1:22" ht="15" x14ac:dyDescent="0.2">
      <c r="A3076" s="734">
        <v>3111</v>
      </c>
      <c r="B3076" s="735" t="s">
        <v>47</v>
      </c>
      <c r="C3076" s="736">
        <v>239431</v>
      </c>
      <c r="D3076" s="736">
        <v>250000</v>
      </c>
      <c r="E3076" s="749">
        <v>250000</v>
      </c>
      <c r="F3076" s="736">
        <v>235402</v>
      </c>
      <c r="G3076" s="752">
        <v>270000</v>
      </c>
      <c r="H3076" s="752"/>
      <c r="I3076" s="752"/>
      <c r="J3076" s="736">
        <f t="shared" si="913"/>
        <v>270000</v>
      </c>
      <c r="K3076" s="752"/>
      <c r="L3076" s="752"/>
      <c r="M3076" s="736">
        <f t="shared" si="914"/>
        <v>270000</v>
      </c>
      <c r="N3076" s="736"/>
      <c r="O3076" s="736"/>
      <c r="P3076" s="736">
        <f t="shared" si="915"/>
        <v>270000</v>
      </c>
      <c r="Q3076" s="753">
        <v>270000</v>
      </c>
      <c r="R3076" s="738">
        <v>173670</v>
      </c>
      <c r="S3076" s="753"/>
      <c r="T3076" s="739">
        <v>1100121</v>
      </c>
      <c r="U3076" s="746">
        <v>270000</v>
      </c>
      <c r="V3076" s="741">
        <v>1100122</v>
      </c>
    </row>
    <row r="3077" spans="1:22" ht="15" x14ac:dyDescent="0.2">
      <c r="A3077" s="734">
        <v>3131</v>
      </c>
      <c r="B3077" s="735" t="s">
        <v>61</v>
      </c>
      <c r="C3077" s="736">
        <v>23560.39</v>
      </c>
      <c r="D3077" s="736">
        <v>52000</v>
      </c>
      <c r="E3077" s="749">
        <v>42000</v>
      </c>
      <c r="F3077" s="736">
        <v>26281.37</v>
      </c>
      <c r="G3077" s="752">
        <v>48000</v>
      </c>
      <c r="H3077" s="752"/>
      <c r="I3077" s="752"/>
      <c r="J3077" s="736">
        <f t="shared" si="913"/>
        <v>48000</v>
      </c>
      <c r="K3077" s="752"/>
      <c r="L3077" s="752"/>
      <c r="M3077" s="736">
        <f t="shared" si="914"/>
        <v>48000</v>
      </c>
      <c r="N3077" s="736"/>
      <c r="O3077" s="736"/>
      <c r="P3077" s="736">
        <f t="shared" si="915"/>
        <v>48000</v>
      </c>
      <c r="Q3077" s="753">
        <v>48000</v>
      </c>
      <c r="R3077" s="738">
        <v>18161.419999999998</v>
      </c>
      <c r="S3077" s="753"/>
      <c r="T3077" s="739">
        <v>1100121</v>
      </c>
      <c r="U3077" s="746">
        <v>40000</v>
      </c>
      <c r="V3077" s="741">
        <v>1100122</v>
      </c>
    </row>
    <row r="3078" spans="1:22" ht="15" x14ac:dyDescent="0.2">
      <c r="A3078" s="734">
        <v>3141</v>
      </c>
      <c r="B3078" s="735" t="s">
        <v>48</v>
      </c>
      <c r="C3078" s="736">
        <v>34387.93</v>
      </c>
      <c r="D3078" s="736">
        <v>44000</v>
      </c>
      <c r="E3078" s="749">
        <v>39000</v>
      </c>
      <c r="F3078" s="736">
        <v>30883.43</v>
      </c>
      <c r="G3078" s="752">
        <v>48000</v>
      </c>
      <c r="H3078" s="752"/>
      <c r="I3078" s="752"/>
      <c r="J3078" s="736">
        <f t="shared" si="913"/>
        <v>48000</v>
      </c>
      <c r="K3078" s="752"/>
      <c r="L3078" s="752"/>
      <c r="M3078" s="736">
        <f t="shared" si="914"/>
        <v>48000</v>
      </c>
      <c r="N3078" s="736"/>
      <c r="O3078" s="736"/>
      <c r="P3078" s="736">
        <f t="shared" si="915"/>
        <v>48000</v>
      </c>
      <c r="Q3078" s="753">
        <v>48000</v>
      </c>
      <c r="R3078" s="738">
        <v>24530.05</v>
      </c>
      <c r="S3078" s="753"/>
      <c r="T3078" s="739">
        <v>1100121</v>
      </c>
      <c r="U3078" s="746">
        <v>40000</v>
      </c>
      <c r="V3078" s="741">
        <v>1100122</v>
      </c>
    </row>
    <row r="3079" spans="1:22" ht="15" x14ac:dyDescent="0.2">
      <c r="A3079" s="734">
        <v>3151</v>
      </c>
      <c r="B3079" s="735" t="s">
        <v>28</v>
      </c>
      <c r="C3079" s="736">
        <v>6401.57</v>
      </c>
      <c r="D3079" s="736">
        <v>7600</v>
      </c>
      <c r="E3079" s="749">
        <v>94600</v>
      </c>
      <c r="F3079" s="736">
        <v>78028.89</v>
      </c>
      <c r="G3079" s="752">
        <v>759720</v>
      </c>
      <c r="H3079" s="752"/>
      <c r="I3079" s="752"/>
      <c r="J3079" s="736">
        <f t="shared" si="913"/>
        <v>759720</v>
      </c>
      <c r="K3079" s="752"/>
      <c r="L3079" s="752"/>
      <c r="M3079" s="736">
        <f t="shared" si="914"/>
        <v>759720</v>
      </c>
      <c r="N3079" s="736"/>
      <c r="O3079" s="736"/>
      <c r="P3079" s="736">
        <f t="shared" si="915"/>
        <v>759720</v>
      </c>
      <c r="Q3079" s="753">
        <v>759720</v>
      </c>
      <c r="R3079" s="738">
        <v>524388.65</v>
      </c>
      <c r="S3079" s="753"/>
      <c r="T3079" s="739">
        <v>1100121</v>
      </c>
      <c r="U3079" s="746">
        <v>247000</v>
      </c>
      <c r="V3079" s="741">
        <v>1100122</v>
      </c>
    </row>
    <row r="3080" spans="1:22" ht="15" x14ac:dyDescent="0.2">
      <c r="A3080" s="734">
        <v>3221</v>
      </c>
      <c r="B3080" s="735" t="s">
        <v>99</v>
      </c>
      <c r="C3080" s="736">
        <v>912436.53</v>
      </c>
      <c r="D3080" s="736">
        <v>946750</v>
      </c>
      <c r="E3080" s="749">
        <v>946750</v>
      </c>
      <c r="F3080" s="736">
        <v>939379.19999999995</v>
      </c>
      <c r="G3080" s="752">
        <v>979900</v>
      </c>
      <c r="H3080" s="752"/>
      <c r="I3080" s="752"/>
      <c r="J3080" s="736">
        <f t="shared" si="913"/>
        <v>979900</v>
      </c>
      <c r="K3080" s="752">
        <v>11475</v>
      </c>
      <c r="L3080" s="752"/>
      <c r="M3080" s="736">
        <f t="shared" si="914"/>
        <v>991375</v>
      </c>
      <c r="N3080" s="736"/>
      <c r="O3080" s="736"/>
      <c r="P3080" s="736">
        <f t="shared" si="915"/>
        <v>991375</v>
      </c>
      <c r="Q3080" s="753">
        <v>991375</v>
      </c>
      <c r="R3080" s="738">
        <v>743530.86</v>
      </c>
      <c r="S3080" s="753"/>
      <c r="T3080" s="739">
        <v>1100121</v>
      </c>
      <c r="U3080" s="746">
        <v>875282</v>
      </c>
      <c r="V3080" s="741">
        <v>1100122</v>
      </c>
    </row>
    <row r="3081" spans="1:22" ht="15" x14ac:dyDescent="0.2">
      <c r="A3081" s="734">
        <v>3751</v>
      </c>
      <c r="B3081" s="735" t="s">
        <v>44</v>
      </c>
      <c r="C3081" s="736"/>
      <c r="D3081" s="736">
        <v>6000</v>
      </c>
      <c r="E3081" s="749">
        <v>6000</v>
      </c>
      <c r="F3081" s="736">
        <v>800</v>
      </c>
      <c r="G3081" s="752">
        <v>6000</v>
      </c>
      <c r="H3081" s="752"/>
      <c r="I3081" s="752"/>
      <c r="J3081" s="736">
        <f t="shared" si="913"/>
        <v>6000</v>
      </c>
      <c r="K3081" s="752"/>
      <c r="L3081" s="752"/>
      <c r="M3081" s="736">
        <f t="shared" si="914"/>
        <v>6000</v>
      </c>
      <c r="N3081" s="736"/>
      <c r="O3081" s="736"/>
      <c r="P3081" s="736">
        <f t="shared" si="915"/>
        <v>6000</v>
      </c>
      <c r="Q3081" s="753">
        <v>6000</v>
      </c>
      <c r="R3081" s="738">
        <v>2032</v>
      </c>
      <c r="S3081" s="929">
        <v>10000</v>
      </c>
      <c r="T3081" s="739">
        <v>1100121</v>
      </c>
      <c r="U3081" s="930">
        <v>10000</v>
      </c>
      <c r="V3081" s="741">
        <v>1100122</v>
      </c>
    </row>
    <row r="3082" spans="1:22" ht="15" x14ac:dyDescent="0.2">
      <c r="A3082" s="734">
        <v>3791</v>
      </c>
      <c r="B3082" s="735" t="s">
        <v>45</v>
      </c>
      <c r="C3082" s="736"/>
      <c r="D3082" s="736">
        <v>5000</v>
      </c>
      <c r="E3082" s="749">
        <v>5000</v>
      </c>
      <c r="F3082" s="736">
        <v>1149</v>
      </c>
      <c r="G3082" s="752">
        <v>5000</v>
      </c>
      <c r="H3082" s="752"/>
      <c r="I3082" s="752"/>
      <c r="J3082" s="736">
        <f t="shared" si="913"/>
        <v>5000</v>
      </c>
      <c r="K3082" s="752"/>
      <c r="L3082" s="752"/>
      <c r="M3082" s="736">
        <f t="shared" si="914"/>
        <v>5000</v>
      </c>
      <c r="N3082" s="736"/>
      <c r="O3082" s="736"/>
      <c r="P3082" s="736">
        <f t="shared" si="915"/>
        <v>5000</v>
      </c>
      <c r="Q3082" s="753">
        <v>5000</v>
      </c>
      <c r="R3082" s="738">
        <v>2065</v>
      </c>
      <c r="S3082" s="929">
        <v>5000</v>
      </c>
      <c r="T3082" s="739">
        <v>1100121</v>
      </c>
      <c r="U3082" s="930">
        <v>5000</v>
      </c>
      <c r="V3082" s="741">
        <v>1100122</v>
      </c>
    </row>
    <row r="3083" spans="1:22" ht="15" x14ac:dyDescent="0.2">
      <c r="A3083" s="734">
        <v>3852</v>
      </c>
      <c r="B3083" s="735" t="s">
        <v>32</v>
      </c>
      <c r="C3083" s="736">
        <v>58324.57</v>
      </c>
      <c r="D3083" s="736">
        <v>75000</v>
      </c>
      <c r="E3083" s="749">
        <v>57100</v>
      </c>
      <c r="F3083" s="736">
        <v>43248.31</v>
      </c>
      <c r="G3083" s="752">
        <v>40000</v>
      </c>
      <c r="H3083" s="752"/>
      <c r="I3083" s="752"/>
      <c r="J3083" s="736">
        <f t="shared" si="913"/>
        <v>40000</v>
      </c>
      <c r="K3083" s="752"/>
      <c r="L3083" s="752"/>
      <c r="M3083" s="736">
        <f t="shared" si="914"/>
        <v>40000</v>
      </c>
      <c r="N3083" s="736"/>
      <c r="O3083" s="736"/>
      <c r="P3083" s="736">
        <f t="shared" si="915"/>
        <v>40000</v>
      </c>
      <c r="Q3083" s="753">
        <v>92000</v>
      </c>
      <c r="R3083" s="738">
        <v>49437.03</v>
      </c>
      <c r="S3083" s="929">
        <v>90000</v>
      </c>
      <c r="T3083" s="739">
        <v>1100121</v>
      </c>
      <c r="U3083" s="740">
        <v>70000</v>
      </c>
      <c r="V3083" s="741">
        <v>1100122</v>
      </c>
    </row>
    <row r="3084" spans="1:22" ht="15" x14ac:dyDescent="0.2">
      <c r="A3084" s="724" t="s">
        <v>337</v>
      </c>
      <c r="B3084" s="725" t="s">
        <v>338</v>
      </c>
      <c r="C3084" s="721">
        <f t="shared" ref="C3084:S3084" si="916">SUM(C3085)</f>
        <v>10752732.219999999</v>
      </c>
      <c r="D3084" s="721">
        <f t="shared" si="916"/>
        <v>11328621.259999998</v>
      </c>
      <c r="E3084" s="721">
        <f t="shared" si="916"/>
        <v>15228339.18</v>
      </c>
      <c r="F3084" s="721">
        <f t="shared" si="916"/>
        <v>15219140.540000007</v>
      </c>
      <c r="G3084" s="721">
        <f t="shared" si="916"/>
        <v>20442421.599999998</v>
      </c>
      <c r="H3084" s="721">
        <f t="shared" si="916"/>
        <v>6201.36</v>
      </c>
      <c r="I3084" s="721">
        <f t="shared" si="916"/>
        <v>0</v>
      </c>
      <c r="J3084" s="721">
        <f t="shared" si="916"/>
        <v>20448622.959999997</v>
      </c>
      <c r="K3084" s="721">
        <f t="shared" si="916"/>
        <v>1968034.9300000002</v>
      </c>
      <c r="L3084" s="721">
        <f t="shared" si="916"/>
        <v>288090.58</v>
      </c>
      <c r="M3084" s="721">
        <f t="shared" si="916"/>
        <v>22128567.310000002</v>
      </c>
      <c r="N3084" s="721">
        <f t="shared" si="916"/>
        <v>515048.19999999995</v>
      </c>
      <c r="O3084" s="721">
        <f t="shared" si="916"/>
        <v>465200</v>
      </c>
      <c r="P3084" s="721">
        <f t="shared" si="916"/>
        <v>22178415.510000002</v>
      </c>
      <c r="Q3084" s="756">
        <f t="shared" si="916"/>
        <v>21919125.639999997</v>
      </c>
      <c r="R3084" s="756">
        <f>SUM(R3085)</f>
        <v>13050646.199999997</v>
      </c>
      <c r="S3084" s="756">
        <f t="shared" si="916"/>
        <v>21400983.390000001</v>
      </c>
      <c r="T3084" s="724"/>
      <c r="U3084" s="726">
        <f t="shared" ref="U3084" si="917">SUM(U3085)</f>
        <v>18613592</v>
      </c>
      <c r="V3084" s="727"/>
    </row>
    <row r="3085" spans="1:22" ht="15" x14ac:dyDescent="0.2">
      <c r="A3085" s="728" t="s">
        <v>339</v>
      </c>
      <c r="B3085" s="729" t="s">
        <v>1605</v>
      </c>
      <c r="C3085" s="730">
        <f t="shared" ref="C3085:L3085" si="918">SUM(C3086:C3141)</f>
        <v>10752732.219999999</v>
      </c>
      <c r="D3085" s="730">
        <f t="shared" si="918"/>
        <v>11328621.259999998</v>
      </c>
      <c r="E3085" s="730">
        <f t="shared" si="918"/>
        <v>15228339.18</v>
      </c>
      <c r="F3085" s="730">
        <f t="shared" si="918"/>
        <v>15219140.540000007</v>
      </c>
      <c r="G3085" s="730">
        <f t="shared" si="918"/>
        <v>20442421.599999998</v>
      </c>
      <c r="H3085" s="730">
        <f t="shared" si="918"/>
        <v>6201.36</v>
      </c>
      <c r="I3085" s="730">
        <f t="shared" si="918"/>
        <v>0</v>
      </c>
      <c r="J3085" s="730">
        <f t="shared" si="918"/>
        <v>20448622.959999997</v>
      </c>
      <c r="K3085" s="730">
        <f t="shared" si="918"/>
        <v>1968034.9300000002</v>
      </c>
      <c r="L3085" s="730">
        <f t="shared" si="918"/>
        <v>288090.58</v>
      </c>
      <c r="M3085" s="730">
        <f t="shared" ref="M3085:Q3085" si="919">SUM(M3086:M3143)</f>
        <v>22128567.310000002</v>
      </c>
      <c r="N3085" s="730">
        <f t="shared" si="919"/>
        <v>515048.19999999995</v>
      </c>
      <c r="O3085" s="730">
        <f t="shared" si="919"/>
        <v>465200</v>
      </c>
      <c r="P3085" s="730">
        <f t="shared" si="919"/>
        <v>22178415.510000002</v>
      </c>
      <c r="Q3085" s="748">
        <f t="shared" si="919"/>
        <v>21919125.639999997</v>
      </c>
      <c r="R3085" s="748">
        <f>SUM(R3086:R3143)</f>
        <v>13050646.199999997</v>
      </c>
      <c r="S3085" s="748">
        <f t="shared" ref="S3085" si="920">SUM(S3086:S3141)</f>
        <v>21400983.390000001</v>
      </c>
      <c r="T3085" s="731"/>
      <c r="U3085" s="732">
        <f>SUM(U3086:U3143)</f>
        <v>18613592</v>
      </c>
      <c r="V3085" s="733"/>
    </row>
    <row r="3086" spans="1:22" ht="15" x14ac:dyDescent="0.25">
      <c r="A3086" s="734">
        <v>1131</v>
      </c>
      <c r="B3086" s="735" t="s">
        <v>6</v>
      </c>
      <c r="C3086" s="736">
        <v>139785.10999999999</v>
      </c>
      <c r="D3086" s="736">
        <v>134931.16</v>
      </c>
      <c r="E3086" s="749">
        <v>134931.16</v>
      </c>
      <c r="F3086" s="736">
        <v>149447.53</v>
      </c>
      <c r="G3086" s="736">
        <v>146805.6</v>
      </c>
      <c r="H3086" s="736"/>
      <c r="I3086" s="736"/>
      <c r="J3086" s="736">
        <f t="shared" ref="J3086:J3091" si="921">G3086+H3086-I3086</f>
        <v>146805.6</v>
      </c>
      <c r="K3086" s="737">
        <v>658.82</v>
      </c>
      <c r="L3086" s="736"/>
      <c r="M3086" s="736">
        <f t="shared" ref="M3086:M3102" si="922">J3086+K3086-L3086</f>
        <v>147464.42000000001</v>
      </c>
      <c r="N3086" s="736"/>
      <c r="O3086" s="736"/>
      <c r="P3086" s="736">
        <f t="shared" ref="P3086:P3110" si="923">M3086+N3086-O3086</f>
        <v>147464.42000000001</v>
      </c>
      <c r="Q3086" s="738">
        <v>184128.43</v>
      </c>
      <c r="R3086" s="738">
        <v>119902.81</v>
      </c>
      <c r="S3086" s="751">
        <v>264766.32</v>
      </c>
      <c r="T3086" s="739">
        <v>1500521</v>
      </c>
      <c r="U3086" s="779">
        <v>184554.07</v>
      </c>
      <c r="V3086" s="741">
        <v>1500522</v>
      </c>
    </row>
    <row r="3087" spans="1:22" ht="15" x14ac:dyDescent="0.25">
      <c r="A3087" s="734">
        <v>1132</v>
      </c>
      <c r="B3087" s="735" t="s">
        <v>8</v>
      </c>
      <c r="C3087" s="736">
        <v>648586.4</v>
      </c>
      <c r="D3087" s="736">
        <v>780765.44</v>
      </c>
      <c r="E3087" s="749">
        <v>967531.64</v>
      </c>
      <c r="F3087" s="736">
        <v>1002244.08</v>
      </c>
      <c r="G3087" s="736">
        <v>1041425.9</v>
      </c>
      <c r="H3087" s="736"/>
      <c r="I3087" s="736"/>
      <c r="J3087" s="736">
        <f t="shared" si="921"/>
        <v>1041425.9</v>
      </c>
      <c r="K3087" s="736"/>
      <c r="L3087" s="736">
        <v>80912.13</v>
      </c>
      <c r="M3087" s="736">
        <f t="shared" si="922"/>
        <v>960513.77</v>
      </c>
      <c r="N3087" s="736"/>
      <c r="O3087" s="736"/>
      <c r="P3087" s="736">
        <f t="shared" si="923"/>
        <v>960513.77</v>
      </c>
      <c r="Q3087" s="738">
        <v>1009593.05</v>
      </c>
      <c r="R3087" s="738">
        <v>731446.6</v>
      </c>
      <c r="S3087" s="751">
        <v>1103338.6000000001</v>
      </c>
      <c r="T3087" s="739">
        <v>1500521</v>
      </c>
      <c r="U3087" s="779">
        <v>1054516.48</v>
      </c>
      <c r="V3087" s="741">
        <v>1500522</v>
      </c>
    </row>
    <row r="3088" spans="1:22" ht="15" x14ac:dyDescent="0.25">
      <c r="A3088" s="734">
        <v>1212</v>
      </c>
      <c r="B3088" s="735" t="s">
        <v>53</v>
      </c>
      <c r="C3088" s="736">
        <v>4288319.7699999996</v>
      </c>
      <c r="D3088" s="736">
        <v>3472974</v>
      </c>
      <c r="E3088" s="749">
        <v>5025285</v>
      </c>
      <c r="F3088" s="736">
        <v>5336845.6399999997</v>
      </c>
      <c r="G3088" s="736">
        <v>8515155.5999999996</v>
      </c>
      <c r="H3088" s="736"/>
      <c r="I3088" s="736"/>
      <c r="J3088" s="736">
        <f t="shared" si="921"/>
        <v>8515155.5999999996</v>
      </c>
      <c r="K3088" s="736">
        <v>1233722.97</v>
      </c>
      <c r="L3088" s="736"/>
      <c r="M3088" s="736">
        <f t="shared" si="922"/>
        <v>9748878.5700000003</v>
      </c>
      <c r="N3088" s="736"/>
      <c r="O3088" s="736"/>
      <c r="P3088" s="736">
        <f t="shared" si="923"/>
        <v>9748878.5700000003</v>
      </c>
      <c r="Q3088" s="738">
        <v>9599309.8900000006</v>
      </c>
      <c r="R3088" s="738">
        <v>5286425.13</v>
      </c>
      <c r="S3088" s="751">
        <v>7726017.7000000002</v>
      </c>
      <c r="T3088" s="739">
        <v>1500521</v>
      </c>
      <c r="U3088" s="779">
        <v>7285259.5</v>
      </c>
      <c r="V3088" s="741">
        <v>1500522</v>
      </c>
    </row>
    <row r="3089" spans="1:22" ht="15" x14ac:dyDescent="0.25">
      <c r="A3089" s="734">
        <v>1321</v>
      </c>
      <c r="B3089" s="735" t="s">
        <v>9</v>
      </c>
      <c r="C3089" s="736">
        <v>45423.07</v>
      </c>
      <c r="D3089" s="736">
        <v>57764.35</v>
      </c>
      <c r="E3089" s="749">
        <v>74808.350000000006</v>
      </c>
      <c r="F3089" s="736">
        <v>47594.03</v>
      </c>
      <c r="G3089" s="736">
        <v>50518.9</v>
      </c>
      <c r="H3089" s="736"/>
      <c r="I3089" s="736"/>
      <c r="J3089" s="736">
        <f t="shared" si="921"/>
        <v>50518.9</v>
      </c>
      <c r="K3089" s="736">
        <v>31604.73</v>
      </c>
      <c r="L3089" s="736"/>
      <c r="M3089" s="736">
        <f t="shared" si="922"/>
        <v>82123.63</v>
      </c>
      <c r="N3089" s="736"/>
      <c r="O3089" s="736"/>
      <c r="P3089" s="736">
        <f t="shared" si="923"/>
        <v>82123.63</v>
      </c>
      <c r="Q3089" s="738">
        <v>95678.27</v>
      </c>
      <c r="R3089" s="738">
        <v>35094.42</v>
      </c>
      <c r="S3089" s="751">
        <v>94210.42</v>
      </c>
      <c r="T3089" s="739">
        <v>1500521</v>
      </c>
      <c r="U3089" s="779">
        <v>99058.83</v>
      </c>
      <c r="V3089" s="741">
        <v>1500522</v>
      </c>
    </row>
    <row r="3090" spans="1:22" ht="15" x14ac:dyDescent="0.25">
      <c r="A3090" s="734">
        <v>1323</v>
      </c>
      <c r="B3090" s="735" t="s">
        <v>11</v>
      </c>
      <c r="C3090" s="736">
        <v>274260.18</v>
      </c>
      <c r="D3090" s="736">
        <v>308381.75</v>
      </c>
      <c r="E3090" s="749">
        <v>357072.43</v>
      </c>
      <c r="F3090" s="736">
        <v>357428.57</v>
      </c>
      <c r="G3090" s="736">
        <v>563656.69999999995</v>
      </c>
      <c r="H3090" s="736"/>
      <c r="I3090" s="736"/>
      <c r="J3090" s="736">
        <f t="shared" si="921"/>
        <v>563656.69999999995</v>
      </c>
      <c r="K3090" s="736">
        <v>18980.52</v>
      </c>
      <c r="L3090" s="736"/>
      <c r="M3090" s="736">
        <f t="shared" si="922"/>
        <v>582637.22</v>
      </c>
      <c r="N3090" s="736"/>
      <c r="O3090" s="736"/>
      <c r="P3090" s="736">
        <f t="shared" si="923"/>
        <v>582637.22</v>
      </c>
      <c r="Q3090" s="738">
        <v>582637.22</v>
      </c>
      <c r="R3090" s="738">
        <v>180444.43</v>
      </c>
      <c r="S3090" s="751">
        <v>473845.9</v>
      </c>
      <c r="T3090" s="739">
        <v>1500521</v>
      </c>
      <c r="U3090" s="779">
        <v>529315.47</v>
      </c>
      <c r="V3090" s="741">
        <v>1500522</v>
      </c>
    </row>
    <row r="3091" spans="1:22" ht="15" x14ac:dyDescent="0.25">
      <c r="A3091" s="734">
        <v>1413</v>
      </c>
      <c r="B3091" s="735" t="s">
        <v>13</v>
      </c>
      <c r="C3091" s="736">
        <v>942465.76</v>
      </c>
      <c r="D3091" s="736">
        <v>900952.52</v>
      </c>
      <c r="E3091" s="749">
        <v>1236202.52</v>
      </c>
      <c r="F3091" s="736">
        <v>1275736.58</v>
      </c>
      <c r="G3091" s="736">
        <v>2067374</v>
      </c>
      <c r="H3091" s="736"/>
      <c r="I3091" s="736"/>
      <c r="J3091" s="736">
        <f t="shared" si="921"/>
        <v>2067374</v>
      </c>
      <c r="K3091" s="736">
        <v>301835.2</v>
      </c>
      <c r="L3091" s="736"/>
      <c r="M3091" s="736">
        <f t="shared" si="922"/>
        <v>2369209.2000000002</v>
      </c>
      <c r="N3091" s="736"/>
      <c r="O3091" s="736"/>
      <c r="P3091" s="736">
        <f t="shared" si="923"/>
        <v>2369209.2000000002</v>
      </c>
      <c r="Q3091" s="738">
        <v>2220984.16</v>
      </c>
      <c r="R3091" s="738">
        <v>1269615.31</v>
      </c>
      <c r="S3091" s="751">
        <v>1837421.62</v>
      </c>
      <c r="T3091" s="739">
        <v>1500521</v>
      </c>
      <c r="U3091" s="779">
        <f>1732599.36+487457.76</f>
        <v>2220057.12</v>
      </c>
      <c r="V3091" s="741">
        <v>2510222</v>
      </c>
    </row>
    <row r="3092" spans="1:22" ht="15" x14ac:dyDescent="0.25">
      <c r="A3092" s="739">
        <v>1413</v>
      </c>
      <c r="B3092" s="743" t="s">
        <v>13</v>
      </c>
      <c r="C3092" s="736"/>
      <c r="D3092" s="736"/>
      <c r="E3092" s="749"/>
      <c r="F3092" s="736"/>
      <c r="G3092" s="736"/>
      <c r="H3092" s="736"/>
      <c r="I3092" s="736"/>
      <c r="J3092" s="736"/>
      <c r="K3092" s="736"/>
      <c r="L3092" s="736"/>
      <c r="M3092" s="736">
        <f t="shared" si="922"/>
        <v>0</v>
      </c>
      <c r="N3092" s="736"/>
      <c r="O3092" s="736"/>
      <c r="P3092" s="738">
        <f t="shared" si="923"/>
        <v>0</v>
      </c>
      <c r="Q3092" s="738"/>
      <c r="R3092" s="738"/>
      <c r="S3092" s="751"/>
      <c r="T3092" s="739">
        <v>2510221</v>
      </c>
      <c r="U3092" s="780">
        <v>0</v>
      </c>
      <c r="V3092" s="739">
        <v>2510222</v>
      </c>
    </row>
    <row r="3093" spans="1:22" ht="15" x14ac:dyDescent="0.25">
      <c r="A3093" s="734">
        <v>1421</v>
      </c>
      <c r="B3093" s="735" t="s">
        <v>15</v>
      </c>
      <c r="C3093" s="736">
        <v>290244.73</v>
      </c>
      <c r="D3093" s="736">
        <v>257794.92</v>
      </c>
      <c r="E3093" s="749">
        <v>314344.92</v>
      </c>
      <c r="F3093" s="736">
        <v>359510.29</v>
      </c>
      <c r="G3093" s="736">
        <v>551279.1</v>
      </c>
      <c r="H3093" s="736"/>
      <c r="I3093" s="736"/>
      <c r="J3093" s="736">
        <f>G3093+H3093-I3093</f>
        <v>551279.1</v>
      </c>
      <c r="K3093" s="737">
        <v>68562.490000000005</v>
      </c>
      <c r="L3093" s="736"/>
      <c r="M3093" s="736">
        <f t="shared" si="922"/>
        <v>619841.59</v>
      </c>
      <c r="N3093" s="736"/>
      <c r="O3093" s="736"/>
      <c r="P3093" s="736">
        <f t="shared" si="923"/>
        <v>619841.59</v>
      </c>
      <c r="Q3093" s="738">
        <v>619841.59</v>
      </c>
      <c r="R3093" s="738">
        <v>325125.13</v>
      </c>
      <c r="S3093" s="751">
        <v>516948.96</v>
      </c>
      <c r="T3093" s="739">
        <v>1500521</v>
      </c>
      <c r="U3093" s="779">
        <f>558809.14+28374.39</f>
        <v>587183.53</v>
      </c>
      <c r="V3093" s="741">
        <v>2510222</v>
      </c>
    </row>
    <row r="3094" spans="1:22" ht="15" x14ac:dyDescent="0.25">
      <c r="A3094" s="739">
        <v>1421</v>
      </c>
      <c r="B3094" s="743" t="s">
        <v>15</v>
      </c>
      <c r="C3094" s="736"/>
      <c r="D3094" s="736"/>
      <c r="E3094" s="749"/>
      <c r="F3094" s="736"/>
      <c r="G3094" s="736"/>
      <c r="H3094" s="736"/>
      <c r="I3094" s="736"/>
      <c r="J3094" s="736"/>
      <c r="K3094" s="736"/>
      <c r="L3094" s="736"/>
      <c r="M3094" s="736">
        <f t="shared" si="922"/>
        <v>0</v>
      </c>
      <c r="N3094" s="736"/>
      <c r="O3094" s="736"/>
      <c r="P3094" s="738">
        <f t="shared" si="923"/>
        <v>0</v>
      </c>
      <c r="Q3094" s="738"/>
      <c r="R3094" s="738"/>
      <c r="S3094" s="751"/>
      <c r="T3094" s="739">
        <v>2510221</v>
      </c>
      <c r="U3094" s="780">
        <v>0</v>
      </c>
      <c r="V3094" s="739">
        <v>2510222</v>
      </c>
    </row>
    <row r="3095" spans="1:22" ht="15" x14ac:dyDescent="0.25">
      <c r="A3095" s="734">
        <v>1431</v>
      </c>
      <c r="B3095" s="735" t="s">
        <v>16</v>
      </c>
      <c r="C3095" s="736">
        <v>306870.84999999998</v>
      </c>
      <c r="D3095" s="736">
        <v>265529.5</v>
      </c>
      <c r="E3095" s="749">
        <v>328399.5</v>
      </c>
      <c r="F3095" s="736">
        <v>380614.55</v>
      </c>
      <c r="G3095" s="736">
        <v>567811.69999999995</v>
      </c>
      <c r="H3095" s="736"/>
      <c r="I3095" s="736"/>
      <c r="J3095" s="736">
        <f>G3095+H3095-I3095</f>
        <v>567811.69999999995</v>
      </c>
      <c r="K3095" s="737">
        <v>70495.97</v>
      </c>
      <c r="L3095" s="736"/>
      <c r="M3095" s="736">
        <f t="shared" si="922"/>
        <v>638307.66999999993</v>
      </c>
      <c r="N3095" s="736"/>
      <c r="O3095" s="736"/>
      <c r="P3095" s="736">
        <f t="shared" si="923"/>
        <v>638307.66999999993</v>
      </c>
      <c r="Q3095" s="738">
        <v>594583.69999999995</v>
      </c>
      <c r="R3095" s="738">
        <v>329891.06</v>
      </c>
      <c r="S3095" s="751">
        <v>524526.79</v>
      </c>
      <c r="T3095" s="739">
        <v>1500521</v>
      </c>
      <c r="U3095" s="779">
        <f>97173.44+353009.56</f>
        <v>450183</v>
      </c>
      <c r="V3095" s="741">
        <v>2510222</v>
      </c>
    </row>
    <row r="3096" spans="1:22" ht="15" x14ac:dyDescent="0.25">
      <c r="A3096" s="739">
        <v>1431</v>
      </c>
      <c r="B3096" s="743" t="s">
        <v>16</v>
      </c>
      <c r="C3096" s="736"/>
      <c r="D3096" s="736"/>
      <c r="E3096" s="749"/>
      <c r="F3096" s="736"/>
      <c r="G3096" s="736"/>
      <c r="H3096" s="736"/>
      <c r="I3096" s="736"/>
      <c r="J3096" s="736"/>
      <c r="K3096" s="736"/>
      <c r="L3096" s="736"/>
      <c r="M3096" s="736">
        <f t="shared" si="922"/>
        <v>0</v>
      </c>
      <c r="N3096" s="736"/>
      <c r="O3096" s="736"/>
      <c r="P3096" s="738">
        <f t="shared" si="923"/>
        <v>0</v>
      </c>
      <c r="Q3096" s="738"/>
      <c r="R3096" s="738"/>
      <c r="S3096" s="751"/>
      <c r="T3096" s="739">
        <v>2510221</v>
      </c>
      <c r="U3096" s="780">
        <v>0</v>
      </c>
      <c r="V3096" s="739">
        <v>2510222</v>
      </c>
    </row>
    <row r="3097" spans="1:22" ht="15" x14ac:dyDescent="0.2">
      <c r="A3097" s="739">
        <v>1511</v>
      </c>
      <c r="B3097" s="743" t="s">
        <v>18</v>
      </c>
      <c r="C3097" s="736">
        <v>20519.38</v>
      </c>
      <c r="D3097" s="736">
        <v>31380.44</v>
      </c>
      <c r="E3097" s="749">
        <v>27249.439999999999</v>
      </c>
      <c r="F3097" s="736">
        <v>28249.07</v>
      </c>
      <c r="G3097" s="736">
        <v>30408.6</v>
      </c>
      <c r="H3097" s="736"/>
      <c r="I3097" s="736"/>
      <c r="J3097" s="736">
        <f t="shared" ref="J3097:J3102" si="924">G3097+H3097-I3097</f>
        <v>30408.6</v>
      </c>
      <c r="K3097" s="736"/>
      <c r="L3097" s="736">
        <v>7178.45</v>
      </c>
      <c r="M3097" s="736">
        <f t="shared" si="922"/>
        <v>23230.149999999998</v>
      </c>
      <c r="N3097" s="736"/>
      <c r="O3097" s="736"/>
      <c r="P3097" s="736">
        <f t="shared" si="923"/>
        <v>23230.149999999998</v>
      </c>
      <c r="Q3097" s="738">
        <v>31207.1</v>
      </c>
      <c r="R3097" s="738">
        <v>21488.58</v>
      </c>
      <c r="S3097" s="751"/>
      <c r="T3097" s="739">
        <v>1500521</v>
      </c>
      <c r="U3097" s="750"/>
      <c r="V3097" s="739">
        <v>1500522</v>
      </c>
    </row>
    <row r="3098" spans="1:22" ht="15" x14ac:dyDescent="0.2">
      <c r="A3098" s="739">
        <v>1541</v>
      </c>
      <c r="B3098" s="743" t="s">
        <v>19</v>
      </c>
      <c r="C3098" s="736">
        <v>36679.279999999999</v>
      </c>
      <c r="D3098" s="736">
        <v>46193.42</v>
      </c>
      <c r="E3098" s="749">
        <v>43562.42</v>
      </c>
      <c r="F3098" s="736">
        <v>44821.46</v>
      </c>
      <c r="G3098" s="736">
        <v>60173.7</v>
      </c>
      <c r="H3098" s="736"/>
      <c r="I3098" s="736"/>
      <c r="J3098" s="736">
        <f t="shared" si="924"/>
        <v>60173.7</v>
      </c>
      <c r="K3098" s="737">
        <v>2290.62</v>
      </c>
      <c r="L3098" s="736"/>
      <c r="M3098" s="736">
        <f t="shared" si="922"/>
        <v>62464.32</v>
      </c>
      <c r="N3098" s="736"/>
      <c r="O3098" s="736"/>
      <c r="P3098" s="736">
        <f t="shared" si="923"/>
        <v>62464.32</v>
      </c>
      <c r="Q3098" s="738">
        <v>62464.32</v>
      </c>
      <c r="R3098" s="738">
        <v>43320.23</v>
      </c>
      <c r="S3098" s="751">
        <v>30091.040000000001</v>
      </c>
      <c r="T3098" s="739">
        <v>1500521</v>
      </c>
      <c r="U3098" s="750"/>
      <c r="V3098" s="739">
        <v>1500522</v>
      </c>
    </row>
    <row r="3099" spans="1:22" ht="15" x14ac:dyDescent="0.2">
      <c r="A3099" s="739">
        <v>1592</v>
      </c>
      <c r="B3099" s="743" t="s">
        <v>20</v>
      </c>
      <c r="C3099" s="736">
        <v>241845.74</v>
      </c>
      <c r="D3099" s="736">
        <v>275853.76</v>
      </c>
      <c r="E3099" s="749">
        <v>304751.8</v>
      </c>
      <c r="F3099" s="736">
        <v>315879.89</v>
      </c>
      <c r="G3099" s="736">
        <v>337318.8</v>
      </c>
      <c r="H3099" s="736"/>
      <c r="I3099" s="736"/>
      <c r="J3099" s="736">
        <f t="shared" si="924"/>
        <v>337318.8</v>
      </c>
      <c r="K3099" s="737">
        <v>39883.61</v>
      </c>
      <c r="L3099" s="736"/>
      <c r="M3099" s="736">
        <f t="shared" si="922"/>
        <v>377202.41</v>
      </c>
      <c r="N3099" s="736"/>
      <c r="O3099" s="736"/>
      <c r="P3099" s="736">
        <f t="shared" si="923"/>
        <v>377202.41</v>
      </c>
      <c r="Q3099" s="738">
        <v>377202.41</v>
      </c>
      <c r="R3099" s="738">
        <v>242042.4</v>
      </c>
      <c r="S3099" s="751">
        <v>397852</v>
      </c>
      <c r="T3099" s="739">
        <v>1500521</v>
      </c>
      <c r="U3099" s="750"/>
      <c r="V3099" s="739">
        <v>1500522</v>
      </c>
    </row>
    <row r="3100" spans="1:22" ht="15" x14ac:dyDescent="0.2">
      <c r="A3100" s="734">
        <v>2111</v>
      </c>
      <c r="B3100" s="735" t="s">
        <v>22</v>
      </c>
      <c r="C3100" s="736">
        <v>23568</v>
      </c>
      <c r="D3100" s="736">
        <v>23000</v>
      </c>
      <c r="E3100" s="749">
        <v>16100</v>
      </c>
      <c r="F3100" s="736">
        <v>14776.55</v>
      </c>
      <c r="G3100" s="752">
        <v>16100</v>
      </c>
      <c r="H3100" s="752"/>
      <c r="I3100" s="752"/>
      <c r="J3100" s="736">
        <f t="shared" si="924"/>
        <v>16100</v>
      </c>
      <c r="K3100" s="752"/>
      <c r="L3100" s="752"/>
      <c r="M3100" s="736">
        <f t="shared" si="922"/>
        <v>16100</v>
      </c>
      <c r="N3100" s="736"/>
      <c r="O3100" s="736"/>
      <c r="P3100" s="736">
        <f t="shared" si="923"/>
        <v>16100</v>
      </c>
      <c r="Q3100" s="753">
        <v>14052.94</v>
      </c>
      <c r="R3100" s="738">
        <v>13042.19</v>
      </c>
      <c r="S3100" s="929">
        <v>16000</v>
      </c>
      <c r="T3100" s="739">
        <v>1100121</v>
      </c>
      <c r="U3100" s="740">
        <v>16000</v>
      </c>
      <c r="V3100" s="741">
        <v>1100122</v>
      </c>
    </row>
    <row r="3101" spans="1:22" ht="15" x14ac:dyDescent="0.2">
      <c r="A3101" s="739">
        <v>2112</v>
      </c>
      <c r="B3101" s="743" t="s">
        <v>39</v>
      </c>
      <c r="C3101" s="736">
        <v>3098.48</v>
      </c>
      <c r="D3101" s="736">
        <v>80000</v>
      </c>
      <c r="E3101" s="749">
        <v>80000</v>
      </c>
      <c r="F3101" s="736">
        <v>27840.01</v>
      </c>
      <c r="G3101" s="736"/>
      <c r="H3101" s="736"/>
      <c r="I3101" s="736"/>
      <c r="J3101" s="736">
        <f t="shared" si="924"/>
        <v>0</v>
      </c>
      <c r="K3101" s="736"/>
      <c r="L3101" s="736"/>
      <c r="M3101" s="736">
        <f t="shared" si="922"/>
        <v>0</v>
      </c>
      <c r="N3101" s="736"/>
      <c r="O3101" s="736"/>
      <c r="P3101" s="738">
        <f t="shared" si="923"/>
        <v>0</v>
      </c>
      <c r="Q3101" s="738"/>
      <c r="R3101" s="738">
        <v>15821.36</v>
      </c>
      <c r="S3101" s="738"/>
      <c r="T3101" s="739">
        <v>1100121</v>
      </c>
      <c r="U3101" s="745"/>
      <c r="V3101" s="739">
        <v>1100122</v>
      </c>
    </row>
    <row r="3102" spans="1:22" ht="15" x14ac:dyDescent="0.2">
      <c r="A3102" s="734">
        <v>2121</v>
      </c>
      <c r="B3102" s="735" t="s">
        <v>24</v>
      </c>
      <c r="C3102" s="736">
        <v>23750</v>
      </c>
      <c r="D3102" s="736">
        <v>25000</v>
      </c>
      <c r="E3102" s="749">
        <v>25000</v>
      </c>
      <c r="F3102" s="736">
        <v>23314</v>
      </c>
      <c r="G3102" s="752">
        <v>25000</v>
      </c>
      <c r="H3102" s="752"/>
      <c r="I3102" s="752"/>
      <c r="J3102" s="736">
        <f t="shared" si="924"/>
        <v>25000</v>
      </c>
      <c r="K3102" s="752"/>
      <c r="L3102" s="752"/>
      <c r="M3102" s="736">
        <f t="shared" si="922"/>
        <v>25000</v>
      </c>
      <c r="N3102" s="736"/>
      <c r="O3102" s="736"/>
      <c r="P3102" s="736">
        <f t="shared" si="923"/>
        <v>25000</v>
      </c>
      <c r="Q3102" s="753">
        <v>25000</v>
      </c>
      <c r="R3102" s="738"/>
      <c r="S3102" s="929">
        <v>25000</v>
      </c>
      <c r="T3102" s="739">
        <v>1100121</v>
      </c>
      <c r="U3102" s="740">
        <v>20000</v>
      </c>
      <c r="V3102" s="741">
        <v>1100122</v>
      </c>
    </row>
    <row r="3103" spans="1:22" ht="15" x14ac:dyDescent="0.2">
      <c r="A3103" s="739">
        <v>2141</v>
      </c>
      <c r="B3103" s="743" t="s">
        <v>1843</v>
      </c>
      <c r="C3103" s="736"/>
      <c r="D3103" s="736"/>
      <c r="E3103" s="749"/>
      <c r="F3103" s="736"/>
      <c r="G3103" s="752"/>
      <c r="H3103" s="752"/>
      <c r="I3103" s="752"/>
      <c r="J3103" s="736"/>
      <c r="K3103" s="752"/>
      <c r="L3103" s="752"/>
      <c r="M3103" s="736"/>
      <c r="N3103" s="940">
        <v>2494</v>
      </c>
      <c r="O3103" s="736"/>
      <c r="P3103" s="736">
        <f t="shared" si="923"/>
        <v>2494</v>
      </c>
      <c r="Q3103" s="753">
        <v>2494</v>
      </c>
      <c r="R3103" s="738">
        <v>2494</v>
      </c>
      <c r="S3103" s="753"/>
      <c r="T3103" s="739">
        <v>1100121</v>
      </c>
      <c r="U3103" s="745"/>
      <c r="V3103" s="739">
        <v>1100122</v>
      </c>
    </row>
    <row r="3104" spans="1:22" ht="15" x14ac:dyDescent="0.2">
      <c r="A3104" s="739">
        <v>2142</v>
      </c>
      <c r="B3104" s="743" t="s">
        <v>170</v>
      </c>
      <c r="C3104" s="736"/>
      <c r="D3104" s="736"/>
      <c r="E3104" s="749"/>
      <c r="F3104" s="736"/>
      <c r="G3104" s="752"/>
      <c r="H3104" s="752"/>
      <c r="I3104" s="752"/>
      <c r="J3104" s="736"/>
      <c r="K3104" s="752"/>
      <c r="L3104" s="752"/>
      <c r="M3104" s="736"/>
      <c r="N3104" s="940">
        <v>73202</v>
      </c>
      <c r="O3104" s="736"/>
      <c r="P3104" s="736">
        <f t="shared" si="923"/>
        <v>73202</v>
      </c>
      <c r="Q3104" s="753">
        <v>73202</v>
      </c>
      <c r="R3104" s="738">
        <v>73201.8</v>
      </c>
      <c r="S3104" s="753"/>
      <c r="T3104" s="739">
        <v>1100121</v>
      </c>
      <c r="U3104" s="745"/>
      <c r="V3104" s="739">
        <v>1100122</v>
      </c>
    </row>
    <row r="3105" spans="1:22" ht="15" x14ac:dyDescent="0.2">
      <c r="A3105" s="734">
        <v>2161</v>
      </c>
      <c r="B3105" s="735" t="s">
        <v>59</v>
      </c>
      <c r="C3105" s="736">
        <v>24869.13</v>
      </c>
      <c r="D3105" s="736">
        <v>30000</v>
      </c>
      <c r="E3105" s="749">
        <v>30000</v>
      </c>
      <c r="F3105" s="736">
        <v>28298.34</v>
      </c>
      <c r="G3105" s="752">
        <v>60000</v>
      </c>
      <c r="H3105" s="752"/>
      <c r="I3105" s="752"/>
      <c r="J3105" s="736">
        <f t="shared" ref="J3105:J3110" si="925">G3105+H3105-I3105</f>
        <v>60000</v>
      </c>
      <c r="K3105" s="752"/>
      <c r="L3105" s="752"/>
      <c r="M3105" s="736">
        <f t="shared" ref="M3105:M3117" si="926">J3105+K3105-L3105</f>
        <v>60000</v>
      </c>
      <c r="N3105" s="736"/>
      <c r="O3105" s="736"/>
      <c r="P3105" s="736">
        <f t="shared" si="923"/>
        <v>60000</v>
      </c>
      <c r="Q3105" s="753">
        <v>60000</v>
      </c>
      <c r="R3105" s="738">
        <v>30395.67</v>
      </c>
      <c r="S3105" s="929">
        <v>70000</v>
      </c>
      <c r="T3105" s="739">
        <v>1100121</v>
      </c>
      <c r="U3105" s="740">
        <v>60000</v>
      </c>
      <c r="V3105" s="741">
        <v>1100122</v>
      </c>
    </row>
    <row r="3106" spans="1:22" ht="15" x14ac:dyDescent="0.2">
      <c r="A3106" s="734">
        <v>2171</v>
      </c>
      <c r="B3106" s="735" t="s">
        <v>174</v>
      </c>
      <c r="C3106" s="736">
        <v>9744</v>
      </c>
      <c r="D3106" s="736">
        <v>30000</v>
      </c>
      <c r="E3106" s="749">
        <v>30000</v>
      </c>
      <c r="F3106" s="736">
        <v>0</v>
      </c>
      <c r="G3106" s="752">
        <v>100000</v>
      </c>
      <c r="H3106" s="752"/>
      <c r="I3106" s="752"/>
      <c r="J3106" s="736">
        <f t="shared" si="925"/>
        <v>100000</v>
      </c>
      <c r="K3106" s="752"/>
      <c r="L3106" s="752"/>
      <c r="M3106" s="736">
        <f t="shared" si="926"/>
        <v>100000</v>
      </c>
      <c r="N3106" s="736"/>
      <c r="O3106" s="736">
        <v>25000</v>
      </c>
      <c r="P3106" s="736">
        <f t="shared" si="923"/>
        <v>75000</v>
      </c>
      <c r="Q3106" s="753">
        <v>75000</v>
      </c>
      <c r="R3106" s="738"/>
      <c r="S3106" s="929">
        <v>100000</v>
      </c>
      <c r="T3106" s="739">
        <v>1100121</v>
      </c>
      <c r="U3106" s="754">
        <v>75000</v>
      </c>
      <c r="V3106" s="741">
        <v>1100122</v>
      </c>
    </row>
    <row r="3107" spans="1:22" ht="15" x14ac:dyDescent="0.2">
      <c r="A3107" s="734">
        <v>2212</v>
      </c>
      <c r="B3107" s="735" t="s">
        <v>40</v>
      </c>
      <c r="C3107" s="736">
        <v>2139065.67</v>
      </c>
      <c r="D3107" s="736">
        <v>2400000</v>
      </c>
      <c r="E3107" s="749">
        <v>2966000</v>
      </c>
      <c r="F3107" s="736">
        <v>3330981.89</v>
      </c>
      <c r="G3107" s="752">
        <v>3500000</v>
      </c>
      <c r="H3107" s="752"/>
      <c r="I3107" s="752"/>
      <c r="J3107" s="736">
        <f t="shared" si="925"/>
        <v>3500000</v>
      </c>
      <c r="K3107" s="752"/>
      <c r="L3107" s="752"/>
      <c r="M3107" s="736">
        <f t="shared" si="926"/>
        <v>3500000</v>
      </c>
      <c r="N3107" s="736"/>
      <c r="O3107" s="736">
        <v>50000</v>
      </c>
      <c r="P3107" s="736">
        <f t="shared" si="923"/>
        <v>3450000</v>
      </c>
      <c r="Q3107" s="753">
        <v>3450000</v>
      </c>
      <c r="R3107" s="738">
        <v>3019651.94</v>
      </c>
      <c r="S3107" s="929">
        <v>4000000</v>
      </c>
      <c r="T3107" s="739">
        <v>2510221</v>
      </c>
      <c r="U3107" s="930">
        <v>3500000</v>
      </c>
      <c r="V3107" s="741">
        <v>2510222</v>
      </c>
    </row>
    <row r="3108" spans="1:22" ht="15" x14ac:dyDescent="0.2">
      <c r="A3108" s="734">
        <v>2421</v>
      </c>
      <c r="B3108" s="735" t="s">
        <v>111</v>
      </c>
      <c r="C3108" s="736"/>
      <c r="D3108" s="736">
        <v>0</v>
      </c>
      <c r="E3108" s="749">
        <v>967000</v>
      </c>
      <c r="F3108" s="736">
        <v>343692.19</v>
      </c>
      <c r="G3108" s="752">
        <v>350000</v>
      </c>
      <c r="H3108" s="752"/>
      <c r="I3108" s="752"/>
      <c r="J3108" s="736">
        <f t="shared" si="925"/>
        <v>350000</v>
      </c>
      <c r="K3108" s="752"/>
      <c r="L3108" s="752"/>
      <c r="M3108" s="736">
        <f t="shared" si="926"/>
        <v>350000</v>
      </c>
      <c r="N3108" s="736"/>
      <c r="O3108" s="736">
        <f>110000+10000</f>
        <v>120000</v>
      </c>
      <c r="P3108" s="736">
        <f t="shared" si="923"/>
        <v>230000</v>
      </c>
      <c r="Q3108" s="753">
        <v>230000</v>
      </c>
      <c r="R3108" s="738">
        <v>10294.76</v>
      </c>
      <c r="S3108" s="929">
        <v>230000</v>
      </c>
      <c r="T3108" s="739">
        <v>1100121</v>
      </c>
      <c r="U3108" s="746">
        <v>30000</v>
      </c>
      <c r="V3108" s="741">
        <v>1100122</v>
      </c>
    </row>
    <row r="3109" spans="1:22" ht="15" x14ac:dyDescent="0.2">
      <c r="A3109" s="734">
        <v>2461</v>
      </c>
      <c r="B3109" s="735" t="s">
        <v>115</v>
      </c>
      <c r="C3109" s="736"/>
      <c r="D3109" s="736">
        <v>10000</v>
      </c>
      <c r="E3109" s="749">
        <v>10000</v>
      </c>
      <c r="F3109" s="736">
        <v>799.05</v>
      </c>
      <c r="G3109" s="752">
        <v>20000</v>
      </c>
      <c r="H3109" s="752"/>
      <c r="I3109" s="752"/>
      <c r="J3109" s="736">
        <f t="shared" si="925"/>
        <v>20000</v>
      </c>
      <c r="K3109" s="752">
        <v>200000</v>
      </c>
      <c r="L3109" s="752"/>
      <c r="M3109" s="736">
        <f t="shared" si="926"/>
        <v>220000</v>
      </c>
      <c r="N3109" s="736">
        <v>14476.8</v>
      </c>
      <c r="O3109" s="736">
        <v>220000</v>
      </c>
      <c r="P3109" s="736">
        <f t="shared" si="923"/>
        <v>14476.799999999988</v>
      </c>
      <c r="Q3109" s="753">
        <v>14476.8</v>
      </c>
      <c r="R3109" s="738">
        <v>14476.8</v>
      </c>
      <c r="S3109" s="929">
        <v>40000</v>
      </c>
      <c r="T3109" s="739">
        <v>1100121</v>
      </c>
      <c r="U3109" s="930">
        <v>40000</v>
      </c>
      <c r="V3109" s="741">
        <v>1100122</v>
      </c>
    </row>
    <row r="3110" spans="1:22" ht="15" x14ac:dyDescent="0.2">
      <c r="A3110" s="734">
        <v>2491</v>
      </c>
      <c r="B3110" s="735" t="s">
        <v>41</v>
      </c>
      <c r="C3110" s="736">
        <v>12360.85</v>
      </c>
      <c r="D3110" s="736">
        <v>25000</v>
      </c>
      <c r="E3110" s="749">
        <v>25000</v>
      </c>
      <c r="F3110" s="736">
        <v>7999.69</v>
      </c>
      <c r="G3110" s="752">
        <v>25000</v>
      </c>
      <c r="H3110" s="752"/>
      <c r="I3110" s="752"/>
      <c r="J3110" s="736">
        <f t="shared" si="925"/>
        <v>25000</v>
      </c>
      <c r="K3110" s="752"/>
      <c r="L3110" s="752"/>
      <c r="M3110" s="736">
        <f t="shared" si="926"/>
        <v>25000</v>
      </c>
      <c r="N3110" s="736">
        <v>13000</v>
      </c>
      <c r="O3110" s="736"/>
      <c r="P3110" s="736">
        <f t="shared" si="923"/>
        <v>38000</v>
      </c>
      <c r="Q3110" s="753">
        <v>38000</v>
      </c>
      <c r="R3110" s="738">
        <v>27736.18</v>
      </c>
      <c r="S3110" s="929">
        <v>200000</v>
      </c>
      <c r="T3110" s="739">
        <v>1100121</v>
      </c>
      <c r="U3110" s="930">
        <v>50000</v>
      </c>
      <c r="V3110" s="741">
        <v>1100122</v>
      </c>
    </row>
    <row r="3111" spans="1:22" ht="15" x14ac:dyDescent="0.2">
      <c r="A3111" s="739">
        <v>2491</v>
      </c>
      <c r="B3111" s="743" t="s">
        <v>41</v>
      </c>
      <c r="C3111" s="736"/>
      <c r="D3111" s="736"/>
      <c r="E3111" s="749"/>
      <c r="F3111" s="736"/>
      <c r="G3111" s="752"/>
      <c r="H3111" s="752"/>
      <c r="I3111" s="752"/>
      <c r="J3111" s="736"/>
      <c r="K3111" s="752"/>
      <c r="L3111" s="752"/>
      <c r="M3111" s="736">
        <f t="shared" si="926"/>
        <v>0</v>
      </c>
      <c r="N3111" s="736"/>
      <c r="O3111" s="736"/>
      <c r="P3111" s="738"/>
      <c r="Q3111" s="753"/>
      <c r="R3111" s="738"/>
      <c r="S3111" s="753"/>
      <c r="T3111" s="739">
        <v>1500521</v>
      </c>
      <c r="U3111" s="745"/>
      <c r="V3111" s="739">
        <v>1500522</v>
      </c>
    </row>
    <row r="3112" spans="1:22" ht="15" x14ac:dyDescent="0.25">
      <c r="A3112" s="739">
        <v>2531</v>
      </c>
      <c r="B3112" s="743" t="s">
        <v>145</v>
      </c>
      <c r="C3112" s="736"/>
      <c r="D3112" s="736"/>
      <c r="E3112" s="749"/>
      <c r="F3112" s="736"/>
      <c r="G3112" s="752"/>
      <c r="H3112" s="759">
        <v>6201.36</v>
      </c>
      <c r="I3112" s="752"/>
      <c r="J3112" s="736">
        <f t="shared" ref="J3112:J3117" si="927">G3112+H3112-I3112</f>
        <v>6201.36</v>
      </c>
      <c r="K3112" s="759"/>
      <c r="L3112" s="752"/>
      <c r="M3112" s="736">
        <f t="shared" si="926"/>
        <v>6201.36</v>
      </c>
      <c r="N3112" s="736"/>
      <c r="O3112" s="736"/>
      <c r="P3112" s="736">
        <f t="shared" ref="P3112:P3121" si="928">M3112+N3112-O3112</f>
        <v>6201.36</v>
      </c>
      <c r="Q3112" s="753">
        <v>6201.36</v>
      </c>
      <c r="R3112" s="738">
        <v>6201.36</v>
      </c>
      <c r="S3112" s="753"/>
      <c r="T3112" s="739">
        <v>1100120</v>
      </c>
      <c r="U3112" s="745"/>
      <c r="V3112" s="739">
        <v>1100120</v>
      </c>
    </row>
    <row r="3113" spans="1:22" ht="15" x14ac:dyDescent="0.2">
      <c r="A3113" s="734">
        <v>2531</v>
      </c>
      <c r="B3113" s="735" t="s">
        <v>145</v>
      </c>
      <c r="C3113" s="736">
        <v>11627.4</v>
      </c>
      <c r="D3113" s="736">
        <v>20000</v>
      </c>
      <c r="E3113" s="749">
        <v>20000</v>
      </c>
      <c r="F3113" s="736">
        <v>12889.68</v>
      </c>
      <c r="G3113" s="752">
        <v>20000</v>
      </c>
      <c r="H3113" s="752"/>
      <c r="I3113" s="752"/>
      <c r="J3113" s="736">
        <f t="shared" si="927"/>
        <v>20000</v>
      </c>
      <c r="K3113" s="752"/>
      <c r="L3113" s="752"/>
      <c r="M3113" s="736">
        <f t="shared" si="926"/>
        <v>20000</v>
      </c>
      <c r="N3113" s="736"/>
      <c r="O3113" s="736"/>
      <c r="P3113" s="736">
        <f t="shared" si="928"/>
        <v>20000</v>
      </c>
      <c r="Q3113" s="753">
        <v>20000</v>
      </c>
      <c r="R3113" s="738">
        <v>8032.29</v>
      </c>
      <c r="S3113" s="929">
        <v>20000</v>
      </c>
      <c r="T3113" s="739">
        <v>1100121</v>
      </c>
      <c r="U3113" s="930">
        <v>20000</v>
      </c>
      <c r="V3113" s="741">
        <v>1100122</v>
      </c>
    </row>
    <row r="3114" spans="1:22" ht="30" x14ac:dyDescent="0.2">
      <c r="A3114" s="734">
        <v>2612</v>
      </c>
      <c r="B3114" s="735" t="s">
        <v>26</v>
      </c>
      <c r="C3114" s="736">
        <v>162235.01</v>
      </c>
      <c r="D3114" s="736">
        <v>165000</v>
      </c>
      <c r="E3114" s="749">
        <v>150000</v>
      </c>
      <c r="F3114" s="736">
        <v>159619.56</v>
      </c>
      <c r="G3114" s="752">
        <v>200000</v>
      </c>
      <c r="H3114" s="752"/>
      <c r="I3114" s="752"/>
      <c r="J3114" s="736">
        <f t="shared" si="927"/>
        <v>200000</v>
      </c>
      <c r="K3114" s="752"/>
      <c r="L3114" s="752"/>
      <c r="M3114" s="736">
        <f t="shared" si="926"/>
        <v>200000</v>
      </c>
      <c r="N3114" s="736"/>
      <c r="O3114" s="736"/>
      <c r="P3114" s="736">
        <f t="shared" si="928"/>
        <v>200000</v>
      </c>
      <c r="Q3114" s="753">
        <v>200000</v>
      </c>
      <c r="R3114" s="738">
        <v>137881.60000000001</v>
      </c>
      <c r="S3114" s="738">
        <f>Q3114</f>
        <v>200000</v>
      </c>
      <c r="T3114" s="739">
        <v>1100121</v>
      </c>
      <c r="U3114" s="838">
        <v>185000</v>
      </c>
      <c r="V3114" s="741">
        <v>1100122</v>
      </c>
    </row>
    <row r="3115" spans="1:22" ht="15" x14ac:dyDescent="0.2">
      <c r="A3115" s="739">
        <v>2711</v>
      </c>
      <c r="B3115" s="743" t="s">
        <v>27</v>
      </c>
      <c r="C3115" s="736"/>
      <c r="D3115" s="736">
        <v>0</v>
      </c>
      <c r="E3115" s="749">
        <v>850000</v>
      </c>
      <c r="F3115" s="736">
        <v>850000</v>
      </c>
      <c r="G3115" s="736"/>
      <c r="H3115" s="736"/>
      <c r="I3115" s="736"/>
      <c r="J3115" s="736">
        <f t="shared" si="927"/>
        <v>0</v>
      </c>
      <c r="K3115" s="736"/>
      <c r="L3115" s="736"/>
      <c r="M3115" s="736">
        <f t="shared" si="926"/>
        <v>0</v>
      </c>
      <c r="N3115" s="736"/>
      <c r="O3115" s="736"/>
      <c r="P3115" s="738">
        <f t="shared" si="928"/>
        <v>0</v>
      </c>
      <c r="Q3115" s="738"/>
      <c r="R3115" s="738"/>
      <c r="S3115" s="738"/>
      <c r="T3115" s="739">
        <v>1100119</v>
      </c>
      <c r="U3115" s="745"/>
      <c r="V3115" s="739">
        <v>1100119</v>
      </c>
    </row>
    <row r="3116" spans="1:22" ht="15" x14ac:dyDescent="0.2">
      <c r="A3116" s="734">
        <v>2711</v>
      </c>
      <c r="B3116" s="735" t="s">
        <v>27</v>
      </c>
      <c r="C3116" s="736"/>
      <c r="D3116" s="736">
        <v>850000</v>
      </c>
      <c r="E3116" s="736"/>
      <c r="F3116" s="736">
        <v>0</v>
      </c>
      <c r="G3116" s="752">
        <v>550000</v>
      </c>
      <c r="H3116" s="752"/>
      <c r="I3116" s="752"/>
      <c r="J3116" s="736">
        <f t="shared" si="927"/>
        <v>550000</v>
      </c>
      <c r="K3116" s="752"/>
      <c r="L3116" s="752">
        <v>200000</v>
      </c>
      <c r="M3116" s="736">
        <f t="shared" si="926"/>
        <v>350000</v>
      </c>
      <c r="N3116" s="736"/>
      <c r="O3116" s="736"/>
      <c r="P3116" s="736">
        <f t="shared" si="928"/>
        <v>350000</v>
      </c>
      <c r="Q3116" s="753">
        <v>350000</v>
      </c>
      <c r="R3116" s="738"/>
      <c r="S3116" s="929">
        <v>2000000</v>
      </c>
      <c r="T3116" s="739">
        <v>1100121</v>
      </c>
      <c r="U3116" s="746">
        <v>500000</v>
      </c>
      <c r="V3116" s="741">
        <v>1100122</v>
      </c>
    </row>
    <row r="3117" spans="1:22" ht="15" x14ac:dyDescent="0.2">
      <c r="A3117" s="734">
        <v>2731</v>
      </c>
      <c r="B3117" s="735" t="s">
        <v>330</v>
      </c>
      <c r="C3117" s="736">
        <v>17632.72</v>
      </c>
      <c r="D3117" s="736">
        <v>20000</v>
      </c>
      <c r="E3117" s="749">
        <v>20000</v>
      </c>
      <c r="F3117" s="736">
        <v>19293.16</v>
      </c>
      <c r="G3117" s="752">
        <v>20000</v>
      </c>
      <c r="H3117" s="752"/>
      <c r="I3117" s="752"/>
      <c r="J3117" s="736">
        <f t="shared" si="927"/>
        <v>20000</v>
      </c>
      <c r="K3117" s="752"/>
      <c r="L3117" s="752"/>
      <c r="M3117" s="736">
        <f t="shared" si="926"/>
        <v>20000</v>
      </c>
      <c r="N3117" s="736"/>
      <c r="O3117" s="736"/>
      <c r="P3117" s="736">
        <f t="shared" si="928"/>
        <v>20000</v>
      </c>
      <c r="Q3117" s="753">
        <v>20000</v>
      </c>
      <c r="R3117" s="738"/>
      <c r="S3117" s="929">
        <v>50000</v>
      </c>
      <c r="T3117" s="739">
        <v>1100121</v>
      </c>
      <c r="U3117" s="754">
        <v>20000</v>
      </c>
      <c r="V3117" s="741">
        <v>1100122</v>
      </c>
    </row>
    <row r="3118" spans="1:22" ht="15" x14ac:dyDescent="0.2">
      <c r="A3118" s="739">
        <v>2741</v>
      </c>
      <c r="B3118" s="743" t="s">
        <v>1824</v>
      </c>
      <c r="C3118" s="736">
        <v>0</v>
      </c>
      <c r="D3118" s="736">
        <v>0</v>
      </c>
      <c r="E3118" s="749">
        <v>0</v>
      </c>
      <c r="F3118" s="736">
        <v>0</v>
      </c>
      <c r="G3118" s="752">
        <v>0</v>
      </c>
      <c r="H3118" s="752"/>
      <c r="I3118" s="752"/>
      <c r="J3118" s="736">
        <v>0</v>
      </c>
      <c r="K3118" s="752"/>
      <c r="L3118" s="752"/>
      <c r="M3118" s="736">
        <v>0</v>
      </c>
      <c r="N3118" s="736">
        <v>85000</v>
      </c>
      <c r="O3118" s="736"/>
      <c r="P3118" s="736">
        <f t="shared" si="928"/>
        <v>85000</v>
      </c>
      <c r="Q3118" s="753">
        <v>85000</v>
      </c>
      <c r="R3118" s="738">
        <v>84680</v>
      </c>
      <c r="S3118" s="753"/>
      <c r="T3118" s="739">
        <v>1100121</v>
      </c>
      <c r="U3118" s="745"/>
      <c r="V3118" s="739">
        <v>1100122</v>
      </c>
    </row>
    <row r="3119" spans="1:22" ht="15" x14ac:dyDescent="0.2">
      <c r="A3119" s="734">
        <v>2921</v>
      </c>
      <c r="B3119" s="735" t="s">
        <v>1844</v>
      </c>
      <c r="C3119" s="736"/>
      <c r="D3119" s="736"/>
      <c r="E3119" s="749"/>
      <c r="F3119" s="736"/>
      <c r="G3119" s="752"/>
      <c r="H3119" s="752"/>
      <c r="I3119" s="752"/>
      <c r="J3119" s="736"/>
      <c r="K3119" s="752"/>
      <c r="L3119" s="752"/>
      <c r="M3119" s="736"/>
      <c r="N3119" s="736">
        <v>3000</v>
      </c>
      <c r="O3119" s="736"/>
      <c r="P3119" s="736">
        <f t="shared" si="928"/>
        <v>3000</v>
      </c>
      <c r="Q3119" s="753">
        <v>3000</v>
      </c>
      <c r="R3119" s="738"/>
      <c r="S3119" s="929">
        <v>15000</v>
      </c>
      <c r="T3119" s="739">
        <v>1100121</v>
      </c>
      <c r="U3119" s="740">
        <v>5000</v>
      </c>
      <c r="V3119" s="741">
        <v>1100122</v>
      </c>
    </row>
    <row r="3120" spans="1:22" ht="15" x14ac:dyDescent="0.2">
      <c r="A3120" s="734">
        <v>2941</v>
      </c>
      <c r="B3120" s="735" t="s">
        <v>79</v>
      </c>
      <c r="C3120" s="736">
        <v>1700</v>
      </c>
      <c r="D3120" s="736">
        <v>3000</v>
      </c>
      <c r="E3120" s="749">
        <v>3000</v>
      </c>
      <c r="F3120" s="736">
        <v>0</v>
      </c>
      <c r="G3120" s="752">
        <v>7000</v>
      </c>
      <c r="H3120" s="752"/>
      <c r="I3120" s="752"/>
      <c r="J3120" s="736">
        <f t="shared" ref="J3120:J3121" si="929">G3120+H3120-I3120</f>
        <v>7000</v>
      </c>
      <c r="K3120" s="752"/>
      <c r="L3120" s="752"/>
      <c r="M3120" s="736">
        <f t="shared" ref="M3120:M3121" si="930">J3120+K3120-L3120</f>
        <v>7000</v>
      </c>
      <c r="N3120" s="736">
        <v>26274</v>
      </c>
      <c r="O3120" s="736"/>
      <c r="P3120" s="736">
        <f t="shared" si="928"/>
        <v>33274</v>
      </c>
      <c r="Q3120" s="753">
        <v>33274</v>
      </c>
      <c r="R3120" s="738">
        <v>26274</v>
      </c>
      <c r="S3120" s="929">
        <v>30000</v>
      </c>
      <c r="T3120" s="739">
        <v>1100121</v>
      </c>
      <c r="U3120" s="930">
        <v>30000</v>
      </c>
      <c r="V3120" s="741">
        <v>1100122</v>
      </c>
    </row>
    <row r="3121" spans="1:22" ht="15" x14ac:dyDescent="0.2">
      <c r="A3121" s="734">
        <v>3111</v>
      </c>
      <c r="B3121" s="735" t="s">
        <v>47</v>
      </c>
      <c r="C3121" s="736">
        <v>88819</v>
      </c>
      <c r="D3121" s="736">
        <v>95000</v>
      </c>
      <c r="E3121" s="749">
        <v>205000</v>
      </c>
      <c r="F3121" s="736">
        <v>153835</v>
      </c>
      <c r="G3121" s="752">
        <v>260000</v>
      </c>
      <c r="H3121" s="752"/>
      <c r="I3121" s="752"/>
      <c r="J3121" s="736">
        <f t="shared" si="929"/>
        <v>260000</v>
      </c>
      <c r="K3121" s="752"/>
      <c r="L3121" s="752"/>
      <c r="M3121" s="736">
        <f t="shared" si="930"/>
        <v>260000</v>
      </c>
      <c r="N3121" s="736"/>
      <c r="O3121" s="736"/>
      <c r="P3121" s="736">
        <f t="shared" si="928"/>
        <v>260000</v>
      </c>
      <c r="Q3121" s="753">
        <v>260000</v>
      </c>
      <c r="R3121" s="738">
        <v>141940</v>
      </c>
      <c r="S3121" s="753"/>
      <c r="T3121" s="739">
        <v>1100121</v>
      </c>
      <c r="U3121" s="746">
        <v>230000</v>
      </c>
      <c r="V3121" s="741">
        <v>1100122</v>
      </c>
    </row>
    <row r="3122" spans="1:22" ht="15" x14ac:dyDescent="0.2">
      <c r="A3122" s="941">
        <v>2911</v>
      </c>
      <c r="B3122" s="942" t="s">
        <v>60</v>
      </c>
      <c r="C3122" s="736"/>
      <c r="D3122" s="736"/>
      <c r="E3122" s="749"/>
      <c r="F3122" s="736"/>
      <c r="G3122" s="752"/>
      <c r="H3122" s="752"/>
      <c r="I3122" s="752"/>
      <c r="J3122" s="736"/>
      <c r="K3122" s="752"/>
      <c r="L3122" s="752"/>
      <c r="M3122" s="736"/>
      <c r="N3122" s="736"/>
      <c r="O3122" s="736"/>
      <c r="P3122" s="736"/>
      <c r="Q3122" s="753"/>
      <c r="R3122" s="738"/>
      <c r="S3122" s="929">
        <v>15000</v>
      </c>
      <c r="T3122" s="739"/>
      <c r="U3122" s="930">
        <v>15000</v>
      </c>
      <c r="V3122" s="741">
        <v>1100122</v>
      </c>
    </row>
    <row r="3123" spans="1:22" ht="15" x14ac:dyDescent="0.2">
      <c r="A3123" s="734">
        <v>3131</v>
      </c>
      <c r="B3123" s="735" t="s">
        <v>61</v>
      </c>
      <c r="C3123" s="736">
        <v>41299.120000000003</v>
      </c>
      <c r="D3123" s="736">
        <v>55000</v>
      </c>
      <c r="E3123" s="749">
        <v>55000</v>
      </c>
      <c r="F3123" s="736">
        <v>50097.19</v>
      </c>
      <c r="G3123" s="752">
        <v>65000</v>
      </c>
      <c r="H3123" s="752"/>
      <c r="I3123" s="752"/>
      <c r="J3123" s="736">
        <f t="shared" ref="J3123:J3128" si="931">G3123+H3123-I3123</f>
        <v>65000</v>
      </c>
      <c r="K3123" s="752"/>
      <c r="L3123" s="752"/>
      <c r="M3123" s="736">
        <f t="shared" ref="M3123:M3128" si="932">J3123+K3123-L3123</f>
        <v>65000</v>
      </c>
      <c r="N3123" s="736"/>
      <c r="O3123" s="736"/>
      <c r="P3123" s="736">
        <f t="shared" ref="P3123:P3136" si="933">M3123+N3123-O3123</f>
        <v>65000</v>
      </c>
      <c r="Q3123" s="753">
        <v>65000</v>
      </c>
      <c r="R3123" s="738">
        <v>44795.7</v>
      </c>
      <c r="S3123" s="753"/>
      <c r="T3123" s="739">
        <v>1100121</v>
      </c>
      <c r="U3123" s="746">
        <v>70000</v>
      </c>
      <c r="V3123" s="741">
        <v>1100122</v>
      </c>
    </row>
    <row r="3124" spans="1:22" ht="15" x14ac:dyDescent="0.2">
      <c r="A3124" s="734">
        <v>3141</v>
      </c>
      <c r="B3124" s="735" t="s">
        <v>48</v>
      </c>
      <c r="C3124" s="736">
        <v>12690.91</v>
      </c>
      <c r="D3124" s="736">
        <v>18000</v>
      </c>
      <c r="E3124" s="749">
        <v>15000</v>
      </c>
      <c r="F3124" s="736">
        <v>12923.17</v>
      </c>
      <c r="G3124" s="752">
        <v>22000</v>
      </c>
      <c r="H3124" s="752"/>
      <c r="I3124" s="752"/>
      <c r="J3124" s="736">
        <f t="shared" si="931"/>
        <v>22000</v>
      </c>
      <c r="K3124" s="752"/>
      <c r="L3124" s="752"/>
      <c r="M3124" s="736">
        <f t="shared" si="932"/>
        <v>22000</v>
      </c>
      <c r="N3124" s="736"/>
      <c r="O3124" s="736"/>
      <c r="P3124" s="736">
        <f t="shared" si="933"/>
        <v>22000</v>
      </c>
      <c r="Q3124" s="753">
        <v>22000</v>
      </c>
      <c r="R3124" s="738">
        <v>11709.6</v>
      </c>
      <c r="S3124" s="753"/>
      <c r="T3124" s="739">
        <v>1100121</v>
      </c>
      <c r="U3124" s="746">
        <v>20000</v>
      </c>
      <c r="V3124" s="741">
        <v>1100122</v>
      </c>
    </row>
    <row r="3125" spans="1:22" ht="15" x14ac:dyDescent="0.2">
      <c r="A3125" s="734">
        <v>3151</v>
      </c>
      <c r="B3125" s="735" t="s">
        <v>28</v>
      </c>
      <c r="C3125" s="736">
        <v>5823.36</v>
      </c>
      <c r="D3125" s="736">
        <v>10000</v>
      </c>
      <c r="E3125" s="749">
        <v>10000</v>
      </c>
      <c r="F3125" s="736">
        <v>9802.8799999999992</v>
      </c>
      <c r="G3125" s="752">
        <v>12000</v>
      </c>
      <c r="H3125" s="752"/>
      <c r="I3125" s="752"/>
      <c r="J3125" s="736">
        <f t="shared" si="931"/>
        <v>12000</v>
      </c>
      <c r="K3125" s="752"/>
      <c r="L3125" s="752"/>
      <c r="M3125" s="736">
        <f t="shared" si="932"/>
        <v>12000</v>
      </c>
      <c r="N3125" s="736"/>
      <c r="O3125" s="736"/>
      <c r="P3125" s="736">
        <f t="shared" si="933"/>
        <v>12000</v>
      </c>
      <c r="Q3125" s="753">
        <v>12000</v>
      </c>
      <c r="R3125" s="738">
        <v>6705.64</v>
      </c>
      <c r="S3125" s="753"/>
      <c r="T3125" s="739">
        <v>1100121</v>
      </c>
      <c r="U3125" s="746">
        <v>13000</v>
      </c>
      <c r="V3125" s="741">
        <v>1100122</v>
      </c>
    </row>
    <row r="3126" spans="1:22" ht="30" x14ac:dyDescent="0.2">
      <c r="A3126" s="734">
        <v>3361</v>
      </c>
      <c r="B3126" s="735" t="s">
        <v>29</v>
      </c>
      <c r="C3126" s="736"/>
      <c r="D3126" s="736">
        <v>15000</v>
      </c>
      <c r="E3126" s="749">
        <v>15000</v>
      </c>
      <c r="F3126" s="736">
        <v>4946.6000000000004</v>
      </c>
      <c r="G3126" s="752">
        <v>15000</v>
      </c>
      <c r="H3126" s="752"/>
      <c r="I3126" s="752"/>
      <c r="J3126" s="736">
        <f t="shared" si="931"/>
        <v>15000</v>
      </c>
      <c r="K3126" s="752"/>
      <c r="L3126" s="752"/>
      <c r="M3126" s="736">
        <f t="shared" si="932"/>
        <v>15000</v>
      </c>
      <c r="N3126" s="736"/>
      <c r="O3126" s="736">
        <v>3000</v>
      </c>
      <c r="P3126" s="736">
        <f t="shared" si="933"/>
        <v>12000</v>
      </c>
      <c r="Q3126" s="753">
        <v>12000</v>
      </c>
      <c r="R3126" s="738">
        <v>1700</v>
      </c>
      <c r="S3126" s="929">
        <v>15000</v>
      </c>
      <c r="T3126" s="739">
        <v>1100121</v>
      </c>
      <c r="U3126" s="754">
        <v>12000</v>
      </c>
      <c r="V3126" s="741">
        <v>1100122</v>
      </c>
    </row>
    <row r="3127" spans="1:22" ht="15" x14ac:dyDescent="0.2">
      <c r="A3127" s="734">
        <v>3391</v>
      </c>
      <c r="B3127" s="735" t="s">
        <v>118</v>
      </c>
      <c r="C3127" s="736">
        <v>808288</v>
      </c>
      <c r="D3127" s="736">
        <v>792000</v>
      </c>
      <c r="E3127" s="749">
        <v>792000</v>
      </c>
      <c r="F3127" s="736">
        <v>809680</v>
      </c>
      <c r="G3127" s="752">
        <v>1000000</v>
      </c>
      <c r="H3127" s="752"/>
      <c r="I3127" s="752"/>
      <c r="J3127" s="736">
        <f t="shared" si="931"/>
        <v>1000000</v>
      </c>
      <c r="K3127" s="752"/>
      <c r="L3127" s="752"/>
      <c r="M3127" s="736">
        <f t="shared" si="932"/>
        <v>1000000</v>
      </c>
      <c r="N3127" s="736"/>
      <c r="O3127" s="736"/>
      <c r="P3127" s="736">
        <f t="shared" si="933"/>
        <v>1000000</v>
      </c>
      <c r="Q3127" s="753">
        <v>1000000</v>
      </c>
      <c r="R3127" s="738">
        <v>515968</v>
      </c>
      <c r="S3127" s="929">
        <v>1000000</v>
      </c>
      <c r="T3127" s="739">
        <v>1100121</v>
      </c>
      <c r="U3127" s="930">
        <v>1000000</v>
      </c>
      <c r="V3127" s="741">
        <v>1100122</v>
      </c>
    </row>
    <row r="3128" spans="1:22" ht="15" x14ac:dyDescent="0.2">
      <c r="A3128" s="734">
        <v>3511</v>
      </c>
      <c r="B3128" s="735" t="s">
        <v>49</v>
      </c>
      <c r="C3128" s="736">
        <v>36596.699999999997</v>
      </c>
      <c r="D3128" s="736">
        <v>40000</v>
      </c>
      <c r="E3128" s="749">
        <v>40000</v>
      </c>
      <c r="F3128" s="736">
        <v>1200.22</v>
      </c>
      <c r="G3128" s="736"/>
      <c r="H3128" s="736"/>
      <c r="I3128" s="736"/>
      <c r="J3128" s="736">
        <f t="shared" si="931"/>
        <v>0</v>
      </c>
      <c r="K3128" s="736"/>
      <c r="L3128" s="736"/>
      <c r="M3128" s="736">
        <f t="shared" si="932"/>
        <v>0</v>
      </c>
      <c r="N3128" s="736">
        <v>25000</v>
      </c>
      <c r="O3128" s="736"/>
      <c r="P3128" s="736">
        <f t="shared" si="933"/>
        <v>25000</v>
      </c>
      <c r="Q3128" s="738">
        <v>25000</v>
      </c>
      <c r="R3128" s="738">
        <v>9684.61</v>
      </c>
      <c r="S3128" s="927">
        <v>50000</v>
      </c>
      <c r="T3128" s="739">
        <v>1100121</v>
      </c>
      <c r="U3128" s="928">
        <v>50000</v>
      </c>
      <c r="V3128" s="741">
        <v>1100122</v>
      </c>
    </row>
    <row r="3129" spans="1:22" ht="15" x14ac:dyDescent="0.2">
      <c r="A3129" s="734">
        <v>3531</v>
      </c>
      <c r="B3129" s="735" t="s">
        <v>1845</v>
      </c>
      <c r="C3129" s="736"/>
      <c r="D3129" s="736"/>
      <c r="E3129" s="749"/>
      <c r="F3129" s="736"/>
      <c r="G3129" s="736"/>
      <c r="H3129" s="736"/>
      <c r="I3129" s="736"/>
      <c r="J3129" s="736"/>
      <c r="K3129" s="736"/>
      <c r="L3129" s="736"/>
      <c r="M3129" s="736"/>
      <c r="N3129" s="736">
        <v>27840</v>
      </c>
      <c r="O3129" s="736"/>
      <c r="P3129" s="736">
        <f t="shared" si="933"/>
        <v>27840</v>
      </c>
      <c r="Q3129" s="738">
        <v>27840</v>
      </c>
      <c r="R3129" s="738">
        <v>27840</v>
      </c>
      <c r="S3129" s="927">
        <v>30000</v>
      </c>
      <c r="T3129" s="739">
        <v>1100121</v>
      </c>
      <c r="U3129" s="928">
        <v>30000</v>
      </c>
      <c r="V3129" s="741">
        <v>1100122</v>
      </c>
    </row>
    <row r="3130" spans="1:22" ht="15" x14ac:dyDescent="0.2">
      <c r="A3130" s="734">
        <v>3551</v>
      </c>
      <c r="B3130" s="735" t="s">
        <v>30</v>
      </c>
      <c r="C3130" s="736">
        <v>47398.58</v>
      </c>
      <c r="D3130" s="736">
        <v>50000</v>
      </c>
      <c r="E3130" s="749">
        <v>50000</v>
      </c>
      <c r="F3130" s="736">
        <v>54081.13</v>
      </c>
      <c r="G3130" s="752">
        <v>100000</v>
      </c>
      <c r="H3130" s="752"/>
      <c r="I3130" s="752"/>
      <c r="J3130" s="736">
        <f t="shared" ref="J3130:J3136" si="934">G3130+H3130-I3130</f>
        <v>100000</v>
      </c>
      <c r="K3130" s="752"/>
      <c r="L3130" s="752"/>
      <c r="M3130" s="736">
        <f t="shared" ref="M3130:M3136" si="935">J3130+K3130-L3130</f>
        <v>100000</v>
      </c>
      <c r="N3130" s="736"/>
      <c r="O3130" s="736"/>
      <c r="P3130" s="736">
        <f t="shared" si="933"/>
        <v>100000</v>
      </c>
      <c r="Q3130" s="753">
        <v>77000</v>
      </c>
      <c r="R3130" s="738">
        <v>42416.4</v>
      </c>
      <c r="S3130" s="738">
        <f>Q3130</f>
        <v>77000</v>
      </c>
      <c r="T3130" s="739">
        <v>1100121</v>
      </c>
      <c r="U3130" s="746">
        <v>77000</v>
      </c>
      <c r="V3130" s="741">
        <v>1100122</v>
      </c>
    </row>
    <row r="3131" spans="1:22" ht="15" x14ac:dyDescent="0.2">
      <c r="A3131" s="739">
        <v>3571</v>
      </c>
      <c r="B3131" s="743" t="s">
        <v>65</v>
      </c>
      <c r="C3131" s="736">
        <v>1836.28</v>
      </c>
      <c r="D3131" s="736">
        <v>10000</v>
      </c>
      <c r="E3131" s="749">
        <v>10000</v>
      </c>
      <c r="F3131" s="736">
        <v>812</v>
      </c>
      <c r="G3131" s="736"/>
      <c r="H3131" s="736"/>
      <c r="I3131" s="736"/>
      <c r="J3131" s="736">
        <f t="shared" si="934"/>
        <v>0</v>
      </c>
      <c r="K3131" s="736"/>
      <c r="L3131" s="736"/>
      <c r="M3131" s="736">
        <f t="shared" si="935"/>
        <v>0</v>
      </c>
      <c r="N3131" s="736">
        <v>110000</v>
      </c>
      <c r="O3131" s="736"/>
      <c r="P3131" s="736">
        <f t="shared" si="933"/>
        <v>110000</v>
      </c>
      <c r="Q3131" s="738">
        <v>110000</v>
      </c>
      <c r="R3131" s="738">
        <v>107740.8</v>
      </c>
      <c r="S3131" s="738"/>
      <c r="T3131" s="739">
        <v>1100121</v>
      </c>
      <c r="U3131" s="745"/>
      <c r="V3131" s="739">
        <v>1100122</v>
      </c>
    </row>
    <row r="3132" spans="1:22" ht="15" x14ac:dyDescent="0.2">
      <c r="A3132" s="734">
        <v>3591</v>
      </c>
      <c r="B3132" s="735" t="s">
        <v>140</v>
      </c>
      <c r="C3132" s="736"/>
      <c r="D3132" s="736"/>
      <c r="E3132" s="749"/>
      <c r="F3132" s="736"/>
      <c r="G3132" s="736"/>
      <c r="H3132" s="736"/>
      <c r="I3132" s="736"/>
      <c r="J3132" s="736">
        <f t="shared" si="934"/>
        <v>0</v>
      </c>
      <c r="K3132" s="736"/>
      <c r="L3132" s="736"/>
      <c r="M3132" s="736">
        <f t="shared" si="935"/>
        <v>0</v>
      </c>
      <c r="N3132" s="736">
        <v>14848</v>
      </c>
      <c r="O3132" s="736"/>
      <c r="P3132" s="736">
        <f t="shared" si="933"/>
        <v>14848</v>
      </c>
      <c r="Q3132" s="738">
        <v>14848</v>
      </c>
      <c r="R3132" s="738"/>
      <c r="S3132" s="927">
        <v>30000</v>
      </c>
      <c r="T3132" s="739">
        <v>1100121</v>
      </c>
      <c r="U3132" s="740">
        <v>15000</v>
      </c>
      <c r="V3132" s="741">
        <v>1100122</v>
      </c>
    </row>
    <row r="3133" spans="1:22" ht="15" x14ac:dyDescent="0.2">
      <c r="A3133" s="734">
        <v>3611</v>
      </c>
      <c r="B3133" s="762" t="s">
        <v>1846</v>
      </c>
      <c r="C3133" s="736"/>
      <c r="D3133" s="736"/>
      <c r="E3133" s="749"/>
      <c r="F3133" s="736"/>
      <c r="G3133" s="736">
        <v>30000</v>
      </c>
      <c r="H3133" s="736"/>
      <c r="I3133" s="736"/>
      <c r="J3133" s="736">
        <f t="shared" si="934"/>
        <v>30000</v>
      </c>
      <c r="K3133" s="736"/>
      <c r="L3133" s="736"/>
      <c r="M3133" s="736">
        <f t="shared" si="935"/>
        <v>30000</v>
      </c>
      <c r="N3133" s="736"/>
      <c r="O3133" s="736"/>
      <c r="P3133" s="736">
        <f t="shared" si="933"/>
        <v>30000</v>
      </c>
      <c r="Q3133" s="738">
        <v>30000</v>
      </c>
      <c r="R3133" s="738"/>
      <c r="S3133" s="927">
        <v>30000</v>
      </c>
      <c r="T3133" s="739">
        <v>1100121</v>
      </c>
      <c r="U3133" s="928">
        <v>30000</v>
      </c>
      <c r="V3133" s="741">
        <v>1100122</v>
      </c>
    </row>
    <row r="3134" spans="1:22" ht="15" x14ac:dyDescent="0.2">
      <c r="A3134" s="734">
        <v>3751</v>
      </c>
      <c r="B3134" s="735" t="s">
        <v>44</v>
      </c>
      <c r="C3134" s="736">
        <v>4105</v>
      </c>
      <c r="D3134" s="736">
        <v>9000</v>
      </c>
      <c r="E3134" s="749">
        <v>9000</v>
      </c>
      <c r="F3134" s="736">
        <v>1454</v>
      </c>
      <c r="G3134" s="752">
        <v>30000</v>
      </c>
      <c r="H3134" s="752"/>
      <c r="I3134" s="752"/>
      <c r="J3134" s="736">
        <f t="shared" si="934"/>
        <v>30000</v>
      </c>
      <c r="K3134" s="752"/>
      <c r="L3134" s="752"/>
      <c r="M3134" s="736">
        <f t="shared" si="935"/>
        <v>30000</v>
      </c>
      <c r="N3134" s="736"/>
      <c r="O3134" s="736">
        <f>3000+6200</f>
        <v>9200</v>
      </c>
      <c r="P3134" s="736">
        <f t="shared" si="933"/>
        <v>20800</v>
      </c>
      <c r="Q3134" s="753">
        <v>20800</v>
      </c>
      <c r="R3134" s="738"/>
      <c r="S3134" s="929">
        <v>30000</v>
      </c>
      <c r="T3134" s="739">
        <v>1100121</v>
      </c>
      <c r="U3134" s="930">
        <v>30000</v>
      </c>
      <c r="V3134" s="741">
        <v>1100122</v>
      </c>
    </row>
    <row r="3135" spans="1:22" ht="15" x14ac:dyDescent="0.2">
      <c r="A3135" s="734">
        <v>3852</v>
      </c>
      <c r="B3135" s="735" t="s">
        <v>32</v>
      </c>
      <c r="C3135" s="736">
        <v>2761.21</v>
      </c>
      <c r="D3135" s="736">
        <v>6500</v>
      </c>
      <c r="E3135" s="749">
        <v>6500</v>
      </c>
      <c r="F3135" s="736">
        <v>1117.56</v>
      </c>
      <c r="G3135" s="752">
        <v>6500</v>
      </c>
      <c r="H3135" s="752"/>
      <c r="I3135" s="752"/>
      <c r="J3135" s="736">
        <f t="shared" si="934"/>
        <v>6500</v>
      </c>
      <c r="K3135" s="752"/>
      <c r="L3135" s="752"/>
      <c r="M3135" s="736">
        <f t="shared" si="935"/>
        <v>6500</v>
      </c>
      <c r="N3135" s="736"/>
      <c r="O3135" s="736"/>
      <c r="P3135" s="736">
        <f t="shared" si="933"/>
        <v>6500</v>
      </c>
      <c r="Q3135" s="753">
        <v>6500</v>
      </c>
      <c r="R3135" s="738">
        <v>359</v>
      </c>
      <c r="S3135" s="929">
        <v>10000</v>
      </c>
      <c r="T3135" s="739">
        <v>1100121</v>
      </c>
      <c r="U3135" s="740">
        <v>6500</v>
      </c>
      <c r="V3135" s="741">
        <v>1100122</v>
      </c>
    </row>
    <row r="3136" spans="1:22" ht="15" x14ac:dyDescent="0.2">
      <c r="A3136" s="739">
        <v>3921</v>
      </c>
      <c r="B3136" s="743" t="s">
        <v>33</v>
      </c>
      <c r="C3136" s="736">
        <v>2642.04</v>
      </c>
      <c r="D3136" s="736">
        <v>2600</v>
      </c>
      <c r="E3136" s="749">
        <v>2600</v>
      </c>
      <c r="F3136" s="736">
        <v>1314.98</v>
      </c>
      <c r="G3136" s="752">
        <v>2893</v>
      </c>
      <c r="H3136" s="752"/>
      <c r="I3136" s="752"/>
      <c r="J3136" s="736">
        <f t="shared" si="934"/>
        <v>2893</v>
      </c>
      <c r="K3136" s="752"/>
      <c r="L3136" s="752"/>
      <c r="M3136" s="736">
        <f t="shared" si="935"/>
        <v>2893</v>
      </c>
      <c r="N3136" s="736"/>
      <c r="O3136" s="736"/>
      <c r="P3136" s="736">
        <f t="shared" si="933"/>
        <v>2893</v>
      </c>
      <c r="Q3136" s="753">
        <v>2893</v>
      </c>
      <c r="R3136" s="738">
        <v>2893</v>
      </c>
      <c r="S3136" s="929">
        <v>20000</v>
      </c>
      <c r="T3136" s="739">
        <v>1100121</v>
      </c>
      <c r="U3136" s="744"/>
      <c r="V3136" s="739">
        <v>1100122</v>
      </c>
    </row>
    <row r="3137" spans="1:22" ht="15" x14ac:dyDescent="0.2">
      <c r="A3137" s="734">
        <v>3921</v>
      </c>
      <c r="B3137" s="735" t="s">
        <v>33</v>
      </c>
      <c r="C3137" s="736"/>
      <c r="D3137" s="736"/>
      <c r="E3137" s="749"/>
      <c r="F3137" s="736"/>
      <c r="G3137" s="752"/>
      <c r="H3137" s="752"/>
      <c r="I3137" s="752"/>
      <c r="J3137" s="736"/>
      <c r="K3137" s="752"/>
      <c r="L3137" s="752"/>
      <c r="M3137" s="736"/>
      <c r="N3137" s="736"/>
      <c r="O3137" s="736"/>
      <c r="P3137" s="736"/>
      <c r="Q3137" s="753"/>
      <c r="R3137" s="738"/>
      <c r="S3137" s="929">
        <v>3964.04</v>
      </c>
      <c r="T3137" s="739"/>
      <c r="U3137" s="746">
        <v>3964</v>
      </c>
      <c r="V3137" s="741">
        <v>1100122</v>
      </c>
    </row>
    <row r="3138" spans="1:22" ht="15" x14ac:dyDescent="0.2">
      <c r="A3138" s="739">
        <v>5111</v>
      </c>
      <c r="B3138" s="743" t="s">
        <v>35</v>
      </c>
      <c r="C3138" s="736"/>
      <c r="D3138" s="736">
        <v>12000</v>
      </c>
      <c r="E3138" s="749">
        <v>12000</v>
      </c>
      <c r="F3138" s="736">
        <v>0</v>
      </c>
      <c r="G3138" s="752">
        <v>36000</v>
      </c>
      <c r="H3138" s="752"/>
      <c r="I3138" s="752"/>
      <c r="J3138" s="736">
        <f t="shared" ref="J3138:J3140" si="936">G3138+H3138-I3138</f>
        <v>36000</v>
      </c>
      <c r="K3138" s="752"/>
      <c r="L3138" s="752"/>
      <c r="M3138" s="736">
        <f t="shared" ref="M3138:M3141" si="937">J3138+K3138-L3138</f>
        <v>36000</v>
      </c>
      <c r="N3138" s="736"/>
      <c r="O3138" s="736"/>
      <c r="P3138" s="736">
        <f t="shared" ref="P3138:P3141" si="938">M3138+N3138-O3138</f>
        <v>36000</v>
      </c>
      <c r="Q3138" s="753">
        <v>36000</v>
      </c>
      <c r="R3138" s="738"/>
      <c r="S3138" s="929">
        <v>75000</v>
      </c>
      <c r="T3138" s="739">
        <v>1500521</v>
      </c>
      <c r="U3138" s="744"/>
      <c r="V3138" s="739">
        <v>1500522</v>
      </c>
    </row>
    <row r="3139" spans="1:22" ht="15" x14ac:dyDescent="0.2">
      <c r="A3139" s="739">
        <v>5151</v>
      </c>
      <c r="B3139" s="743" t="s">
        <v>36</v>
      </c>
      <c r="C3139" s="736">
        <v>35820.49</v>
      </c>
      <c r="D3139" s="736"/>
      <c r="E3139" s="736"/>
      <c r="F3139" s="736"/>
      <c r="G3139" s="736"/>
      <c r="H3139" s="736"/>
      <c r="I3139" s="736"/>
      <c r="J3139" s="736">
        <f t="shared" si="936"/>
        <v>0</v>
      </c>
      <c r="K3139" s="736"/>
      <c r="L3139" s="736"/>
      <c r="M3139" s="736">
        <f t="shared" si="937"/>
        <v>0</v>
      </c>
      <c r="N3139" s="736">
        <v>9280</v>
      </c>
      <c r="O3139" s="736"/>
      <c r="P3139" s="736">
        <f t="shared" si="938"/>
        <v>9280</v>
      </c>
      <c r="Q3139" s="738">
        <v>9280</v>
      </c>
      <c r="R3139" s="738">
        <v>9280</v>
      </c>
      <c r="S3139" s="927">
        <v>15000</v>
      </c>
      <c r="T3139" s="739">
        <v>1100121</v>
      </c>
      <c r="U3139" s="943">
        <v>0</v>
      </c>
      <c r="V3139" s="739">
        <v>1100122</v>
      </c>
    </row>
    <row r="3140" spans="1:22" ht="15" x14ac:dyDescent="0.2">
      <c r="A3140" s="739">
        <v>5191</v>
      </c>
      <c r="B3140" s="806" t="s">
        <v>69</v>
      </c>
      <c r="C3140" s="736"/>
      <c r="D3140" s="736"/>
      <c r="E3140" s="736"/>
      <c r="F3140" s="736"/>
      <c r="G3140" s="736">
        <v>38000</v>
      </c>
      <c r="H3140" s="736"/>
      <c r="I3140" s="736"/>
      <c r="J3140" s="736">
        <f t="shared" si="936"/>
        <v>38000</v>
      </c>
      <c r="K3140" s="736"/>
      <c r="L3140" s="736"/>
      <c r="M3140" s="736">
        <f t="shared" si="937"/>
        <v>38000</v>
      </c>
      <c r="N3140" s="736">
        <v>6960</v>
      </c>
      <c r="O3140" s="736">
        <v>38000</v>
      </c>
      <c r="P3140" s="736">
        <f t="shared" si="938"/>
        <v>6960</v>
      </c>
      <c r="Q3140" s="738">
        <v>6960</v>
      </c>
      <c r="R3140" s="738">
        <v>6960</v>
      </c>
      <c r="S3140" s="738"/>
      <c r="T3140" s="739">
        <v>1500521</v>
      </c>
      <c r="U3140" s="744"/>
      <c r="V3140" s="739">
        <v>1500522</v>
      </c>
    </row>
    <row r="3141" spans="1:22" ht="15" x14ac:dyDescent="0.2">
      <c r="A3141" s="734">
        <v>5211</v>
      </c>
      <c r="B3141" s="762" t="s">
        <v>71</v>
      </c>
      <c r="C3141" s="736"/>
      <c r="D3141" s="736"/>
      <c r="E3141" s="736"/>
      <c r="F3141" s="736"/>
      <c r="G3141" s="736"/>
      <c r="H3141" s="736"/>
      <c r="I3141" s="736"/>
      <c r="J3141" s="736"/>
      <c r="K3141" s="736"/>
      <c r="L3141" s="736"/>
      <c r="M3141" s="736">
        <f t="shared" si="937"/>
        <v>0</v>
      </c>
      <c r="N3141" s="736">
        <f>16512.6+49160.8</f>
        <v>65673.399999999994</v>
      </c>
      <c r="O3141" s="736"/>
      <c r="P3141" s="736">
        <f t="shared" si="938"/>
        <v>65673.399999999994</v>
      </c>
      <c r="Q3141" s="738">
        <v>65673.399999999994</v>
      </c>
      <c r="R3141" s="738">
        <v>65673.399999999994</v>
      </c>
      <c r="S3141" s="927">
        <v>35000</v>
      </c>
      <c r="T3141" s="739">
        <v>1500521</v>
      </c>
      <c r="U3141" s="928">
        <v>35000</v>
      </c>
      <c r="V3141" s="741">
        <v>1100122</v>
      </c>
    </row>
    <row r="3142" spans="1:22" ht="15" x14ac:dyDescent="0.2">
      <c r="A3142" s="941">
        <v>5231</v>
      </c>
      <c r="B3142" s="944" t="s">
        <v>81</v>
      </c>
      <c r="C3142" s="736"/>
      <c r="D3142" s="736"/>
      <c r="E3142" s="736"/>
      <c r="F3142" s="736"/>
      <c r="G3142" s="736"/>
      <c r="H3142" s="736"/>
      <c r="I3142" s="736"/>
      <c r="J3142" s="736"/>
      <c r="K3142" s="736"/>
      <c r="L3142" s="736"/>
      <c r="M3142" s="736"/>
      <c r="N3142" s="736"/>
      <c r="O3142" s="736"/>
      <c r="P3142" s="736"/>
      <c r="Q3142" s="738"/>
      <c r="R3142" s="738"/>
      <c r="S3142" s="927">
        <v>15000</v>
      </c>
      <c r="T3142" s="739"/>
      <c r="U3142" s="928">
        <v>15000</v>
      </c>
      <c r="V3142" s="741">
        <v>1100122</v>
      </c>
    </row>
    <row r="3143" spans="1:22" ht="15" x14ac:dyDescent="0.2">
      <c r="A3143" s="739">
        <v>5911</v>
      </c>
      <c r="B3143" s="806" t="s">
        <v>1847</v>
      </c>
      <c r="C3143" s="736"/>
      <c r="D3143" s="736"/>
      <c r="E3143" s="736"/>
      <c r="F3143" s="736"/>
      <c r="G3143" s="736"/>
      <c r="H3143" s="736"/>
      <c r="I3143" s="736"/>
      <c r="J3143" s="736"/>
      <c r="K3143" s="736"/>
      <c r="L3143" s="736"/>
      <c r="M3143" s="736">
        <f>J3143+K3143-L3143</f>
        <v>0</v>
      </c>
      <c r="N3143" s="736">
        <v>38000</v>
      </c>
      <c r="O3143" s="736"/>
      <c r="P3143" s="736">
        <f>M3143+N3143-O3143</f>
        <v>38000</v>
      </c>
      <c r="Q3143" s="738">
        <v>38000</v>
      </c>
      <c r="R3143" s="738"/>
      <c r="S3143" s="927">
        <v>38000</v>
      </c>
      <c r="T3143" s="739">
        <v>1500521</v>
      </c>
      <c r="U3143" s="744"/>
      <c r="V3143" s="739">
        <v>1500522</v>
      </c>
    </row>
    <row r="3144" spans="1:22" ht="15" x14ac:dyDescent="0.2">
      <c r="A3144" s="724" t="s">
        <v>340</v>
      </c>
      <c r="B3144" s="725" t="s">
        <v>341</v>
      </c>
      <c r="C3144" s="721">
        <f t="shared" ref="C3144:Q3144" si="939">SUM(C3145)</f>
        <v>19740819.900000002</v>
      </c>
      <c r="D3144" s="721">
        <f t="shared" si="939"/>
        <v>25264566.579999998</v>
      </c>
      <c r="E3144" s="721">
        <f t="shared" si="939"/>
        <v>31787036.170000002</v>
      </c>
      <c r="F3144" s="721">
        <f t="shared" si="939"/>
        <v>27506777.859999999</v>
      </c>
      <c r="G3144" s="721">
        <f t="shared" si="939"/>
        <v>29469115.490000002</v>
      </c>
      <c r="H3144" s="721">
        <f t="shared" si="939"/>
        <v>3286277.65</v>
      </c>
      <c r="I3144" s="721">
        <f t="shared" si="939"/>
        <v>1680118.79</v>
      </c>
      <c r="J3144" s="721">
        <f t="shared" si="939"/>
        <v>31075274.350000001</v>
      </c>
      <c r="K3144" s="721">
        <f t="shared" si="939"/>
        <v>667142.18999999994</v>
      </c>
      <c r="L3144" s="721">
        <f t="shared" si="939"/>
        <v>486037.57</v>
      </c>
      <c r="M3144" s="721">
        <f t="shared" si="939"/>
        <v>31256378.970000006</v>
      </c>
      <c r="N3144" s="721">
        <f t="shared" si="939"/>
        <v>201460</v>
      </c>
      <c r="O3144" s="721">
        <f t="shared" si="939"/>
        <v>501460</v>
      </c>
      <c r="P3144" s="721">
        <f t="shared" si="939"/>
        <v>30956378.970000006</v>
      </c>
      <c r="Q3144" s="756">
        <f t="shared" si="939"/>
        <v>32796595.989999998</v>
      </c>
      <c r="R3144" s="756">
        <f>SUM(R3145)</f>
        <v>21140883.460000001</v>
      </c>
      <c r="S3144" s="756">
        <f>SUM(S3145)</f>
        <v>34802195.620000005</v>
      </c>
      <c r="T3144" s="724"/>
      <c r="U3144" s="726">
        <f>SUM(U3145)</f>
        <v>27052479.439999998</v>
      </c>
      <c r="V3144" s="727"/>
    </row>
    <row r="3145" spans="1:22" ht="15" x14ac:dyDescent="0.2">
      <c r="A3145" s="728" t="s">
        <v>342</v>
      </c>
      <c r="B3145" s="729" t="s">
        <v>1569</v>
      </c>
      <c r="C3145" s="730">
        <f t="shared" ref="C3145:Q3145" si="940">SUM(C3146:C3209)</f>
        <v>19740819.900000002</v>
      </c>
      <c r="D3145" s="730">
        <f t="shared" si="940"/>
        <v>25264566.579999998</v>
      </c>
      <c r="E3145" s="730">
        <f t="shared" si="940"/>
        <v>31787036.170000002</v>
      </c>
      <c r="F3145" s="730">
        <f t="shared" si="940"/>
        <v>27506777.859999999</v>
      </c>
      <c r="G3145" s="730">
        <f t="shared" si="940"/>
        <v>29469115.490000002</v>
      </c>
      <c r="H3145" s="730">
        <f t="shared" si="940"/>
        <v>3286277.65</v>
      </c>
      <c r="I3145" s="730">
        <f t="shared" si="940"/>
        <v>1680118.79</v>
      </c>
      <c r="J3145" s="730">
        <f t="shared" si="940"/>
        <v>31075274.350000001</v>
      </c>
      <c r="K3145" s="730">
        <f t="shared" si="940"/>
        <v>667142.18999999994</v>
      </c>
      <c r="L3145" s="730">
        <f t="shared" si="940"/>
        <v>486037.57</v>
      </c>
      <c r="M3145" s="730">
        <f t="shared" si="940"/>
        <v>31256378.970000006</v>
      </c>
      <c r="N3145" s="730">
        <f t="shared" si="940"/>
        <v>201460</v>
      </c>
      <c r="O3145" s="730">
        <f t="shared" si="940"/>
        <v>501460</v>
      </c>
      <c r="P3145" s="730">
        <f t="shared" si="940"/>
        <v>30956378.970000006</v>
      </c>
      <c r="Q3145" s="748">
        <f t="shared" si="940"/>
        <v>32796595.989999998</v>
      </c>
      <c r="R3145" s="748">
        <f>SUM(R3146:R3209)</f>
        <v>21140883.460000001</v>
      </c>
      <c r="S3145" s="748">
        <f>SUM(S3146:S3209)</f>
        <v>34802195.620000005</v>
      </c>
      <c r="T3145" s="731"/>
      <c r="U3145" s="732">
        <f>SUM(U3146:U3209)</f>
        <v>27052479.439999998</v>
      </c>
      <c r="V3145" s="733"/>
    </row>
    <row r="3146" spans="1:22" ht="15" x14ac:dyDescent="0.25">
      <c r="A3146" s="734">
        <v>1132</v>
      </c>
      <c r="B3146" s="735" t="s">
        <v>8</v>
      </c>
      <c r="C3146" s="736">
        <v>5137381.04</v>
      </c>
      <c r="D3146" s="736">
        <v>5453331.5199999996</v>
      </c>
      <c r="E3146" s="749">
        <v>5538736.5199999996</v>
      </c>
      <c r="F3146" s="736">
        <v>5740424.6399999997</v>
      </c>
      <c r="G3146" s="736">
        <v>5915222</v>
      </c>
      <c r="H3146" s="736"/>
      <c r="I3146" s="736"/>
      <c r="J3146" s="736">
        <f t="shared" ref="J3146:J3174" si="941">G3146+H3146-I3146</f>
        <v>5915222</v>
      </c>
      <c r="K3146" s="737">
        <v>132708.19</v>
      </c>
      <c r="L3146" s="736"/>
      <c r="M3146" s="736">
        <f t="shared" ref="M3146:M3194" si="942">J3146+K3146-L3146</f>
        <v>6047930.1900000004</v>
      </c>
      <c r="N3146" s="736"/>
      <c r="O3146" s="736"/>
      <c r="P3146" s="736">
        <f t="shared" ref="P3146:P3194" si="943">M3146+N3146-O3146</f>
        <v>6047930.1900000004</v>
      </c>
      <c r="Q3146" s="738">
        <v>6063647.8499999996</v>
      </c>
      <c r="R3146" s="738">
        <v>4412216.67</v>
      </c>
      <c r="S3146" s="751">
        <v>6585921.1600000001</v>
      </c>
      <c r="T3146" s="739">
        <v>1500521</v>
      </c>
      <c r="U3146" s="779">
        <v>6387160.9199999999</v>
      </c>
      <c r="V3146" s="741">
        <v>1500522</v>
      </c>
    </row>
    <row r="3147" spans="1:22" ht="15" x14ac:dyDescent="0.25">
      <c r="A3147" s="734">
        <v>1212</v>
      </c>
      <c r="B3147" s="735" t="s">
        <v>53</v>
      </c>
      <c r="C3147" s="736">
        <v>2679274.5099999998</v>
      </c>
      <c r="D3147" s="736">
        <v>2979950.4</v>
      </c>
      <c r="E3147" s="749">
        <v>2855765.4</v>
      </c>
      <c r="F3147" s="736">
        <v>2796480.09</v>
      </c>
      <c r="G3147" s="736">
        <v>3285178</v>
      </c>
      <c r="H3147" s="736"/>
      <c r="I3147" s="736"/>
      <c r="J3147" s="736">
        <f t="shared" si="941"/>
        <v>3285178</v>
      </c>
      <c r="K3147" s="736"/>
      <c r="L3147" s="736">
        <v>43679.05</v>
      </c>
      <c r="M3147" s="736">
        <f t="shared" si="942"/>
        <v>3241498.95</v>
      </c>
      <c r="N3147" s="736"/>
      <c r="O3147" s="736"/>
      <c r="P3147" s="736">
        <f t="shared" si="943"/>
        <v>3241498.95</v>
      </c>
      <c r="Q3147" s="738">
        <v>3375002.04</v>
      </c>
      <c r="R3147" s="738">
        <v>2475826.11</v>
      </c>
      <c r="S3147" s="751">
        <v>3729596.4</v>
      </c>
      <c r="T3147" s="739">
        <v>1500521</v>
      </c>
      <c r="U3147" s="779">
        <v>3422225.12</v>
      </c>
      <c r="V3147" s="741">
        <v>1500522</v>
      </c>
    </row>
    <row r="3148" spans="1:22" ht="15" x14ac:dyDescent="0.25">
      <c r="A3148" s="734">
        <v>1321</v>
      </c>
      <c r="B3148" s="735" t="s">
        <v>9</v>
      </c>
      <c r="C3148" s="736">
        <v>262643.03999999998</v>
      </c>
      <c r="D3148" s="736">
        <v>299970.21000000002</v>
      </c>
      <c r="E3148" s="749">
        <v>297456.21000000002</v>
      </c>
      <c r="F3148" s="736">
        <v>285109.89</v>
      </c>
      <c r="G3148" s="736">
        <v>304191.59999999998</v>
      </c>
      <c r="H3148" s="736"/>
      <c r="I3148" s="736"/>
      <c r="J3148" s="736">
        <f t="shared" si="941"/>
        <v>304191.59999999998</v>
      </c>
      <c r="K3148" s="736">
        <v>6123</v>
      </c>
      <c r="L3148" s="736"/>
      <c r="M3148" s="736">
        <f t="shared" si="942"/>
        <v>310314.59999999998</v>
      </c>
      <c r="N3148" s="736"/>
      <c r="O3148" s="736"/>
      <c r="P3148" s="736">
        <f t="shared" si="943"/>
        <v>310314.59999999998</v>
      </c>
      <c r="Q3148" s="738">
        <v>322585.2</v>
      </c>
      <c r="R3148" s="738">
        <v>155856.21</v>
      </c>
      <c r="S3148" s="751">
        <v>363833.41</v>
      </c>
      <c r="T3148" s="739">
        <v>1500521</v>
      </c>
      <c r="U3148" s="779">
        <v>338718.93</v>
      </c>
      <c r="V3148" s="741">
        <v>1500522</v>
      </c>
    </row>
    <row r="3149" spans="1:22" ht="15" x14ac:dyDescent="0.25">
      <c r="A3149" s="734">
        <v>1323</v>
      </c>
      <c r="B3149" s="735" t="s">
        <v>11</v>
      </c>
      <c r="C3149" s="736">
        <v>1064898.55</v>
      </c>
      <c r="D3149" s="736">
        <v>1092187.1000000001</v>
      </c>
      <c r="E3149" s="749">
        <v>1105553.32</v>
      </c>
      <c r="F3149" s="736">
        <v>1114900.22</v>
      </c>
      <c r="G3149" s="736">
        <v>1178662.8999999999</v>
      </c>
      <c r="H3149" s="736"/>
      <c r="I3149" s="736"/>
      <c r="J3149" s="736">
        <f t="shared" si="941"/>
        <v>1178662.8999999999</v>
      </c>
      <c r="K3149" s="736">
        <v>21929.59</v>
      </c>
      <c r="L3149" s="736"/>
      <c r="M3149" s="736">
        <f t="shared" si="942"/>
        <v>1200592.49</v>
      </c>
      <c r="N3149" s="736"/>
      <c r="O3149" s="736"/>
      <c r="P3149" s="736">
        <f t="shared" si="943"/>
        <v>1200592.49</v>
      </c>
      <c r="Q3149" s="738">
        <v>1209525.07</v>
      </c>
      <c r="R3149" s="738">
        <v>814685.78</v>
      </c>
      <c r="S3149" s="751">
        <v>1320538.8500000001</v>
      </c>
      <c r="T3149" s="739">
        <v>1500521</v>
      </c>
      <c r="U3149" s="779">
        <v>1252476.97</v>
      </c>
      <c r="V3149" s="741">
        <v>1500522</v>
      </c>
    </row>
    <row r="3150" spans="1:22" ht="15" x14ac:dyDescent="0.25">
      <c r="A3150" s="734">
        <v>1331</v>
      </c>
      <c r="B3150" s="735" t="s">
        <v>183</v>
      </c>
      <c r="C3150" s="736">
        <v>55370.12</v>
      </c>
      <c r="D3150" s="736">
        <v>70000</v>
      </c>
      <c r="E3150" s="749">
        <v>51655.82</v>
      </c>
      <c r="F3150" s="736">
        <v>8117.56</v>
      </c>
      <c r="G3150" s="736">
        <v>51655.9</v>
      </c>
      <c r="H3150" s="736"/>
      <c r="I3150" s="736"/>
      <c r="J3150" s="736">
        <f t="shared" si="941"/>
        <v>51655.9</v>
      </c>
      <c r="K3150" s="736"/>
      <c r="L3150" s="736">
        <v>0.08</v>
      </c>
      <c r="M3150" s="736">
        <f t="shared" si="942"/>
        <v>51655.82</v>
      </c>
      <c r="N3150" s="736"/>
      <c r="O3150" s="736"/>
      <c r="P3150" s="736">
        <f t="shared" si="943"/>
        <v>51655.82</v>
      </c>
      <c r="Q3150" s="738">
        <v>51655.82</v>
      </c>
      <c r="R3150" s="738"/>
      <c r="S3150" s="751">
        <v>51655.82</v>
      </c>
      <c r="T3150" s="739">
        <v>1500521</v>
      </c>
      <c r="U3150" s="779">
        <v>51655.82</v>
      </c>
      <c r="V3150" s="741">
        <v>1500522</v>
      </c>
    </row>
    <row r="3151" spans="1:22" ht="15" x14ac:dyDescent="0.25">
      <c r="A3151" s="734">
        <v>1413</v>
      </c>
      <c r="B3151" s="735" t="s">
        <v>13</v>
      </c>
      <c r="C3151" s="736">
        <v>1554369.52</v>
      </c>
      <c r="D3151" s="736">
        <v>1885419.9</v>
      </c>
      <c r="E3151" s="749">
        <v>1856449.73</v>
      </c>
      <c r="F3151" s="736">
        <v>1815999.89</v>
      </c>
      <c r="G3151" s="736">
        <v>2179603.6</v>
      </c>
      <c r="H3151" s="736"/>
      <c r="I3151" s="736"/>
      <c r="J3151" s="736">
        <f t="shared" si="941"/>
        <v>2179603.6</v>
      </c>
      <c r="K3151" s="736">
        <v>49404.44</v>
      </c>
      <c r="L3151" s="736"/>
      <c r="M3151" s="736">
        <f t="shared" si="942"/>
        <v>2229008.04</v>
      </c>
      <c r="N3151" s="736"/>
      <c r="O3151" s="736"/>
      <c r="P3151" s="736">
        <f t="shared" si="943"/>
        <v>2229008.04</v>
      </c>
      <c r="Q3151" s="738">
        <v>2229008.04</v>
      </c>
      <c r="R3151" s="738">
        <v>1573108.44</v>
      </c>
      <c r="S3151" s="751">
        <v>2604979.08</v>
      </c>
      <c r="T3151" s="739">
        <v>1500521</v>
      </c>
      <c r="U3151" s="779">
        <v>2129689.0699999998</v>
      </c>
      <c r="V3151" s="741">
        <v>1500522</v>
      </c>
    </row>
    <row r="3152" spans="1:22" ht="15" x14ac:dyDescent="0.25">
      <c r="A3152" s="734">
        <v>1421</v>
      </c>
      <c r="B3152" s="735" t="s">
        <v>15</v>
      </c>
      <c r="C3152" s="736">
        <v>518089.97</v>
      </c>
      <c r="D3152" s="736">
        <v>575414.38</v>
      </c>
      <c r="E3152" s="749">
        <v>538758.38</v>
      </c>
      <c r="F3152" s="736">
        <v>576781.48</v>
      </c>
      <c r="G3152" s="736">
        <v>626516.29999999993</v>
      </c>
      <c r="H3152" s="736"/>
      <c r="I3152" s="736"/>
      <c r="J3152" s="736">
        <f t="shared" si="941"/>
        <v>626516.29999999993</v>
      </c>
      <c r="K3152" s="736">
        <v>14458.68</v>
      </c>
      <c r="L3152" s="736"/>
      <c r="M3152" s="736">
        <f t="shared" si="942"/>
        <v>640974.98</v>
      </c>
      <c r="N3152" s="736"/>
      <c r="O3152" s="736"/>
      <c r="P3152" s="736">
        <f t="shared" si="943"/>
        <v>640974.98</v>
      </c>
      <c r="Q3152" s="738">
        <v>640974.98</v>
      </c>
      <c r="R3152" s="738">
        <v>418344.07</v>
      </c>
      <c r="S3152" s="751">
        <v>710760.36</v>
      </c>
      <c r="T3152" s="739">
        <v>1500521</v>
      </c>
      <c r="U3152" s="779">
        <v>663210.52</v>
      </c>
      <c r="V3152" s="741">
        <v>1500522</v>
      </c>
    </row>
    <row r="3153" spans="1:22" ht="15" x14ac:dyDescent="0.25">
      <c r="A3153" s="734">
        <v>1431</v>
      </c>
      <c r="B3153" s="735" t="s">
        <v>16</v>
      </c>
      <c r="C3153" s="736">
        <v>547150.39</v>
      </c>
      <c r="D3153" s="736">
        <v>592677.66</v>
      </c>
      <c r="E3153" s="749">
        <v>564450.66</v>
      </c>
      <c r="F3153" s="736">
        <v>608092.47</v>
      </c>
      <c r="G3153" s="736">
        <v>645312</v>
      </c>
      <c r="H3153" s="736"/>
      <c r="I3153" s="736"/>
      <c r="J3153" s="736">
        <f t="shared" si="941"/>
        <v>645312</v>
      </c>
      <c r="K3153" s="736">
        <v>14761.46</v>
      </c>
      <c r="L3153" s="736"/>
      <c r="M3153" s="736">
        <f t="shared" si="942"/>
        <v>660073.46</v>
      </c>
      <c r="N3153" s="736"/>
      <c r="O3153" s="736"/>
      <c r="P3153" s="736">
        <f t="shared" si="943"/>
        <v>660073.46</v>
      </c>
      <c r="Q3153" s="738">
        <v>660073.46</v>
      </c>
      <c r="R3153" s="738">
        <v>427775.36</v>
      </c>
      <c r="S3153" s="751">
        <v>732083.28</v>
      </c>
      <c r="T3153" s="739">
        <v>1500521</v>
      </c>
      <c r="U3153" s="779">
        <v>763799.26</v>
      </c>
      <c r="V3153" s="741">
        <v>1500522</v>
      </c>
    </row>
    <row r="3154" spans="1:22" ht="15" x14ac:dyDescent="0.25">
      <c r="A3154" s="734">
        <v>1511</v>
      </c>
      <c r="B3154" s="735" t="s">
        <v>18</v>
      </c>
      <c r="C3154" s="736">
        <v>132162.21</v>
      </c>
      <c r="D3154" s="736">
        <v>140944.44</v>
      </c>
      <c r="E3154" s="749">
        <v>142792.44</v>
      </c>
      <c r="F3154" s="736">
        <v>147776.41</v>
      </c>
      <c r="G3154" s="736">
        <v>152537.9</v>
      </c>
      <c r="H3154" s="736"/>
      <c r="I3154" s="736"/>
      <c r="J3154" s="736">
        <f t="shared" si="941"/>
        <v>152537.9</v>
      </c>
      <c r="K3154" s="736">
        <v>2432.58</v>
      </c>
      <c r="L3154" s="736"/>
      <c r="M3154" s="736">
        <f t="shared" si="942"/>
        <v>154970.47999999998</v>
      </c>
      <c r="N3154" s="736"/>
      <c r="O3154" s="736"/>
      <c r="P3154" s="736">
        <f t="shared" si="943"/>
        <v>154970.47999999998</v>
      </c>
      <c r="Q3154" s="738">
        <v>159651.12</v>
      </c>
      <c r="R3154" s="738">
        <v>112755.49</v>
      </c>
      <c r="S3154" s="751">
        <v>169627.64</v>
      </c>
      <c r="T3154" s="739">
        <v>1500521</v>
      </c>
      <c r="U3154" s="779">
        <v>157596.04</v>
      </c>
      <c r="V3154" s="741">
        <v>1500522</v>
      </c>
    </row>
    <row r="3155" spans="1:22" ht="15" x14ac:dyDescent="0.25">
      <c r="A3155" s="734">
        <v>1541</v>
      </c>
      <c r="B3155" s="735" t="s">
        <v>19</v>
      </c>
      <c r="C3155" s="736">
        <v>143830.07999999999</v>
      </c>
      <c r="D3155" s="736">
        <v>146561.22</v>
      </c>
      <c r="E3155" s="749">
        <v>121278.58</v>
      </c>
      <c r="F3155" s="736">
        <v>122649.67</v>
      </c>
      <c r="G3155" s="736">
        <v>142515.4</v>
      </c>
      <c r="H3155" s="736"/>
      <c r="I3155" s="736"/>
      <c r="J3155" s="736">
        <f t="shared" si="941"/>
        <v>142515.4</v>
      </c>
      <c r="K3155" s="736">
        <v>1648</v>
      </c>
      <c r="L3155" s="736"/>
      <c r="M3155" s="736">
        <f t="shared" si="942"/>
        <v>144163.4</v>
      </c>
      <c r="N3155" s="736"/>
      <c r="O3155" s="736"/>
      <c r="P3155" s="736">
        <f t="shared" si="943"/>
        <v>144163.4</v>
      </c>
      <c r="Q3155" s="738">
        <v>144163.4</v>
      </c>
      <c r="R3155" s="738">
        <v>82111</v>
      </c>
      <c r="S3155" s="751">
        <v>111321.86</v>
      </c>
      <c r="T3155" s="739">
        <v>1500521</v>
      </c>
      <c r="U3155" s="779">
        <v>139951.44</v>
      </c>
      <c r="V3155" s="741">
        <v>1500522</v>
      </c>
    </row>
    <row r="3156" spans="1:22" ht="15" x14ac:dyDescent="0.25">
      <c r="A3156" s="734">
        <v>1592</v>
      </c>
      <c r="B3156" s="735" t="s">
        <v>20</v>
      </c>
      <c r="C3156" s="736">
        <v>1487749.52</v>
      </c>
      <c r="D3156" s="736">
        <v>1593872.28</v>
      </c>
      <c r="E3156" s="749">
        <v>1621709.28</v>
      </c>
      <c r="F3156" s="736">
        <v>1675517.75</v>
      </c>
      <c r="G3156" s="736">
        <v>1712343.4000000001</v>
      </c>
      <c r="H3156" s="736"/>
      <c r="I3156" s="736"/>
      <c r="J3156" s="736">
        <f t="shared" si="941"/>
        <v>1712343.4000000001</v>
      </c>
      <c r="K3156" s="736"/>
      <c r="L3156" s="736">
        <v>855.19</v>
      </c>
      <c r="M3156" s="736">
        <f t="shared" si="942"/>
        <v>1711488.2100000002</v>
      </c>
      <c r="N3156" s="736"/>
      <c r="O3156" s="736"/>
      <c r="P3156" s="736">
        <f t="shared" si="943"/>
        <v>1711488.2100000002</v>
      </c>
      <c r="Q3156" s="738">
        <v>1904675.76</v>
      </c>
      <c r="R3156" s="738">
        <v>1256207.7</v>
      </c>
      <c r="S3156" s="751">
        <v>1896290.76</v>
      </c>
      <c r="T3156" s="739">
        <v>1500521</v>
      </c>
      <c r="U3156" s="779">
        <v>1812757.35</v>
      </c>
      <c r="V3156" s="741">
        <v>1500522</v>
      </c>
    </row>
    <row r="3157" spans="1:22" ht="15" x14ac:dyDescent="0.2">
      <c r="A3157" s="734">
        <v>2111</v>
      </c>
      <c r="B3157" s="735" t="s">
        <v>22</v>
      </c>
      <c r="C3157" s="736">
        <v>15604</v>
      </c>
      <c r="D3157" s="736">
        <v>15000</v>
      </c>
      <c r="E3157" s="749">
        <v>10500</v>
      </c>
      <c r="F3157" s="736">
        <v>9750</v>
      </c>
      <c r="G3157" s="752">
        <v>15000</v>
      </c>
      <c r="H3157" s="752"/>
      <c r="I3157" s="752"/>
      <c r="J3157" s="736">
        <f t="shared" si="941"/>
        <v>15000</v>
      </c>
      <c r="K3157" s="752"/>
      <c r="L3157" s="752"/>
      <c r="M3157" s="736">
        <f t="shared" si="942"/>
        <v>15000</v>
      </c>
      <c r="N3157" s="736"/>
      <c r="O3157" s="736"/>
      <c r="P3157" s="736">
        <f t="shared" si="943"/>
        <v>15000</v>
      </c>
      <c r="Q3157" s="753">
        <v>12340.34</v>
      </c>
      <c r="R3157" s="738">
        <v>10100.299999999999</v>
      </c>
      <c r="S3157" s="929">
        <v>30000</v>
      </c>
      <c r="T3157" s="739">
        <v>1100121</v>
      </c>
      <c r="U3157" s="754">
        <v>30000</v>
      </c>
      <c r="V3157" s="741">
        <v>1100122</v>
      </c>
    </row>
    <row r="3158" spans="1:22" ht="15" x14ac:dyDescent="0.2">
      <c r="A3158" s="739">
        <v>2112</v>
      </c>
      <c r="B3158" s="806" t="s">
        <v>39</v>
      </c>
      <c r="C3158" s="736">
        <v>185000</v>
      </c>
      <c r="D3158" s="736"/>
      <c r="E3158" s="749"/>
      <c r="F3158" s="736"/>
      <c r="G3158" s="752">
        <v>12000</v>
      </c>
      <c r="H3158" s="752"/>
      <c r="I3158" s="752"/>
      <c r="J3158" s="736">
        <f t="shared" si="941"/>
        <v>12000</v>
      </c>
      <c r="K3158" s="752"/>
      <c r="L3158" s="752"/>
      <c r="M3158" s="736">
        <f t="shared" si="942"/>
        <v>12000</v>
      </c>
      <c r="N3158" s="736"/>
      <c r="O3158" s="736"/>
      <c r="P3158" s="736">
        <f t="shared" si="943"/>
        <v>12000</v>
      </c>
      <c r="Q3158" s="753">
        <v>12000</v>
      </c>
      <c r="R3158" s="738"/>
      <c r="S3158" s="753"/>
      <c r="T3158" s="739">
        <v>1100121</v>
      </c>
      <c r="U3158" s="745"/>
      <c r="V3158" s="739">
        <v>1100122</v>
      </c>
    </row>
    <row r="3159" spans="1:22" ht="15" x14ac:dyDescent="0.2">
      <c r="A3159" s="739">
        <v>2121</v>
      </c>
      <c r="B3159" s="743" t="s">
        <v>1686</v>
      </c>
      <c r="C3159" s="736">
        <v>776.03</v>
      </c>
      <c r="D3159" s="736"/>
      <c r="E3159" s="749">
        <v>10500</v>
      </c>
      <c r="F3159" s="736"/>
      <c r="G3159" s="736"/>
      <c r="H3159" s="736"/>
      <c r="I3159" s="736"/>
      <c r="J3159" s="736">
        <f t="shared" si="941"/>
        <v>0</v>
      </c>
      <c r="K3159" s="736"/>
      <c r="L3159" s="736"/>
      <c r="M3159" s="736">
        <f t="shared" si="942"/>
        <v>0</v>
      </c>
      <c r="N3159" s="736"/>
      <c r="O3159" s="736"/>
      <c r="P3159" s="738">
        <f t="shared" si="943"/>
        <v>0</v>
      </c>
      <c r="Q3159" s="738"/>
      <c r="R3159" s="738"/>
      <c r="S3159" s="738"/>
      <c r="T3159" s="739"/>
      <c r="U3159" s="745"/>
      <c r="V3159" s="739"/>
    </row>
    <row r="3160" spans="1:22" ht="15" x14ac:dyDescent="0.2">
      <c r="A3160" s="734">
        <v>2121</v>
      </c>
      <c r="B3160" s="735" t="s">
        <v>24</v>
      </c>
      <c r="C3160" s="736">
        <v>13200</v>
      </c>
      <c r="D3160" s="736">
        <v>15000</v>
      </c>
      <c r="E3160" s="736"/>
      <c r="F3160" s="736">
        <v>9547</v>
      </c>
      <c r="G3160" s="752">
        <v>15000</v>
      </c>
      <c r="H3160" s="752"/>
      <c r="I3160" s="752"/>
      <c r="J3160" s="736">
        <f t="shared" si="941"/>
        <v>15000</v>
      </c>
      <c r="K3160" s="752"/>
      <c r="L3160" s="752"/>
      <c r="M3160" s="736">
        <f t="shared" si="942"/>
        <v>15000</v>
      </c>
      <c r="N3160" s="736"/>
      <c r="O3160" s="736"/>
      <c r="P3160" s="736">
        <f t="shared" si="943"/>
        <v>15000</v>
      </c>
      <c r="Q3160" s="753">
        <v>12744.56</v>
      </c>
      <c r="R3160" s="738">
        <v>11994.56</v>
      </c>
      <c r="S3160" s="929">
        <v>20000</v>
      </c>
      <c r="T3160" s="739">
        <v>1100121</v>
      </c>
      <c r="U3160" s="754">
        <v>20000</v>
      </c>
      <c r="V3160" s="741">
        <v>1100122</v>
      </c>
    </row>
    <row r="3161" spans="1:22" ht="15" x14ac:dyDescent="0.2">
      <c r="A3161" s="734">
        <v>2161</v>
      </c>
      <c r="B3161" s="735" t="s">
        <v>59</v>
      </c>
      <c r="C3161" s="736">
        <v>18327.14</v>
      </c>
      <c r="D3161" s="736">
        <v>20000</v>
      </c>
      <c r="E3161" s="749">
        <v>20000</v>
      </c>
      <c r="F3161" s="736">
        <v>19950.900000000001</v>
      </c>
      <c r="G3161" s="752">
        <v>30000</v>
      </c>
      <c r="H3161" s="752"/>
      <c r="I3161" s="752"/>
      <c r="J3161" s="736">
        <f t="shared" si="941"/>
        <v>30000</v>
      </c>
      <c r="K3161" s="752"/>
      <c r="L3161" s="752"/>
      <c r="M3161" s="736">
        <f t="shared" si="942"/>
        <v>30000</v>
      </c>
      <c r="N3161" s="736"/>
      <c r="O3161" s="736"/>
      <c r="P3161" s="736">
        <f t="shared" si="943"/>
        <v>30000</v>
      </c>
      <c r="Q3161" s="753">
        <v>30000</v>
      </c>
      <c r="R3161" s="738">
        <v>27105.27</v>
      </c>
      <c r="S3161" s="929">
        <v>45000</v>
      </c>
      <c r="T3161" s="739">
        <v>1100121</v>
      </c>
      <c r="U3161" s="740">
        <v>40000</v>
      </c>
      <c r="V3161" s="741">
        <v>1100122</v>
      </c>
    </row>
    <row r="3162" spans="1:22" ht="15" x14ac:dyDescent="0.2">
      <c r="A3162" s="739">
        <v>2171</v>
      </c>
      <c r="B3162" s="806" t="s">
        <v>1815</v>
      </c>
      <c r="C3162" s="736"/>
      <c r="D3162" s="736"/>
      <c r="E3162" s="749"/>
      <c r="F3162" s="736"/>
      <c r="G3162" s="752">
        <v>120000</v>
      </c>
      <c r="H3162" s="752"/>
      <c r="I3162" s="752"/>
      <c r="J3162" s="736">
        <f t="shared" si="941"/>
        <v>120000</v>
      </c>
      <c r="K3162" s="752"/>
      <c r="L3162" s="752"/>
      <c r="M3162" s="736">
        <f t="shared" si="942"/>
        <v>120000</v>
      </c>
      <c r="N3162" s="736"/>
      <c r="O3162" s="736"/>
      <c r="P3162" s="736">
        <f t="shared" si="943"/>
        <v>120000</v>
      </c>
      <c r="Q3162" s="753">
        <v>120000</v>
      </c>
      <c r="R3162" s="738">
        <v>86520</v>
      </c>
      <c r="S3162" s="753"/>
      <c r="T3162" s="739">
        <v>1100121</v>
      </c>
      <c r="U3162" s="745"/>
      <c r="V3162" s="739">
        <v>1100122</v>
      </c>
    </row>
    <row r="3163" spans="1:22" ht="15" x14ac:dyDescent="0.2">
      <c r="A3163" s="734">
        <v>2212</v>
      </c>
      <c r="B3163" s="735" t="s">
        <v>40</v>
      </c>
      <c r="C3163" s="736">
        <v>25736.400000000001</v>
      </c>
      <c r="D3163" s="736">
        <v>30000</v>
      </c>
      <c r="E3163" s="749">
        <v>15000</v>
      </c>
      <c r="F3163" s="736">
        <v>6397.7</v>
      </c>
      <c r="G3163" s="752">
        <v>30000</v>
      </c>
      <c r="H3163" s="752"/>
      <c r="I3163" s="752"/>
      <c r="J3163" s="736">
        <f t="shared" si="941"/>
        <v>30000</v>
      </c>
      <c r="K3163" s="752"/>
      <c r="L3163" s="752"/>
      <c r="M3163" s="736">
        <f t="shared" si="942"/>
        <v>30000</v>
      </c>
      <c r="N3163" s="736"/>
      <c r="O3163" s="736"/>
      <c r="P3163" s="736">
        <f t="shared" si="943"/>
        <v>30000</v>
      </c>
      <c r="Q3163" s="753">
        <v>30000</v>
      </c>
      <c r="R3163" s="738">
        <v>17519.7</v>
      </c>
      <c r="S3163" s="929">
        <v>30000</v>
      </c>
      <c r="T3163" s="739">
        <v>1100121</v>
      </c>
      <c r="U3163" s="754">
        <v>30000</v>
      </c>
      <c r="V3163" s="741">
        <v>1100122</v>
      </c>
    </row>
    <row r="3164" spans="1:22" ht="15" x14ac:dyDescent="0.2">
      <c r="A3164" s="734">
        <v>2491</v>
      </c>
      <c r="B3164" s="735" t="s">
        <v>41</v>
      </c>
      <c r="C3164" s="736">
        <v>111458</v>
      </c>
      <c r="D3164" s="736">
        <v>140000</v>
      </c>
      <c r="E3164" s="749">
        <v>140000</v>
      </c>
      <c r="F3164" s="736">
        <v>135474.21</v>
      </c>
      <c r="G3164" s="752">
        <v>140000</v>
      </c>
      <c r="H3164" s="752"/>
      <c r="I3164" s="752"/>
      <c r="J3164" s="736">
        <f t="shared" si="941"/>
        <v>140000</v>
      </c>
      <c r="K3164" s="752"/>
      <c r="L3164" s="752"/>
      <c r="M3164" s="736">
        <f t="shared" si="942"/>
        <v>140000</v>
      </c>
      <c r="N3164" s="736"/>
      <c r="O3164" s="736"/>
      <c r="P3164" s="736">
        <f t="shared" si="943"/>
        <v>140000</v>
      </c>
      <c r="Q3164" s="753">
        <v>390000</v>
      </c>
      <c r="R3164" s="738">
        <v>311501.15000000002</v>
      </c>
      <c r="S3164" s="929">
        <v>80000</v>
      </c>
      <c r="T3164" s="739">
        <v>1100121</v>
      </c>
      <c r="U3164" s="754">
        <v>80000</v>
      </c>
      <c r="V3164" s="741">
        <v>1100122</v>
      </c>
    </row>
    <row r="3165" spans="1:22" ht="15" x14ac:dyDescent="0.2">
      <c r="A3165" s="739">
        <v>2531</v>
      </c>
      <c r="B3165" s="743" t="s">
        <v>145</v>
      </c>
      <c r="C3165" s="736">
        <v>19806.36</v>
      </c>
      <c r="D3165" s="736">
        <v>20000</v>
      </c>
      <c r="E3165" s="749">
        <v>20000</v>
      </c>
      <c r="F3165" s="736">
        <v>1039</v>
      </c>
      <c r="G3165" s="752"/>
      <c r="H3165" s="752"/>
      <c r="I3165" s="752"/>
      <c r="J3165" s="736">
        <f t="shared" si="941"/>
        <v>0</v>
      </c>
      <c r="K3165" s="752"/>
      <c r="L3165" s="752"/>
      <c r="M3165" s="736">
        <f t="shared" si="942"/>
        <v>0</v>
      </c>
      <c r="N3165" s="736"/>
      <c r="O3165" s="736"/>
      <c r="P3165" s="738">
        <f t="shared" si="943"/>
        <v>0</v>
      </c>
      <c r="Q3165" s="753"/>
      <c r="R3165" s="738"/>
      <c r="S3165" s="753"/>
      <c r="T3165" s="739">
        <v>1100121</v>
      </c>
      <c r="U3165" s="745"/>
      <c r="V3165" s="739">
        <v>1100122</v>
      </c>
    </row>
    <row r="3166" spans="1:22" ht="15" x14ac:dyDescent="0.25">
      <c r="A3166" s="739">
        <v>2541</v>
      </c>
      <c r="B3166" s="743" t="s">
        <v>148</v>
      </c>
      <c r="C3166" s="736"/>
      <c r="D3166" s="736"/>
      <c r="E3166" s="749"/>
      <c r="F3166" s="736"/>
      <c r="G3166" s="752"/>
      <c r="H3166" s="759">
        <v>8160</v>
      </c>
      <c r="I3166" s="752"/>
      <c r="J3166" s="736">
        <f t="shared" si="941"/>
        <v>8160</v>
      </c>
      <c r="K3166" s="759"/>
      <c r="L3166" s="752"/>
      <c r="M3166" s="736">
        <f t="shared" si="942"/>
        <v>8160</v>
      </c>
      <c r="N3166" s="736"/>
      <c r="O3166" s="736"/>
      <c r="P3166" s="736">
        <f t="shared" si="943"/>
        <v>8160</v>
      </c>
      <c r="Q3166" s="753"/>
      <c r="R3166" s="738"/>
      <c r="S3166" s="753"/>
      <c r="T3166" s="739">
        <v>1100120</v>
      </c>
      <c r="U3166" s="745"/>
      <c r="V3166" s="739">
        <v>1100120</v>
      </c>
    </row>
    <row r="3167" spans="1:22" ht="15" x14ac:dyDescent="0.2">
      <c r="A3167" s="734">
        <v>2541</v>
      </c>
      <c r="B3167" s="735" t="s">
        <v>148</v>
      </c>
      <c r="C3167" s="736"/>
      <c r="D3167" s="736">
        <v>250000</v>
      </c>
      <c r="E3167" s="749">
        <v>250000</v>
      </c>
      <c r="F3167" s="736">
        <v>225805.06</v>
      </c>
      <c r="G3167" s="752">
        <v>250000</v>
      </c>
      <c r="H3167" s="752"/>
      <c r="I3167" s="752"/>
      <c r="J3167" s="736">
        <f t="shared" si="941"/>
        <v>250000</v>
      </c>
      <c r="K3167" s="752"/>
      <c r="L3167" s="752"/>
      <c r="M3167" s="736">
        <f t="shared" si="942"/>
        <v>250000</v>
      </c>
      <c r="N3167" s="736"/>
      <c r="O3167" s="736"/>
      <c r="P3167" s="736">
        <f t="shared" si="943"/>
        <v>250000</v>
      </c>
      <c r="Q3167" s="753">
        <v>250000</v>
      </c>
      <c r="R3167" s="738">
        <v>44495.34</v>
      </c>
      <c r="S3167" s="929">
        <v>250000</v>
      </c>
      <c r="T3167" s="739">
        <v>1100121</v>
      </c>
      <c r="U3167" s="746">
        <v>50000</v>
      </c>
      <c r="V3167" s="741">
        <v>1100122</v>
      </c>
    </row>
    <row r="3168" spans="1:22" ht="30" x14ac:dyDescent="0.2">
      <c r="A3168" s="734">
        <v>2612</v>
      </c>
      <c r="B3168" s="735" t="s">
        <v>26</v>
      </c>
      <c r="C3168" s="736">
        <v>2262543.2599999998</v>
      </c>
      <c r="D3168" s="736">
        <v>2500000</v>
      </c>
      <c r="E3168" s="749">
        <v>2100000</v>
      </c>
      <c r="F3168" s="736">
        <v>1741874.42</v>
      </c>
      <c r="G3168" s="752">
        <v>1800000</v>
      </c>
      <c r="H3168" s="752"/>
      <c r="I3168" s="752"/>
      <c r="J3168" s="736">
        <f t="shared" si="941"/>
        <v>1800000</v>
      </c>
      <c r="K3168" s="752"/>
      <c r="L3168" s="752"/>
      <c r="M3168" s="736">
        <f t="shared" si="942"/>
        <v>1800000</v>
      </c>
      <c r="N3168" s="736">
        <v>100000</v>
      </c>
      <c r="O3168" s="736"/>
      <c r="P3168" s="736">
        <f t="shared" si="943"/>
        <v>1900000</v>
      </c>
      <c r="Q3168" s="753">
        <v>1900000</v>
      </c>
      <c r="R3168" s="738">
        <v>1512483.75</v>
      </c>
      <c r="S3168" s="738">
        <f>Q3168</f>
        <v>1900000</v>
      </c>
      <c r="T3168" s="739">
        <v>1100121</v>
      </c>
      <c r="U3168" s="746">
        <v>2200000</v>
      </c>
      <c r="V3168" s="741">
        <v>1100122</v>
      </c>
    </row>
    <row r="3169" spans="1:22" ht="15" x14ac:dyDescent="0.2">
      <c r="A3169" s="739">
        <v>2711</v>
      </c>
      <c r="B3169" s="743" t="s">
        <v>27</v>
      </c>
      <c r="C3169" s="736"/>
      <c r="D3169" s="736">
        <v>0</v>
      </c>
      <c r="E3169" s="749">
        <v>673993.4</v>
      </c>
      <c r="F3169" s="736">
        <v>673993.4</v>
      </c>
      <c r="G3169" s="752">
        <v>715333.44</v>
      </c>
      <c r="H3169" s="752"/>
      <c r="I3169" s="752">
        <v>715333.44</v>
      </c>
      <c r="J3169" s="736">
        <f t="shared" si="941"/>
        <v>0</v>
      </c>
      <c r="K3169" s="752"/>
      <c r="L3169" s="752"/>
      <c r="M3169" s="736">
        <f t="shared" si="942"/>
        <v>0</v>
      </c>
      <c r="N3169" s="736"/>
      <c r="O3169" s="736"/>
      <c r="P3169" s="738">
        <f t="shared" si="943"/>
        <v>0</v>
      </c>
      <c r="Q3169" s="753">
        <v>468232.3</v>
      </c>
      <c r="R3169" s="738">
        <v>468232.3</v>
      </c>
      <c r="S3169" s="753"/>
      <c r="T3169" s="739">
        <v>1100120</v>
      </c>
      <c r="U3169" s="745"/>
      <c r="V3169" s="739">
        <v>1100120</v>
      </c>
    </row>
    <row r="3170" spans="1:22" ht="15" x14ac:dyDescent="0.25">
      <c r="A3170" s="739">
        <v>2711</v>
      </c>
      <c r="B3170" s="743" t="s">
        <v>27</v>
      </c>
      <c r="C3170" s="736"/>
      <c r="D3170" s="736"/>
      <c r="E3170" s="749"/>
      <c r="F3170" s="736"/>
      <c r="G3170" s="752"/>
      <c r="H3170" s="757">
        <v>396928.8</v>
      </c>
      <c r="I3170" s="752"/>
      <c r="J3170" s="736">
        <f t="shared" si="941"/>
        <v>396928.8</v>
      </c>
      <c r="K3170" s="757"/>
      <c r="L3170" s="752"/>
      <c r="M3170" s="736">
        <f t="shared" si="942"/>
        <v>396928.8</v>
      </c>
      <c r="N3170" s="736"/>
      <c r="O3170" s="736"/>
      <c r="P3170" s="736">
        <f t="shared" si="943"/>
        <v>396928.8</v>
      </c>
      <c r="Q3170" s="753">
        <v>638644</v>
      </c>
      <c r="R3170" s="738"/>
      <c r="S3170" s="753"/>
      <c r="T3170" s="739">
        <v>1100120</v>
      </c>
      <c r="U3170" s="745"/>
      <c r="V3170" s="739">
        <v>1100120</v>
      </c>
    </row>
    <row r="3171" spans="1:22" ht="15" x14ac:dyDescent="0.25">
      <c r="A3171" s="739">
        <v>2711</v>
      </c>
      <c r="B3171" s="743" t="s">
        <v>27</v>
      </c>
      <c r="C3171" s="736"/>
      <c r="D3171" s="736"/>
      <c r="E3171" s="749"/>
      <c r="F3171" s="736"/>
      <c r="G3171" s="752"/>
      <c r="H3171" s="757">
        <v>38000</v>
      </c>
      <c r="I3171" s="752"/>
      <c r="J3171" s="736">
        <f t="shared" si="941"/>
        <v>38000</v>
      </c>
      <c r="K3171" s="757"/>
      <c r="L3171" s="752"/>
      <c r="M3171" s="736">
        <f t="shared" si="942"/>
        <v>38000</v>
      </c>
      <c r="N3171" s="736"/>
      <c r="O3171" s="736"/>
      <c r="P3171" s="736">
        <f t="shared" si="943"/>
        <v>38000</v>
      </c>
      <c r="Q3171" s="753">
        <v>245156</v>
      </c>
      <c r="R3171" s="738"/>
      <c r="S3171" s="753"/>
      <c r="T3171" s="739">
        <v>1100120</v>
      </c>
      <c r="U3171" s="745"/>
      <c r="V3171" s="739">
        <v>1100120</v>
      </c>
    </row>
    <row r="3172" spans="1:22" ht="15" x14ac:dyDescent="0.25">
      <c r="A3172" s="739">
        <v>2711</v>
      </c>
      <c r="B3172" s="743" t="s">
        <v>27</v>
      </c>
      <c r="C3172" s="736"/>
      <c r="D3172" s="736"/>
      <c r="E3172" s="749"/>
      <c r="F3172" s="736"/>
      <c r="G3172" s="752"/>
      <c r="H3172" s="757">
        <v>33303.5</v>
      </c>
      <c r="I3172" s="752"/>
      <c r="J3172" s="736">
        <f t="shared" si="941"/>
        <v>33303.5</v>
      </c>
      <c r="K3172" s="757"/>
      <c r="L3172" s="752"/>
      <c r="M3172" s="736">
        <f t="shared" si="942"/>
        <v>33303.5</v>
      </c>
      <c r="N3172" s="736"/>
      <c r="O3172" s="736"/>
      <c r="P3172" s="736">
        <f t="shared" si="943"/>
        <v>33303.5</v>
      </c>
      <c r="Q3172" s="753"/>
      <c r="R3172" s="738"/>
      <c r="S3172" s="753"/>
      <c r="T3172" s="739">
        <v>1100120</v>
      </c>
      <c r="U3172" s="745"/>
      <c r="V3172" s="739">
        <v>1100120</v>
      </c>
    </row>
    <row r="3173" spans="1:22" ht="15" x14ac:dyDescent="0.2">
      <c r="A3173" s="734">
        <v>2711</v>
      </c>
      <c r="B3173" s="735" t="s">
        <v>27</v>
      </c>
      <c r="C3173" s="736"/>
      <c r="D3173" s="736">
        <v>900000</v>
      </c>
      <c r="E3173" s="749">
        <v>548000</v>
      </c>
      <c r="F3173" s="736">
        <v>0</v>
      </c>
      <c r="G3173" s="752">
        <v>900000</v>
      </c>
      <c r="H3173" s="752"/>
      <c r="I3173" s="752"/>
      <c r="J3173" s="736">
        <f t="shared" si="941"/>
        <v>900000</v>
      </c>
      <c r="K3173" s="752"/>
      <c r="L3173" s="752">
        <v>16200</v>
      </c>
      <c r="M3173" s="736">
        <f t="shared" si="942"/>
        <v>883800</v>
      </c>
      <c r="N3173" s="736"/>
      <c r="O3173" s="736"/>
      <c r="P3173" s="736">
        <f t="shared" si="943"/>
        <v>883800</v>
      </c>
      <c r="Q3173" s="753"/>
      <c r="R3173" s="738"/>
      <c r="S3173" s="929">
        <v>900000</v>
      </c>
      <c r="T3173" s="739">
        <v>1100121</v>
      </c>
      <c r="U3173" s="746">
        <v>500000</v>
      </c>
      <c r="V3173" s="741">
        <v>2510222</v>
      </c>
    </row>
    <row r="3174" spans="1:22" ht="15" x14ac:dyDescent="0.2">
      <c r="A3174" s="739">
        <v>2721</v>
      </c>
      <c r="B3174" s="743" t="s">
        <v>149</v>
      </c>
      <c r="C3174" s="736"/>
      <c r="D3174" s="736">
        <v>1800000</v>
      </c>
      <c r="E3174" s="749">
        <v>287096.65000000002</v>
      </c>
      <c r="F3174" s="736">
        <v>0</v>
      </c>
      <c r="G3174" s="752">
        <v>1900000</v>
      </c>
      <c r="H3174" s="752"/>
      <c r="I3174" s="752"/>
      <c r="J3174" s="736">
        <f t="shared" si="941"/>
        <v>1900000</v>
      </c>
      <c r="K3174" s="752"/>
      <c r="L3174" s="752">
        <v>423676.25</v>
      </c>
      <c r="M3174" s="736">
        <f t="shared" si="942"/>
        <v>1476323.75</v>
      </c>
      <c r="N3174" s="736">
        <v>101460</v>
      </c>
      <c r="O3174" s="736"/>
      <c r="P3174" s="736">
        <f t="shared" si="943"/>
        <v>1577783.75</v>
      </c>
      <c r="Q3174" s="753">
        <v>1476323.75</v>
      </c>
      <c r="R3174" s="738"/>
      <c r="S3174" s="753"/>
      <c r="T3174" s="739">
        <v>2510221</v>
      </c>
      <c r="U3174" s="744"/>
      <c r="V3174" s="739">
        <v>2510222</v>
      </c>
    </row>
    <row r="3175" spans="1:22" ht="15" x14ac:dyDescent="0.2">
      <c r="A3175" s="734">
        <v>2721</v>
      </c>
      <c r="B3175" s="735" t="s">
        <v>149</v>
      </c>
      <c r="C3175" s="736"/>
      <c r="D3175" s="736"/>
      <c r="E3175" s="749"/>
      <c r="F3175" s="736"/>
      <c r="G3175" s="752"/>
      <c r="H3175" s="752"/>
      <c r="I3175" s="752"/>
      <c r="J3175" s="736"/>
      <c r="K3175" s="752">
        <v>423676.25</v>
      </c>
      <c r="L3175" s="752"/>
      <c r="M3175" s="736">
        <f t="shared" si="942"/>
        <v>423676.25</v>
      </c>
      <c r="N3175" s="736"/>
      <c r="O3175" s="736">
        <v>101460</v>
      </c>
      <c r="P3175" s="736">
        <f t="shared" si="943"/>
        <v>322216.25</v>
      </c>
      <c r="Q3175" s="753">
        <v>58676.25</v>
      </c>
      <c r="R3175" s="738"/>
      <c r="S3175" s="929">
        <v>2000000</v>
      </c>
      <c r="T3175" s="739">
        <v>1100121</v>
      </c>
      <c r="U3175" s="754">
        <v>1000000</v>
      </c>
      <c r="V3175" s="741">
        <v>2510222</v>
      </c>
    </row>
    <row r="3176" spans="1:22" ht="15" x14ac:dyDescent="0.2">
      <c r="A3176" s="739">
        <v>2721</v>
      </c>
      <c r="B3176" s="743" t="s">
        <v>149</v>
      </c>
      <c r="C3176" s="736"/>
      <c r="D3176" s="736"/>
      <c r="E3176" s="749"/>
      <c r="F3176" s="736"/>
      <c r="G3176" s="752"/>
      <c r="H3176" s="752"/>
      <c r="I3176" s="752"/>
      <c r="J3176" s="736"/>
      <c r="K3176" s="752"/>
      <c r="L3176" s="752"/>
      <c r="M3176" s="736">
        <f t="shared" si="942"/>
        <v>0</v>
      </c>
      <c r="N3176" s="736"/>
      <c r="O3176" s="736"/>
      <c r="P3176" s="738">
        <f t="shared" si="943"/>
        <v>0</v>
      </c>
      <c r="Q3176" s="753"/>
      <c r="R3176" s="738"/>
      <c r="S3176" s="753"/>
      <c r="T3176" s="739">
        <v>2510221</v>
      </c>
      <c r="U3176" s="745"/>
      <c r="V3176" s="739">
        <v>2510222</v>
      </c>
    </row>
    <row r="3177" spans="1:22" ht="15" x14ac:dyDescent="0.2">
      <c r="A3177" s="734">
        <v>2751</v>
      </c>
      <c r="B3177" s="735" t="s">
        <v>343</v>
      </c>
      <c r="C3177" s="736">
        <v>462999.98</v>
      </c>
      <c r="D3177" s="736">
        <v>600000</v>
      </c>
      <c r="E3177" s="749">
        <v>600000</v>
      </c>
      <c r="F3177" s="736">
        <v>435000</v>
      </c>
      <c r="G3177" s="752">
        <v>200000</v>
      </c>
      <c r="H3177" s="752"/>
      <c r="I3177" s="752"/>
      <c r="J3177" s="736">
        <f t="shared" ref="J3177:J3194" si="944">G3177+H3177-I3177</f>
        <v>200000</v>
      </c>
      <c r="K3177" s="752"/>
      <c r="L3177" s="752"/>
      <c r="M3177" s="736">
        <f t="shared" si="942"/>
        <v>200000</v>
      </c>
      <c r="N3177" s="736"/>
      <c r="O3177" s="736"/>
      <c r="P3177" s="736">
        <f t="shared" si="943"/>
        <v>200000</v>
      </c>
      <c r="Q3177" s="753">
        <v>200000</v>
      </c>
      <c r="R3177" s="738"/>
      <c r="S3177" s="929">
        <v>500000</v>
      </c>
      <c r="T3177" s="739">
        <v>1100121</v>
      </c>
      <c r="U3177" s="746">
        <v>200000</v>
      </c>
      <c r="V3177" s="741">
        <v>1100122</v>
      </c>
    </row>
    <row r="3178" spans="1:22" ht="15" x14ac:dyDescent="0.2">
      <c r="A3178" s="739">
        <v>2911</v>
      </c>
      <c r="B3178" s="743" t="s">
        <v>60</v>
      </c>
      <c r="C3178" s="736">
        <v>6910.09</v>
      </c>
      <c r="D3178" s="736">
        <v>10000</v>
      </c>
      <c r="E3178" s="749">
        <v>10000</v>
      </c>
      <c r="F3178" s="736">
        <v>4263.1499999999996</v>
      </c>
      <c r="G3178" s="752">
        <v>0</v>
      </c>
      <c r="H3178" s="752"/>
      <c r="I3178" s="752"/>
      <c r="J3178" s="736">
        <f t="shared" si="944"/>
        <v>0</v>
      </c>
      <c r="K3178" s="752"/>
      <c r="L3178" s="752"/>
      <c r="M3178" s="736">
        <f t="shared" si="942"/>
        <v>0</v>
      </c>
      <c r="N3178" s="736"/>
      <c r="O3178" s="736"/>
      <c r="P3178" s="738">
        <f t="shared" si="943"/>
        <v>0</v>
      </c>
      <c r="Q3178" s="753">
        <v>0</v>
      </c>
      <c r="R3178" s="738"/>
      <c r="S3178" s="753"/>
      <c r="T3178" s="739">
        <v>1100121</v>
      </c>
      <c r="U3178" s="745"/>
      <c r="V3178" s="739">
        <v>1100122</v>
      </c>
    </row>
    <row r="3179" spans="1:22" ht="15" x14ac:dyDescent="0.2">
      <c r="A3179" s="734">
        <v>3111</v>
      </c>
      <c r="B3179" s="735" t="s">
        <v>47</v>
      </c>
      <c r="C3179" s="736">
        <v>89149</v>
      </c>
      <c r="D3179" s="736">
        <v>115000</v>
      </c>
      <c r="E3179" s="749">
        <v>115000</v>
      </c>
      <c r="F3179" s="736">
        <v>95439</v>
      </c>
      <c r="G3179" s="752">
        <v>112000</v>
      </c>
      <c r="H3179" s="752"/>
      <c r="I3179" s="752"/>
      <c r="J3179" s="736">
        <f t="shared" si="944"/>
        <v>112000</v>
      </c>
      <c r="K3179" s="752"/>
      <c r="L3179" s="752"/>
      <c r="M3179" s="736">
        <f t="shared" si="942"/>
        <v>112000</v>
      </c>
      <c r="N3179" s="736"/>
      <c r="O3179" s="736"/>
      <c r="P3179" s="736">
        <f t="shared" si="943"/>
        <v>112000</v>
      </c>
      <c r="Q3179" s="753">
        <v>112000</v>
      </c>
      <c r="R3179" s="738">
        <v>69481</v>
      </c>
      <c r="S3179" s="929">
        <v>112000</v>
      </c>
      <c r="T3179" s="739">
        <v>1100121</v>
      </c>
      <c r="U3179" s="746">
        <v>112000</v>
      </c>
      <c r="V3179" s="741">
        <v>1100122</v>
      </c>
    </row>
    <row r="3180" spans="1:22" ht="15" x14ac:dyDescent="0.2">
      <c r="A3180" s="734">
        <v>3131</v>
      </c>
      <c r="B3180" s="735" t="s">
        <v>61</v>
      </c>
      <c r="C3180" s="736">
        <v>24471.67</v>
      </c>
      <c r="D3180" s="736">
        <v>38500</v>
      </c>
      <c r="E3180" s="749">
        <v>38500</v>
      </c>
      <c r="F3180" s="736">
        <v>19240.71</v>
      </c>
      <c r="G3180" s="752">
        <v>42000</v>
      </c>
      <c r="H3180" s="752"/>
      <c r="I3180" s="752"/>
      <c r="J3180" s="736">
        <f t="shared" si="944"/>
        <v>42000</v>
      </c>
      <c r="K3180" s="752"/>
      <c r="L3180" s="752"/>
      <c r="M3180" s="736">
        <f t="shared" si="942"/>
        <v>42000</v>
      </c>
      <c r="N3180" s="736"/>
      <c r="O3180" s="736"/>
      <c r="P3180" s="736">
        <f t="shared" si="943"/>
        <v>42000</v>
      </c>
      <c r="Q3180" s="753">
        <v>42000</v>
      </c>
      <c r="R3180" s="738">
        <v>6442.26</v>
      </c>
      <c r="S3180" s="929">
        <v>34650</v>
      </c>
      <c r="T3180" s="739">
        <v>1100121</v>
      </c>
      <c r="U3180" s="746">
        <v>20000</v>
      </c>
      <c r="V3180" s="741">
        <v>1100122</v>
      </c>
    </row>
    <row r="3181" spans="1:22" ht="15" x14ac:dyDescent="0.2">
      <c r="A3181" s="734">
        <v>3141</v>
      </c>
      <c r="B3181" s="735" t="s">
        <v>48</v>
      </c>
      <c r="C3181" s="736">
        <v>14277.99</v>
      </c>
      <c r="D3181" s="736">
        <v>23100</v>
      </c>
      <c r="E3181" s="749">
        <v>17600</v>
      </c>
      <c r="F3181" s="736">
        <v>13658.17</v>
      </c>
      <c r="G3181" s="752">
        <v>25000</v>
      </c>
      <c r="H3181" s="752"/>
      <c r="I3181" s="752"/>
      <c r="J3181" s="736">
        <f t="shared" si="944"/>
        <v>25000</v>
      </c>
      <c r="K3181" s="752"/>
      <c r="L3181" s="752"/>
      <c r="M3181" s="736">
        <f t="shared" si="942"/>
        <v>25000</v>
      </c>
      <c r="N3181" s="736"/>
      <c r="O3181" s="736"/>
      <c r="P3181" s="736">
        <f t="shared" si="943"/>
        <v>25000</v>
      </c>
      <c r="Q3181" s="753">
        <v>25000</v>
      </c>
      <c r="R3181" s="738">
        <v>14312.22</v>
      </c>
      <c r="S3181" s="929">
        <v>23100</v>
      </c>
      <c r="T3181" s="739">
        <v>1100121</v>
      </c>
      <c r="U3181" s="746">
        <v>23000</v>
      </c>
      <c r="V3181" s="741">
        <v>1100122</v>
      </c>
    </row>
    <row r="3182" spans="1:22" ht="15" x14ac:dyDescent="0.2">
      <c r="A3182" s="734">
        <v>3151</v>
      </c>
      <c r="B3182" s="735" t="s">
        <v>28</v>
      </c>
      <c r="C3182" s="736">
        <v>9303.01</v>
      </c>
      <c r="D3182" s="736">
        <v>13000</v>
      </c>
      <c r="E3182" s="749">
        <v>9000</v>
      </c>
      <c r="F3182" s="736">
        <v>8162.18</v>
      </c>
      <c r="G3182" s="752">
        <v>9000</v>
      </c>
      <c r="H3182" s="752"/>
      <c r="I3182" s="752"/>
      <c r="J3182" s="736">
        <f t="shared" si="944"/>
        <v>9000</v>
      </c>
      <c r="K3182" s="752"/>
      <c r="L3182" s="752"/>
      <c r="M3182" s="736">
        <f t="shared" si="942"/>
        <v>9000</v>
      </c>
      <c r="N3182" s="736"/>
      <c r="O3182" s="736"/>
      <c r="P3182" s="736">
        <f t="shared" si="943"/>
        <v>9000</v>
      </c>
      <c r="Q3182" s="753">
        <v>9000</v>
      </c>
      <c r="R3182" s="738">
        <v>4925.5600000000004</v>
      </c>
      <c r="S3182" s="929">
        <v>26000</v>
      </c>
      <c r="T3182" s="739">
        <v>1100121</v>
      </c>
      <c r="U3182" s="746">
        <v>13000</v>
      </c>
      <c r="V3182" s="741">
        <v>1100122</v>
      </c>
    </row>
    <row r="3183" spans="1:22" ht="15" x14ac:dyDescent="0.2">
      <c r="A3183" s="734">
        <v>3221</v>
      </c>
      <c r="B3183" s="735" t="s">
        <v>99</v>
      </c>
      <c r="C3183" s="736">
        <v>451997.53</v>
      </c>
      <c r="D3183" s="736">
        <v>470077.47</v>
      </c>
      <c r="E3183" s="749">
        <v>464789.84</v>
      </c>
      <c r="F3183" s="736">
        <v>464788.84</v>
      </c>
      <c r="G3183" s="752">
        <v>481056.7</v>
      </c>
      <c r="H3183" s="752"/>
      <c r="I3183" s="752"/>
      <c r="J3183" s="736">
        <f t="shared" si="944"/>
        <v>481056.7</v>
      </c>
      <c r="K3183" s="752"/>
      <c r="L3183" s="752">
        <v>1627</v>
      </c>
      <c r="M3183" s="736">
        <f t="shared" si="942"/>
        <v>479429.7</v>
      </c>
      <c r="N3183" s="736"/>
      <c r="O3183" s="736"/>
      <c r="P3183" s="736">
        <f t="shared" si="943"/>
        <v>479429.7</v>
      </c>
      <c r="Q3183" s="753">
        <v>479429.7</v>
      </c>
      <c r="R3183" s="738">
        <v>359572.15</v>
      </c>
      <c r="S3183" s="929">
        <v>455000</v>
      </c>
      <c r="T3183" s="739">
        <v>1100121</v>
      </c>
      <c r="U3183" s="754">
        <v>503401</v>
      </c>
      <c r="V3183" s="741">
        <v>1100122</v>
      </c>
    </row>
    <row r="3184" spans="1:22" ht="15" x14ac:dyDescent="0.25">
      <c r="A3184" s="739">
        <v>3331</v>
      </c>
      <c r="B3184" s="743" t="s">
        <v>171</v>
      </c>
      <c r="C3184" s="736"/>
      <c r="D3184" s="736"/>
      <c r="E3184" s="749"/>
      <c r="F3184" s="736"/>
      <c r="G3184" s="752"/>
      <c r="H3184" s="757">
        <v>964785.35</v>
      </c>
      <c r="I3184" s="752"/>
      <c r="J3184" s="736">
        <f t="shared" si="944"/>
        <v>964785.35</v>
      </c>
      <c r="K3184" s="757"/>
      <c r="L3184" s="752"/>
      <c r="M3184" s="736">
        <f t="shared" si="942"/>
        <v>964785.35</v>
      </c>
      <c r="N3184" s="736"/>
      <c r="O3184" s="736"/>
      <c r="P3184" s="736">
        <f t="shared" si="943"/>
        <v>964785.35</v>
      </c>
      <c r="Q3184" s="753"/>
      <c r="R3184" s="738">
        <v>964785.34</v>
      </c>
      <c r="S3184" s="753"/>
      <c r="T3184" s="917">
        <v>1100119</v>
      </c>
      <c r="U3184" s="745"/>
      <c r="V3184" s="917">
        <v>1100119</v>
      </c>
    </row>
    <row r="3185" spans="1:22" ht="15" x14ac:dyDescent="0.2">
      <c r="A3185" s="739">
        <v>3331</v>
      </c>
      <c r="B3185" s="743" t="s">
        <v>171</v>
      </c>
      <c r="C3185" s="736"/>
      <c r="D3185" s="736">
        <v>0</v>
      </c>
      <c r="E3185" s="749">
        <v>2000000</v>
      </c>
      <c r="F3185" s="736">
        <v>964785.33</v>
      </c>
      <c r="G3185" s="752">
        <v>964785.35</v>
      </c>
      <c r="H3185" s="752"/>
      <c r="I3185" s="752">
        <v>964785.35</v>
      </c>
      <c r="J3185" s="736">
        <f t="shared" si="944"/>
        <v>0</v>
      </c>
      <c r="K3185" s="752"/>
      <c r="L3185" s="752"/>
      <c r="M3185" s="736">
        <f t="shared" si="942"/>
        <v>0</v>
      </c>
      <c r="N3185" s="736"/>
      <c r="O3185" s="736"/>
      <c r="P3185" s="738">
        <f t="shared" si="943"/>
        <v>0</v>
      </c>
      <c r="Q3185" s="753">
        <v>964785.35</v>
      </c>
      <c r="R3185" s="738"/>
      <c r="S3185" s="753"/>
      <c r="T3185" s="739">
        <v>1100119</v>
      </c>
      <c r="U3185" s="745"/>
      <c r="V3185" s="739">
        <v>1100119</v>
      </c>
    </row>
    <row r="3186" spans="1:22" ht="30" x14ac:dyDescent="0.2">
      <c r="A3186" s="734">
        <v>3361</v>
      </c>
      <c r="B3186" s="735" t="s">
        <v>29</v>
      </c>
      <c r="C3186" s="736"/>
      <c r="D3186" s="736">
        <v>15000</v>
      </c>
      <c r="E3186" s="749">
        <v>15000</v>
      </c>
      <c r="F3186" s="736">
        <v>14250</v>
      </c>
      <c r="G3186" s="752">
        <v>20000</v>
      </c>
      <c r="H3186" s="752"/>
      <c r="I3186" s="752"/>
      <c r="J3186" s="736">
        <f t="shared" si="944"/>
        <v>20000</v>
      </c>
      <c r="K3186" s="752"/>
      <c r="L3186" s="752"/>
      <c r="M3186" s="736">
        <f t="shared" si="942"/>
        <v>20000</v>
      </c>
      <c r="N3186" s="736"/>
      <c r="O3186" s="736"/>
      <c r="P3186" s="736">
        <f t="shared" si="943"/>
        <v>20000</v>
      </c>
      <c r="Q3186" s="753">
        <v>20000</v>
      </c>
      <c r="R3186" s="738">
        <v>15265.6</v>
      </c>
      <c r="S3186" s="929">
        <v>35000</v>
      </c>
      <c r="T3186" s="739">
        <v>1100121</v>
      </c>
      <c r="U3186" s="740">
        <v>30000</v>
      </c>
      <c r="V3186" s="741">
        <v>1100122</v>
      </c>
    </row>
    <row r="3187" spans="1:22" ht="15" x14ac:dyDescent="0.2">
      <c r="A3187" s="734">
        <v>3511</v>
      </c>
      <c r="B3187" s="735" t="s">
        <v>49</v>
      </c>
      <c r="C3187" s="736">
        <v>95004</v>
      </c>
      <c r="D3187" s="736">
        <v>100000</v>
      </c>
      <c r="E3187" s="749">
        <v>100000</v>
      </c>
      <c r="F3187" s="736">
        <v>72711.86</v>
      </c>
      <c r="G3187" s="752">
        <v>150000</v>
      </c>
      <c r="H3187" s="752"/>
      <c r="I3187" s="752"/>
      <c r="J3187" s="736">
        <f t="shared" si="944"/>
        <v>150000</v>
      </c>
      <c r="K3187" s="752"/>
      <c r="L3187" s="752"/>
      <c r="M3187" s="736">
        <f t="shared" si="942"/>
        <v>150000</v>
      </c>
      <c r="N3187" s="736"/>
      <c r="O3187" s="736"/>
      <c r="P3187" s="736">
        <f t="shared" si="943"/>
        <v>150000</v>
      </c>
      <c r="Q3187" s="753">
        <v>150000</v>
      </c>
      <c r="R3187" s="738">
        <v>106486.77</v>
      </c>
      <c r="S3187" s="929">
        <v>150000</v>
      </c>
      <c r="T3187" s="739">
        <v>1100121</v>
      </c>
      <c r="U3187" s="754">
        <v>150000</v>
      </c>
      <c r="V3187" s="741">
        <v>1100122</v>
      </c>
    </row>
    <row r="3188" spans="1:22" ht="15" x14ac:dyDescent="0.2">
      <c r="A3188" s="734">
        <v>3551</v>
      </c>
      <c r="B3188" s="735" t="s">
        <v>30</v>
      </c>
      <c r="C3188" s="736">
        <v>1453560.14</v>
      </c>
      <c r="D3188" s="736">
        <v>1500000</v>
      </c>
      <c r="E3188" s="749">
        <v>2090000</v>
      </c>
      <c r="F3188" s="736">
        <v>2347320.7200000002</v>
      </c>
      <c r="G3188" s="752">
        <v>2000000</v>
      </c>
      <c r="H3188" s="752"/>
      <c r="I3188" s="752"/>
      <c r="J3188" s="736">
        <f t="shared" si="944"/>
        <v>2000000</v>
      </c>
      <c r="K3188" s="752"/>
      <c r="L3188" s="752"/>
      <c r="M3188" s="736">
        <f t="shared" si="942"/>
        <v>2000000</v>
      </c>
      <c r="N3188" s="736"/>
      <c r="O3188" s="736">
        <v>400000</v>
      </c>
      <c r="P3188" s="736">
        <f t="shared" si="943"/>
        <v>1600000</v>
      </c>
      <c r="Q3188" s="753">
        <v>1600000</v>
      </c>
      <c r="R3188" s="738">
        <v>1249242.79</v>
      </c>
      <c r="S3188" s="738">
        <f>Q3188</f>
        <v>1600000</v>
      </c>
      <c r="T3188" s="739">
        <v>1100121</v>
      </c>
      <c r="U3188" s="746">
        <v>1700000</v>
      </c>
      <c r="V3188" s="741">
        <v>1100122</v>
      </c>
    </row>
    <row r="3189" spans="1:22" ht="15" x14ac:dyDescent="0.2">
      <c r="A3189" s="734">
        <v>3571</v>
      </c>
      <c r="B3189" s="735" t="s">
        <v>65</v>
      </c>
      <c r="C3189" s="736">
        <v>78205.649999999994</v>
      </c>
      <c r="D3189" s="736">
        <v>100000</v>
      </c>
      <c r="E3189" s="749">
        <v>150000</v>
      </c>
      <c r="F3189" s="736">
        <v>117416.24</v>
      </c>
      <c r="G3189" s="752">
        <v>100000</v>
      </c>
      <c r="H3189" s="752"/>
      <c r="I3189" s="752"/>
      <c r="J3189" s="736">
        <f t="shared" si="944"/>
        <v>100000</v>
      </c>
      <c r="K3189" s="752"/>
      <c r="L3189" s="752"/>
      <c r="M3189" s="736">
        <f t="shared" si="942"/>
        <v>100000</v>
      </c>
      <c r="N3189" s="736"/>
      <c r="O3189" s="736"/>
      <c r="P3189" s="736">
        <f t="shared" si="943"/>
        <v>100000</v>
      </c>
      <c r="Q3189" s="753">
        <v>100000</v>
      </c>
      <c r="R3189" s="738">
        <v>31396.560000000001</v>
      </c>
      <c r="S3189" s="929">
        <v>100000</v>
      </c>
      <c r="T3189" s="739">
        <v>1100121</v>
      </c>
      <c r="U3189" s="754">
        <v>100000</v>
      </c>
      <c r="V3189" s="741">
        <v>1100122</v>
      </c>
    </row>
    <row r="3190" spans="1:22" ht="15" x14ac:dyDescent="0.2">
      <c r="A3190" s="739">
        <v>3612</v>
      </c>
      <c r="B3190" s="743" t="s">
        <v>188</v>
      </c>
      <c r="C3190" s="736">
        <v>7550</v>
      </c>
      <c r="D3190" s="736">
        <v>15000</v>
      </c>
      <c r="E3190" s="749">
        <v>15000</v>
      </c>
      <c r="F3190" s="736">
        <v>0</v>
      </c>
      <c r="G3190" s="752"/>
      <c r="H3190" s="752"/>
      <c r="I3190" s="752"/>
      <c r="J3190" s="736">
        <f t="shared" si="944"/>
        <v>0</v>
      </c>
      <c r="K3190" s="752"/>
      <c r="L3190" s="752"/>
      <c r="M3190" s="736">
        <f t="shared" si="942"/>
        <v>0</v>
      </c>
      <c r="N3190" s="736"/>
      <c r="O3190" s="736"/>
      <c r="P3190" s="738">
        <f t="shared" si="943"/>
        <v>0</v>
      </c>
      <c r="Q3190" s="753"/>
      <c r="R3190" s="738"/>
      <c r="S3190" s="753"/>
      <c r="T3190" s="739">
        <v>1100121</v>
      </c>
      <c r="U3190" s="745"/>
      <c r="V3190" s="739">
        <v>1100122</v>
      </c>
    </row>
    <row r="3191" spans="1:22" ht="15" x14ac:dyDescent="0.2">
      <c r="A3191" s="734">
        <v>3751</v>
      </c>
      <c r="B3191" s="735" t="s">
        <v>44</v>
      </c>
      <c r="C3191" s="736">
        <v>19250.2</v>
      </c>
      <c r="D3191" s="736">
        <v>40000</v>
      </c>
      <c r="E3191" s="749">
        <v>10000</v>
      </c>
      <c r="F3191" s="736">
        <v>2510.7399999999998</v>
      </c>
      <c r="G3191" s="752">
        <v>40000</v>
      </c>
      <c r="H3191" s="752"/>
      <c r="I3191" s="752"/>
      <c r="J3191" s="736">
        <f t="shared" si="944"/>
        <v>40000</v>
      </c>
      <c r="K3191" s="752"/>
      <c r="L3191" s="752"/>
      <c r="M3191" s="736">
        <f t="shared" si="942"/>
        <v>40000</v>
      </c>
      <c r="N3191" s="736"/>
      <c r="O3191" s="736"/>
      <c r="P3191" s="736">
        <f t="shared" si="943"/>
        <v>40000</v>
      </c>
      <c r="Q3191" s="753">
        <v>40000</v>
      </c>
      <c r="R3191" s="738">
        <v>884</v>
      </c>
      <c r="S3191" s="929">
        <v>50000</v>
      </c>
      <c r="T3191" s="739">
        <v>1100121</v>
      </c>
      <c r="U3191" s="740">
        <v>40000</v>
      </c>
      <c r="V3191" s="741">
        <v>1100122</v>
      </c>
    </row>
    <row r="3192" spans="1:22" ht="15" x14ac:dyDescent="0.2">
      <c r="A3192" s="739">
        <v>3821</v>
      </c>
      <c r="B3192" s="743" t="s">
        <v>31</v>
      </c>
      <c r="C3192" s="736">
        <v>19104.21</v>
      </c>
      <c r="D3192" s="736">
        <v>20000</v>
      </c>
      <c r="E3192" s="749">
        <v>20000</v>
      </c>
      <c r="F3192" s="736">
        <v>8120</v>
      </c>
      <c r="G3192" s="752">
        <v>30000</v>
      </c>
      <c r="H3192" s="752"/>
      <c r="I3192" s="752"/>
      <c r="J3192" s="736">
        <f t="shared" si="944"/>
        <v>30000</v>
      </c>
      <c r="K3192" s="752"/>
      <c r="L3192" s="752"/>
      <c r="M3192" s="736">
        <f t="shared" si="942"/>
        <v>30000</v>
      </c>
      <c r="N3192" s="736"/>
      <c r="O3192" s="736"/>
      <c r="P3192" s="736">
        <f t="shared" si="943"/>
        <v>30000</v>
      </c>
      <c r="Q3192" s="753">
        <v>30000</v>
      </c>
      <c r="R3192" s="738">
        <v>9230</v>
      </c>
      <c r="S3192" s="753"/>
      <c r="T3192" s="739">
        <v>1100121</v>
      </c>
      <c r="U3192" s="745"/>
      <c r="V3192" s="739">
        <v>1100122</v>
      </c>
    </row>
    <row r="3193" spans="1:22" ht="15" x14ac:dyDescent="0.2">
      <c r="A3193" s="734">
        <v>3852</v>
      </c>
      <c r="B3193" s="735" t="s">
        <v>32</v>
      </c>
      <c r="C3193" s="736">
        <v>13935.37</v>
      </c>
      <c r="D3193" s="736">
        <v>20000</v>
      </c>
      <c r="E3193" s="749">
        <v>20000</v>
      </c>
      <c r="F3193" s="736">
        <v>19768.86</v>
      </c>
      <c r="G3193" s="752">
        <v>28000</v>
      </c>
      <c r="H3193" s="752"/>
      <c r="I3193" s="752"/>
      <c r="J3193" s="736">
        <f t="shared" si="944"/>
        <v>28000</v>
      </c>
      <c r="K3193" s="752"/>
      <c r="L3193" s="752"/>
      <c r="M3193" s="736">
        <f t="shared" si="942"/>
        <v>28000</v>
      </c>
      <c r="N3193" s="736"/>
      <c r="O3193" s="736"/>
      <c r="P3193" s="736">
        <f t="shared" si="943"/>
        <v>28000</v>
      </c>
      <c r="Q3193" s="753">
        <v>28000</v>
      </c>
      <c r="R3193" s="738">
        <v>13877.16</v>
      </c>
      <c r="S3193" s="929">
        <v>28000</v>
      </c>
      <c r="T3193" s="739">
        <v>1100121</v>
      </c>
      <c r="U3193" s="754">
        <v>25000</v>
      </c>
      <c r="V3193" s="741">
        <v>1100122</v>
      </c>
    </row>
    <row r="3194" spans="1:22" ht="15" x14ac:dyDescent="0.2">
      <c r="A3194" s="734">
        <v>3921</v>
      </c>
      <c r="B3194" s="735" t="s">
        <v>33</v>
      </c>
      <c r="C3194" s="736">
        <v>78567.649999999994</v>
      </c>
      <c r="D3194" s="736">
        <v>14560</v>
      </c>
      <c r="E3194" s="749">
        <v>61060</v>
      </c>
      <c r="F3194" s="736">
        <v>53404.27</v>
      </c>
      <c r="G3194" s="752">
        <v>66201</v>
      </c>
      <c r="H3194" s="752"/>
      <c r="I3194" s="752"/>
      <c r="J3194" s="736">
        <f t="shared" si="944"/>
        <v>66201</v>
      </c>
      <c r="K3194" s="752"/>
      <c r="L3194" s="752"/>
      <c r="M3194" s="736">
        <f t="shared" si="942"/>
        <v>66201</v>
      </c>
      <c r="N3194" s="736"/>
      <c r="O3194" s="736"/>
      <c r="P3194" s="736">
        <f t="shared" si="943"/>
        <v>66201</v>
      </c>
      <c r="Q3194" s="753">
        <v>66201</v>
      </c>
      <c r="R3194" s="738">
        <v>55873.84</v>
      </c>
      <c r="S3194" s="929">
        <v>50000</v>
      </c>
      <c r="T3194" s="739">
        <v>1100121</v>
      </c>
      <c r="U3194" s="754">
        <v>50000</v>
      </c>
      <c r="V3194" s="741">
        <v>1100122</v>
      </c>
    </row>
    <row r="3195" spans="1:22" ht="15" x14ac:dyDescent="0.2">
      <c r="A3195" s="734">
        <v>3921</v>
      </c>
      <c r="B3195" s="735" t="s">
        <v>33</v>
      </c>
      <c r="C3195" s="736"/>
      <c r="D3195" s="736"/>
      <c r="E3195" s="749"/>
      <c r="F3195" s="736"/>
      <c r="G3195" s="752"/>
      <c r="H3195" s="752"/>
      <c r="I3195" s="752"/>
      <c r="J3195" s="736"/>
      <c r="K3195" s="752"/>
      <c r="L3195" s="752"/>
      <c r="M3195" s="736"/>
      <c r="N3195" s="736"/>
      <c r="O3195" s="736"/>
      <c r="P3195" s="736"/>
      <c r="Q3195" s="753"/>
      <c r="R3195" s="738"/>
      <c r="S3195" s="929">
        <v>16837</v>
      </c>
      <c r="T3195" s="739"/>
      <c r="U3195" s="746">
        <v>16837</v>
      </c>
      <c r="V3195" s="741">
        <v>1100122</v>
      </c>
    </row>
    <row r="3196" spans="1:22" ht="15" x14ac:dyDescent="0.2">
      <c r="A3196" s="739">
        <v>4155</v>
      </c>
      <c r="B3196" s="743" t="s">
        <v>344</v>
      </c>
      <c r="C3196" s="736"/>
      <c r="D3196" s="736">
        <v>0</v>
      </c>
      <c r="E3196" s="736"/>
      <c r="F3196" s="736">
        <v>280000</v>
      </c>
      <c r="G3196" s="752"/>
      <c r="H3196" s="752"/>
      <c r="I3196" s="752"/>
      <c r="J3196" s="736">
        <f t="shared" ref="J3196:J3203" si="945">G3196+H3196-I3196</f>
        <v>0</v>
      </c>
      <c r="K3196" s="752"/>
      <c r="L3196" s="752"/>
      <c r="M3196" s="736">
        <f t="shared" ref="M3196:M3203" si="946">J3196+K3196-L3196</f>
        <v>0</v>
      </c>
      <c r="N3196" s="736"/>
      <c r="O3196" s="736"/>
      <c r="P3196" s="738">
        <f t="shared" ref="P3196:P3203" si="947">M3196+N3196-O3196</f>
        <v>0</v>
      </c>
      <c r="Q3196" s="753"/>
      <c r="R3196" s="738"/>
      <c r="S3196" s="753"/>
      <c r="T3196" s="739">
        <v>1100121</v>
      </c>
      <c r="U3196" s="745"/>
      <c r="V3196" s="739">
        <v>1100122</v>
      </c>
    </row>
    <row r="3197" spans="1:22" ht="15" x14ac:dyDescent="0.25">
      <c r="A3197" s="739">
        <v>4481</v>
      </c>
      <c r="B3197" s="743" t="s">
        <v>345</v>
      </c>
      <c r="C3197" s="736"/>
      <c r="D3197" s="736"/>
      <c r="E3197" s="736"/>
      <c r="F3197" s="736"/>
      <c r="G3197" s="752"/>
      <c r="H3197" s="759">
        <v>28000</v>
      </c>
      <c r="I3197" s="752"/>
      <c r="J3197" s="736">
        <f t="shared" si="945"/>
        <v>28000</v>
      </c>
      <c r="K3197" s="759"/>
      <c r="L3197" s="752"/>
      <c r="M3197" s="736">
        <f t="shared" si="946"/>
        <v>28000</v>
      </c>
      <c r="N3197" s="736"/>
      <c r="O3197" s="736"/>
      <c r="P3197" s="736">
        <f t="shared" si="947"/>
        <v>28000</v>
      </c>
      <c r="Q3197" s="753">
        <v>128000</v>
      </c>
      <c r="R3197" s="738">
        <v>28000</v>
      </c>
      <c r="S3197" s="929">
        <v>1500000</v>
      </c>
      <c r="T3197" s="739">
        <v>1100120</v>
      </c>
      <c r="U3197" s="745"/>
      <c r="V3197" s="739">
        <v>1100120</v>
      </c>
    </row>
    <row r="3198" spans="1:22" ht="15" x14ac:dyDescent="0.2">
      <c r="A3198" s="734">
        <v>4481</v>
      </c>
      <c r="B3198" s="735" t="s">
        <v>345</v>
      </c>
      <c r="C3198" s="736">
        <v>586513.27</v>
      </c>
      <c r="D3198" s="736">
        <v>1000000</v>
      </c>
      <c r="E3198" s="749">
        <v>6065259.9400000004</v>
      </c>
      <c r="F3198" s="736">
        <v>3836967.99</v>
      </c>
      <c r="G3198" s="752">
        <f>1500000+1500000</f>
        <v>3000000</v>
      </c>
      <c r="H3198" s="752"/>
      <c r="I3198" s="752"/>
      <c r="J3198" s="736">
        <f t="shared" si="945"/>
        <v>3000000</v>
      </c>
      <c r="K3198" s="752"/>
      <c r="L3198" s="752"/>
      <c r="M3198" s="736">
        <f t="shared" si="946"/>
        <v>3000000</v>
      </c>
      <c r="N3198" s="736"/>
      <c r="O3198" s="736"/>
      <c r="P3198" s="736">
        <f t="shared" si="947"/>
        <v>3000000</v>
      </c>
      <c r="Q3198" s="753">
        <v>3300000</v>
      </c>
      <c r="R3198" s="738">
        <v>2878467.12</v>
      </c>
      <c r="S3198" s="753"/>
      <c r="T3198" s="739">
        <v>1100121</v>
      </c>
      <c r="U3198" s="754">
        <v>1500000</v>
      </c>
      <c r="V3198" s="741">
        <v>1100122</v>
      </c>
    </row>
    <row r="3199" spans="1:22" ht="15" x14ac:dyDescent="0.2">
      <c r="A3199" s="739">
        <v>4481</v>
      </c>
      <c r="B3199" s="743" t="s">
        <v>345</v>
      </c>
      <c r="C3199" s="736"/>
      <c r="D3199" s="736"/>
      <c r="E3199" s="749"/>
      <c r="F3199" s="736"/>
      <c r="G3199" s="752"/>
      <c r="H3199" s="752"/>
      <c r="I3199" s="752"/>
      <c r="J3199" s="736"/>
      <c r="K3199" s="752"/>
      <c r="L3199" s="752"/>
      <c r="M3199" s="736"/>
      <c r="N3199" s="736"/>
      <c r="O3199" s="736"/>
      <c r="P3199" s="736"/>
      <c r="Q3199" s="753">
        <v>100000</v>
      </c>
      <c r="R3199" s="738">
        <v>1000000</v>
      </c>
      <c r="S3199" s="753"/>
      <c r="T3199" s="739">
        <v>2510221</v>
      </c>
      <c r="U3199" s="745"/>
      <c r="V3199" s="739">
        <v>2510222</v>
      </c>
    </row>
    <row r="3200" spans="1:22" ht="15" x14ac:dyDescent="0.2">
      <c r="A3200" s="739">
        <v>4481</v>
      </c>
      <c r="B3200" s="743"/>
      <c r="C3200" s="736"/>
      <c r="D3200" s="736"/>
      <c r="E3200" s="749"/>
      <c r="F3200" s="736"/>
      <c r="G3200" s="752"/>
      <c r="H3200" s="752"/>
      <c r="I3200" s="752"/>
      <c r="J3200" s="736"/>
      <c r="K3200" s="752"/>
      <c r="L3200" s="752"/>
      <c r="M3200" s="736"/>
      <c r="N3200" s="736"/>
      <c r="O3200" s="736"/>
      <c r="P3200" s="736"/>
      <c r="Q3200" s="753">
        <v>1000000</v>
      </c>
      <c r="R3200" s="738"/>
      <c r="S3200" s="753"/>
      <c r="T3200" s="739"/>
      <c r="U3200" s="745"/>
      <c r="V3200" s="739"/>
    </row>
    <row r="3201" spans="1:22" ht="15" x14ac:dyDescent="0.2">
      <c r="A3201" s="739">
        <v>5111</v>
      </c>
      <c r="B3201" s="743" t="s">
        <v>35</v>
      </c>
      <c r="C3201" s="736">
        <v>84000</v>
      </c>
      <c r="D3201" s="736"/>
      <c r="E3201" s="736"/>
      <c r="F3201" s="736"/>
      <c r="G3201" s="752">
        <v>50000</v>
      </c>
      <c r="H3201" s="896"/>
      <c r="I3201" s="896"/>
      <c r="J3201" s="736">
        <f t="shared" si="945"/>
        <v>50000</v>
      </c>
      <c r="K3201" s="896"/>
      <c r="L3201" s="896"/>
      <c r="M3201" s="736">
        <f t="shared" si="946"/>
        <v>50000</v>
      </c>
      <c r="N3201" s="736"/>
      <c r="O3201" s="736"/>
      <c r="P3201" s="736">
        <f t="shared" si="947"/>
        <v>50000</v>
      </c>
      <c r="Q3201" s="753">
        <v>50000</v>
      </c>
      <c r="R3201" s="738"/>
      <c r="S3201" s="753"/>
      <c r="T3201" s="739">
        <v>1500521</v>
      </c>
      <c r="U3201" s="745"/>
      <c r="V3201" s="739">
        <v>1500522</v>
      </c>
    </row>
    <row r="3202" spans="1:22" ht="15" x14ac:dyDescent="0.2">
      <c r="A3202" s="739">
        <v>5211</v>
      </c>
      <c r="B3202" s="806" t="s">
        <v>1848</v>
      </c>
      <c r="C3202" s="736"/>
      <c r="D3202" s="736"/>
      <c r="E3202" s="736"/>
      <c r="F3202" s="736"/>
      <c r="G3202" s="752">
        <v>15000</v>
      </c>
      <c r="H3202" s="896"/>
      <c r="I3202" s="896"/>
      <c r="J3202" s="736">
        <f t="shared" si="945"/>
        <v>15000</v>
      </c>
      <c r="K3202" s="896"/>
      <c r="L3202" s="896"/>
      <c r="M3202" s="736">
        <f t="shared" si="946"/>
        <v>15000</v>
      </c>
      <c r="N3202" s="736"/>
      <c r="O3202" s="736"/>
      <c r="P3202" s="736">
        <f t="shared" si="947"/>
        <v>15000</v>
      </c>
      <c r="Q3202" s="753"/>
      <c r="R3202" s="738"/>
      <c r="S3202" s="929">
        <v>15000</v>
      </c>
      <c r="T3202" s="739">
        <v>1500521</v>
      </c>
      <c r="U3202" s="744"/>
      <c r="V3202" s="739">
        <v>1500522</v>
      </c>
    </row>
    <row r="3203" spans="1:22" ht="15" x14ac:dyDescent="0.25">
      <c r="A3203" s="734">
        <v>5411</v>
      </c>
      <c r="B3203" s="735" t="s">
        <v>123</v>
      </c>
      <c r="C3203" s="736"/>
      <c r="D3203" s="736"/>
      <c r="E3203" s="736"/>
      <c r="F3203" s="736"/>
      <c r="G3203" s="752"/>
      <c r="H3203" s="757">
        <v>1817100</v>
      </c>
      <c r="I3203" s="896"/>
      <c r="J3203" s="736">
        <f t="shared" si="945"/>
        <v>1817100</v>
      </c>
      <c r="K3203" s="757"/>
      <c r="L3203" s="896"/>
      <c r="M3203" s="736">
        <f t="shared" si="946"/>
        <v>1817100</v>
      </c>
      <c r="N3203" s="736"/>
      <c r="O3203" s="736"/>
      <c r="P3203" s="736">
        <f t="shared" si="947"/>
        <v>1817100</v>
      </c>
      <c r="Q3203" s="753">
        <v>1817100</v>
      </c>
      <c r="R3203" s="738"/>
      <c r="S3203" s="929">
        <v>3500000</v>
      </c>
      <c r="T3203" s="836">
        <v>1100120</v>
      </c>
      <c r="U3203" s="746">
        <v>1500000</v>
      </c>
      <c r="V3203" s="741">
        <v>1100122</v>
      </c>
    </row>
    <row r="3204" spans="1:22" ht="15" x14ac:dyDescent="0.25">
      <c r="A3204" s="939">
        <v>5151</v>
      </c>
      <c r="B3204" s="743" t="s">
        <v>36</v>
      </c>
      <c r="C3204" s="736"/>
      <c r="D3204" s="736"/>
      <c r="E3204" s="736"/>
      <c r="F3204" s="736"/>
      <c r="G3204" s="752"/>
      <c r="H3204" s="757"/>
      <c r="I3204" s="896"/>
      <c r="J3204" s="736"/>
      <c r="K3204" s="757"/>
      <c r="L3204" s="896"/>
      <c r="M3204" s="736"/>
      <c r="N3204" s="736"/>
      <c r="O3204" s="736"/>
      <c r="P3204" s="736"/>
      <c r="Q3204" s="753"/>
      <c r="R3204" s="738"/>
      <c r="S3204" s="929">
        <v>75000</v>
      </c>
      <c r="T3204" s="836"/>
      <c r="U3204" s="744"/>
      <c r="V3204" s="836"/>
    </row>
    <row r="3205" spans="1:22" ht="15" x14ac:dyDescent="0.2">
      <c r="A3205" s="739">
        <v>5641</v>
      </c>
      <c r="B3205" s="806" t="s">
        <v>124</v>
      </c>
      <c r="C3205" s="736"/>
      <c r="D3205" s="736"/>
      <c r="E3205" s="736"/>
      <c r="F3205" s="736"/>
      <c r="G3205" s="752">
        <v>15000</v>
      </c>
      <c r="H3205" s="896"/>
      <c r="I3205" s="896"/>
      <c r="J3205" s="736">
        <f t="shared" ref="J3205:J3209" si="948">G3205+H3205-I3205</f>
        <v>15000</v>
      </c>
      <c r="K3205" s="896"/>
      <c r="L3205" s="896"/>
      <c r="M3205" s="736">
        <f t="shared" ref="M3205:M3209" si="949">J3205+K3205-L3205</f>
        <v>15000</v>
      </c>
      <c r="N3205" s="736"/>
      <c r="O3205" s="736"/>
      <c r="P3205" s="736">
        <f t="shared" ref="P3205:P3209" si="950">M3205+N3205-O3205</f>
        <v>15000</v>
      </c>
      <c r="Q3205" s="753">
        <v>15000</v>
      </c>
      <c r="R3205" s="738"/>
      <c r="S3205" s="929"/>
      <c r="T3205" s="739">
        <v>1500521</v>
      </c>
      <c r="U3205" s="744"/>
      <c r="V3205" s="739">
        <v>1500522</v>
      </c>
    </row>
    <row r="3206" spans="1:22" ht="15" x14ac:dyDescent="0.2">
      <c r="A3206" s="739">
        <v>5651</v>
      </c>
      <c r="B3206" s="743" t="s">
        <v>105</v>
      </c>
      <c r="C3206" s="736"/>
      <c r="D3206" s="736">
        <v>0</v>
      </c>
      <c r="E3206" s="749">
        <v>515890</v>
      </c>
      <c r="F3206" s="736">
        <v>515890</v>
      </c>
      <c r="G3206" s="736"/>
      <c r="H3206" s="736"/>
      <c r="I3206" s="736"/>
      <c r="J3206" s="736">
        <f t="shared" si="948"/>
        <v>0</v>
      </c>
      <c r="K3206" s="736"/>
      <c r="L3206" s="736"/>
      <c r="M3206" s="736">
        <f t="shared" si="949"/>
        <v>0</v>
      </c>
      <c r="N3206" s="736"/>
      <c r="O3206" s="736"/>
      <c r="P3206" s="738">
        <f t="shared" si="950"/>
        <v>0</v>
      </c>
      <c r="Q3206" s="738"/>
      <c r="R3206" s="738"/>
      <c r="S3206" s="927">
        <v>500000</v>
      </c>
      <c r="T3206" s="739">
        <v>1100119</v>
      </c>
      <c r="U3206" s="744"/>
      <c r="V3206" s="739">
        <v>1100119</v>
      </c>
    </row>
    <row r="3207" spans="1:22" ht="15" x14ac:dyDescent="0.2">
      <c r="A3207" s="739">
        <v>5651</v>
      </c>
      <c r="B3207" s="743" t="s">
        <v>105</v>
      </c>
      <c r="C3207" s="736"/>
      <c r="D3207" s="736">
        <v>450000</v>
      </c>
      <c r="E3207" s="749">
        <v>450000</v>
      </c>
      <c r="F3207" s="736">
        <v>432000</v>
      </c>
      <c r="G3207" s="736"/>
      <c r="H3207" s="736"/>
      <c r="I3207" s="736"/>
      <c r="J3207" s="736">
        <f t="shared" si="948"/>
        <v>0</v>
      </c>
      <c r="K3207" s="736"/>
      <c r="L3207" s="736"/>
      <c r="M3207" s="736">
        <f t="shared" si="949"/>
        <v>0</v>
      </c>
      <c r="N3207" s="736"/>
      <c r="O3207" s="736"/>
      <c r="P3207" s="738">
        <f t="shared" si="950"/>
        <v>0</v>
      </c>
      <c r="Q3207" s="738"/>
      <c r="R3207" s="738"/>
      <c r="S3207" s="738"/>
      <c r="T3207" s="739">
        <v>1500521</v>
      </c>
      <c r="U3207" s="744"/>
      <c r="V3207" s="739">
        <v>1500522</v>
      </c>
    </row>
    <row r="3208" spans="1:22" ht="15" x14ac:dyDescent="0.2">
      <c r="A3208" s="739">
        <v>5671</v>
      </c>
      <c r="B3208" s="743" t="s">
        <v>1728</v>
      </c>
      <c r="C3208" s="736"/>
      <c r="D3208" s="736">
        <v>150000</v>
      </c>
      <c r="E3208" s="749">
        <v>150000</v>
      </c>
      <c r="F3208" s="736">
        <v>0</v>
      </c>
      <c r="G3208" s="736"/>
      <c r="H3208" s="736"/>
      <c r="I3208" s="736"/>
      <c r="J3208" s="736">
        <f t="shared" si="948"/>
        <v>0</v>
      </c>
      <c r="K3208" s="736"/>
      <c r="L3208" s="736"/>
      <c r="M3208" s="736">
        <f t="shared" si="949"/>
        <v>0</v>
      </c>
      <c r="N3208" s="736"/>
      <c r="O3208" s="736"/>
      <c r="P3208" s="738">
        <f t="shared" si="950"/>
        <v>0</v>
      </c>
      <c r="Q3208" s="738">
        <v>115000</v>
      </c>
      <c r="R3208" s="738">
        <v>113801.89</v>
      </c>
      <c r="S3208" s="927"/>
      <c r="T3208" s="739">
        <v>1100121</v>
      </c>
      <c r="U3208" s="744"/>
      <c r="V3208" s="739">
        <v>1100122</v>
      </c>
    </row>
    <row r="3209" spans="1:22" ht="15" x14ac:dyDescent="0.2">
      <c r="A3209" s="739">
        <v>5691</v>
      </c>
      <c r="B3209" s="743" t="s">
        <v>112</v>
      </c>
      <c r="C3209" s="736">
        <v>10650</v>
      </c>
      <c r="D3209" s="736">
        <v>50000</v>
      </c>
      <c r="E3209" s="749">
        <v>100240</v>
      </c>
      <c r="F3209" s="736">
        <v>85398.04</v>
      </c>
      <c r="G3209" s="736"/>
      <c r="H3209" s="736"/>
      <c r="I3209" s="736"/>
      <c r="J3209" s="736">
        <f t="shared" si="948"/>
        <v>0</v>
      </c>
      <c r="K3209" s="736"/>
      <c r="L3209" s="736"/>
      <c r="M3209" s="736">
        <f t="shared" si="949"/>
        <v>0</v>
      </c>
      <c r="N3209" s="736"/>
      <c r="O3209" s="736"/>
      <c r="P3209" s="738">
        <f t="shared" si="950"/>
        <v>0</v>
      </c>
      <c r="Q3209" s="738"/>
      <c r="R3209" s="738"/>
      <c r="S3209" s="738">
        <v>2500000</v>
      </c>
      <c r="T3209" s="739">
        <v>1100121</v>
      </c>
      <c r="U3209" s="744"/>
      <c r="V3209" s="739">
        <v>1100122</v>
      </c>
    </row>
    <row r="3210" spans="1:22" ht="15" x14ac:dyDescent="0.2">
      <c r="A3210" s="724" t="s">
        <v>346</v>
      </c>
      <c r="B3210" s="725" t="s">
        <v>347</v>
      </c>
      <c r="C3210" s="721">
        <f t="shared" ref="C3210:R3210" si="951">SUM(C3211+C3229+C3243+C3257)</f>
        <v>9167779.0500000007</v>
      </c>
      <c r="D3210" s="721">
        <f t="shared" si="951"/>
        <v>9843410.0600000005</v>
      </c>
      <c r="E3210" s="721">
        <f t="shared" si="951"/>
        <v>10929715.460000001</v>
      </c>
      <c r="F3210" s="721">
        <f t="shared" si="951"/>
        <v>10752641.690000001</v>
      </c>
      <c r="G3210" s="721">
        <f t="shared" si="951"/>
        <v>13363366.940000001</v>
      </c>
      <c r="H3210" s="721">
        <f t="shared" si="951"/>
        <v>785290.76</v>
      </c>
      <c r="I3210" s="721">
        <f t="shared" si="951"/>
        <v>715333.44</v>
      </c>
      <c r="J3210" s="721">
        <f t="shared" si="951"/>
        <v>13433324.260000002</v>
      </c>
      <c r="K3210" s="721">
        <f t="shared" si="951"/>
        <v>765638.4</v>
      </c>
      <c r="L3210" s="721">
        <f t="shared" si="951"/>
        <v>191586.91</v>
      </c>
      <c r="M3210" s="721">
        <f t="shared" si="951"/>
        <v>14007375.75</v>
      </c>
      <c r="N3210" s="721">
        <f t="shared" si="951"/>
        <v>806500</v>
      </c>
      <c r="O3210" s="721">
        <f t="shared" si="951"/>
        <v>866500</v>
      </c>
      <c r="P3210" s="721">
        <f t="shared" si="951"/>
        <v>13947375.75</v>
      </c>
      <c r="Q3210" s="756">
        <f t="shared" si="951"/>
        <v>14221103.059999999</v>
      </c>
      <c r="R3210" s="756">
        <f t="shared" si="951"/>
        <v>9024248.7100000009</v>
      </c>
      <c r="S3210" s="756">
        <f>SUM(S3211+S3229+S3243+S3257)</f>
        <v>17703966.219999999</v>
      </c>
      <c r="T3210" s="724"/>
      <c r="U3210" s="726">
        <f>SUM(U3211+U3229+U3243+U3257)</f>
        <v>14703933.630000001</v>
      </c>
      <c r="V3210" s="727"/>
    </row>
    <row r="3211" spans="1:22" ht="15" x14ac:dyDescent="0.2">
      <c r="A3211" s="728" t="s">
        <v>348</v>
      </c>
      <c r="B3211" s="729" t="s">
        <v>1575</v>
      </c>
      <c r="C3211" s="730">
        <f t="shared" ref="C3211:S3211" si="952">SUM(C3212:C3228)</f>
        <v>1469767.06</v>
      </c>
      <c r="D3211" s="730">
        <f t="shared" si="952"/>
        <v>2076885.7000000002</v>
      </c>
      <c r="E3211" s="730">
        <f t="shared" si="952"/>
        <v>2174469.1799999997</v>
      </c>
      <c r="F3211" s="730">
        <f t="shared" si="952"/>
        <v>2222764.3800000004</v>
      </c>
      <c r="G3211" s="730">
        <f t="shared" si="952"/>
        <v>2531733.4</v>
      </c>
      <c r="H3211" s="730">
        <f t="shared" si="952"/>
        <v>0</v>
      </c>
      <c r="I3211" s="730">
        <f t="shared" si="952"/>
        <v>0</v>
      </c>
      <c r="J3211" s="730">
        <f t="shared" si="952"/>
        <v>2531733.4</v>
      </c>
      <c r="K3211" s="730">
        <f t="shared" si="952"/>
        <v>73841.650000000009</v>
      </c>
      <c r="L3211" s="730">
        <f t="shared" si="952"/>
        <v>0</v>
      </c>
      <c r="M3211" s="730">
        <f t="shared" si="952"/>
        <v>2605575.0499999998</v>
      </c>
      <c r="N3211" s="730">
        <f t="shared" si="952"/>
        <v>0</v>
      </c>
      <c r="O3211" s="730">
        <f t="shared" si="952"/>
        <v>0</v>
      </c>
      <c r="P3211" s="730">
        <f t="shared" si="952"/>
        <v>2605575.0499999998</v>
      </c>
      <c r="Q3211" s="748">
        <f t="shared" si="952"/>
        <v>2604468.09</v>
      </c>
      <c r="R3211" s="748">
        <f>SUM(R3212:R3228)</f>
        <v>1722620.3499999996</v>
      </c>
      <c r="S3211" s="748">
        <f t="shared" si="952"/>
        <v>2757747.9400000004</v>
      </c>
      <c r="T3211" s="731"/>
      <c r="U3211" s="732">
        <f>SUM(U3212:U3228)</f>
        <v>2494173.66</v>
      </c>
      <c r="V3211" s="733"/>
    </row>
    <row r="3212" spans="1:22" ht="15" x14ac:dyDescent="0.25">
      <c r="A3212" s="734">
        <v>1131</v>
      </c>
      <c r="B3212" s="735" t="s">
        <v>6</v>
      </c>
      <c r="C3212" s="736">
        <v>105410.27</v>
      </c>
      <c r="D3212" s="736">
        <v>319435.48</v>
      </c>
      <c r="E3212" s="749">
        <v>221268.93</v>
      </c>
      <c r="F3212" s="736">
        <v>259469.38</v>
      </c>
      <c r="G3212" s="736">
        <v>347551.6</v>
      </c>
      <c r="H3212" s="736"/>
      <c r="I3212" s="736"/>
      <c r="J3212" s="736">
        <f t="shared" ref="J3212:J3228" si="953">G3212+H3212-I3212</f>
        <v>347551.6</v>
      </c>
      <c r="K3212" s="736">
        <v>1564.92</v>
      </c>
      <c r="L3212" s="736"/>
      <c r="M3212" s="736">
        <f t="shared" ref="M3212:M3228" si="954">J3212+K3212-L3212</f>
        <v>349116.51999999996</v>
      </c>
      <c r="N3212" s="736"/>
      <c r="O3212" s="736"/>
      <c r="P3212" s="736">
        <f t="shared" ref="P3212:P3228" si="955">M3212+N3212-O3212</f>
        <v>349116.51999999996</v>
      </c>
      <c r="Q3212" s="738">
        <v>349116.52</v>
      </c>
      <c r="R3212" s="738">
        <v>251116.92</v>
      </c>
      <c r="S3212" s="751">
        <v>361029.76</v>
      </c>
      <c r="T3212" s="739">
        <v>1500521</v>
      </c>
      <c r="U3212" s="779">
        <v>360382.34</v>
      </c>
      <c r="V3212" s="741">
        <v>1500522</v>
      </c>
    </row>
    <row r="3213" spans="1:22" ht="15" x14ac:dyDescent="0.25">
      <c r="A3213" s="734">
        <v>1132</v>
      </c>
      <c r="B3213" s="735" t="s">
        <v>8</v>
      </c>
      <c r="C3213" s="736">
        <v>318330.38</v>
      </c>
      <c r="D3213" s="736">
        <v>377468</v>
      </c>
      <c r="E3213" s="749">
        <v>554064.61</v>
      </c>
      <c r="F3213" s="736">
        <v>572896.49</v>
      </c>
      <c r="G3213" s="736">
        <v>558092.1</v>
      </c>
      <c r="H3213" s="736"/>
      <c r="I3213" s="736"/>
      <c r="J3213" s="736">
        <f t="shared" si="953"/>
        <v>558092.1</v>
      </c>
      <c r="K3213" s="736">
        <v>25641.73</v>
      </c>
      <c r="L3213" s="736"/>
      <c r="M3213" s="736">
        <f t="shared" si="954"/>
        <v>583733.82999999996</v>
      </c>
      <c r="N3213" s="736"/>
      <c r="O3213" s="736"/>
      <c r="P3213" s="736">
        <f t="shared" si="955"/>
        <v>583733.82999999996</v>
      </c>
      <c r="Q3213" s="738">
        <v>583733.82999999996</v>
      </c>
      <c r="R3213" s="738">
        <v>356998.16</v>
      </c>
      <c r="S3213" s="751">
        <v>606678.80000000005</v>
      </c>
      <c r="T3213" s="739">
        <v>1500521</v>
      </c>
      <c r="U3213" s="779">
        <v>509983.63</v>
      </c>
      <c r="V3213" s="741">
        <v>1500522</v>
      </c>
    </row>
    <row r="3214" spans="1:22" ht="15" x14ac:dyDescent="0.25">
      <c r="A3214" s="734">
        <v>1321</v>
      </c>
      <c r="B3214" s="735" t="s">
        <v>9</v>
      </c>
      <c r="C3214" s="736">
        <v>24175.41</v>
      </c>
      <c r="D3214" s="736">
        <v>37457.660000000003</v>
      </c>
      <c r="E3214" s="749">
        <v>39980.660000000003</v>
      </c>
      <c r="F3214" s="736">
        <v>39967.39</v>
      </c>
      <c r="G3214" s="736">
        <v>48638.1</v>
      </c>
      <c r="H3214" s="736"/>
      <c r="I3214" s="736"/>
      <c r="J3214" s="736">
        <f t="shared" si="953"/>
        <v>48638.1</v>
      </c>
      <c r="K3214" s="736">
        <v>2016.56</v>
      </c>
      <c r="L3214" s="736"/>
      <c r="M3214" s="736">
        <f t="shared" si="954"/>
        <v>50654.659999999996</v>
      </c>
      <c r="N3214" s="736"/>
      <c r="O3214" s="736"/>
      <c r="P3214" s="736">
        <f t="shared" si="955"/>
        <v>50654.659999999996</v>
      </c>
      <c r="Q3214" s="738">
        <v>50654.66</v>
      </c>
      <c r="R3214" s="738">
        <v>22547.96</v>
      </c>
      <c r="S3214" s="751">
        <v>54888.6</v>
      </c>
      <c r="T3214" s="739">
        <v>1500521</v>
      </c>
      <c r="U3214" s="779">
        <v>46621.03</v>
      </c>
      <c r="V3214" s="741">
        <v>1500522</v>
      </c>
    </row>
    <row r="3215" spans="1:22" ht="15" x14ac:dyDescent="0.25">
      <c r="A3215" s="734">
        <v>1322</v>
      </c>
      <c r="B3215" s="735" t="s">
        <v>182</v>
      </c>
      <c r="C3215" s="736"/>
      <c r="D3215" s="736">
        <v>0</v>
      </c>
      <c r="E3215" s="736"/>
      <c r="F3215" s="736">
        <v>858.42</v>
      </c>
      <c r="G3215" s="736"/>
      <c r="H3215" s="736"/>
      <c r="I3215" s="736"/>
      <c r="J3215" s="736">
        <f t="shared" si="953"/>
        <v>0</v>
      </c>
      <c r="K3215" s="736"/>
      <c r="L3215" s="736"/>
      <c r="M3215" s="736">
        <f t="shared" si="954"/>
        <v>0</v>
      </c>
      <c r="N3215" s="736"/>
      <c r="O3215" s="736"/>
      <c r="P3215" s="738">
        <f t="shared" si="955"/>
        <v>0</v>
      </c>
      <c r="Q3215" s="738"/>
      <c r="R3215" s="738"/>
      <c r="S3215" s="751"/>
      <c r="T3215" s="739">
        <v>1500521</v>
      </c>
      <c r="U3215" s="779">
        <v>152275.68</v>
      </c>
      <c r="V3215" s="741">
        <v>1500522</v>
      </c>
    </row>
    <row r="3216" spans="1:22" ht="15" x14ac:dyDescent="0.25">
      <c r="A3216" s="734">
        <v>1323</v>
      </c>
      <c r="B3216" s="735" t="s">
        <v>11</v>
      </c>
      <c r="C3216" s="736">
        <v>84629</v>
      </c>
      <c r="D3216" s="736">
        <v>128324</v>
      </c>
      <c r="E3216" s="749">
        <v>141450.94</v>
      </c>
      <c r="F3216" s="736">
        <v>149004</v>
      </c>
      <c r="G3216" s="736">
        <v>162455.1</v>
      </c>
      <c r="H3216" s="736"/>
      <c r="I3216" s="736"/>
      <c r="J3216" s="736">
        <f t="shared" si="953"/>
        <v>162455.1</v>
      </c>
      <c r="K3216" s="736">
        <v>6553.46</v>
      </c>
      <c r="L3216" s="736"/>
      <c r="M3216" s="736">
        <f t="shared" si="954"/>
        <v>169008.56</v>
      </c>
      <c r="N3216" s="736"/>
      <c r="O3216" s="736"/>
      <c r="P3216" s="736">
        <f t="shared" si="955"/>
        <v>169008.56</v>
      </c>
      <c r="Q3216" s="738">
        <v>169008.56</v>
      </c>
      <c r="R3216" s="738">
        <v>113389</v>
      </c>
      <c r="S3216" s="751">
        <v>176050</v>
      </c>
      <c r="T3216" s="739">
        <v>1500521</v>
      </c>
      <c r="U3216" s="779">
        <v>217739.93</v>
      </c>
      <c r="V3216" s="741">
        <v>1500522</v>
      </c>
    </row>
    <row r="3217" spans="1:22" ht="15" x14ac:dyDescent="0.25">
      <c r="A3217" s="734">
        <v>1413</v>
      </c>
      <c r="B3217" s="735" t="s">
        <v>13</v>
      </c>
      <c r="C3217" s="736">
        <v>114485.37</v>
      </c>
      <c r="D3217" s="736">
        <v>185660.28</v>
      </c>
      <c r="E3217" s="749">
        <v>194629.28</v>
      </c>
      <c r="F3217" s="736">
        <v>191998.71</v>
      </c>
      <c r="G3217" s="736">
        <v>248375.1</v>
      </c>
      <c r="H3217" s="736"/>
      <c r="I3217" s="736"/>
      <c r="J3217" s="736">
        <f t="shared" si="953"/>
        <v>248375.1</v>
      </c>
      <c r="K3217" s="736">
        <v>12713.33</v>
      </c>
      <c r="L3217" s="736"/>
      <c r="M3217" s="736">
        <f t="shared" si="954"/>
        <v>261088.43</v>
      </c>
      <c r="N3217" s="736"/>
      <c r="O3217" s="736"/>
      <c r="P3217" s="736">
        <f t="shared" si="955"/>
        <v>261088.43</v>
      </c>
      <c r="Q3217" s="738">
        <v>261088.43</v>
      </c>
      <c r="R3217" s="738">
        <v>161775.29</v>
      </c>
      <c r="S3217" s="751">
        <v>282348.48</v>
      </c>
      <c r="T3217" s="739">
        <v>1500521</v>
      </c>
      <c r="U3217" s="779">
        <v>77238.5</v>
      </c>
      <c r="V3217" s="741">
        <v>1500522</v>
      </c>
    </row>
    <row r="3218" spans="1:22" ht="15" x14ac:dyDescent="0.25">
      <c r="A3218" s="734">
        <v>1421</v>
      </c>
      <c r="B3218" s="735" t="s">
        <v>15</v>
      </c>
      <c r="C3218" s="736">
        <v>38406.06</v>
      </c>
      <c r="D3218" s="736">
        <v>55796.14</v>
      </c>
      <c r="E3218" s="749">
        <v>54149.14</v>
      </c>
      <c r="F3218" s="736">
        <v>58666.1</v>
      </c>
      <c r="G3218" s="736">
        <v>71120.900000000009</v>
      </c>
      <c r="H3218" s="736"/>
      <c r="I3218" s="736"/>
      <c r="J3218" s="736">
        <f t="shared" si="953"/>
        <v>71120.900000000009</v>
      </c>
      <c r="K3218" s="736">
        <v>3885.44</v>
      </c>
      <c r="L3218" s="736"/>
      <c r="M3218" s="736">
        <f t="shared" si="954"/>
        <v>75006.340000000011</v>
      </c>
      <c r="N3218" s="736"/>
      <c r="O3218" s="736"/>
      <c r="P3218" s="736">
        <f t="shared" si="955"/>
        <v>75006.340000000011</v>
      </c>
      <c r="Q3218" s="738">
        <v>75006.34</v>
      </c>
      <c r="R3218" s="738">
        <v>42947.199999999997</v>
      </c>
      <c r="S3218" s="751">
        <v>77073.119999999995</v>
      </c>
      <c r="T3218" s="739">
        <v>1500521</v>
      </c>
      <c r="U3218" s="779">
        <v>78851.72</v>
      </c>
      <c r="V3218" s="741">
        <v>1500522</v>
      </c>
    </row>
    <row r="3219" spans="1:22" ht="15" x14ac:dyDescent="0.25">
      <c r="A3219" s="734">
        <v>1431</v>
      </c>
      <c r="B3219" s="735" t="s">
        <v>16</v>
      </c>
      <c r="C3219" s="736">
        <v>41157.17</v>
      </c>
      <c r="D3219" s="736">
        <v>57470.04</v>
      </c>
      <c r="E3219" s="749">
        <v>57470.04</v>
      </c>
      <c r="F3219" s="736">
        <v>62298</v>
      </c>
      <c r="G3219" s="736">
        <v>73254.600000000006</v>
      </c>
      <c r="H3219" s="736"/>
      <c r="I3219" s="736"/>
      <c r="J3219" s="736">
        <f t="shared" si="953"/>
        <v>73254.600000000006</v>
      </c>
      <c r="K3219" s="736">
        <v>3986.73</v>
      </c>
      <c r="L3219" s="736"/>
      <c r="M3219" s="736">
        <f t="shared" si="954"/>
        <v>77241.33</v>
      </c>
      <c r="N3219" s="736"/>
      <c r="O3219" s="736"/>
      <c r="P3219" s="736">
        <f t="shared" si="955"/>
        <v>77241.33</v>
      </c>
      <c r="Q3219" s="738">
        <v>77241.33</v>
      </c>
      <c r="R3219" s="738">
        <v>44277.39</v>
      </c>
      <c r="S3219" s="751">
        <v>79385.279999999999</v>
      </c>
      <c r="T3219" s="739">
        <v>1500521</v>
      </c>
      <c r="U3219" s="779">
        <v>22630.43</v>
      </c>
      <c r="V3219" s="741">
        <v>1500522</v>
      </c>
    </row>
    <row r="3220" spans="1:22" ht="15" x14ac:dyDescent="0.25">
      <c r="A3220" s="734">
        <v>1511</v>
      </c>
      <c r="B3220" s="735" t="s">
        <v>18</v>
      </c>
      <c r="C3220" s="736">
        <v>11389.47</v>
      </c>
      <c r="D3220" s="736">
        <v>22535.24</v>
      </c>
      <c r="E3220" s="749">
        <v>19821.240000000002</v>
      </c>
      <c r="F3220" s="736">
        <v>20610.87</v>
      </c>
      <c r="G3220" s="736">
        <v>23663.699999999997</v>
      </c>
      <c r="H3220" s="736"/>
      <c r="I3220" s="736"/>
      <c r="J3220" s="736">
        <f t="shared" si="953"/>
        <v>23663.699999999997</v>
      </c>
      <c r="K3220" s="736">
        <v>958.38</v>
      </c>
      <c r="L3220" s="736"/>
      <c r="M3220" s="736">
        <f t="shared" si="954"/>
        <v>24622.079999999998</v>
      </c>
      <c r="N3220" s="736"/>
      <c r="O3220" s="736"/>
      <c r="P3220" s="736">
        <f t="shared" si="955"/>
        <v>24622.079999999998</v>
      </c>
      <c r="Q3220" s="738">
        <v>24622.080000000002</v>
      </c>
      <c r="R3220" s="738">
        <v>15775</v>
      </c>
      <c r="S3220" s="751">
        <v>25625.599999999999</v>
      </c>
      <c r="T3220" s="739">
        <v>1500521</v>
      </c>
      <c r="U3220" s="779">
        <v>126232.86</v>
      </c>
      <c r="V3220" s="741">
        <v>1500522</v>
      </c>
    </row>
    <row r="3221" spans="1:22" ht="15" x14ac:dyDescent="0.25">
      <c r="A3221" s="734">
        <v>1541</v>
      </c>
      <c r="B3221" s="735" t="s">
        <v>19</v>
      </c>
      <c r="C3221" s="736">
        <v>40798.620000000003</v>
      </c>
      <c r="D3221" s="736">
        <v>53641.120000000003</v>
      </c>
      <c r="E3221" s="749">
        <v>71989.119999999995</v>
      </c>
      <c r="F3221" s="736">
        <v>77792.81</v>
      </c>
      <c r="G3221" s="736">
        <v>122834.5</v>
      </c>
      <c r="H3221" s="736"/>
      <c r="I3221" s="736"/>
      <c r="J3221" s="736">
        <f t="shared" si="953"/>
        <v>122834.5</v>
      </c>
      <c r="K3221" s="736">
        <v>4675.6400000000003</v>
      </c>
      <c r="L3221" s="736"/>
      <c r="M3221" s="736">
        <f t="shared" si="954"/>
        <v>127510.14</v>
      </c>
      <c r="N3221" s="736"/>
      <c r="O3221" s="736"/>
      <c r="P3221" s="736">
        <f t="shared" si="955"/>
        <v>127510.14</v>
      </c>
      <c r="Q3221" s="738">
        <v>127510.14</v>
      </c>
      <c r="R3221" s="738">
        <v>75949.279999999999</v>
      </c>
      <c r="S3221" s="751">
        <v>126232.86</v>
      </c>
      <c r="T3221" s="739">
        <v>1500521</v>
      </c>
      <c r="U3221" s="779">
        <v>274300.53999999998</v>
      </c>
      <c r="V3221" s="741">
        <v>1500522</v>
      </c>
    </row>
    <row r="3222" spans="1:22" ht="15" x14ac:dyDescent="0.2">
      <c r="A3222" s="739">
        <v>1592</v>
      </c>
      <c r="B3222" s="743" t="s">
        <v>20</v>
      </c>
      <c r="C3222" s="736">
        <v>146389.38</v>
      </c>
      <c r="D3222" s="736">
        <v>237295.24</v>
      </c>
      <c r="E3222" s="749">
        <v>250610.22</v>
      </c>
      <c r="F3222" s="736">
        <v>260259.44</v>
      </c>
      <c r="G3222" s="736">
        <v>289747.69999999995</v>
      </c>
      <c r="H3222" s="736"/>
      <c r="I3222" s="736"/>
      <c r="J3222" s="736">
        <f t="shared" si="953"/>
        <v>289747.69999999995</v>
      </c>
      <c r="K3222" s="736">
        <v>11845.46</v>
      </c>
      <c r="L3222" s="736"/>
      <c r="M3222" s="736">
        <f t="shared" si="954"/>
        <v>301593.15999999997</v>
      </c>
      <c r="N3222" s="736"/>
      <c r="O3222" s="736"/>
      <c r="P3222" s="736">
        <f t="shared" si="955"/>
        <v>301593.15999999997</v>
      </c>
      <c r="Q3222" s="738">
        <v>301593.15999999997</v>
      </c>
      <c r="R3222" s="738">
        <v>191611.74</v>
      </c>
      <c r="S3222" s="751">
        <v>313935.44</v>
      </c>
      <c r="T3222" s="739">
        <v>1500521</v>
      </c>
      <c r="U3222" s="750"/>
      <c r="V3222" s="739">
        <v>1500522</v>
      </c>
    </row>
    <row r="3223" spans="1:22" ht="15" x14ac:dyDescent="0.2">
      <c r="A3223" s="734">
        <v>2111</v>
      </c>
      <c r="B3223" s="735" t="s">
        <v>22</v>
      </c>
      <c r="C3223" s="736">
        <v>5842</v>
      </c>
      <c r="D3223" s="736">
        <v>10000</v>
      </c>
      <c r="E3223" s="749">
        <v>7000</v>
      </c>
      <c r="F3223" s="736">
        <v>6119.97</v>
      </c>
      <c r="G3223" s="752">
        <v>7000</v>
      </c>
      <c r="H3223" s="752"/>
      <c r="I3223" s="752"/>
      <c r="J3223" s="736">
        <f t="shared" si="953"/>
        <v>7000</v>
      </c>
      <c r="K3223" s="752"/>
      <c r="L3223" s="752"/>
      <c r="M3223" s="736">
        <f t="shared" si="954"/>
        <v>7000</v>
      </c>
      <c r="N3223" s="736"/>
      <c r="O3223" s="736"/>
      <c r="P3223" s="736">
        <f t="shared" si="955"/>
        <v>7000</v>
      </c>
      <c r="Q3223" s="753">
        <v>5893.04</v>
      </c>
      <c r="R3223" s="738">
        <v>4791.18</v>
      </c>
      <c r="S3223" s="753">
        <v>9100</v>
      </c>
      <c r="T3223" s="739">
        <v>1100121</v>
      </c>
      <c r="U3223" s="740">
        <v>9100</v>
      </c>
      <c r="V3223" s="741">
        <v>1100122</v>
      </c>
    </row>
    <row r="3224" spans="1:22" ht="15" x14ac:dyDescent="0.2">
      <c r="A3224" s="734">
        <v>2121</v>
      </c>
      <c r="B3224" s="735" t="s">
        <v>24</v>
      </c>
      <c r="C3224" s="736">
        <v>22327.64</v>
      </c>
      <c r="D3224" s="736">
        <v>60000</v>
      </c>
      <c r="E3224" s="749">
        <v>42000</v>
      </c>
      <c r="F3224" s="736">
        <v>28416</v>
      </c>
      <c r="G3224" s="752">
        <v>42000</v>
      </c>
      <c r="H3224" s="752"/>
      <c r="I3224" s="752"/>
      <c r="J3224" s="736">
        <f t="shared" si="953"/>
        <v>42000</v>
      </c>
      <c r="K3224" s="752"/>
      <c r="L3224" s="752"/>
      <c r="M3224" s="736">
        <f t="shared" si="954"/>
        <v>42000</v>
      </c>
      <c r="N3224" s="736"/>
      <c r="O3224" s="736"/>
      <c r="P3224" s="736">
        <f t="shared" si="955"/>
        <v>42000</v>
      </c>
      <c r="Q3224" s="753">
        <v>42000</v>
      </c>
      <c r="R3224" s="738">
        <v>32512.41</v>
      </c>
      <c r="S3224" s="753">
        <v>50400</v>
      </c>
      <c r="T3224" s="739">
        <v>1100121</v>
      </c>
      <c r="U3224" s="754">
        <v>50400</v>
      </c>
      <c r="V3224" s="741">
        <v>1100122</v>
      </c>
    </row>
    <row r="3225" spans="1:22" ht="15" x14ac:dyDescent="0.2">
      <c r="A3225" s="734">
        <v>2182</v>
      </c>
      <c r="B3225" s="735" t="s">
        <v>203</v>
      </c>
      <c r="C3225" s="736">
        <v>13351.6</v>
      </c>
      <c r="D3225" s="736">
        <v>30000</v>
      </c>
      <c r="E3225" s="749">
        <v>30000</v>
      </c>
      <c r="F3225" s="736">
        <v>13351.6</v>
      </c>
      <c r="G3225" s="752">
        <v>30000</v>
      </c>
      <c r="H3225" s="752"/>
      <c r="I3225" s="752"/>
      <c r="J3225" s="736">
        <f t="shared" si="953"/>
        <v>30000</v>
      </c>
      <c r="K3225" s="752"/>
      <c r="L3225" s="752"/>
      <c r="M3225" s="736">
        <f t="shared" si="954"/>
        <v>30000</v>
      </c>
      <c r="N3225" s="736"/>
      <c r="O3225" s="736"/>
      <c r="P3225" s="736">
        <f t="shared" si="955"/>
        <v>30000</v>
      </c>
      <c r="Q3225" s="753">
        <v>30000</v>
      </c>
      <c r="R3225" s="738">
        <v>27051.200000000001</v>
      </c>
      <c r="S3225" s="753">
        <v>34500</v>
      </c>
      <c r="T3225" s="739">
        <v>1100121</v>
      </c>
      <c r="U3225" s="754">
        <v>34500</v>
      </c>
      <c r="V3225" s="741">
        <v>1100122</v>
      </c>
    </row>
    <row r="3226" spans="1:22" ht="15" x14ac:dyDescent="0.2">
      <c r="A3226" s="734">
        <v>2491</v>
      </c>
      <c r="B3226" s="735" t="s">
        <v>41</v>
      </c>
      <c r="C3226" s="736"/>
      <c r="D3226" s="736">
        <v>10000</v>
      </c>
      <c r="E3226" s="749">
        <v>10000</v>
      </c>
      <c r="F3226" s="736">
        <v>1168</v>
      </c>
      <c r="G3226" s="752">
        <v>10000</v>
      </c>
      <c r="H3226" s="752"/>
      <c r="I3226" s="752"/>
      <c r="J3226" s="736">
        <f t="shared" si="953"/>
        <v>10000</v>
      </c>
      <c r="K3226" s="752"/>
      <c r="L3226" s="752"/>
      <c r="M3226" s="736">
        <f t="shared" si="954"/>
        <v>10000</v>
      </c>
      <c r="N3226" s="736"/>
      <c r="O3226" s="736"/>
      <c r="P3226" s="736">
        <f t="shared" si="955"/>
        <v>10000</v>
      </c>
      <c r="Q3226" s="753">
        <v>10000</v>
      </c>
      <c r="R3226" s="738">
        <v>8194.2099999999991</v>
      </c>
      <c r="S3226" s="753">
        <v>12000</v>
      </c>
      <c r="T3226" s="739">
        <v>1100121</v>
      </c>
      <c r="U3226" s="754">
        <v>12000</v>
      </c>
      <c r="V3226" s="741">
        <v>1100122</v>
      </c>
    </row>
    <row r="3227" spans="1:22" ht="15" x14ac:dyDescent="0.2">
      <c r="A3227" s="734">
        <v>3221</v>
      </c>
      <c r="B3227" s="735" t="s">
        <v>99</v>
      </c>
      <c r="C3227" s="736">
        <v>499594.69</v>
      </c>
      <c r="D3227" s="736">
        <v>479802.5</v>
      </c>
      <c r="E3227" s="749">
        <v>468035</v>
      </c>
      <c r="F3227" s="736">
        <v>468034.8</v>
      </c>
      <c r="G3227" s="752">
        <v>485000</v>
      </c>
      <c r="H3227" s="752"/>
      <c r="I3227" s="752"/>
      <c r="J3227" s="736">
        <f t="shared" si="953"/>
        <v>485000</v>
      </c>
      <c r="K3227" s="752"/>
      <c r="L3227" s="752"/>
      <c r="M3227" s="736">
        <f t="shared" si="954"/>
        <v>485000</v>
      </c>
      <c r="N3227" s="736"/>
      <c r="O3227" s="736"/>
      <c r="P3227" s="736">
        <f t="shared" si="955"/>
        <v>485000</v>
      </c>
      <c r="Q3227" s="753">
        <v>485000</v>
      </c>
      <c r="R3227" s="738">
        <v>362083.41</v>
      </c>
      <c r="S3227" s="753">
        <v>533500</v>
      </c>
      <c r="T3227" s="739">
        <v>1100121</v>
      </c>
      <c r="U3227" s="740">
        <v>506917</v>
      </c>
      <c r="V3227" s="741">
        <v>1100122</v>
      </c>
    </row>
    <row r="3228" spans="1:22" ht="30" x14ac:dyDescent="0.2">
      <c r="A3228" s="734">
        <v>3361</v>
      </c>
      <c r="B3228" s="735" t="s">
        <v>29</v>
      </c>
      <c r="C3228" s="736">
        <v>3480</v>
      </c>
      <c r="D3228" s="736">
        <v>12000</v>
      </c>
      <c r="E3228" s="749">
        <v>12000</v>
      </c>
      <c r="F3228" s="736">
        <v>11852.4</v>
      </c>
      <c r="G3228" s="752">
        <v>12000</v>
      </c>
      <c r="H3228" s="752"/>
      <c r="I3228" s="752"/>
      <c r="J3228" s="736">
        <f t="shared" si="953"/>
        <v>12000</v>
      </c>
      <c r="K3228" s="752"/>
      <c r="L3228" s="752"/>
      <c r="M3228" s="736">
        <f t="shared" si="954"/>
        <v>12000</v>
      </c>
      <c r="N3228" s="736"/>
      <c r="O3228" s="736"/>
      <c r="P3228" s="736">
        <f t="shared" si="955"/>
        <v>12000</v>
      </c>
      <c r="Q3228" s="753">
        <v>12000</v>
      </c>
      <c r="R3228" s="738">
        <v>11600</v>
      </c>
      <c r="S3228" s="753">
        <v>15000</v>
      </c>
      <c r="T3228" s="739">
        <v>1100121</v>
      </c>
      <c r="U3228" s="754">
        <v>15000</v>
      </c>
      <c r="V3228" s="741">
        <v>1100122</v>
      </c>
    </row>
    <row r="3229" spans="1:22" ht="15" x14ac:dyDescent="0.2">
      <c r="A3229" s="728" t="s">
        <v>349</v>
      </c>
      <c r="B3229" s="729" t="s">
        <v>1576</v>
      </c>
      <c r="C3229" s="730">
        <f t="shared" ref="C3229:S3229" si="956">SUM(C3230:C3242)</f>
        <v>706198.84</v>
      </c>
      <c r="D3229" s="730">
        <f t="shared" si="956"/>
        <v>702503.94000000006</v>
      </c>
      <c r="E3229" s="730">
        <f t="shared" si="956"/>
        <v>852383.01</v>
      </c>
      <c r="F3229" s="730">
        <f t="shared" si="956"/>
        <v>754760.45999999985</v>
      </c>
      <c r="G3229" s="730">
        <f t="shared" si="956"/>
        <v>1341274.5999999999</v>
      </c>
      <c r="H3229" s="730">
        <f t="shared" si="956"/>
        <v>0</v>
      </c>
      <c r="I3229" s="730">
        <f t="shared" si="956"/>
        <v>0</v>
      </c>
      <c r="J3229" s="730">
        <f t="shared" si="956"/>
        <v>1341274.5999999999</v>
      </c>
      <c r="K3229" s="730">
        <f t="shared" si="956"/>
        <v>52151.420000000006</v>
      </c>
      <c r="L3229" s="730">
        <f t="shared" si="956"/>
        <v>0.03</v>
      </c>
      <c r="M3229" s="730">
        <f t="shared" si="956"/>
        <v>1393425.9899999998</v>
      </c>
      <c r="N3229" s="730">
        <f t="shared" si="956"/>
        <v>0</v>
      </c>
      <c r="O3229" s="730">
        <f t="shared" si="956"/>
        <v>0</v>
      </c>
      <c r="P3229" s="730">
        <f t="shared" si="956"/>
        <v>1393425.9899999998</v>
      </c>
      <c r="Q3229" s="748">
        <f t="shared" si="956"/>
        <v>1406231.15</v>
      </c>
      <c r="R3229" s="748">
        <f>SUM(R3230:R3242)</f>
        <v>848869.51</v>
      </c>
      <c r="S3229" s="748">
        <f t="shared" si="956"/>
        <v>2355487.71</v>
      </c>
      <c r="T3229" s="731"/>
      <c r="U3229" s="732">
        <f>SUM(U3230:U3242)</f>
        <v>1479667.13</v>
      </c>
      <c r="V3229" s="733"/>
    </row>
    <row r="3230" spans="1:22" ht="15" x14ac:dyDescent="0.25">
      <c r="A3230" s="734">
        <v>1132</v>
      </c>
      <c r="B3230" s="735" t="s">
        <v>8</v>
      </c>
      <c r="C3230" s="736">
        <v>252918.15</v>
      </c>
      <c r="D3230" s="736">
        <v>188734</v>
      </c>
      <c r="E3230" s="749">
        <v>312201</v>
      </c>
      <c r="F3230" s="736">
        <v>332263.49</v>
      </c>
      <c r="G3230" s="736">
        <v>558092.1</v>
      </c>
      <c r="H3230" s="736"/>
      <c r="I3230" s="736"/>
      <c r="J3230" s="736">
        <f t="shared" ref="J3230:J3242" si="957">G3230+H3230-I3230</f>
        <v>558092.1</v>
      </c>
      <c r="K3230" s="736">
        <v>25641.73</v>
      </c>
      <c r="L3230" s="736"/>
      <c r="M3230" s="736">
        <f t="shared" ref="M3230:M3242" si="958">J3230+K3230-L3230</f>
        <v>583733.82999999996</v>
      </c>
      <c r="N3230" s="736"/>
      <c r="O3230" s="736"/>
      <c r="P3230" s="736">
        <f t="shared" ref="P3230:P3242" si="959">M3230+N3230-O3230</f>
        <v>583733.82999999996</v>
      </c>
      <c r="Q3230" s="738">
        <v>583733.82999999996</v>
      </c>
      <c r="R3230" s="738">
        <v>410639.88</v>
      </c>
      <c r="S3230" s="751">
        <v>1039547.6</v>
      </c>
      <c r="T3230" s="739">
        <v>1500521</v>
      </c>
      <c r="U3230" s="779">
        <v>645817.17000000004</v>
      </c>
      <c r="V3230" s="741">
        <v>1500522</v>
      </c>
    </row>
    <row r="3231" spans="1:22" ht="15" x14ac:dyDescent="0.25">
      <c r="A3231" s="734">
        <v>1321</v>
      </c>
      <c r="B3231" s="735" t="s">
        <v>9</v>
      </c>
      <c r="C3231" s="736">
        <v>11576.35</v>
      </c>
      <c r="D3231" s="736">
        <v>8457.1200000000008</v>
      </c>
      <c r="E3231" s="749">
        <v>14779.12</v>
      </c>
      <c r="F3231" s="736">
        <v>14779.12</v>
      </c>
      <c r="G3231" s="736">
        <v>21837.899999999998</v>
      </c>
      <c r="H3231" s="736"/>
      <c r="I3231" s="736"/>
      <c r="J3231" s="736">
        <f t="shared" si="957"/>
        <v>21837.899999999998</v>
      </c>
      <c r="K3231" s="736">
        <v>975.99</v>
      </c>
      <c r="L3231" s="736"/>
      <c r="M3231" s="736">
        <f t="shared" si="958"/>
        <v>22813.89</v>
      </c>
      <c r="N3231" s="736"/>
      <c r="O3231" s="736"/>
      <c r="P3231" s="736">
        <f t="shared" si="959"/>
        <v>22813.89</v>
      </c>
      <c r="Q3231" s="738">
        <v>22813.89</v>
      </c>
      <c r="R3231" s="738">
        <v>11016.38</v>
      </c>
      <c r="S3231" s="751">
        <v>45537.440000000002</v>
      </c>
      <c r="T3231" s="739">
        <v>1500521</v>
      </c>
      <c r="U3231" s="779">
        <v>22394.57</v>
      </c>
      <c r="V3231" s="741">
        <v>1500522</v>
      </c>
    </row>
    <row r="3232" spans="1:22" ht="15" x14ac:dyDescent="0.25">
      <c r="A3232" s="734">
        <v>1322</v>
      </c>
      <c r="B3232" s="735" t="s">
        <v>182</v>
      </c>
      <c r="C3232" s="736">
        <v>67447.320000000007</v>
      </c>
      <c r="D3232" s="736">
        <v>104000</v>
      </c>
      <c r="E3232" s="749">
        <v>61176.07</v>
      </c>
      <c r="F3232" s="736">
        <v>64598.05</v>
      </c>
      <c r="G3232" s="736">
        <v>61176.1</v>
      </c>
      <c r="H3232" s="736"/>
      <c r="I3232" s="736"/>
      <c r="J3232" s="736">
        <f t="shared" si="957"/>
        <v>61176.1</v>
      </c>
      <c r="K3232" s="736"/>
      <c r="L3232" s="736">
        <v>0.03</v>
      </c>
      <c r="M3232" s="736">
        <f t="shared" si="958"/>
        <v>61176.07</v>
      </c>
      <c r="N3232" s="736"/>
      <c r="O3232" s="736"/>
      <c r="P3232" s="736">
        <f t="shared" si="959"/>
        <v>61176.07</v>
      </c>
      <c r="Q3232" s="738">
        <v>61176.07</v>
      </c>
      <c r="R3232" s="738">
        <v>21601.64</v>
      </c>
      <c r="S3232" s="751">
        <v>61176.07</v>
      </c>
      <c r="T3232" s="739">
        <v>1500521</v>
      </c>
      <c r="U3232" s="779">
        <v>61176.07</v>
      </c>
      <c r="V3232" s="741">
        <v>1500522</v>
      </c>
    </row>
    <row r="3233" spans="1:22" ht="15" x14ac:dyDescent="0.25">
      <c r="A3233" s="734">
        <v>1323</v>
      </c>
      <c r="B3233" s="735" t="s">
        <v>11</v>
      </c>
      <c r="C3233" s="736">
        <v>49489</v>
      </c>
      <c r="D3233" s="736">
        <v>35238</v>
      </c>
      <c r="E3233" s="749">
        <v>65984</v>
      </c>
      <c r="F3233" s="736">
        <v>53791.93</v>
      </c>
      <c r="G3233" s="736">
        <v>101785.5</v>
      </c>
      <c r="H3233" s="736"/>
      <c r="I3233" s="736"/>
      <c r="J3233" s="736">
        <f t="shared" si="957"/>
        <v>101785.5</v>
      </c>
      <c r="K3233" s="736">
        <v>4521.08</v>
      </c>
      <c r="L3233" s="736"/>
      <c r="M3233" s="736">
        <f t="shared" si="958"/>
        <v>106306.58</v>
      </c>
      <c r="N3233" s="736"/>
      <c r="O3233" s="736"/>
      <c r="P3233" s="736">
        <f t="shared" si="959"/>
        <v>106306.58</v>
      </c>
      <c r="Q3233" s="738">
        <v>106306.58</v>
      </c>
      <c r="R3233" s="738">
        <v>78291</v>
      </c>
      <c r="S3233" s="751">
        <v>191478</v>
      </c>
      <c r="T3233" s="739">
        <v>1500521</v>
      </c>
      <c r="U3233" s="779">
        <v>105431.88</v>
      </c>
      <c r="V3233" s="741">
        <v>1500522</v>
      </c>
    </row>
    <row r="3234" spans="1:22" ht="15" x14ac:dyDescent="0.25">
      <c r="A3234" s="734">
        <v>1413</v>
      </c>
      <c r="B3234" s="735" t="s">
        <v>13</v>
      </c>
      <c r="C3234" s="736">
        <v>67545.56</v>
      </c>
      <c r="D3234" s="736">
        <v>51229.2</v>
      </c>
      <c r="E3234" s="749">
        <v>85389.2</v>
      </c>
      <c r="F3234" s="736">
        <v>74852.570000000007</v>
      </c>
      <c r="G3234" s="736">
        <v>154416.9</v>
      </c>
      <c r="H3234" s="736"/>
      <c r="I3234" s="736"/>
      <c r="J3234" s="736">
        <f t="shared" si="957"/>
        <v>154416.9</v>
      </c>
      <c r="K3234" s="736">
        <v>7443.15</v>
      </c>
      <c r="L3234" s="736"/>
      <c r="M3234" s="736">
        <f t="shared" si="958"/>
        <v>161860.04999999999</v>
      </c>
      <c r="N3234" s="736"/>
      <c r="O3234" s="736"/>
      <c r="P3234" s="736">
        <f t="shared" si="959"/>
        <v>161860.04999999999</v>
      </c>
      <c r="Q3234" s="738">
        <v>161860.04999999999</v>
      </c>
      <c r="R3234" s="738">
        <v>110084.59</v>
      </c>
      <c r="S3234" s="751">
        <v>306390.59999999998</v>
      </c>
      <c r="T3234" s="739">
        <v>1500521</v>
      </c>
      <c r="U3234" s="779">
        <v>148735.46</v>
      </c>
      <c r="V3234" s="741">
        <v>1500522</v>
      </c>
    </row>
    <row r="3235" spans="1:22" ht="15" x14ac:dyDescent="0.25">
      <c r="A3235" s="734">
        <v>1421</v>
      </c>
      <c r="B3235" s="735" t="s">
        <v>15</v>
      </c>
      <c r="C3235" s="736">
        <v>21999.7</v>
      </c>
      <c r="D3235" s="736">
        <v>15248.58</v>
      </c>
      <c r="E3235" s="749">
        <v>21894.58</v>
      </c>
      <c r="F3235" s="736">
        <v>21127.11</v>
      </c>
      <c r="G3235" s="736">
        <v>44164.2</v>
      </c>
      <c r="H3235" s="736"/>
      <c r="I3235" s="736"/>
      <c r="J3235" s="736">
        <f t="shared" si="957"/>
        <v>44164.2</v>
      </c>
      <c r="K3235" s="736">
        <v>2252.0100000000002</v>
      </c>
      <c r="L3235" s="736"/>
      <c r="M3235" s="736">
        <f t="shared" si="958"/>
        <v>46416.21</v>
      </c>
      <c r="N3235" s="736"/>
      <c r="O3235" s="736"/>
      <c r="P3235" s="736">
        <f t="shared" si="959"/>
        <v>46416.21</v>
      </c>
      <c r="Q3235" s="738">
        <v>46416.21</v>
      </c>
      <c r="R3235" s="738">
        <v>29285.65</v>
      </c>
      <c r="S3235" s="751">
        <v>83022.240000000005</v>
      </c>
      <c r="T3235" s="739">
        <v>1500521</v>
      </c>
      <c r="U3235" s="779">
        <v>52953.120000000003</v>
      </c>
      <c r="V3235" s="741">
        <v>1500522</v>
      </c>
    </row>
    <row r="3236" spans="1:22" ht="15" x14ac:dyDescent="0.25">
      <c r="A3236" s="734">
        <v>1431</v>
      </c>
      <c r="B3236" s="735" t="s">
        <v>16</v>
      </c>
      <c r="C3236" s="736">
        <v>23517.89</v>
      </c>
      <c r="D3236" s="736">
        <v>15705.96</v>
      </c>
      <c r="E3236" s="749">
        <v>22320.959999999999</v>
      </c>
      <c r="F3236" s="736">
        <v>21641.42</v>
      </c>
      <c r="G3236" s="736">
        <v>45489</v>
      </c>
      <c r="H3236" s="736"/>
      <c r="I3236" s="736"/>
      <c r="J3236" s="736">
        <f t="shared" si="957"/>
        <v>45489</v>
      </c>
      <c r="K3236" s="736">
        <v>2310.14</v>
      </c>
      <c r="L3236" s="736"/>
      <c r="M3236" s="736">
        <f t="shared" si="958"/>
        <v>47799.14</v>
      </c>
      <c r="N3236" s="736"/>
      <c r="O3236" s="736"/>
      <c r="P3236" s="736">
        <f t="shared" si="959"/>
        <v>47799.14</v>
      </c>
      <c r="Q3236" s="738">
        <v>47799.14</v>
      </c>
      <c r="R3236" s="738">
        <v>29902.62</v>
      </c>
      <c r="S3236" s="751">
        <v>85512.24</v>
      </c>
      <c r="T3236" s="739">
        <v>1500521</v>
      </c>
      <c r="U3236" s="779">
        <v>53143</v>
      </c>
      <c r="V3236" s="741">
        <v>1500522</v>
      </c>
    </row>
    <row r="3237" spans="1:22" ht="15" x14ac:dyDescent="0.25">
      <c r="A3237" s="734">
        <v>1511</v>
      </c>
      <c r="B3237" s="735" t="s">
        <v>18</v>
      </c>
      <c r="C3237" s="736">
        <v>6778.93</v>
      </c>
      <c r="D3237" s="736">
        <v>14112.28</v>
      </c>
      <c r="E3237" s="749">
        <v>10634.28</v>
      </c>
      <c r="F3237" s="736">
        <v>11138.44</v>
      </c>
      <c r="G3237" s="736">
        <v>14814.8</v>
      </c>
      <c r="H3237" s="736"/>
      <c r="I3237" s="736"/>
      <c r="J3237" s="736">
        <f t="shared" si="957"/>
        <v>14814.8</v>
      </c>
      <c r="K3237" s="736">
        <v>661.93</v>
      </c>
      <c r="L3237" s="736"/>
      <c r="M3237" s="736">
        <f t="shared" si="958"/>
        <v>15476.73</v>
      </c>
      <c r="N3237" s="736"/>
      <c r="O3237" s="736"/>
      <c r="P3237" s="736">
        <f t="shared" si="959"/>
        <v>15476.73</v>
      </c>
      <c r="Q3237" s="738">
        <v>15476.73</v>
      </c>
      <c r="R3237" s="738">
        <v>10833.36</v>
      </c>
      <c r="S3237" s="751">
        <v>27875.119999999999</v>
      </c>
      <c r="T3237" s="739">
        <v>1500521</v>
      </c>
      <c r="U3237" s="779">
        <v>15571.67</v>
      </c>
      <c r="V3237" s="741">
        <v>1500522</v>
      </c>
    </row>
    <row r="3238" spans="1:22" ht="15" x14ac:dyDescent="0.25">
      <c r="A3238" s="734">
        <v>1541</v>
      </c>
      <c r="B3238" s="735" t="s">
        <v>19</v>
      </c>
      <c r="C3238" s="736">
        <v>3522.66</v>
      </c>
      <c r="D3238" s="736">
        <v>1980.16</v>
      </c>
      <c r="E3238" s="749">
        <v>2190.16</v>
      </c>
      <c r="F3238" s="736">
        <v>2222.79</v>
      </c>
      <c r="G3238" s="736">
        <v>2396.6999999999998</v>
      </c>
      <c r="H3238" s="736"/>
      <c r="I3238" s="736"/>
      <c r="J3238" s="736">
        <f t="shared" si="957"/>
        <v>2396.6999999999998</v>
      </c>
      <c r="K3238" s="736">
        <v>91.18</v>
      </c>
      <c r="L3238" s="736"/>
      <c r="M3238" s="736">
        <f t="shared" si="958"/>
        <v>2487.8799999999997</v>
      </c>
      <c r="N3238" s="736"/>
      <c r="O3238" s="736"/>
      <c r="P3238" s="736">
        <f t="shared" si="959"/>
        <v>2487.8799999999997</v>
      </c>
      <c r="Q3238" s="738">
        <v>2487.88</v>
      </c>
      <c r="R3238" s="738">
        <v>1423.88</v>
      </c>
      <c r="S3238" s="751">
        <v>1941.16</v>
      </c>
      <c r="T3238" s="739">
        <v>1500521</v>
      </c>
      <c r="U3238" s="779">
        <v>3622</v>
      </c>
      <c r="V3238" s="741">
        <v>1500522</v>
      </c>
    </row>
    <row r="3239" spans="1:22" ht="15" x14ac:dyDescent="0.25">
      <c r="A3239" s="734">
        <v>1591</v>
      </c>
      <c r="B3239" s="735" t="s">
        <v>184</v>
      </c>
      <c r="C3239" s="736">
        <v>105525.02</v>
      </c>
      <c r="D3239" s="736">
        <v>180000</v>
      </c>
      <c r="E3239" s="749">
        <v>135195</v>
      </c>
      <c r="F3239" s="736">
        <v>33847.410000000003</v>
      </c>
      <c r="G3239" s="736">
        <v>135195</v>
      </c>
      <c r="H3239" s="736"/>
      <c r="I3239" s="736"/>
      <c r="J3239" s="736">
        <f t="shared" si="957"/>
        <v>135195</v>
      </c>
      <c r="K3239" s="736"/>
      <c r="L3239" s="736"/>
      <c r="M3239" s="736">
        <f t="shared" si="958"/>
        <v>135195</v>
      </c>
      <c r="N3239" s="736"/>
      <c r="O3239" s="736"/>
      <c r="P3239" s="736">
        <f t="shared" si="959"/>
        <v>135195</v>
      </c>
      <c r="Q3239" s="738">
        <v>135195</v>
      </c>
      <c r="R3239" s="738"/>
      <c r="S3239" s="751">
        <v>135195</v>
      </c>
      <c r="T3239" s="739">
        <v>1500521</v>
      </c>
      <c r="U3239" s="779">
        <v>135195</v>
      </c>
      <c r="V3239" s="741">
        <v>1500522</v>
      </c>
    </row>
    <row r="3240" spans="1:22" ht="15" x14ac:dyDescent="0.25">
      <c r="A3240" s="734">
        <v>1592</v>
      </c>
      <c r="B3240" s="735" t="s">
        <v>20</v>
      </c>
      <c r="C3240" s="736">
        <v>89504.26</v>
      </c>
      <c r="D3240" s="736">
        <v>67798.64</v>
      </c>
      <c r="E3240" s="749">
        <v>103618.64</v>
      </c>
      <c r="F3240" s="736">
        <v>109828.81</v>
      </c>
      <c r="G3240" s="736">
        <v>182906.4</v>
      </c>
      <c r="H3240" s="736"/>
      <c r="I3240" s="736"/>
      <c r="J3240" s="736">
        <f t="shared" si="957"/>
        <v>182906.4</v>
      </c>
      <c r="K3240" s="736">
        <v>8254.2099999999991</v>
      </c>
      <c r="L3240" s="736"/>
      <c r="M3240" s="736">
        <f t="shared" si="958"/>
        <v>191160.61</v>
      </c>
      <c r="N3240" s="736"/>
      <c r="O3240" s="736"/>
      <c r="P3240" s="736">
        <f t="shared" si="959"/>
        <v>191160.61</v>
      </c>
      <c r="Q3240" s="738">
        <v>203965.77</v>
      </c>
      <c r="R3240" s="738">
        <v>133733.81</v>
      </c>
      <c r="S3240" s="751">
        <v>354412.24</v>
      </c>
      <c r="T3240" s="739">
        <v>1500521</v>
      </c>
      <c r="U3240" s="779">
        <v>212227.19</v>
      </c>
      <c r="V3240" s="741">
        <v>1500522</v>
      </c>
    </row>
    <row r="3241" spans="1:22" ht="15" x14ac:dyDescent="0.2">
      <c r="A3241" s="734">
        <v>2111</v>
      </c>
      <c r="B3241" s="735" t="s">
        <v>22</v>
      </c>
      <c r="C3241" s="736">
        <v>6374</v>
      </c>
      <c r="D3241" s="736">
        <v>10000</v>
      </c>
      <c r="E3241" s="749">
        <v>7000</v>
      </c>
      <c r="F3241" s="736">
        <v>5669.32</v>
      </c>
      <c r="G3241" s="752">
        <v>7000</v>
      </c>
      <c r="H3241" s="752"/>
      <c r="I3241" s="752"/>
      <c r="J3241" s="736">
        <f t="shared" si="957"/>
        <v>7000</v>
      </c>
      <c r="K3241" s="752"/>
      <c r="L3241" s="752"/>
      <c r="M3241" s="736">
        <f t="shared" si="958"/>
        <v>7000</v>
      </c>
      <c r="N3241" s="736"/>
      <c r="O3241" s="736"/>
      <c r="P3241" s="736">
        <f t="shared" si="959"/>
        <v>7000</v>
      </c>
      <c r="Q3241" s="753">
        <v>7000</v>
      </c>
      <c r="R3241" s="738">
        <v>6056.7</v>
      </c>
      <c r="S3241" s="753">
        <v>8400</v>
      </c>
      <c r="T3241" s="739">
        <v>1100121</v>
      </c>
      <c r="U3241" s="754">
        <v>8400</v>
      </c>
      <c r="V3241" s="741">
        <v>1100122</v>
      </c>
    </row>
    <row r="3242" spans="1:22" ht="30" x14ac:dyDescent="0.2">
      <c r="A3242" s="734">
        <v>3361</v>
      </c>
      <c r="B3242" s="735" t="s">
        <v>29</v>
      </c>
      <c r="C3242" s="736"/>
      <c r="D3242" s="736">
        <v>10000</v>
      </c>
      <c r="E3242" s="749">
        <v>10000</v>
      </c>
      <c r="F3242" s="736">
        <v>9000</v>
      </c>
      <c r="G3242" s="752">
        <v>12000</v>
      </c>
      <c r="H3242" s="752"/>
      <c r="I3242" s="752"/>
      <c r="J3242" s="736">
        <f t="shared" si="957"/>
        <v>12000</v>
      </c>
      <c r="K3242" s="752"/>
      <c r="L3242" s="752"/>
      <c r="M3242" s="736">
        <f t="shared" si="958"/>
        <v>12000</v>
      </c>
      <c r="N3242" s="736"/>
      <c r="O3242" s="736"/>
      <c r="P3242" s="736">
        <f t="shared" si="959"/>
        <v>12000</v>
      </c>
      <c r="Q3242" s="753">
        <v>12000</v>
      </c>
      <c r="R3242" s="738">
        <v>6000</v>
      </c>
      <c r="S3242" s="753">
        <v>15000</v>
      </c>
      <c r="T3242" s="739">
        <v>1100121</v>
      </c>
      <c r="U3242" s="754">
        <v>15000</v>
      </c>
      <c r="V3242" s="741">
        <v>1100122</v>
      </c>
    </row>
    <row r="3243" spans="1:22" ht="15" x14ac:dyDescent="0.2">
      <c r="A3243" s="728" t="s">
        <v>350</v>
      </c>
      <c r="B3243" s="729" t="s">
        <v>1577</v>
      </c>
      <c r="C3243" s="730">
        <f t="shared" ref="C3243:Q3243" si="960">SUM(C3244:C3256)</f>
        <v>2159066.8100000005</v>
      </c>
      <c r="D3243" s="730">
        <f t="shared" si="960"/>
        <v>2266039.6800000002</v>
      </c>
      <c r="E3243" s="730">
        <f t="shared" si="960"/>
        <v>2652052.06</v>
      </c>
      <c r="F3243" s="730">
        <f t="shared" si="960"/>
        <v>2586630.75</v>
      </c>
      <c r="G3243" s="730">
        <f t="shared" si="960"/>
        <v>2737932</v>
      </c>
      <c r="H3243" s="730">
        <f t="shared" si="960"/>
        <v>0</v>
      </c>
      <c r="I3243" s="730">
        <f t="shared" si="960"/>
        <v>0</v>
      </c>
      <c r="J3243" s="730">
        <f t="shared" si="960"/>
        <v>2737932</v>
      </c>
      <c r="K3243" s="730">
        <f t="shared" si="960"/>
        <v>155636.1</v>
      </c>
      <c r="L3243" s="730">
        <f t="shared" si="960"/>
        <v>0.09</v>
      </c>
      <c r="M3243" s="730">
        <f t="shared" si="960"/>
        <v>2893568.0100000002</v>
      </c>
      <c r="N3243" s="730">
        <f t="shared" si="960"/>
        <v>0</v>
      </c>
      <c r="O3243" s="730">
        <f t="shared" si="960"/>
        <v>0</v>
      </c>
      <c r="P3243" s="730">
        <f t="shared" si="960"/>
        <v>2893568.0100000002</v>
      </c>
      <c r="Q3243" s="748">
        <f t="shared" si="960"/>
        <v>2893568.01</v>
      </c>
      <c r="R3243" s="748">
        <f>SUM(R3244:R3256)</f>
        <v>1739995.45</v>
      </c>
      <c r="S3243" s="748">
        <f>SUM(S3244:S3256)</f>
        <v>3877128.7099999995</v>
      </c>
      <c r="T3243" s="731"/>
      <c r="U3243" s="732">
        <f>SUM(U3244:U3256)</f>
        <v>2679059.8200000003</v>
      </c>
      <c r="V3243" s="733"/>
    </row>
    <row r="3244" spans="1:22" ht="15" x14ac:dyDescent="0.25">
      <c r="A3244" s="734">
        <v>1132</v>
      </c>
      <c r="B3244" s="735" t="s">
        <v>8</v>
      </c>
      <c r="C3244" s="736">
        <v>967320.54</v>
      </c>
      <c r="D3244" s="736">
        <v>931261.24</v>
      </c>
      <c r="E3244" s="749">
        <v>1188411.03</v>
      </c>
      <c r="F3244" s="736">
        <v>1233966.81</v>
      </c>
      <c r="G3244" s="736">
        <v>1239005.1000000001</v>
      </c>
      <c r="H3244" s="736"/>
      <c r="I3244" s="736"/>
      <c r="J3244" s="736">
        <f t="shared" ref="J3244:J3256" si="961">G3244+H3244-I3244</f>
        <v>1239005.1000000001</v>
      </c>
      <c r="K3244" s="737">
        <v>55612.87</v>
      </c>
      <c r="L3244" s="736"/>
      <c r="M3244" s="736">
        <f t="shared" ref="M3244:M3256" si="962">J3244+K3244-L3244</f>
        <v>1294617.9700000002</v>
      </c>
      <c r="N3244" s="736"/>
      <c r="O3244" s="736"/>
      <c r="P3244" s="736">
        <f t="shared" ref="P3244:P3256" si="963">M3244+N3244-O3244</f>
        <v>1294617.9700000002</v>
      </c>
      <c r="Q3244" s="738">
        <v>1294617.97</v>
      </c>
      <c r="R3244" s="738">
        <v>858140.81</v>
      </c>
      <c r="S3244" s="751">
        <v>1778372.96</v>
      </c>
      <c r="T3244" s="739">
        <v>1500521</v>
      </c>
      <c r="U3244" s="779">
        <v>1201453.08</v>
      </c>
      <c r="V3244" s="741">
        <v>1500522</v>
      </c>
    </row>
    <row r="3245" spans="1:22" ht="15" x14ac:dyDescent="0.25">
      <c r="A3245" s="734">
        <v>1321</v>
      </c>
      <c r="B3245" s="735" t="s">
        <v>9</v>
      </c>
      <c r="C3245" s="736">
        <v>48301.01</v>
      </c>
      <c r="D3245" s="736">
        <v>47399.360000000001</v>
      </c>
      <c r="E3245" s="749">
        <v>44343.360000000001</v>
      </c>
      <c r="F3245" s="736">
        <v>44593.79</v>
      </c>
      <c r="G3245" s="736">
        <v>47537.4</v>
      </c>
      <c r="H3245" s="736"/>
      <c r="I3245" s="736"/>
      <c r="J3245" s="736">
        <f t="shared" si="961"/>
        <v>47537.4</v>
      </c>
      <c r="K3245" s="737">
        <v>2080.67</v>
      </c>
      <c r="L3245" s="736"/>
      <c r="M3245" s="736">
        <f t="shared" si="962"/>
        <v>49618.07</v>
      </c>
      <c r="N3245" s="736"/>
      <c r="O3245" s="736"/>
      <c r="P3245" s="736">
        <f t="shared" si="963"/>
        <v>49618.07</v>
      </c>
      <c r="Q3245" s="738">
        <v>49618.07</v>
      </c>
      <c r="R3245" s="738">
        <v>22669.72</v>
      </c>
      <c r="S3245" s="751">
        <v>74891.679999999993</v>
      </c>
      <c r="T3245" s="739">
        <v>1500521</v>
      </c>
      <c r="U3245" s="779">
        <v>40282.089999999997</v>
      </c>
      <c r="V3245" s="741">
        <v>1500522</v>
      </c>
    </row>
    <row r="3246" spans="1:22" ht="15" x14ac:dyDescent="0.25">
      <c r="A3246" s="734">
        <v>1322</v>
      </c>
      <c r="B3246" s="735" t="s">
        <v>182</v>
      </c>
      <c r="C3246" s="736">
        <v>108419.07</v>
      </c>
      <c r="D3246" s="736">
        <v>144800</v>
      </c>
      <c r="E3246" s="749">
        <v>103200.01</v>
      </c>
      <c r="F3246" s="736">
        <v>103885.94</v>
      </c>
      <c r="G3246" s="736">
        <v>103200.1</v>
      </c>
      <c r="H3246" s="736"/>
      <c r="I3246" s="736"/>
      <c r="J3246" s="736">
        <f t="shared" si="961"/>
        <v>103200.1</v>
      </c>
      <c r="K3246" s="736"/>
      <c r="L3246" s="736">
        <v>0.09</v>
      </c>
      <c r="M3246" s="736">
        <f t="shared" si="962"/>
        <v>103200.01000000001</v>
      </c>
      <c r="N3246" s="736"/>
      <c r="O3246" s="736"/>
      <c r="P3246" s="736">
        <f t="shared" si="963"/>
        <v>103200.01000000001</v>
      </c>
      <c r="Q3246" s="738">
        <v>103200.01</v>
      </c>
      <c r="R3246" s="738">
        <v>27648.61</v>
      </c>
      <c r="S3246" s="751">
        <v>103200.01</v>
      </c>
      <c r="T3246" s="739">
        <v>1500521</v>
      </c>
      <c r="U3246" s="779">
        <v>103200.01</v>
      </c>
      <c r="V3246" s="741">
        <v>1500522</v>
      </c>
    </row>
    <row r="3247" spans="1:22" ht="15" x14ac:dyDescent="0.25">
      <c r="A3247" s="734">
        <v>1323</v>
      </c>
      <c r="B3247" s="735" t="s">
        <v>11</v>
      </c>
      <c r="C3247" s="736">
        <v>181898.64</v>
      </c>
      <c r="D3247" s="736">
        <v>168319</v>
      </c>
      <c r="E3247" s="749">
        <v>248307.08</v>
      </c>
      <c r="F3247" s="736">
        <v>214117.45</v>
      </c>
      <c r="G3247" s="736">
        <v>222981.1</v>
      </c>
      <c r="H3247" s="736"/>
      <c r="I3247" s="736"/>
      <c r="J3247" s="736">
        <f t="shared" si="961"/>
        <v>222981.1</v>
      </c>
      <c r="K3247" s="737">
        <v>9690.48</v>
      </c>
      <c r="L3247" s="736"/>
      <c r="M3247" s="736">
        <f t="shared" si="962"/>
        <v>232671.58000000002</v>
      </c>
      <c r="N3247" s="736"/>
      <c r="O3247" s="736"/>
      <c r="P3247" s="736">
        <f t="shared" si="963"/>
        <v>232671.58000000002</v>
      </c>
      <c r="Q3247" s="738">
        <v>232671.58</v>
      </c>
      <c r="R3247" s="738">
        <v>160270</v>
      </c>
      <c r="S3247" s="751">
        <v>323136</v>
      </c>
      <c r="T3247" s="739">
        <v>1500521</v>
      </c>
      <c r="U3247" s="779">
        <v>210564.4</v>
      </c>
      <c r="V3247" s="741">
        <v>1500522</v>
      </c>
    </row>
    <row r="3248" spans="1:22" ht="15" x14ac:dyDescent="0.25">
      <c r="A3248" s="734">
        <v>1413</v>
      </c>
      <c r="B3248" s="735" t="s">
        <v>13</v>
      </c>
      <c r="C3248" s="736">
        <v>239209.65</v>
      </c>
      <c r="D3248" s="736">
        <v>236693.94</v>
      </c>
      <c r="E3248" s="749">
        <v>309563.94</v>
      </c>
      <c r="F3248" s="736">
        <v>317941.28000000003</v>
      </c>
      <c r="G3248" s="736">
        <v>332946.19999999995</v>
      </c>
      <c r="H3248" s="736"/>
      <c r="I3248" s="736"/>
      <c r="J3248" s="736">
        <f t="shared" si="961"/>
        <v>332946.19999999995</v>
      </c>
      <c r="K3248" s="737">
        <v>16302.86</v>
      </c>
      <c r="L3248" s="736"/>
      <c r="M3248" s="736">
        <f t="shared" si="962"/>
        <v>349249.05999999994</v>
      </c>
      <c r="N3248" s="736"/>
      <c r="O3248" s="736"/>
      <c r="P3248" s="736">
        <f t="shared" si="963"/>
        <v>349249.05999999994</v>
      </c>
      <c r="Q3248" s="738">
        <v>349249.06</v>
      </c>
      <c r="R3248" s="738">
        <v>223033.5</v>
      </c>
      <c r="S3248" s="751">
        <v>510151.8</v>
      </c>
      <c r="T3248" s="739">
        <v>1500521</v>
      </c>
      <c r="U3248" s="779">
        <v>327208.15000000002</v>
      </c>
      <c r="V3248" s="741">
        <v>1500522</v>
      </c>
    </row>
    <row r="3249" spans="1:22" ht="15" x14ac:dyDescent="0.25">
      <c r="A3249" s="734">
        <v>1421</v>
      </c>
      <c r="B3249" s="735" t="s">
        <v>15</v>
      </c>
      <c r="C3249" s="736">
        <v>81141.62</v>
      </c>
      <c r="D3249" s="736">
        <v>73120</v>
      </c>
      <c r="E3249" s="749">
        <v>91067</v>
      </c>
      <c r="F3249" s="736">
        <v>102381.22</v>
      </c>
      <c r="G3249" s="736">
        <v>96780</v>
      </c>
      <c r="H3249" s="736"/>
      <c r="I3249" s="736"/>
      <c r="J3249" s="736">
        <f t="shared" si="961"/>
        <v>96780</v>
      </c>
      <c r="K3249" s="737">
        <v>5002.3100000000004</v>
      </c>
      <c r="L3249" s="736"/>
      <c r="M3249" s="736">
        <f t="shared" si="962"/>
        <v>101782.31</v>
      </c>
      <c r="N3249" s="736"/>
      <c r="O3249" s="736"/>
      <c r="P3249" s="736">
        <f t="shared" si="963"/>
        <v>101782.31</v>
      </c>
      <c r="Q3249" s="738">
        <v>101782.31</v>
      </c>
      <c r="R3249" s="738">
        <v>60109.8</v>
      </c>
      <c r="S3249" s="751">
        <v>140132.88</v>
      </c>
      <c r="T3249" s="739">
        <v>1500521</v>
      </c>
      <c r="U3249" s="779">
        <v>106375.96</v>
      </c>
      <c r="V3249" s="741">
        <v>1500522</v>
      </c>
    </row>
    <row r="3250" spans="1:22" ht="15" x14ac:dyDescent="0.25">
      <c r="A3250" s="734">
        <v>1431</v>
      </c>
      <c r="B3250" s="735" t="s">
        <v>16</v>
      </c>
      <c r="C3250" s="736">
        <v>87233.79</v>
      </c>
      <c r="D3250" s="736">
        <v>75313.320000000007</v>
      </c>
      <c r="E3250" s="749">
        <v>96614.32</v>
      </c>
      <c r="F3250" s="736">
        <v>109141.72</v>
      </c>
      <c r="G3250" s="736">
        <v>99683.200000000012</v>
      </c>
      <c r="H3250" s="736"/>
      <c r="I3250" s="736"/>
      <c r="J3250" s="736">
        <f t="shared" si="961"/>
        <v>99683.200000000012</v>
      </c>
      <c r="K3250" s="737">
        <v>5131.45</v>
      </c>
      <c r="L3250" s="736"/>
      <c r="M3250" s="736">
        <f t="shared" si="962"/>
        <v>104814.65000000001</v>
      </c>
      <c r="N3250" s="736"/>
      <c r="O3250" s="736"/>
      <c r="P3250" s="736">
        <f t="shared" si="963"/>
        <v>104814.65000000001</v>
      </c>
      <c r="Q3250" s="738">
        <v>104814.65</v>
      </c>
      <c r="R3250" s="738">
        <v>61949.51</v>
      </c>
      <c r="S3250" s="751">
        <v>144335.88</v>
      </c>
      <c r="T3250" s="739">
        <v>1500521</v>
      </c>
      <c r="U3250" s="779">
        <v>108651.31</v>
      </c>
      <c r="V3250" s="741">
        <v>1500522</v>
      </c>
    </row>
    <row r="3251" spans="1:22" ht="15" x14ac:dyDescent="0.25">
      <c r="A3251" s="734">
        <v>1511</v>
      </c>
      <c r="B3251" s="735" t="s">
        <v>18</v>
      </c>
      <c r="C3251" s="736">
        <v>24705.82</v>
      </c>
      <c r="D3251" s="736">
        <v>24511.759999999998</v>
      </c>
      <c r="E3251" s="749">
        <v>28820.76</v>
      </c>
      <c r="F3251" s="736">
        <v>29823.200000000001</v>
      </c>
      <c r="G3251" s="736">
        <v>32468.799999999999</v>
      </c>
      <c r="H3251" s="736"/>
      <c r="I3251" s="736"/>
      <c r="J3251" s="736">
        <f t="shared" si="961"/>
        <v>32468.799999999999</v>
      </c>
      <c r="K3251" s="737">
        <v>1419</v>
      </c>
      <c r="L3251" s="736"/>
      <c r="M3251" s="736">
        <f t="shared" si="962"/>
        <v>33887.800000000003</v>
      </c>
      <c r="N3251" s="736"/>
      <c r="O3251" s="736"/>
      <c r="P3251" s="736">
        <f t="shared" si="963"/>
        <v>33887.800000000003</v>
      </c>
      <c r="Q3251" s="738">
        <v>33887.800000000003</v>
      </c>
      <c r="R3251" s="738">
        <v>22151.98</v>
      </c>
      <c r="S3251" s="751">
        <v>47043.360000000001</v>
      </c>
      <c r="T3251" s="739">
        <v>1500521</v>
      </c>
      <c r="U3251" s="779">
        <v>31052.18</v>
      </c>
      <c r="V3251" s="741">
        <v>1500522</v>
      </c>
    </row>
    <row r="3252" spans="1:22" ht="15" x14ac:dyDescent="0.25">
      <c r="A3252" s="734">
        <v>1541</v>
      </c>
      <c r="B3252" s="735" t="s">
        <v>19</v>
      </c>
      <c r="C3252" s="736">
        <v>20067.849999999999</v>
      </c>
      <c r="D3252" s="736">
        <v>20519.98</v>
      </c>
      <c r="E3252" s="749">
        <v>9750.98</v>
      </c>
      <c r="F3252" s="736">
        <v>9842.48</v>
      </c>
      <c r="G3252" s="736">
        <v>6509.5</v>
      </c>
      <c r="H3252" s="736"/>
      <c r="I3252" s="736"/>
      <c r="J3252" s="736">
        <f t="shared" si="961"/>
        <v>6509.5</v>
      </c>
      <c r="K3252" s="737">
        <v>247.66</v>
      </c>
      <c r="L3252" s="736"/>
      <c r="M3252" s="736">
        <f t="shared" si="962"/>
        <v>6757.16</v>
      </c>
      <c r="N3252" s="736"/>
      <c r="O3252" s="736"/>
      <c r="P3252" s="736">
        <f t="shared" si="963"/>
        <v>6757.16</v>
      </c>
      <c r="Q3252" s="738">
        <v>6757.16</v>
      </c>
      <c r="R3252" s="738">
        <v>3867.13</v>
      </c>
      <c r="S3252" s="751">
        <v>5272.02</v>
      </c>
      <c r="T3252" s="739">
        <v>1500521</v>
      </c>
      <c r="U3252" s="779">
        <v>6602.33</v>
      </c>
      <c r="V3252" s="741">
        <v>1500522</v>
      </c>
    </row>
    <row r="3253" spans="1:22" ht="15" x14ac:dyDescent="0.25">
      <c r="A3253" s="734">
        <v>1591</v>
      </c>
      <c r="B3253" s="735" t="s">
        <v>184</v>
      </c>
      <c r="C3253" s="736">
        <v>95719.18</v>
      </c>
      <c r="D3253" s="736">
        <v>230000</v>
      </c>
      <c r="E3253" s="749">
        <v>152785</v>
      </c>
      <c r="F3253" s="736">
        <v>30428.54</v>
      </c>
      <c r="G3253" s="736">
        <v>152785</v>
      </c>
      <c r="H3253" s="736"/>
      <c r="I3253" s="736"/>
      <c r="J3253" s="736">
        <f t="shared" si="961"/>
        <v>152785</v>
      </c>
      <c r="K3253" s="736"/>
      <c r="L3253" s="736"/>
      <c r="M3253" s="736">
        <f t="shared" si="962"/>
        <v>152785</v>
      </c>
      <c r="N3253" s="736"/>
      <c r="O3253" s="736"/>
      <c r="P3253" s="736">
        <f t="shared" si="963"/>
        <v>152785</v>
      </c>
      <c r="Q3253" s="738">
        <v>152785</v>
      </c>
      <c r="R3253" s="738"/>
      <c r="S3253" s="751">
        <v>152785</v>
      </c>
      <c r="T3253" s="739">
        <v>1500521</v>
      </c>
      <c r="U3253" s="779">
        <v>152785</v>
      </c>
      <c r="V3253" s="741">
        <v>1500522</v>
      </c>
    </row>
    <row r="3254" spans="1:22" ht="15" x14ac:dyDescent="0.25">
      <c r="A3254" s="734">
        <v>1592</v>
      </c>
      <c r="B3254" s="735" t="s">
        <v>20</v>
      </c>
      <c r="C3254" s="736">
        <v>298724.64</v>
      </c>
      <c r="D3254" s="736">
        <v>294101.08</v>
      </c>
      <c r="E3254" s="749">
        <v>362188.58</v>
      </c>
      <c r="F3254" s="736">
        <v>374008.32000000001</v>
      </c>
      <c r="G3254" s="736">
        <v>385035.6</v>
      </c>
      <c r="H3254" s="736"/>
      <c r="I3254" s="736"/>
      <c r="J3254" s="736">
        <f t="shared" si="961"/>
        <v>385035.6</v>
      </c>
      <c r="K3254" s="737">
        <v>17148.8</v>
      </c>
      <c r="L3254" s="736"/>
      <c r="M3254" s="736">
        <f t="shared" si="962"/>
        <v>402184.39999999997</v>
      </c>
      <c r="N3254" s="736"/>
      <c r="O3254" s="736"/>
      <c r="P3254" s="736">
        <f t="shared" si="963"/>
        <v>402184.39999999997</v>
      </c>
      <c r="Q3254" s="738">
        <v>402184.4</v>
      </c>
      <c r="R3254" s="738">
        <v>260538.91</v>
      </c>
      <c r="S3254" s="751">
        <v>574057.12</v>
      </c>
      <c r="T3254" s="739">
        <v>1500521</v>
      </c>
      <c r="U3254" s="779">
        <v>367135.31</v>
      </c>
      <c r="V3254" s="741">
        <v>1500522</v>
      </c>
    </row>
    <row r="3255" spans="1:22" ht="15" x14ac:dyDescent="0.2">
      <c r="A3255" s="734">
        <v>2111</v>
      </c>
      <c r="B3255" s="735" t="s">
        <v>22</v>
      </c>
      <c r="C3255" s="736">
        <v>6325</v>
      </c>
      <c r="D3255" s="736">
        <v>10000</v>
      </c>
      <c r="E3255" s="749">
        <v>7000</v>
      </c>
      <c r="F3255" s="736">
        <v>6500</v>
      </c>
      <c r="G3255" s="752">
        <v>7000</v>
      </c>
      <c r="H3255" s="752"/>
      <c r="I3255" s="752"/>
      <c r="J3255" s="736">
        <f t="shared" si="961"/>
        <v>7000</v>
      </c>
      <c r="K3255" s="752"/>
      <c r="L3255" s="752"/>
      <c r="M3255" s="736">
        <f t="shared" si="962"/>
        <v>7000</v>
      </c>
      <c r="N3255" s="736"/>
      <c r="O3255" s="736"/>
      <c r="P3255" s="736">
        <f t="shared" si="963"/>
        <v>7000</v>
      </c>
      <c r="Q3255" s="753">
        <v>7000</v>
      </c>
      <c r="R3255" s="738">
        <v>5567.48</v>
      </c>
      <c r="S3255" s="753">
        <v>8750</v>
      </c>
      <c r="T3255" s="739">
        <v>1100121</v>
      </c>
      <c r="U3255" s="754">
        <v>8750</v>
      </c>
      <c r="V3255" s="741">
        <v>1100122</v>
      </c>
    </row>
    <row r="3256" spans="1:22" ht="30" x14ac:dyDescent="0.2">
      <c r="A3256" s="734">
        <v>3361</v>
      </c>
      <c r="B3256" s="735" t="s">
        <v>29</v>
      </c>
      <c r="C3256" s="736"/>
      <c r="D3256" s="736">
        <v>10000</v>
      </c>
      <c r="E3256" s="749">
        <v>10000</v>
      </c>
      <c r="F3256" s="736">
        <v>10000</v>
      </c>
      <c r="G3256" s="909">
        <v>12000</v>
      </c>
      <c r="H3256" s="909"/>
      <c r="I3256" s="909"/>
      <c r="J3256" s="736">
        <f t="shared" si="961"/>
        <v>12000</v>
      </c>
      <c r="K3256" s="909">
        <v>43000</v>
      </c>
      <c r="L3256" s="909"/>
      <c r="M3256" s="736">
        <f t="shared" si="962"/>
        <v>55000</v>
      </c>
      <c r="N3256" s="736"/>
      <c r="O3256" s="736"/>
      <c r="P3256" s="736">
        <f t="shared" si="963"/>
        <v>55000</v>
      </c>
      <c r="Q3256" s="910">
        <v>55000</v>
      </c>
      <c r="R3256" s="738">
        <v>34048</v>
      </c>
      <c r="S3256" s="910">
        <v>15000</v>
      </c>
      <c r="T3256" s="739">
        <v>1100121</v>
      </c>
      <c r="U3256" s="754">
        <v>15000</v>
      </c>
      <c r="V3256" s="741">
        <v>1100122</v>
      </c>
    </row>
    <row r="3257" spans="1:22" ht="15" x14ac:dyDescent="0.2">
      <c r="A3257" s="728" t="s">
        <v>351</v>
      </c>
      <c r="B3257" s="729" t="s">
        <v>1578</v>
      </c>
      <c r="C3257" s="730">
        <f>SUM(C3258:C3307)</f>
        <v>4832746.34</v>
      </c>
      <c r="D3257" s="730">
        <f t="shared" ref="D3257:I3257" si="964">SUM(D3258:D3305)</f>
        <v>4797980.74</v>
      </c>
      <c r="E3257" s="730">
        <f t="shared" si="964"/>
        <v>5250811.2100000009</v>
      </c>
      <c r="F3257" s="730">
        <f t="shared" si="964"/>
        <v>5188486.1000000006</v>
      </c>
      <c r="G3257" s="730">
        <f t="shared" si="964"/>
        <v>6752426.9400000004</v>
      </c>
      <c r="H3257" s="730">
        <f t="shared" si="964"/>
        <v>785290.76</v>
      </c>
      <c r="I3257" s="730">
        <f t="shared" si="964"/>
        <v>715333.44</v>
      </c>
      <c r="J3257" s="730">
        <f>SUM(J3258:J3307)</f>
        <v>6822384.2600000007</v>
      </c>
      <c r="K3257" s="730">
        <f t="shared" ref="K3257:L3257" si="965">SUM(K3258:K3305)</f>
        <v>484009.23</v>
      </c>
      <c r="L3257" s="730">
        <f t="shared" si="965"/>
        <v>191586.79</v>
      </c>
      <c r="M3257" s="730">
        <f t="shared" ref="M3257:Q3257" si="966">SUM(M3258:M3307)</f>
        <v>7114806.6999999993</v>
      </c>
      <c r="N3257" s="730">
        <f t="shared" si="966"/>
        <v>806500</v>
      </c>
      <c r="O3257" s="730">
        <f t="shared" si="966"/>
        <v>866500</v>
      </c>
      <c r="P3257" s="730">
        <f t="shared" si="966"/>
        <v>7054806.6999999993</v>
      </c>
      <c r="Q3257" s="748">
        <f t="shared" si="966"/>
        <v>7316835.8099999996</v>
      </c>
      <c r="R3257" s="748">
        <f>SUM(R3258:R3307)</f>
        <v>4712763.4000000004</v>
      </c>
      <c r="S3257" s="748">
        <f t="shared" ref="S3257" si="967">SUM(S3258:S3305)</f>
        <v>8713601.8599999975</v>
      </c>
      <c r="T3257" s="731"/>
      <c r="U3257" s="732">
        <f>SUM(U3258:U3307)</f>
        <v>8051033.0200000005</v>
      </c>
      <c r="V3257" s="733"/>
    </row>
    <row r="3258" spans="1:22" ht="15" x14ac:dyDescent="0.25">
      <c r="A3258" s="734">
        <v>1131</v>
      </c>
      <c r="B3258" s="735" t="s">
        <v>6</v>
      </c>
      <c r="C3258" s="736">
        <v>71530.36</v>
      </c>
      <c r="D3258" s="736">
        <v>68661.320000000007</v>
      </c>
      <c r="E3258" s="749">
        <v>68661.320000000007</v>
      </c>
      <c r="F3258" s="736">
        <v>73064.039999999994</v>
      </c>
      <c r="G3258" s="736">
        <v>74705.3</v>
      </c>
      <c r="H3258" s="736"/>
      <c r="I3258" s="736"/>
      <c r="J3258" s="736">
        <f t="shared" ref="J3258:J3289" si="968">G3258+H3258-I3258</f>
        <v>74705.3</v>
      </c>
      <c r="K3258" s="737">
        <v>333.41</v>
      </c>
      <c r="L3258" s="736"/>
      <c r="M3258" s="736">
        <f t="shared" ref="M3258:M3289" si="969">J3258+K3258-L3258</f>
        <v>75038.710000000006</v>
      </c>
      <c r="N3258" s="736"/>
      <c r="O3258" s="736"/>
      <c r="P3258" s="736">
        <f t="shared" ref="P3258:P3301" si="970">M3258+N3258-O3258</f>
        <v>75038.710000000006</v>
      </c>
      <c r="Q3258" s="738">
        <v>75038.710000000006</v>
      </c>
      <c r="R3258" s="738">
        <v>54126.2</v>
      </c>
      <c r="S3258" s="751">
        <v>77601.16</v>
      </c>
      <c r="T3258" s="739">
        <v>1500521</v>
      </c>
      <c r="U3258" s="779">
        <v>77648.22</v>
      </c>
      <c r="V3258" s="741">
        <v>1500522</v>
      </c>
    </row>
    <row r="3259" spans="1:22" ht="15" x14ac:dyDescent="0.25">
      <c r="A3259" s="734">
        <v>1132</v>
      </c>
      <c r="B3259" s="735" t="s">
        <v>8</v>
      </c>
      <c r="C3259" s="736">
        <v>810831.6</v>
      </c>
      <c r="D3259" s="736">
        <v>566202</v>
      </c>
      <c r="E3259" s="749">
        <v>672353</v>
      </c>
      <c r="F3259" s="736">
        <v>706313.69</v>
      </c>
      <c r="G3259" s="736">
        <v>908097.4</v>
      </c>
      <c r="H3259" s="736"/>
      <c r="I3259" s="736"/>
      <c r="J3259" s="736">
        <f t="shared" si="968"/>
        <v>908097.4</v>
      </c>
      <c r="K3259" s="736"/>
      <c r="L3259" s="736">
        <v>138148.76</v>
      </c>
      <c r="M3259" s="736">
        <f t="shared" si="969"/>
        <v>769948.64</v>
      </c>
      <c r="N3259" s="736"/>
      <c r="O3259" s="736"/>
      <c r="P3259" s="736">
        <f t="shared" si="970"/>
        <v>769948.64</v>
      </c>
      <c r="Q3259" s="738">
        <v>769948.64</v>
      </c>
      <c r="R3259" s="738">
        <v>545280.76</v>
      </c>
      <c r="S3259" s="751">
        <v>1226898.3999999999</v>
      </c>
      <c r="T3259" s="739">
        <v>1500521</v>
      </c>
      <c r="U3259" s="779">
        <v>820484.55</v>
      </c>
      <c r="V3259" s="741">
        <v>1500522</v>
      </c>
    </row>
    <row r="3260" spans="1:22" ht="15" x14ac:dyDescent="0.25">
      <c r="A3260" s="734">
        <v>1212</v>
      </c>
      <c r="B3260" s="735" t="s">
        <v>53</v>
      </c>
      <c r="C3260" s="736">
        <v>988650</v>
      </c>
      <c r="D3260" s="736">
        <v>1071993.6000000001</v>
      </c>
      <c r="E3260" s="749">
        <v>1598366.62</v>
      </c>
      <c r="F3260" s="736">
        <v>1573080.39</v>
      </c>
      <c r="G3260" s="736">
        <v>2166936.7999999998</v>
      </c>
      <c r="H3260" s="736"/>
      <c r="I3260" s="736"/>
      <c r="J3260" s="736">
        <f t="shared" si="968"/>
        <v>2166936.7999999998</v>
      </c>
      <c r="K3260" s="736">
        <v>206198.14</v>
      </c>
      <c r="L3260" s="736"/>
      <c r="M3260" s="736">
        <f t="shared" si="969"/>
        <v>2373134.94</v>
      </c>
      <c r="N3260" s="736"/>
      <c r="O3260" s="736"/>
      <c r="P3260" s="736">
        <f t="shared" si="970"/>
        <v>2373134.94</v>
      </c>
      <c r="Q3260" s="738">
        <v>2504121.25</v>
      </c>
      <c r="R3260" s="738">
        <v>1882289.41</v>
      </c>
      <c r="S3260" s="751">
        <v>3133742.4</v>
      </c>
      <c r="T3260" s="739">
        <v>1500521</v>
      </c>
      <c r="U3260" s="779">
        <v>2615546.04</v>
      </c>
      <c r="V3260" s="741">
        <v>1500522</v>
      </c>
    </row>
    <row r="3261" spans="1:22" ht="15" x14ac:dyDescent="0.25">
      <c r="A3261" s="734">
        <v>1321</v>
      </c>
      <c r="B3261" s="735" t="s">
        <v>9</v>
      </c>
      <c r="C3261" s="736">
        <v>46032.2</v>
      </c>
      <c r="D3261" s="736">
        <v>39419.279999999999</v>
      </c>
      <c r="E3261" s="749">
        <v>45589.279999999999</v>
      </c>
      <c r="F3261" s="736">
        <v>41487.35</v>
      </c>
      <c r="G3261" s="736">
        <v>36423.9</v>
      </c>
      <c r="H3261" s="736"/>
      <c r="I3261" s="736"/>
      <c r="J3261" s="736">
        <f t="shared" si="968"/>
        <v>36423.9</v>
      </c>
      <c r="K3261" s="736">
        <v>10933.65</v>
      </c>
      <c r="L3261" s="736"/>
      <c r="M3261" s="736">
        <f t="shared" si="969"/>
        <v>47357.55</v>
      </c>
      <c r="N3261" s="736"/>
      <c r="O3261" s="736"/>
      <c r="P3261" s="736">
        <f t="shared" si="970"/>
        <v>47357.55</v>
      </c>
      <c r="Q3261" s="738">
        <v>51899.76</v>
      </c>
      <c r="R3261" s="738">
        <v>22913.23</v>
      </c>
      <c r="S3261" s="751">
        <v>73572.899999999994</v>
      </c>
      <c r="T3261" s="739">
        <v>1500521</v>
      </c>
      <c r="U3261" s="779">
        <v>57115.37</v>
      </c>
      <c r="V3261" s="741">
        <v>1500522</v>
      </c>
    </row>
    <row r="3262" spans="1:22" ht="15" x14ac:dyDescent="0.25">
      <c r="A3262" s="739">
        <v>1322</v>
      </c>
      <c r="B3262" s="743" t="s">
        <v>182</v>
      </c>
      <c r="C3262" s="736"/>
      <c r="D3262" s="736">
        <v>0</v>
      </c>
      <c r="E3262" s="749"/>
      <c r="F3262" s="736">
        <v>286.14</v>
      </c>
      <c r="G3262" s="736"/>
      <c r="H3262" s="736"/>
      <c r="I3262" s="736"/>
      <c r="J3262" s="736">
        <f t="shared" si="968"/>
        <v>0</v>
      </c>
      <c r="K3262" s="736"/>
      <c r="L3262" s="736"/>
      <c r="M3262" s="736">
        <f t="shared" si="969"/>
        <v>0</v>
      </c>
      <c r="N3262" s="736"/>
      <c r="O3262" s="736"/>
      <c r="P3262" s="738">
        <f t="shared" si="970"/>
        <v>0</v>
      </c>
      <c r="Q3262" s="738"/>
      <c r="R3262" s="738"/>
      <c r="S3262" s="738"/>
      <c r="T3262" s="739">
        <v>1500521</v>
      </c>
      <c r="U3262" s="780"/>
      <c r="V3262" s="739">
        <v>1500522</v>
      </c>
    </row>
    <row r="3263" spans="1:22" ht="15" x14ac:dyDescent="0.25">
      <c r="A3263" s="734">
        <v>1323</v>
      </c>
      <c r="B3263" s="735" t="s">
        <v>11</v>
      </c>
      <c r="C3263" s="736">
        <v>198122.6</v>
      </c>
      <c r="D3263" s="736">
        <v>164468.4</v>
      </c>
      <c r="E3263" s="749">
        <v>218463.67</v>
      </c>
      <c r="F3263" s="736">
        <v>205379.11</v>
      </c>
      <c r="G3263" s="736">
        <v>210906.7</v>
      </c>
      <c r="H3263" s="736"/>
      <c r="I3263" s="736"/>
      <c r="J3263" s="736">
        <f t="shared" si="968"/>
        <v>210906.7</v>
      </c>
      <c r="K3263" s="736">
        <v>33340.47</v>
      </c>
      <c r="L3263" s="736"/>
      <c r="M3263" s="736">
        <f t="shared" si="969"/>
        <v>244247.17</v>
      </c>
      <c r="N3263" s="736"/>
      <c r="O3263" s="736"/>
      <c r="P3263" s="736">
        <f t="shared" si="970"/>
        <v>244247.17</v>
      </c>
      <c r="Q3263" s="738">
        <v>253561.65</v>
      </c>
      <c r="R3263" s="738">
        <v>111118.57</v>
      </c>
      <c r="S3263" s="751">
        <v>360892.6</v>
      </c>
      <c r="T3263" s="739">
        <v>1500521</v>
      </c>
      <c r="U3263" s="779">
        <v>273729.24</v>
      </c>
      <c r="V3263" s="741">
        <v>1500522</v>
      </c>
    </row>
    <row r="3264" spans="1:22" ht="15" x14ac:dyDescent="0.25">
      <c r="A3264" s="734">
        <v>1413</v>
      </c>
      <c r="B3264" s="735" t="s">
        <v>13</v>
      </c>
      <c r="C3264" s="736">
        <v>402069.54</v>
      </c>
      <c r="D3264" s="736">
        <v>377939.38</v>
      </c>
      <c r="E3264" s="749">
        <v>473348.48</v>
      </c>
      <c r="F3264" s="736">
        <v>472463.34</v>
      </c>
      <c r="G3264" s="736">
        <v>536026.1</v>
      </c>
      <c r="H3264" s="736"/>
      <c r="I3264" s="736"/>
      <c r="J3264" s="736">
        <f t="shared" si="968"/>
        <v>536026.1</v>
      </c>
      <c r="K3264" s="736">
        <v>146729.04999999999</v>
      </c>
      <c r="L3264" s="736"/>
      <c r="M3264" s="736">
        <f t="shared" si="969"/>
        <v>682755.14999999991</v>
      </c>
      <c r="N3264" s="736"/>
      <c r="O3264" s="736"/>
      <c r="P3264" s="736">
        <f t="shared" si="970"/>
        <v>682755.14999999991</v>
      </c>
      <c r="Q3264" s="738">
        <v>682755.15</v>
      </c>
      <c r="R3264" s="738">
        <v>502553.31</v>
      </c>
      <c r="S3264" s="751">
        <v>1010768.64</v>
      </c>
      <c r="T3264" s="739">
        <v>1500521</v>
      </c>
      <c r="U3264" s="779">
        <v>830070.16</v>
      </c>
      <c r="V3264" s="741">
        <v>1500522</v>
      </c>
    </row>
    <row r="3265" spans="1:22" ht="15" x14ac:dyDescent="0.25">
      <c r="A3265" s="734">
        <v>1421</v>
      </c>
      <c r="B3265" s="735" t="s">
        <v>15</v>
      </c>
      <c r="C3265" s="736">
        <v>132195.62</v>
      </c>
      <c r="D3265" s="736">
        <v>109818.1</v>
      </c>
      <c r="E3265" s="749">
        <v>122871.1</v>
      </c>
      <c r="F3265" s="736">
        <v>136536.76</v>
      </c>
      <c r="G3265" s="736">
        <v>150033.20000000001</v>
      </c>
      <c r="H3265" s="736"/>
      <c r="I3265" s="736"/>
      <c r="J3265" s="736">
        <f t="shared" si="968"/>
        <v>150033.20000000001</v>
      </c>
      <c r="K3265" s="736">
        <v>41815.32</v>
      </c>
      <c r="L3265" s="736"/>
      <c r="M3265" s="736">
        <f t="shared" si="969"/>
        <v>191848.52000000002</v>
      </c>
      <c r="N3265" s="736"/>
      <c r="O3265" s="736"/>
      <c r="P3265" s="736">
        <f t="shared" si="970"/>
        <v>191848.52000000002</v>
      </c>
      <c r="Q3265" s="738">
        <v>191848.52</v>
      </c>
      <c r="R3265" s="738">
        <v>124946.55</v>
      </c>
      <c r="S3265" s="751">
        <v>269572.56</v>
      </c>
      <c r="T3265" s="739">
        <v>1500521</v>
      </c>
      <c r="U3265" s="779">
        <v>234425.74</v>
      </c>
      <c r="V3265" s="741">
        <v>1500522</v>
      </c>
    </row>
    <row r="3266" spans="1:22" ht="15" x14ac:dyDescent="0.25">
      <c r="A3266" s="734">
        <v>1431</v>
      </c>
      <c r="B3266" s="735" t="s">
        <v>16</v>
      </c>
      <c r="C3266" s="736">
        <v>132616.44</v>
      </c>
      <c r="D3266" s="736">
        <v>113112.58</v>
      </c>
      <c r="E3266" s="749">
        <v>129236.58</v>
      </c>
      <c r="F3266" s="736">
        <v>145275.19</v>
      </c>
      <c r="G3266" s="736">
        <v>154533.6</v>
      </c>
      <c r="H3266" s="736"/>
      <c r="I3266" s="736"/>
      <c r="J3266" s="736">
        <f t="shared" si="968"/>
        <v>154533.6</v>
      </c>
      <c r="K3266" s="736">
        <v>43030.83</v>
      </c>
      <c r="L3266" s="736"/>
      <c r="M3266" s="736">
        <f t="shared" si="969"/>
        <v>197564.43</v>
      </c>
      <c r="N3266" s="736"/>
      <c r="O3266" s="736"/>
      <c r="P3266" s="736">
        <f t="shared" si="970"/>
        <v>197564.43</v>
      </c>
      <c r="Q3266" s="738">
        <v>197564.43</v>
      </c>
      <c r="R3266" s="738">
        <v>128829.73</v>
      </c>
      <c r="S3266" s="751">
        <v>277657.8</v>
      </c>
      <c r="T3266" s="739">
        <v>1500521</v>
      </c>
      <c r="U3266" s="779">
        <v>239718.05</v>
      </c>
      <c r="V3266" s="741">
        <v>1500522</v>
      </c>
    </row>
    <row r="3267" spans="1:22" ht="15" x14ac:dyDescent="0.25">
      <c r="A3267" s="734">
        <v>1511</v>
      </c>
      <c r="B3267" s="735" t="s">
        <v>18</v>
      </c>
      <c r="C3267" s="736">
        <v>22451.77</v>
      </c>
      <c r="D3267" s="736">
        <v>29909.68</v>
      </c>
      <c r="E3267" s="749">
        <v>18518.68</v>
      </c>
      <c r="F3267" s="736">
        <v>19392.14</v>
      </c>
      <c r="G3267" s="736">
        <v>20595.199999999997</v>
      </c>
      <c r="H3267" s="736"/>
      <c r="I3267" s="736"/>
      <c r="J3267" s="736">
        <f t="shared" si="968"/>
        <v>20595.199999999997</v>
      </c>
      <c r="K3267" s="736">
        <v>453.01</v>
      </c>
      <c r="L3267" s="736"/>
      <c r="M3267" s="736">
        <f t="shared" si="969"/>
        <v>21048.209999999995</v>
      </c>
      <c r="N3267" s="736"/>
      <c r="O3267" s="736"/>
      <c r="P3267" s="736">
        <f t="shared" si="970"/>
        <v>21048.209999999995</v>
      </c>
      <c r="Q3267" s="738">
        <v>21048.21</v>
      </c>
      <c r="R3267" s="738">
        <v>14920.98</v>
      </c>
      <c r="S3267" s="751">
        <v>33535.32</v>
      </c>
      <c r="T3267" s="739">
        <v>1500521</v>
      </c>
      <c r="U3267" s="779">
        <v>21395.73</v>
      </c>
      <c r="V3267" s="741">
        <v>1500522</v>
      </c>
    </row>
    <row r="3268" spans="1:22" ht="15" x14ac:dyDescent="0.25">
      <c r="A3268" s="734">
        <v>1541</v>
      </c>
      <c r="B3268" s="735" t="s">
        <v>19</v>
      </c>
      <c r="C3268" s="736">
        <v>62719.74</v>
      </c>
      <c r="D3268" s="736">
        <v>69281.16</v>
      </c>
      <c r="E3268" s="749">
        <v>52636.86</v>
      </c>
      <c r="F3268" s="736">
        <v>53201.53</v>
      </c>
      <c r="G3268" s="736">
        <v>30875.399999999998</v>
      </c>
      <c r="H3268" s="736"/>
      <c r="I3268" s="736"/>
      <c r="J3268" s="736">
        <f t="shared" si="968"/>
        <v>30875.399999999998</v>
      </c>
      <c r="K3268" s="736">
        <v>1175.3499999999999</v>
      </c>
      <c r="L3268" s="736"/>
      <c r="M3268" s="736">
        <f t="shared" si="969"/>
        <v>32050.749999999996</v>
      </c>
      <c r="N3268" s="736"/>
      <c r="O3268" s="736"/>
      <c r="P3268" s="736">
        <f t="shared" si="970"/>
        <v>32050.749999999996</v>
      </c>
      <c r="Q3268" s="738">
        <v>32050.75</v>
      </c>
      <c r="R3268" s="738">
        <v>19395.88</v>
      </c>
      <c r="S3268" s="751">
        <v>32614.92</v>
      </c>
      <c r="T3268" s="739">
        <v>1500521</v>
      </c>
      <c r="U3268" s="779">
        <v>32614.92</v>
      </c>
      <c r="V3268" s="741">
        <v>1500522</v>
      </c>
    </row>
    <row r="3269" spans="1:22" ht="15" x14ac:dyDescent="0.25">
      <c r="A3269" s="734">
        <v>1592</v>
      </c>
      <c r="B3269" s="735" t="s">
        <v>20</v>
      </c>
      <c r="C3269" s="736">
        <v>269462.31</v>
      </c>
      <c r="D3269" s="736">
        <v>237295.24</v>
      </c>
      <c r="E3269" s="749">
        <v>218005.24</v>
      </c>
      <c r="F3269" s="736">
        <v>225948.85</v>
      </c>
      <c r="G3269" s="736">
        <v>219535.7</v>
      </c>
      <c r="H3269" s="736"/>
      <c r="I3269" s="736"/>
      <c r="J3269" s="736">
        <f t="shared" si="968"/>
        <v>219535.7</v>
      </c>
      <c r="K3269" s="736"/>
      <c r="L3269" s="736">
        <v>10438.030000000001</v>
      </c>
      <c r="M3269" s="736">
        <f t="shared" si="969"/>
        <v>209097.67</v>
      </c>
      <c r="N3269" s="736"/>
      <c r="O3269" s="736"/>
      <c r="P3269" s="736">
        <f t="shared" si="970"/>
        <v>209097.67</v>
      </c>
      <c r="Q3269" s="738">
        <v>226246.29</v>
      </c>
      <c r="R3269" s="738">
        <v>149437.59</v>
      </c>
      <c r="S3269" s="751">
        <v>372230.04</v>
      </c>
      <c r="T3269" s="739">
        <v>1500521</v>
      </c>
      <c r="U3269" s="779">
        <v>214344</v>
      </c>
      <c r="V3269" s="741">
        <v>1500522</v>
      </c>
    </row>
    <row r="3270" spans="1:22" ht="15" x14ac:dyDescent="0.2">
      <c r="A3270" s="739">
        <v>2111</v>
      </c>
      <c r="B3270" s="743" t="s">
        <v>22</v>
      </c>
      <c r="C3270" s="736"/>
      <c r="D3270" s="736">
        <v>0</v>
      </c>
      <c r="E3270" s="749"/>
      <c r="F3270" s="736">
        <v>1725.01</v>
      </c>
      <c r="G3270" s="736"/>
      <c r="H3270" s="736"/>
      <c r="I3270" s="736"/>
      <c r="J3270" s="736">
        <f t="shared" si="968"/>
        <v>0</v>
      </c>
      <c r="K3270" s="736"/>
      <c r="L3270" s="736"/>
      <c r="M3270" s="736">
        <f t="shared" si="969"/>
        <v>0</v>
      </c>
      <c r="N3270" s="736"/>
      <c r="O3270" s="736"/>
      <c r="P3270" s="738">
        <f t="shared" si="970"/>
        <v>0</v>
      </c>
      <c r="Q3270" s="738"/>
      <c r="R3270" s="738"/>
      <c r="S3270" s="738"/>
      <c r="T3270" s="739">
        <v>1100121</v>
      </c>
      <c r="U3270" s="744"/>
      <c r="V3270" s="739">
        <v>1100122</v>
      </c>
    </row>
    <row r="3271" spans="1:22" ht="15" x14ac:dyDescent="0.2">
      <c r="A3271" s="739">
        <v>2112</v>
      </c>
      <c r="B3271" s="743" t="s">
        <v>39</v>
      </c>
      <c r="C3271" s="736">
        <v>63707.7</v>
      </c>
      <c r="D3271" s="736">
        <v>0</v>
      </c>
      <c r="E3271" s="749">
        <v>7500</v>
      </c>
      <c r="F3271" s="736">
        <v>0</v>
      </c>
      <c r="G3271" s="736"/>
      <c r="H3271" s="736"/>
      <c r="I3271" s="736"/>
      <c r="J3271" s="736">
        <f t="shared" si="968"/>
        <v>0</v>
      </c>
      <c r="K3271" s="736"/>
      <c r="L3271" s="736"/>
      <c r="M3271" s="736">
        <f t="shared" si="969"/>
        <v>0</v>
      </c>
      <c r="N3271" s="736"/>
      <c r="O3271" s="736"/>
      <c r="P3271" s="738">
        <f t="shared" si="970"/>
        <v>0</v>
      </c>
      <c r="Q3271" s="738"/>
      <c r="R3271" s="738"/>
      <c r="S3271" s="738">
        <v>25000</v>
      </c>
      <c r="T3271" s="739">
        <v>1100121</v>
      </c>
      <c r="U3271" s="744"/>
      <c r="V3271" s="739">
        <v>1100122</v>
      </c>
    </row>
    <row r="3272" spans="1:22" ht="15" x14ac:dyDescent="0.2">
      <c r="A3272" s="734">
        <v>2121</v>
      </c>
      <c r="B3272" s="735" t="s">
        <v>24</v>
      </c>
      <c r="C3272" s="736"/>
      <c r="D3272" s="736">
        <v>8000</v>
      </c>
      <c r="E3272" s="749">
        <v>5600</v>
      </c>
      <c r="F3272" s="736">
        <v>10976.39</v>
      </c>
      <c r="G3272" s="752">
        <v>5600</v>
      </c>
      <c r="H3272" s="752"/>
      <c r="I3272" s="752"/>
      <c r="J3272" s="736">
        <f t="shared" si="968"/>
        <v>5600</v>
      </c>
      <c r="K3272" s="752"/>
      <c r="L3272" s="752"/>
      <c r="M3272" s="736">
        <f t="shared" si="969"/>
        <v>5600</v>
      </c>
      <c r="N3272" s="736"/>
      <c r="O3272" s="736"/>
      <c r="P3272" s="736">
        <f t="shared" si="970"/>
        <v>5600</v>
      </c>
      <c r="Q3272" s="753">
        <v>5485.49</v>
      </c>
      <c r="R3272" s="738">
        <v>2238.84</v>
      </c>
      <c r="S3272" s="753">
        <v>6720</v>
      </c>
      <c r="T3272" s="739">
        <v>1100121</v>
      </c>
      <c r="U3272" s="754">
        <v>6720</v>
      </c>
      <c r="V3272" s="741">
        <v>1100122</v>
      </c>
    </row>
    <row r="3273" spans="1:22" ht="15" x14ac:dyDescent="0.2">
      <c r="A3273" s="734">
        <v>2161</v>
      </c>
      <c r="B3273" s="735" t="s">
        <v>59</v>
      </c>
      <c r="C3273" s="736">
        <v>11582.58</v>
      </c>
      <c r="D3273" s="736">
        <v>15000</v>
      </c>
      <c r="E3273" s="749">
        <v>15000</v>
      </c>
      <c r="F3273" s="736">
        <v>14721.59</v>
      </c>
      <c r="G3273" s="752">
        <v>17250</v>
      </c>
      <c r="H3273" s="752"/>
      <c r="I3273" s="752"/>
      <c r="J3273" s="736">
        <f t="shared" si="968"/>
        <v>17250</v>
      </c>
      <c r="K3273" s="752"/>
      <c r="L3273" s="752"/>
      <c r="M3273" s="736">
        <f t="shared" si="969"/>
        <v>17250</v>
      </c>
      <c r="N3273" s="736"/>
      <c r="O3273" s="736"/>
      <c r="P3273" s="736">
        <f t="shared" si="970"/>
        <v>17250</v>
      </c>
      <c r="Q3273" s="753">
        <v>22250</v>
      </c>
      <c r="R3273" s="738">
        <v>22246.400000000001</v>
      </c>
      <c r="S3273" s="753">
        <v>22425</v>
      </c>
      <c r="T3273" s="739">
        <v>1100121</v>
      </c>
      <c r="U3273" s="754">
        <v>22425</v>
      </c>
      <c r="V3273" s="741">
        <v>1100122</v>
      </c>
    </row>
    <row r="3274" spans="1:22" ht="15" x14ac:dyDescent="0.2">
      <c r="A3274" s="739">
        <v>2212</v>
      </c>
      <c r="B3274" s="743" t="s">
        <v>40</v>
      </c>
      <c r="C3274" s="736">
        <v>180</v>
      </c>
      <c r="D3274" s="736">
        <v>5000</v>
      </c>
      <c r="E3274" s="749">
        <v>5000</v>
      </c>
      <c r="F3274" s="736">
        <v>321</v>
      </c>
      <c r="G3274" s="736"/>
      <c r="H3274" s="736"/>
      <c r="I3274" s="736"/>
      <c r="J3274" s="736">
        <f t="shared" si="968"/>
        <v>0</v>
      </c>
      <c r="K3274" s="736"/>
      <c r="L3274" s="736"/>
      <c r="M3274" s="736">
        <f t="shared" si="969"/>
        <v>0</v>
      </c>
      <c r="N3274" s="736"/>
      <c r="O3274" s="736"/>
      <c r="P3274" s="738">
        <f t="shared" si="970"/>
        <v>0</v>
      </c>
      <c r="Q3274" s="738"/>
      <c r="R3274" s="738"/>
      <c r="S3274" s="738">
        <v>5500</v>
      </c>
      <c r="T3274" s="739">
        <v>1100121</v>
      </c>
      <c r="U3274" s="745"/>
      <c r="V3274" s="739">
        <v>1100122</v>
      </c>
    </row>
    <row r="3275" spans="1:22" ht="15" x14ac:dyDescent="0.2">
      <c r="A3275" s="734">
        <v>2461</v>
      </c>
      <c r="B3275" s="735" t="s">
        <v>115</v>
      </c>
      <c r="C3275" s="736">
        <v>39529.82</v>
      </c>
      <c r="D3275" s="736">
        <v>25000</v>
      </c>
      <c r="E3275" s="749">
        <v>5000</v>
      </c>
      <c r="F3275" s="736">
        <v>1033.07</v>
      </c>
      <c r="G3275" s="752">
        <v>15000</v>
      </c>
      <c r="H3275" s="752"/>
      <c r="I3275" s="752"/>
      <c r="J3275" s="736">
        <f t="shared" si="968"/>
        <v>15000</v>
      </c>
      <c r="K3275" s="752"/>
      <c r="L3275" s="752"/>
      <c r="M3275" s="736">
        <f t="shared" si="969"/>
        <v>15000</v>
      </c>
      <c r="N3275" s="736"/>
      <c r="O3275" s="736"/>
      <c r="P3275" s="736">
        <f t="shared" si="970"/>
        <v>15000</v>
      </c>
      <c r="Q3275" s="753">
        <v>15000</v>
      </c>
      <c r="R3275" s="738">
        <v>1990</v>
      </c>
      <c r="S3275" s="753">
        <v>18000</v>
      </c>
      <c r="T3275" s="739">
        <v>1100121</v>
      </c>
      <c r="U3275" s="740">
        <v>10000</v>
      </c>
      <c r="V3275" s="741">
        <v>1100122</v>
      </c>
    </row>
    <row r="3276" spans="1:22" ht="15" x14ac:dyDescent="0.2">
      <c r="A3276" s="734">
        <v>2491</v>
      </c>
      <c r="B3276" s="735" t="s">
        <v>41</v>
      </c>
      <c r="C3276" s="736">
        <v>15963.78</v>
      </c>
      <c r="D3276" s="736">
        <v>20000</v>
      </c>
      <c r="E3276" s="749">
        <v>20000</v>
      </c>
      <c r="F3276" s="736">
        <v>10962.86</v>
      </c>
      <c r="G3276" s="752">
        <v>20000</v>
      </c>
      <c r="H3276" s="752"/>
      <c r="I3276" s="752"/>
      <c r="J3276" s="736">
        <f t="shared" si="968"/>
        <v>20000</v>
      </c>
      <c r="K3276" s="752"/>
      <c r="L3276" s="752"/>
      <c r="M3276" s="736">
        <f t="shared" si="969"/>
        <v>20000</v>
      </c>
      <c r="N3276" s="736"/>
      <c r="O3276" s="736"/>
      <c r="P3276" s="736">
        <f t="shared" si="970"/>
        <v>20000</v>
      </c>
      <c r="Q3276" s="753">
        <v>40000</v>
      </c>
      <c r="R3276" s="738">
        <v>19740.22</v>
      </c>
      <c r="S3276" s="753">
        <v>24000</v>
      </c>
      <c r="T3276" s="739">
        <v>1100121</v>
      </c>
      <c r="U3276" s="754">
        <v>24000</v>
      </c>
      <c r="V3276" s="741">
        <v>1100122</v>
      </c>
    </row>
    <row r="3277" spans="1:22" ht="30" x14ac:dyDescent="0.2">
      <c r="A3277" s="734">
        <v>2612</v>
      </c>
      <c r="B3277" s="735" t="s">
        <v>26</v>
      </c>
      <c r="C3277" s="736">
        <v>555739.44999999995</v>
      </c>
      <c r="D3277" s="736">
        <v>80000</v>
      </c>
      <c r="E3277" s="749">
        <v>500000</v>
      </c>
      <c r="F3277" s="736">
        <v>607623.64</v>
      </c>
      <c r="G3277" s="752">
        <v>700000</v>
      </c>
      <c r="H3277" s="752"/>
      <c r="I3277" s="752"/>
      <c r="J3277" s="736">
        <f t="shared" si="968"/>
        <v>700000</v>
      </c>
      <c r="K3277" s="752"/>
      <c r="L3277" s="752"/>
      <c r="M3277" s="736">
        <f t="shared" si="969"/>
        <v>700000</v>
      </c>
      <c r="N3277" s="736"/>
      <c r="O3277" s="736">
        <v>100000</v>
      </c>
      <c r="P3277" s="736">
        <f t="shared" si="970"/>
        <v>600000</v>
      </c>
      <c r="Q3277" s="753">
        <v>685000</v>
      </c>
      <c r="R3277" s="738">
        <v>564272.04</v>
      </c>
      <c r="S3277" s="738">
        <f>Q3277</f>
        <v>685000</v>
      </c>
      <c r="T3277" s="739">
        <v>1100121</v>
      </c>
      <c r="U3277" s="746">
        <v>780000</v>
      </c>
      <c r="V3277" s="741">
        <v>1100122</v>
      </c>
    </row>
    <row r="3278" spans="1:22" ht="30" x14ac:dyDescent="0.2">
      <c r="A3278" s="739">
        <v>2613</v>
      </c>
      <c r="B3278" s="945" t="s">
        <v>26</v>
      </c>
      <c r="C3278" s="736"/>
      <c r="D3278" s="736"/>
      <c r="E3278" s="749"/>
      <c r="F3278" s="736"/>
      <c r="G3278" s="752">
        <v>30000</v>
      </c>
      <c r="H3278" s="752"/>
      <c r="I3278" s="752"/>
      <c r="J3278" s="736">
        <f t="shared" si="968"/>
        <v>30000</v>
      </c>
      <c r="K3278" s="752"/>
      <c r="L3278" s="752"/>
      <c r="M3278" s="736">
        <f t="shared" si="969"/>
        <v>30000</v>
      </c>
      <c r="N3278" s="736"/>
      <c r="O3278" s="736">
        <v>30000</v>
      </c>
      <c r="P3278" s="738">
        <f t="shared" si="970"/>
        <v>0</v>
      </c>
      <c r="Q3278" s="753"/>
      <c r="R3278" s="738"/>
      <c r="S3278" s="738">
        <f>Q3278</f>
        <v>0</v>
      </c>
      <c r="T3278" s="739">
        <v>1100121</v>
      </c>
      <c r="U3278" s="745"/>
      <c r="V3278" s="739">
        <v>1100122</v>
      </c>
    </row>
    <row r="3279" spans="1:22" ht="15" x14ac:dyDescent="0.2">
      <c r="A3279" s="734">
        <v>2614</v>
      </c>
      <c r="B3279" s="735" t="s">
        <v>116</v>
      </c>
      <c r="C3279" s="736"/>
      <c r="D3279" s="736">
        <v>300000</v>
      </c>
      <c r="E3279" s="749">
        <v>25000</v>
      </c>
      <c r="F3279" s="736">
        <v>8902.19</v>
      </c>
      <c r="G3279" s="752">
        <v>30000</v>
      </c>
      <c r="H3279" s="752"/>
      <c r="I3279" s="752"/>
      <c r="J3279" s="736">
        <f t="shared" si="968"/>
        <v>30000</v>
      </c>
      <c r="K3279" s="752"/>
      <c r="L3279" s="752"/>
      <c r="M3279" s="736">
        <f t="shared" si="969"/>
        <v>30000</v>
      </c>
      <c r="N3279" s="736">
        <v>70000</v>
      </c>
      <c r="O3279" s="736"/>
      <c r="P3279" s="736">
        <f t="shared" si="970"/>
        <v>100000</v>
      </c>
      <c r="Q3279" s="753">
        <v>50000</v>
      </c>
      <c r="R3279" s="738">
        <v>13700.71</v>
      </c>
      <c r="S3279" s="738">
        <f>Q3279</f>
        <v>50000</v>
      </c>
      <c r="T3279" s="739">
        <v>1100121</v>
      </c>
      <c r="U3279" s="746">
        <v>35000</v>
      </c>
      <c r="V3279" s="741">
        <v>1100122</v>
      </c>
    </row>
    <row r="3280" spans="1:22" ht="15" x14ac:dyDescent="0.25">
      <c r="A3280" s="734">
        <v>2711</v>
      </c>
      <c r="B3280" s="735" t="s">
        <v>27</v>
      </c>
      <c r="C3280" s="736"/>
      <c r="D3280" s="736"/>
      <c r="E3280" s="749"/>
      <c r="F3280" s="736"/>
      <c r="G3280" s="752"/>
      <c r="H3280" s="757">
        <v>91942.76</v>
      </c>
      <c r="I3280" s="752"/>
      <c r="J3280" s="736">
        <f t="shared" si="968"/>
        <v>91942.76</v>
      </c>
      <c r="K3280" s="757"/>
      <c r="L3280" s="752"/>
      <c r="M3280" s="736">
        <f t="shared" si="969"/>
        <v>91942.76</v>
      </c>
      <c r="N3280" s="736"/>
      <c r="O3280" s="736"/>
      <c r="P3280" s="736">
        <f t="shared" si="970"/>
        <v>91942.76</v>
      </c>
      <c r="Q3280" s="753">
        <v>91942.76</v>
      </c>
      <c r="R3280" s="738">
        <v>91942.76</v>
      </c>
      <c r="S3280" s="753">
        <v>160000</v>
      </c>
      <c r="T3280" s="739">
        <v>1100120</v>
      </c>
      <c r="U3280" s="754">
        <v>160000</v>
      </c>
      <c r="V3280" s="741">
        <v>1100122</v>
      </c>
    </row>
    <row r="3281" spans="1:22" ht="15" x14ac:dyDescent="0.2">
      <c r="A3281" s="739">
        <v>2711</v>
      </c>
      <c r="B3281" s="743" t="s">
        <v>27</v>
      </c>
      <c r="C3281" s="736"/>
      <c r="D3281" s="736">
        <v>0</v>
      </c>
      <c r="E3281" s="749">
        <v>79172.899999999994</v>
      </c>
      <c r="F3281" s="736">
        <v>79172.899999999994</v>
      </c>
      <c r="G3281" s="752"/>
      <c r="H3281" s="752"/>
      <c r="I3281" s="752"/>
      <c r="J3281" s="736">
        <f t="shared" si="968"/>
        <v>0</v>
      </c>
      <c r="K3281" s="752"/>
      <c r="L3281" s="752"/>
      <c r="M3281" s="736">
        <f t="shared" si="969"/>
        <v>0</v>
      </c>
      <c r="N3281" s="736"/>
      <c r="O3281" s="736"/>
      <c r="P3281" s="738">
        <f t="shared" si="970"/>
        <v>0</v>
      </c>
      <c r="Q3281" s="753"/>
      <c r="R3281" s="738"/>
      <c r="S3281" s="753"/>
      <c r="T3281" s="739">
        <v>1100119</v>
      </c>
      <c r="U3281" s="745"/>
      <c r="V3281" s="739">
        <v>1100119</v>
      </c>
    </row>
    <row r="3282" spans="1:22" ht="15" x14ac:dyDescent="0.2">
      <c r="A3282" s="739">
        <v>2711</v>
      </c>
      <c r="B3282" s="743" t="s">
        <v>27</v>
      </c>
      <c r="C3282" s="736"/>
      <c r="D3282" s="736">
        <v>100000</v>
      </c>
      <c r="E3282" s="749">
        <v>100000</v>
      </c>
      <c r="F3282" s="736">
        <v>0</v>
      </c>
      <c r="G3282" s="752">
        <v>715333.44</v>
      </c>
      <c r="H3282" s="752"/>
      <c r="I3282" s="752">
        <v>715333.44</v>
      </c>
      <c r="J3282" s="736">
        <f t="shared" si="968"/>
        <v>0</v>
      </c>
      <c r="K3282" s="752"/>
      <c r="L3282" s="752"/>
      <c r="M3282" s="736">
        <f t="shared" si="969"/>
        <v>0</v>
      </c>
      <c r="N3282" s="736"/>
      <c r="O3282" s="736"/>
      <c r="P3282" s="738">
        <f t="shared" si="970"/>
        <v>0</v>
      </c>
      <c r="Q3282" s="753"/>
      <c r="R3282" s="738"/>
      <c r="S3282" s="753"/>
      <c r="T3282" s="739">
        <v>1100120</v>
      </c>
      <c r="U3282" s="745"/>
      <c r="V3282" s="739">
        <v>1100120</v>
      </c>
    </row>
    <row r="3283" spans="1:22" ht="15" x14ac:dyDescent="0.2">
      <c r="A3283" s="734">
        <v>3111</v>
      </c>
      <c r="B3283" s="735" t="s">
        <v>47</v>
      </c>
      <c r="C3283" s="736">
        <v>44188.6</v>
      </c>
      <c r="D3283" s="736">
        <v>63000</v>
      </c>
      <c r="E3283" s="749">
        <v>58000</v>
      </c>
      <c r="F3283" s="736">
        <v>41266</v>
      </c>
      <c r="G3283" s="752">
        <v>65000</v>
      </c>
      <c r="H3283" s="752"/>
      <c r="I3283" s="752"/>
      <c r="J3283" s="736">
        <f t="shared" si="968"/>
        <v>65000</v>
      </c>
      <c r="K3283" s="752"/>
      <c r="L3283" s="752"/>
      <c r="M3283" s="736">
        <f t="shared" si="969"/>
        <v>65000</v>
      </c>
      <c r="N3283" s="736"/>
      <c r="O3283" s="736"/>
      <c r="P3283" s="736">
        <f t="shared" si="970"/>
        <v>65000</v>
      </c>
      <c r="Q3283" s="753">
        <v>65000</v>
      </c>
      <c r="R3283" s="738">
        <v>23031</v>
      </c>
      <c r="S3283" s="753"/>
      <c r="T3283" s="739">
        <v>1100121</v>
      </c>
      <c r="U3283" s="746">
        <v>50000</v>
      </c>
      <c r="V3283" s="741">
        <v>1100122</v>
      </c>
    </row>
    <row r="3284" spans="1:22" ht="15" x14ac:dyDescent="0.2">
      <c r="A3284" s="734">
        <v>3131</v>
      </c>
      <c r="B3284" s="735" t="s">
        <v>61</v>
      </c>
      <c r="C3284" s="736">
        <v>8497.8799999999992</v>
      </c>
      <c r="D3284" s="736">
        <v>16000</v>
      </c>
      <c r="E3284" s="749">
        <v>16000</v>
      </c>
      <c r="F3284" s="736">
        <v>16000</v>
      </c>
      <c r="G3284" s="752">
        <v>20000</v>
      </c>
      <c r="H3284" s="752"/>
      <c r="I3284" s="752"/>
      <c r="J3284" s="736">
        <f t="shared" si="968"/>
        <v>20000</v>
      </c>
      <c r="K3284" s="752"/>
      <c r="L3284" s="752"/>
      <c r="M3284" s="736">
        <f t="shared" si="969"/>
        <v>20000</v>
      </c>
      <c r="N3284" s="736"/>
      <c r="O3284" s="736"/>
      <c r="P3284" s="736">
        <f t="shared" si="970"/>
        <v>20000</v>
      </c>
      <c r="Q3284" s="753">
        <v>20000</v>
      </c>
      <c r="R3284" s="738">
        <v>16860.05</v>
      </c>
      <c r="S3284" s="753"/>
      <c r="T3284" s="739">
        <v>1100121</v>
      </c>
      <c r="U3284" s="746">
        <v>30000</v>
      </c>
      <c r="V3284" s="741">
        <v>1100122</v>
      </c>
    </row>
    <row r="3285" spans="1:22" ht="15" x14ac:dyDescent="0.2">
      <c r="A3285" s="734">
        <v>3141</v>
      </c>
      <c r="B3285" s="735" t="s">
        <v>48</v>
      </c>
      <c r="C3285" s="736">
        <v>12272.09</v>
      </c>
      <c r="D3285" s="736">
        <v>21000</v>
      </c>
      <c r="E3285" s="749">
        <v>16000</v>
      </c>
      <c r="F3285" s="736">
        <v>12398.76</v>
      </c>
      <c r="G3285" s="752">
        <v>16000</v>
      </c>
      <c r="H3285" s="752"/>
      <c r="I3285" s="752"/>
      <c r="J3285" s="736">
        <f t="shared" si="968"/>
        <v>16000</v>
      </c>
      <c r="K3285" s="752"/>
      <c r="L3285" s="752"/>
      <c r="M3285" s="736">
        <f t="shared" si="969"/>
        <v>16000</v>
      </c>
      <c r="N3285" s="736"/>
      <c r="O3285" s="736"/>
      <c r="P3285" s="736">
        <f t="shared" si="970"/>
        <v>16000</v>
      </c>
      <c r="Q3285" s="753">
        <v>16000</v>
      </c>
      <c r="R3285" s="738">
        <v>10392.200000000001</v>
      </c>
      <c r="S3285" s="753"/>
      <c r="T3285" s="739">
        <v>1100121</v>
      </c>
      <c r="U3285" s="746">
        <v>16000</v>
      </c>
      <c r="V3285" s="741">
        <v>1100122</v>
      </c>
    </row>
    <row r="3286" spans="1:22" ht="15" x14ac:dyDescent="0.2">
      <c r="A3286" s="734">
        <v>3151</v>
      </c>
      <c r="B3286" s="735" t="s">
        <v>28</v>
      </c>
      <c r="C3286" s="736">
        <v>7168.38</v>
      </c>
      <c r="D3286" s="736">
        <v>12000</v>
      </c>
      <c r="E3286" s="749">
        <v>8000</v>
      </c>
      <c r="F3286" s="736">
        <v>3850.11</v>
      </c>
      <c r="G3286" s="752">
        <v>8000</v>
      </c>
      <c r="H3286" s="752"/>
      <c r="I3286" s="752"/>
      <c r="J3286" s="736">
        <f t="shared" si="968"/>
        <v>8000</v>
      </c>
      <c r="K3286" s="752"/>
      <c r="L3286" s="752"/>
      <c r="M3286" s="736">
        <f t="shared" si="969"/>
        <v>8000</v>
      </c>
      <c r="N3286" s="736"/>
      <c r="O3286" s="736"/>
      <c r="P3286" s="736">
        <f t="shared" si="970"/>
        <v>8000</v>
      </c>
      <c r="Q3286" s="753">
        <v>8000</v>
      </c>
      <c r="R3286" s="738">
        <v>1973.99</v>
      </c>
      <c r="S3286" s="753"/>
      <c r="T3286" s="739">
        <v>1100121</v>
      </c>
      <c r="U3286" s="746">
        <v>10000</v>
      </c>
      <c r="V3286" s="741">
        <v>1100122</v>
      </c>
    </row>
    <row r="3287" spans="1:22" ht="15" x14ac:dyDescent="0.2">
      <c r="A3287" s="739">
        <v>3381</v>
      </c>
      <c r="B3287" s="743" t="s">
        <v>64</v>
      </c>
      <c r="C3287" s="736">
        <v>49965.94</v>
      </c>
      <c r="D3287" s="736">
        <v>5000</v>
      </c>
      <c r="E3287" s="749">
        <v>5000</v>
      </c>
      <c r="F3287" s="736">
        <v>0</v>
      </c>
      <c r="G3287" s="736"/>
      <c r="H3287" s="736"/>
      <c r="I3287" s="736"/>
      <c r="J3287" s="736">
        <f t="shared" si="968"/>
        <v>0</v>
      </c>
      <c r="K3287" s="736"/>
      <c r="L3287" s="736"/>
      <c r="M3287" s="736">
        <f t="shared" si="969"/>
        <v>0</v>
      </c>
      <c r="N3287" s="736"/>
      <c r="O3287" s="736"/>
      <c r="P3287" s="738">
        <f t="shared" si="970"/>
        <v>0</v>
      </c>
      <c r="Q3287" s="738"/>
      <c r="R3287" s="738"/>
      <c r="S3287" s="738">
        <v>500</v>
      </c>
      <c r="T3287" s="739">
        <v>1100121</v>
      </c>
      <c r="U3287" s="745"/>
      <c r="V3287" s="739">
        <v>1100122</v>
      </c>
    </row>
    <row r="3288" spans="1:22" ht="15" x14ac:dyDescent="0.2">
      <c r="A3288" s="734">
        <v>3511</v>
      </c>
      <c r="B3288" s="735" t="s">
        <v>49</v>
      </c>
      <c r="C3288" s="736">
        <v>27145.74</v>
      </c>
      <c r="D3288" s="736">
        <v>20000</v>
      </c>
      <c r="E3288" s="749">
        <v>11300</v>
      </c>
      <c r="F3288" s="736">
        <v>9349.6</v>
      </c>
      <c r="G3288" s="752">
        <v>15000</v>
      </c>
      <c r="H3288" s="752"/>
      <c r="I3288" s="752"/>
      <c r="J3288" s="736">
        <f t="shared" si="968"/>
        <v>15000</v>
      </c>
      <c r="K3288" s="752"/>
      <c r="L3288" s="752"/>
      <c r="M3288" s="736">
        <f t="shared" si="969"/>
        <v>15000</v>
      </c>
      <c r="N3288" s="736"/>
      <c r="O3288" s="736"/>
      <c r="P3288" s="736">
        <f t="shared" si="970"/>
        <v>15000</v>
      </c>
      <c r="Q3288" s="753">
        <v>15000</v>
      </c>
      <c r="R3288" s="738">
        <v>14999.44</v>
      </c>
      <c r="S3288" s="753">
        <v>19500</v>
      </c>
      <c r="T3288" s="739">
        <v>1100121</v>
      </c>
      <c r="U3288" s="754">
        <v>19500</v>
      </c>
      <c r="V3288" s="741">
        <v>1100122</v>
      </c>
    </row>
    <row r="3289" spans="1:22" ht="15" x14ac:dyDescent="0.2">
      <c r="A3289" s="734">
        <v>3551</v>
      </c>
      <c r="B3289" s="735" t="s">
        <v>30</v>
      </c>
      <c r="C3289" s="736"/>
      <c r="D3289" s="736"/>
      <c r="E3289" s="749"/>
      <c r="F3289" s="736"/>
      <c r="G3289" s="909"/>
      <c r="H3289" s="909">
        <v>688500</v>
      </c>
      <c r="I3289" s="909"/>
      <c r="J3289" s="736">
        <f t="shared" si="968"/>
        <v>688500</v>
      </c>
      <c r="K3289" s="909"/>
      <c r="L3289" s="909"/>
      <c r="M3289" s="736">
        <f t="shared" si="969"/>
        <v>688500</v>
      </c>
      <c r="N3289" s="736"/>
      <c r="O3289" s="736">
        <v>688500</v>
      </c>
      <c r="P3289" s="738">
        <f t="shared" si="970"/>
        <v>0</v>
      </c>
      <c r="Q3289" s="910"/>
      <c r="R3289" s="738"/>
      <c r="S3289" s="738">
        <f>Q3289</f>
        <v>0</v>
      </c>
      <c r="T3289" s="739">
        <v>1100120</v>
      </c>
      <c r="U3289" s="746">
        <v>320000</v>
      </c>
      <c r="V3289" s="741">
        <v>1100122</v>
      </c>
    </row>
    <row r="3290" spans="1:22" ht="15" x14ac:dyDescent="0.2">
      <c r="A3290" s="734">
        <v>5691</v>
      </c>
      <c r="B3290" s="735" t="s">
        <v>1713</v>
      </c>
      <c r="C3290" s="736"/>
      <c r="D3290" s="736"/>
      <c r="E3290" s="749"/>
      <c r="F3290" s="736"/>
      <c r="G3290" s="752"/>
      <c r="H3290" s="752"/>
      <c r="I3290" s="752"/>
      <c r="J3290" s="736"/>
      <c r="K3290" s="752"/>
      <c r="L3290" s="752"/>
      <c r="M3290" s="736"/>
      <c r="N3290" s="736">
        <v>688500</v>
      </c>
      <c r="O3290" s="736"/>
      <c r="P3290" s="736">
        <f t="shared" si="970"/>
        <v>688500</v>
      </c>
      <c r="Q3290" s="753">
        <v>688500</v>
      </c>
      <c r="R3290" s="738"/>
      <c r="S3290" s="753"/>
      <c r="T3290" s="739">
        <v>1100120</v>
      </c>
      <c r="U3290" s="740">
        <v>744000</v>
      </c>
      <c r="V3290" s="741">
        <v>1100121</v>
      </c>
    </row>
    <row r="3291" spans="1:22" ht="15" x14ac:dyDescent="0.2">
      <c r="A3291" s="739">
        <v>3551</v>
      </c>
      <c r="B3291" s="743" t="s">
        <v>30</v>
      </c>
      <c r="C3291" s="736">
        <v>246219.41</v>
      </c>
      <c r="D3291" s="736">
        <v>270000</v>
      </c>
      <c r="E3291" s="749">
        <v>250000</v>
      </c>
      <c r="F3291" s="736">
        <v>261298.38999999998</v>
      </c>
      <c r="G3291" s="752">
        <v>220000</v>
      </c>
      <c r="H3291" s="752"/>
      <c r="I3291" s="752"/>
      <c r="J3291" s="736">
        <f t="shared" ref="J3291:J3301" si="971">G3291+H3291-I3291</f>
        <v>220000</v>
      </c>
      <c r="K3291" s="752"/>
      <c r="L3291" s="752"/>
      <c r="M3291" s="736">
        <f t="shared" ref="M3291:M3301" si="972">J3291+K3291-L3291</f>
        <v>220000</v>
      </c>
      <c r="N3291" s="736"/>
      <c r="O3291" s="736"/>
      <c r="P3291" s="736">
        <f t="shared" si="970"/>
        <v>220000</v>
      </c>
      <c r="Q3291" s="753">
        <v>290000</v>
      </c>
      <c r="R3291" s="738">
        <v>223714.67</v>
      </c>
      <c r="S3291" s="738">
        <f>Q3291</f>
        <v>290000</v>
      </c>
      <c r="T3291" s="739">
        <v>1100121</v>
      </c>
      <c r="U3291" s="744"/>
      <c r="V3291" s="739">
        <v>1100122</v>
      </c>
    </row>
    <row r="3292" spans="1:22" ht="15" x14ac:dyDescent="0.2">
      <c r="A3292" s="739">
        <v>3571</v>
      </c>
      <c r="B3292" s="743" t="s">
        <v>65</v>
      </c>
      <c r="C3292" s="736">
        <v>2128</v>
      </c>
      <c r="D3292" s="736">
        <v>0</v>
      </c>
      <c r="E3292" s="749">
        <v>9167.48</v>
      </c>
      <c r="F3292" s="736">
        <v>9167.48</v>
      </c>
      <c r="G3292" s="736"/>
      <c r="H3292" s="736"/>
      <c r="I3292" s="736"/>
      <c r="J3292" s="736">
        <f t="shared" si="971"/>
        <v>0</v>
      </c>
      <c r="K3292" s="736"/>
      <c r="L3292" s="736"/>
      <c r="M3292" s="736">
        <f t="shared" si="972"/>
        <v>0</v>
      </c>
      <c r="N3292" s="736"/>
      <c r="O3292" s="736"/>
      <c r="P3292" s="738">
        <f t="shared" si="970"/>
        <v>0</v>
      </c>
      <c r="Q3292" s="738"/>
      <c r="R3292" s="738"/>
      <c r="S3292" s="738"/>
      <c r="T3292" s="739">
        <v>1100119</v>
      </c>
      <c r="U3292" s="745"/>
      <c r="V3292" s="739">
        <v>1100119</v>
      </c>
    </row>
    <row r="3293" spans="1:22" ht="15" x14ac:dyDescent="0.2">
      <c r="A3293" s="734">
        <v>3571</v>
      </c>
      <c r="B3293" s="735" t="s">
        <v>65</v>
      </c>
      <c r="C3293" s="736">
        <v>70945.600000000006</v>
      </c>
      <c r="D3293" s="736">
        <v>590000</v>
      </c>
      <c r="E3293" s="749">
        <v>20000</v>
      </c>
      <c r="F3293" s="736">
        <v>24781.08</v>
      </c>
      <c r="G3293" s="752">
        <v>20000</v>
      </c>
      <c r="H3293" s="752"/>
      <c r="I3293" s="752"/>
      <c r="J3293" s="736">
        <f t="shared" si="971"/>
        <v>20000</v>
      </c>
      <c r="K3293" s="752"/>
      <c r="L3293" s="752"/>
      <c r="M3293" s="736">
        <f t="shared" si="972"/>
        <v>20000</v>
      </c>
      <c r="N3293" s="736"/>
      <c r="O3293" s="736"/>
      <c r="P3293" s="736">
        <f t="shared" si="970"/>
        <v>20000</v>
      </c>
      <c r="Q3293" s="753">
        <v>20000</v>
      </c>
      <c r="R3293" s="738">
        <v>11377.8</v>
      </c>
      <c r="S3293" s="753">
        <v>24000</v>
      </c>
      <c r="T3293" s="739">
        <v>1100121</v>
      </c>
      <c r="U3293" s="754">
        <v>24000</v>
      </c>
      <c r="V3293" s="741">
        <v>1100122</v>
      </c>
    </row>
    <row r="3294" spans="1:22" ht="15" x14ac:dyDescent="0.2">
      <c r="A3294" s="734">
        <v>3611</v>
      </c>
      <c r="B3294" s="735" t="s">
        <v>66</v>
      </c>
      <c r="C3294" s="736"/>
      <c r="D3294" s="736">
        <v>10000</v>
      </c>
      <c r="E3294" s="749">
        <v>10000</v>
      </c>
      <c r="F3294" s="736">
        <v>0</v>
      </c>
      <c r="G3294" s="752">
        <v>10000</v>
      </c>
      <c r="H3294" s="752"/>
      <c r="I3294" s="752"/>
      <c r="J3294" s="736">
        <f t="shared" si="971"/>
        <v>10000</v>
      </c>
      <c r="K3294" s="752"/>
      <c r="L3294" s="752"/>
      <c r="M3294" s="736">
        <f t="shared" si="972"/>
        <v>10000</v>
      </c>
      <c r="N3294" s="736"/>
      <c r="O3294" s="736"/>
      <c r="P3294" s="736">
        <f t="shared" si="970"/>
        <v>10000</v>
      </c>
      <c r="Q3294" s="753">
        <v>10000</v>
      </c>
      <c r="R3294" s="738">
        <v>1740</v>
      </c>
      <c r="S3294" s="753">
        <v>10000</v>
      </c>
      <c r="T3294" s="739">
        <v>1100121</v>
      </c>
      <c r="U3294" s="754">
        <v>10000</v>
      </c>
      <c r="V3294" s="741">
        <v>1100122</v>
      </c>
    </row>
    <row r="3295" spans="1:22" ht="15" x14ac:dyDescent="0.2">
      <c r="A3295" s="734">
        <v>3751</v>
      </c>
      <c r="B3295" s="735" t="s">
        <v>44</v>
      </c>
      <c r="C3295" s="736">
        <v>1053</v>
      </c>
      <c r="D3295" s="736">
        <v>10000</v>
      </c>
      <c r="E3295" s="749">
        <v>2500</v>
      </c>
      <c r="F3295" s="736">
        <v>714</v>
      </c>
      <c r="G3295" s="909">
        <v>5000</v>
      </c>
      <c r="H3295" s="909"/>
      <c r="I3295" s="909"/>
      <c r="J3295" s="736">
        <f t="shared" si="971"/>
        <v>5000</v>
      </c>
      <c r="K3295" s="909"/>
      <c r="L3295" s="909"/>
      <c r="M3295" s="736">
        <f t="shared" si="972"/>
        <v>5000</v>
      </c>
      <c r="N3295" s="736"/>
      <c r="O3295" s="736"/>
      <c r="P3295" s="736">
        <f t="shared" si="970"/>
        <v>5000</v>
      </c>
      <c r="Q3295" s="910">
        <v>5000</v>
      </c>
      <c r="R3295" s="738"/>
      <c r="S3295" s="910">
        <v>5000</v>
      </c>
      <c r="T3295" s="739">
        <v>1100121</v>
      </c>
      <c r="U3295" s="754">
        <v>5000</v>
      </c>
      <c r="V3295" s="741">
        <v>1100122</v>
      </c>
    </row>
    <row r="3296" spans="1:22" ht="15" x14ac:dyDescent="0.2">
      <c r="A3296" s="734">
        <v>3791</v>
      </c>
      <c r="B3296" s="735" t="s">
        <v>45</v>
      </c>
      <c r="C3296" s="736"/>
      <c r="D3296" s="736">
        <v>5000</v>
      </c>
      <c r="E3296" s="749">
        <v>5000</v>
      </c>
      <c r="F3296" s="736">
        <v>98</v>
      </c>
      <c r="G3296" s="752">
        <v>5000</v>
      </c>
      <c r="H3296" s="752"/>
      <c r="I3296" s="752"/>
      <c r="J3296" s="736">
        <f t="shared" si="971"/>
        <v>5000</v>
      </c>
      <c r="K3296" s="752"/>
      <c r="L3296" s="752"/>
      <c r="M3296" s="736">
        <f t="shared" si="972"/>
        <v>5000</v>
      </c>
      <c r="N3296" s="736"/>
      <c r="O3296" s="736"/>
      <c r="P3296" s="736">
        <f t="shared" si="970"/>
        <v>5000</v>
      </c>
      <c r="Q3296" s="753">
        <v>5000</v>
      </c>
      <c r="R3296" s="738"/>
      <c r="S3296" s="753">
        <v>5000</v>
      </c>
      <c r="T3296" s="739">
        <v>1100121</v>
      </c>
      <c r="U3296" s="754">
        <v>5000</v>
      </c>
      <c r="V3296" s="741">
        <v>1100122</v>
      </c>
    </row>
    <row r="3297" spans="1:22" ht="15" x14ac:dyDescent="0.2">
      <c r="A3297" s="739">
        <v>3821</v>
      </c>
      <c r="B3297" s="743" t="s">
        <v>31</v>
      </c>
      <c r="C3297" s="736">
        <v>119535.38</v>
      </c>
      <c r="D3297" s="736">
        <v>0</v>
      </c>
      <c r="E3297" s="749">
        <v>207640</v>
      </c>
      <c r="F3297" s="736">
        <v>207640</v>
      </c>
      <c r="G3297" s="752"/>
      <c r="H3297" s="752"/>
      <c r="I3297" s="752"/>
      <c r="J3297" s="736">
        <f t="shared" si="971"/>
        <v>0</v>
      </c>
      <c r="K3297" s="752"/>
      <c r="L3297" s="752"/>
      <c r="M3297" s="736">
        <f t="shared" si="972"/>
        <v>0</v>
      </c>
      <c r="N3297" s="736"/>
      <c r="O3297" s="736"/>
      <c r="P3297" s="738">
        <f t="shared" si="970"/>
        <v>0</v>
      </c>
      <c r="Q3297" s="753"/>
      <c r="R3297" s="738"/>
      <c r="S3297" s="753"/>
      <c r="T3297" s="739">
        <v>1100119</v>
      </c>
      <c r="U3297" s="745"/>
      <c r="V3297" s="739">
        <v>1100119</v>
      </c>
    </row>
    <row r="3298" spans="1:22" ht="15" x14ac:dyDescent="0.25">
      <c r="A3298" s="739">
        <v>3821</v>
      </c>
      <c r="B3298" s="743" t="s">
        <v>31</v>
      </c>
      <c r="C3298" s="736"/>
      <c r="D3298" s="736"/>
      <c r="E3298" s="749"/>
      <c r="F3298" s="736"/>
      <c r="G3298" s="752"/>
      <c r="H3298" s="759">
        <v>4848</v>
      </c>
      <c r="I3298" s="752"/>
      <c r="J3298" s="736">
        <f t="shared" si="971"/>
        <v>4848</v>
      </c>
      <c r="K3298" s="759"/>
      <c r="L3298" s="752"/>
      <c r="M3298" s="736">
        <f t="shared" si="972"/>
        <v>4848</v>
      </c>
      <c r="N3298" s="736"/>
      <c r="O3298" s="736"/>
      <c r="P3298" s="736">
        <f t="shared" si="970"/>
        <v>4848</v>
      </c>
      <c r="Q3298" s="753"/>
      <c r="R3298" s="738"/>
      <c r="S3298" s="753"/>
      <c r="T3298" s="739">
        <v>1100120</v>
      </c>
      <c r="U3298" s="745"/>
      <c r="V3298" s="739">
        <v>1100120</v>
      </c>
    </row>
    <row r="3299" spans="1:22" ht="15" x14ac:dyDescent="0.2">
      <c r="A3299" s="734">
        <v>3821</v>
      </c>
      <c r="B3299" s="735" t="s">
        <v>31</v>
      </c>
      <c r="C3299" s="736">
        <v>301692.79999999999</v>
      </c>
      <c r="D3299" s="736">
        <v>300000</v>
      </c>
      <c r="E3299" s="749">
        <v>227000</v>
      </c>
      <c r="F3299" s="736">
        <v>202318.65</v>
      </c>
      <c r="G3299" s="752">
        <v>300000</v>
      </c>
      <c r="H3299" s="752"/>
      <c r="I3299" s="752"/>
      <c r="J3299" s="736">
        <f t="shared" si="971"/>
        <v>300000</v>
      </c>
      <c r="K3299" s="752"/>
      <c r="L3299" s="752">
        <v>43000</v>
      </c>
      <c r="M3299" s="736">
        <f t="shared" si="972"/>
        <v>257000</v>
      </c>
      <c r="N3299" s="736"/>
      <c r="O3299" s="736">
        <f>22000+26000</f>
        <v>48000</v>
      </c>
      <c r="P3299" s="736">
        <f t="shared" si="970"/>
        <v>209000</v>
      </c>
      <c r="Q3299" s="753">
        <v>184000</v>
      </c>
      <c r="R3299" s="738">
        <v>71222.2</v>
      </c>
      <c r="S3299" s="753">
        <v>360000</v>
      </c>
      <c r="T3299" s="739">
        <v>1100121</v>
      </c>
      <c r="U3299" s="754">
        <v>300000</v>
      </c>
      <c r="V3299" s="741">
        <v>1100122</v>
      </c>
    </row>
    <row r="3300" spans="1:22" ht="15" x14ac:dyDescent="0.2">
      <c r="A3300" s="734">
        <v>3852</v>
      </c>
      <c r="B3300" s="735" t="s">
        <v>32</v>
      </c>
      <c r="C3300" s="736">
        <v>4880.75</v>
      </c>
      <c r="D3300" s="736">
        <v>15000</v>
      </c>
      <c r="E3300" s="749">
        <v>15000</v>
      </c>
      <c r="F3300" s="736">
        <v>7293.92</v>
      </c>
      <c r="G3300" s="752">
        <v>15000</v>
      </c>
      <c r="H3300" s="752"/>
      <c r="I3300" s="752"/>
      <c r="J3300" s="736">
        <f t="shared" si="971"/>
        <v>15000</v>
      </c>
      <c r="K3300" s="752"/>
      <c r="L3300" s="752"/>
      <c r="M3300" s="736">
        <f t="shared" si="972"/>
        <v>15000</v>
      </c>
      <c r="N3300" s="736"/>
      <c r="O3300" s="736"/>
      <c r="P3300" s="736">
        <f t="shared" si="970"/>
        <v>15000</v>
      </c>
      <c r="Q3300" s="753">
        <v>15000</v>
      </c>
      <c r="R3300" s="738">
        <v>10556.06</v>
      </c>
      <c r="S3300" s="753">
        <v>19500</v>
      </c>
      <c r="T3300" s="739">
        <v>1100121</v>
      </c>
      <c r="U3300" s="740">
        <v>19500</v>
      </c>
      <c r="V3300" s="741">
        <v>1100122</v>
      </c>
    </row>
    <row r="3301" spans="1:22" ht="15" x14ac:dyDescent="0.2">
      <c r="A3301" s="734">
        <v>3921</v>
      </c>
      <c r="B3301" s="735" t="s">
        <v>33</v>
      </c>
      <c r="C3301" s="736">
        <v>8987.15</v>
      </c>
      <c r="D3301" s="736">
        <v>9880</v>
      </c>
      <c r="E3301" s="749">
        <v>9880</v>
      </c>
      <c r="F3301" s="736">
        <v>4442.93</v>
      </c>
      <c r="G3301" s="752">
        <v>11574.2</v>
      </c>
      <c r="H3301" s="752"/>
      <c r="I3301" s="752"/>
      <c r="J3301" s="736">
        <f t="shared" si="971"/>
        <v>11574.2</v>
      </c>
      <c r="K3301" s="752"/>
      <c r="L3301" s="752"/>
      <c r="M3301" s="736">
        <f t="shared" si="972"/>
        <v>11574.2</v>
      </c>
      <c r="N3301" s="736"/>
      <c r="O3301" s="736"/>
      <c r="P3301" s="736">
        <f t="shared" si="970"/>
        <v>11574.2</v>
      </c>
      <c r="Q3301" s="753">
        <v>11574.2</v>
      </c>
      <c r="R3301" s="738">
        <v>9993.82</v>
      </c>
      <c r="S3301" s="753">
        <v>11574</v>
      </c>
      <c r="T3301" s="739">
        <v>1100121</v>
      </c>
      <c r="U3301" s="746">
        <v>12796</v>
      </c>
      <c r="V3301" s="741">
        <v>1100122</v>
      </c>
    </row>
    <row r="3302" spans="1:22" ht="15" x14ac:dyDescent="0.2">
      <c r="A3302" s="739">
        <v>3921</v>
      </c>
      <c r="B3302" s="743" t="s">
        <v>33</v>
      </c>
      <c r="C3302" s="736"/>
      <c r="D3302" s="736"/>
      <c r="E3302" s="749"/>
      <c r="F3302" s="736"/>
      <c r="G3302" s="752"/>
      <c r="H3302" s="752"/>
      <c r="I3302" s="752"/>
      <c r="J3302" s="736"/>
      <c r="K3302" s="752"/>
      <c r="L3302" s="752"/>
      <c r="M3302" s="736"/>
      <c r="N3302" s="736"/>
      <c r="O3302" s="736"/>
      <c r="P3302" s="736"/>
      <c r="Q3302" s="753"/>
      <c r="R3302" s="738"/>
      <c r="S3302" s="753">
        <v>12796.12</v>
      </c>
      <c r="T3302" s="739"/>
      <c r="U3302" s="746"/>
      <c r="V3302" s="739"/>
    </row>
    <row r="3303" spans="1:22" ht="15" x14ac:dyDescent="0.2">
      <c r="A3303" s="739">
        <v>5111</v>
      </c>
      <c r="B3303" s="743" t="s">
        <v>35</v>
      </c>
      <c r="C3303" s="736">
        <v>52200</v>
      </c>
      <c r="D3303" s="736">
        <v>20000</v>
      </c>
      <c r="E3303" s="749">
        <v>0</v>
      </c>
      <c r="F3303" s="736">
        <v>0</v>
      </c>
      <c r="G3303" s="736"/>
      <c r="H3303" s="736"/>
      <c r="I3303" s="736"/>
      <c r="J3303" s="736">
        <f>G3303+H3303-I3303</f>
        <v>0</v>
      </c>
      <c r="K3303" s="736"/>
      <c r="L3303" s="736"/>
      <c r="M3303" s="736">
        <f>J3303+K3303-L3303</f>
        <v>0</v>
      </c>
      <c r="N3303" s="736">
        <v>22000</v>
      </c>
      <c r="O3303" s="736"/>
      <c r="P3303" s="736">
        <f>M3303+N3303-O3303</f>
        <v>22000</v>
      </c>
      <c r="Q3303" s="738">
        <v>22000</v>
      </c>
      <c r="R3303" s="738">
        <v>21699.99</v>
      </c>
      <c r="S3303" s="738">
        <v>25000</v>
      </c>
      <c r="T3303" s="739">
        <v>1100121</v>
      </c>
      <c r="U3303" s="746"/>
      <c r="V3303" s="739">
        <v>1100122</v>
      </c>
    </row>
    <row r="3304" spans="1:22" ht="15" x14ac:dyDescent="0.2">
      <c r="A3304" s="739">
        <v>5151</v>
      </c>
      <c r="B3304" s="743" t="s">
        <v>36</v>
      </c>
      <c r="C3304" s="736"/>
      <c r="D3304" s="736"/>
      <c r="E3304" s="736"/>
      <c r="F3304" s="736"/>
      <c r="G3304" s="736"/>
      <c r="H3304" s="736"/>
      <c r="I3304" s="736"/>
      <c r="J3304" s="736"/>
      <c r="K3304" s="736"/>
      <c r="L3304" s="736"/>
      <c r="M3304" s="736"/>
      <c r="N3304" s="736"/>
      <c r="O3304" s="736"/>
      <c r="P3304" s="738"/>
      <c r="Q3304" s="738"/>
      <c r="R3304" s="738"/>
      <c r="S3304" s="738">
        <v>35000</v>
      </c>
      <c r="T3304" s="739"/>
      <c r="U3304" s="746"/>
      <c r="V3304" s="739"/>
    </row>
    <row r="3305" spans="1:22" ht="15" x14ac:dyDescent="0.25">
      <c r="A3305" s="734">
        <v>5641</v>
      </c>
      <c r="B3305" s="946" t="s">
        <v>124</v>
      </c>
      <c r="C3305" s="736"/>
      <c r="D3305" s="736">
        <v>30000</v>
      </c>
      <c r="E3305" s="736"/>
      <c r="F3305" s="736">
        <v>0</v>
      </c>
      <c r="G3305" s="736"/>
      <c r="H3305" s="736"/>
      <c r="I3305" s="736"/>
      <c r="J3305" s="736">
        <f t="shared" ref="J3305:J3307" si="973">G3305+H3305-I3305</f>
        <v>0</v>
      </c>
      <c r="K3305" s="736"/>
      <c r="L3305" s="736"/>
      <c r="M3305" s="736">
        <f t="shared" ref="M3305:M3307" si="974">J3305+K3305-L3305</f>
        <v>0</v>
      </c>
      <c r="N3305" s="736"/>
      <c r="O3305" s="736"/>
      <c r="P3305" s="738">
        <f t="shared" ref="P3305:P3307" si="975">M3305+N3305-O3305</f>
        <v>0</v>
      </c>
      <c r="Q3305" s="738"/>
      <c r="R3305" s="738"/>
      <c r="S3305" s="738">
        <v>30000</v>
      </c>
      <c r="T3305" s="739">
        <v>1100121</v>
      </c>
      <c r="U3305" s="742">
        <v>30000</v>
      </c>
      <c r="V3305" s="741">
        <v>1100122</v>
      </c>
    </row>
    <row r="3306" spans="1:22" ht="15" x14ac:dyDescent="0.2">
      <c r="A3306" s="739">
        <v>5651</v>
      </c>
      <c r="B3306" s="743" t="s">
        <v>105</v>
      </c>
      <c r="C3306" s="736">
        <v>52480.11</v>
      </c>
      <c r="D3306" s="736"/>
      <c r="E3306" s="736"/>
      <c r="F3306" s="736"/>
      <c r="G3306" s="736"/>
      <c r="H3306" s="736"/>
      <c r="I3306" s="736"/>
      <c r="J3306" s="736">
        <f t="shared" si="973"/>
        <v>0</v>
      </c>
      <c r="K3306" s="736"/>
      <c r="L3306" s="736"/>
      <c r="M3306" s="736">
        <f t="shared" si="974"/>
        <v>0</v>
      </c>
      <c r="N3306" s="736"/>
      <c r="O3306" s="736"/>
      <c r="P3306" s="738">
        <f t="shared" si="975"/>
        <v>0</v>
      </c>
      <c r="Q3306" s="738"/>
      <c r="R3306" s="738"/>
      <c r="S3306" s="738"/>
      <c r="T3306" s="739"/>
      <c r="U3306" s="745"/>
      <c r="V3306" s="739"/>
    </row>
    <row r="3307" spans="1:22" ht="15" x14ac:dyDescent="0.2">
      <c r="A3307" s="739">
        <v>5691</v>
      </c>
      <c r="B3307" s="743" t="s">
        <v>1713</v>
      </c>
      <c r="C3307" s="736"/>
      <c r="D3307" s="736"/>
      <c r="E3307" s="736"/>
      <c r="F3307" s="736"/>
      <c r="G3307" s="736"/>
      <c r="H3307" s="736"/>
      <c r="I3307" s="736"/>
      <c r="J3307" s="736">
        <f t="shared" si="973"/>
        <v>0</v>
      </c>
      <c r="K3307" s="736"/>
      <c r="L3307" s="736"/>
      <c r="M3307" s="736">
        <f t="shared" si="974"/>
        <v>0</v>
      </c>
      <c r="N3307" s="736">
        <v>26000</v>
      </c>
      <c r="O3307" s="736"/>
      <c r="P3307" s="736">
        <f t="shared" si="975"/>
        <v>26000</v>
      </c>
      <c r="Q3307" s="738">
        <v>26000</v>
      </c>
      <c r="R3307" s="738">
        <v>23259</v>
      </c>
      <c r="S3307" s="738"/>
      <c r="T3307" s="739">
        <v>1100121</v>
      </c>
      <c r="U3307" s="745"/>
      <c r="V3307" s="739">
        <v>1100122</v>
      </c>
    </row>
    <row r="3308" spans="1:22" ht="15" x14ac:dyDescent="0.25">
      <c r="A3308" s="724" t="s">
        <v>352</v>
      </c>
      <c r="B3308" s="781" t="s">
        <v>1126</v>
      </c>
      <c r="C3308" s="947">
        <f t="shared" ref="C3308:L3308" si="976">SUM(C3309+C3311+C3313+C3359+C3369+C3389+C3402+C3411+C3417+C3427+C3431+C3443+C3446+C3451+C3462+C3465+C3467+C3471+C3478+C3480+C3482+C3485+C3489+C3492)+C3381+C3421+C3424+C3437+C3440</f>
        <v>335950063.84999996</v>
      </c>
      <c r="D3308" s="947">
        <f t="shared" si="976"/>
        <v>344924717.43000007</v>
      </c>
      <c r="E3308" s="947">
        <f t="shared" si="976"/>
        <v>606940805.38000011</v>
      </c>
      <c r="F3308" s="947">
        <f t="shared" si="976"/>
        <v>430505348.22999996</v>
      </c>
      <c r="G3308" s="947">
        <f t="shared" si="976"/>
        <v>456756922.70999992</v>
      </c>
      <c r="H3308" s="947">
        <f t="shared" si="976"/>
        <v>113573610.68000001</v>
      </c>
      <c r="I3308" s="947">
        <f t="shared" si="976"/>
        <v>111116077.49999997</v>
      </c>
      <c r="J3308" s="947">
        <f t="shared" si="976"/>
        <v>459214455.88999993</v>
      </c>
      <c r="K3308" s="947">
        <f t="shared" si="976"/>
        <v>267190597.85000002</v>
      </c>
      <c r="L3308" s="947">
        <f t="shared" si="976"/>
        <v>141248650.67000002</v>
      </c>
      <c r="M3308" s="947">
        <f t="shared" ref="M3308:P3308" si="977">SUM(M3309+M3311+M3313+M3359+M3369+M3389+M3402+M3411+M3417+M3427+M3431+M3443+M3446+M3451+M3462+M3465+M3467+M3471+M3478+M3480+M3482+M3485+M3489+M3492)+M3381+M3421+M3424+M3437+M3440+M3494</f>
        <v>585156403.07000005</v>
      </c>
      <c r="N3308" s="947">
        <f t="shared" si="977"/>
        <v>74870137.160000011</v>
      </c>
      <c r="O3308" s="947">
        <f t="shared" si="977"/>
        <v>68991480.729999989</v>
      </c>
      <c r="P3308" s="918">
        <f t="shared" si="977"/>
        <v>591035059.5</v>
      </c>
      <c r="Q3308" s="948">
        <f>SUM(Q3309+Q3311+Q3313+Q3359+Q3369+Q3389+Q3402+Q3411+Q3417+Q3427+Q3431+Q3443+Q3446+Q3451+Q3462+Q3465+Q3467+Q3471+Q3478+Q3480+Q3482+Q3485+Q3489+Q3492)+Q3381+Q3421+Q3424+Q3437+Q3440+Q3494</f>
        <v>586326773.63999999</v>
      </c>
      <c r="R3308" s="948">
        <f t="shared" ref="R3308:S3308" si="978">SUM(R3309+R3311+R3313+R3359+R3369+R3389+R3402+R3411+R3417+R3427+R3431+R3443+R3446+R3451+R3462+R3465+R3467+R3471+R3478+R3480+R3482+R3485+R3489+R3492)+R3381+R3421+R3424+R3437+R3440</f>
        <v>0</v>
      </c>
      <c r="S3308" s="948">
        <f t="shared" si="978"/>
        <v>0</v>
      </c>
      <c r="T3308" s="724"/>
      <c r="U3308" s="726">
        <f t="shared" ref="U3308" si="979">SUM(U3309+U3311+U3313+U3359+U3369+U3389+U3402+U3411+U3417+U3427+U3431+U3443+U3446+U3451+U3462+U3465+U3467+U3471+U3478+U3480+U3482+U3485+U3489+U3492)+U3381+U3421+U3424+U3437+U3440</f>
        <v>312800744.82999998</v>
      </c>
      <c r="V3308" s="727"/>
    </row>
    <row r="3309" spans="1:22" ht="15" x14ac:dyDescent="0.25">
      <c r="A3309" s="949" t="s">
        <v>1710</v>
      </c>
      <c r="B3309" s="883" t="s">
        <v>1711</v>
      </c>
      <c r="C3309" s="950">
        <f t="shared" ref="C3309:S3309" si="980">SUM(C3310)</f>
        <v>0</v>
      </c>
      <c r="D3309" s="950">
        <f t="shared" si="980"/>
        <v>0</v>
      </c>
      <c r="E3309" s="950">
        <f t="shared" si="980"/>
        <v>300000</v>
      </c>
      <c r="F3309" s="950">
        <f t="shared" si="980"/>
        <v>0</v>
      </c>
      <c r="G3309" s="951">
        <f t="shared" si="980"/>
        <v>0</v>
      </c>
      <c r="H3309" s="951">
        <f t="shared" si="980"/>
        <v>0</v>
      </c>
      <c r="I3309" s="951">
        <f t="shared" si="980"/>
        <v>0</v>
      </c>
      <c r="J3309" s="951">
        <f t="shared" si="980"/>
        <v>0</v>
      </c>
      <c r="K3309" s="951">
        <f t="shared" si="980"/>
        <v>0</v>
      </c>
      <c r="L3309" s="951">
        <f t="shared" si="980"/>
        <v>0</v>
      </c>
      <c r="M3309" s="951">
        <f t="shared" si="980"/>
        <v>0</v>
      </c>
      <c r="N3309" s="951">
        <f t="shared" si="980"/>
        <v>0</v>
      </c>
      <c r="O3309" s="951">
        <f t="shared" si="980"/>
        <v>0</v>
      </c>
      <c r="P3309" s="952">
        <f t="shared" si="980"/>
        <v>0</v>
      </c>
      <c r="Q3309" s="952">
        <f t="shared" si="980"/>
        <v>0</v>
      </c>
      <c r="R3309" s="952"/>
      <c r="S3309" s="952">
        <f t="shared" si="980"/>
        <v>0</v>
      </c>
      <c r="T3309" s="731"/>
      <c r="U3309" s="732">
        <f t="shared" ref="U3309" si="981">SUM(U3310)</f>
        <v>0</v>
      </c>
      <c r="V3309" s="728"/>
    </row>
    <row r="3310" spans="1:22" ht="15" x14ac:dyDescent="0.25">
      <c r="A3310" s="864">
        <v>4411</v>
      </c>
      <c r="B3310" s="822" t="s">
        <v>34</v>
      </c>
      <c r="C3310" s="915"/>
      <c r="D3310" s="915">
        <v>0</v>
      </c>
      <c r="E3310" s="915">
        <v>300000</v>
      </c>
      <c r="F3310" s="915">
        <v>0</v>
      </c>
      <c r="G3310" s="953"/>
      <c r="H3310" s="953"/>
      <c r="I3310" s="953"/>
      <c r="J3310" s="759">
        <f>G3310+H3310-I3310</f>
        <v>0</v>
      </c>
      <c r="K3310" s="953"/>
      <c r="L3310" s="953"/>
      <c r="M3310" s="736">
        <f>J3310+K3310-L3310</f>
        <v>0</v>
      </c>
      <c r="N3310" s="738"/>
      <c r="O3310" s="738"/>
      <c r="P3310" s="738">
        <f>M3310+N3310-O3310</f>
        <v>0</v>
      </c>
      <c r="Q3310" s="954"/>
      <c r="R3310" s="738"/>
      <c r="S3310" s="954"/>
      <c r="T3310" s="739">
        <v>2610121</v>
      </c>
      <c r="U3310" s="745"/>
      <c r="V3310" s="739">
        <v>2610122</v>
      </c>
    </row>
    <row r="3311" spans="1:22" ht="15" x14ac:dyDescent="0.25">
      <c r="A3311" s="949" t="s">
        <v>1753</v>
      </c>
      <c r="B3311" s="883" t="s">
        <v>1849</v>
      </c>
      <c r="C3311" s="950">
        <f t="shared" ref="C3311:S3311" si="982">SUM(C3312)</f>
        <v>0</v>
      </c>
      <c r="D3311" s="950">
        <f t="shared" si="982"/>
        <v>0</v>
      </c>
      <c r="E3311" s="950">
        <f t="shared" si="982"/>
        <v>0</v>
      </c>
      <c r="F3311" s="950">
        <f t="shared" si="982"/>
        <v>0</v>
      </c>
      <c r="G3311" s="951">
        <f t="shared" si="982"/>
        <v>0</v>
      </c>
      <c r="H3311" s="951">
        <f t="shared" si="982"/>
        <v>0</v>
      </c>
      <c r="I3311" s="951">
        <f t="shared" si="982"/>
        <v>0</v>
      </c>
      <c r="J3311" s="951">
        <f t="shared" si="982"/>
        <v>0</v>
      </c>
      <c r="K3311" s="951">
        <f t="shared" si="982"/>
        <v>0</v>
      </c>
      <c r="L3311" s="951">
        <f t="shared" si="982"/>
        <v>0</v>
      </c>
      <c r="M3311" s="951">
        <f t="shared" si="982"/>
        <v>0</v>
      </c>
      <c r="N3311" s="951">
        <f t="shared" si="982"/>
        <v>0</v>
      </c>
      <c r="O3311" s="951">
        <f t="shared" si="982"/>
        <v>0</v>
      </c>
      <c r="P3311" s="952">
        <f t="shared" si="982"/>
        <v>0</v>
      </c>
      <c r="Q3311" s="952">
        <f t="shared" si="982"/>
        <v>0</v>
      </c>
      <c r="R3311" s="952">
        <f t="shared" si="982"/>
        <v>0</v>
      </c>
      <c r="S3311" s="952">
        <f t="shared" si="982"/>
        <v>0</v>
      </c>
      <c r="T3311" s="731"/>
      <c r="U3311" s="732">
        <f t="shared" ref="U3311" si="983">SUM(U3312)</f>
        <v>0</v>
      </c>
      <c r="V3311" s="728"/>
    </row>
    <row r="3312" spans="1:22" ht="15" x14ac:dyDescent="0.25">
      <c r="A3312" s="864">
        <v>6121</v>
      </c>
      <c r="B3312" s="822" t="s">
        <v>353</v>
      </c>
      <c r="C3312" s="915"/>
      <c r="D3312" s="915">
        <v>0</v>
      </c>
      <c r="E3312" s="915"/>
      <c r="F3312" s="915">
        <v>0</v>
      </c>
      <c r="G3312" s="953"/>
      <c r="H3312" s="953"/>
      <c r="I3312" s="953"/>
      <c r="J3312" s="759">
        <f>G3312+H3312-I3312</f>
        <v>0</v>
      </c>
      <c r="K3312" s="953"/>
      <c r="L3312" s="953"/>
      <c r="M3312" s="736">
        <f>J3312+K3312-L3312</f>
        <v>0</v>
      </c>
      <c r="N3312" s="738"/>
      <c r="O3312" s="738"/>
      <c r="P3312" s="738">
        <f>M3312+N3312-O3312</f>
        <v>0</v>
      </c>
      <c r="Q3312" s="954"/>
      <c r="R3312" s="738"/>
      <c r="S3312" s="954"/>
      <c r="T3312" s="739">
        <v>2610121</v>
      </c>
      <c r="U3312" s="745"/>
      <c r="V3312" s="739">
        <v>2610122</v>
      </c>
    </row>
    <row r="3313" spans="1:22" ht="15" x14ac:dyDescent="0.25">
      <c r="A3313" s="728" t="s">
        <v>354</v>
      </c>
      <c r="B3313" s="883" t="s">
        <v>1606</v>
      </c>
      <c r="C3313" s="950">
        <f t="shared" ref="C3313:F3313" si="984">SUM(C3314:C3337)</f>
        <v>46585259.390000001</v>
      </c>
      <c r="D3313" s="950">
        <f t="shared" si="984"/>
        <v>166714747.5</v>
      </c>
      <c r="E3313" s="950">
        <f t="shared" si="984"/>
        <v>268359513.45000002</v>
      </c>
      <c r="F3313" s="950">
        <f t="shared" si="984"/>
        <v>105434943.72</v>
      </c>
      <c r="G3313" s="951">
        <f t="shared" ref="G3313:S3313" si="985">SUM(G3314:G3358)</f>
        <v>164151741.68999997</v>
      </c>
      <c r="H3313" s="951">
        <f t="shared" si="985"/>
        <v>60407281</v>
      </c>
      <c r="I3313" s="951">
        <f t="shared" si="985"/>
        <v>41268145</v>
      </c>
      <c r="J3313" s="951">
        <f t="shared" si="985"/>
        <v>183290877.69</v>
      </c>
      <c r="K3313" s="951">
        <f t="shared" si="985"/>
        <v>0</v>
      </c>
      <c r="L3313" s="951">
        <f t="shared" si="985"/>
        <v>27000000</v>
      </c>
      <c r="M3313" s="951">
        <f t="shared" si="985"/>
        <v>156290877.69</v>
      </c>
      <c r="N3313" s="951">
        <f t="shared" si="985"/>
        <v>3306395.43</v>
      </c>
      <c r="O3313" s="951">
        <f t="shared" si="985"/>
        <v>3313182.5700000003</v>
      </c>
      <c r="P3313" s="950">
        <f t="shared" si="985"/>
        <v>156284090.54999998</v>
      </c>
      <c r="Q3313" s="952">
        <f t="shared" si="985"/>
        <v>156284090.55000001</v>
      </c>
      <c r="R3313" s="952">
        <f t="shared" si="985"/>
        <v>0</v>
      </c>
      <c r="S3313" s="952">
        <f t="shared" si="985"/>
        <v>0</v>
      </c>
      <c r="T3313" s="731"/>
      <c r="U3313" s="732">
        <f>SUM(U3314:U3358)</f>
        <v>111087408</v>
      </c>
      <c r="V3313" s="733"/>
    </row>
    <row r="3314" spans="1:22" ht="15" x14ac:dyDescent="0.25">
      <c r="A3314" s="955">
        <v>3321</v>
      </c>
      <c r="B3314" s="755" t="s">
        <v>190</v>
      </c>
      <c r="C3314" s="915">
        <v>4197510.83</v>
      </c>
      <c r="D3314" s="915">
        <v>0</v>
      </c>
      <c r="E3314" s="915">
        <v>6880888.4400000004</v>
      </c>
      <c r="F3314" s="915">
        <v>4515598.28</v>
      </c>
      <c r="G3314" s="953"/>
      <c r="H3314" s="953"/>
      <c r="I3314" s="953"/>
      <c r="J3314" s="759">
        <f t="shared" ref="J3314:J3358" si="986">G3314+H3314-I3314</f>
        <v>0</v>
      </c>
      <c r="K3314" s="953"/>
      <c r="L3314" s="953"/>
      <c r="M3314" s="736">
        <f t="shared" ref="M3314:M3358" si="987">J3314+K3314-L3314</f>
        <v>0</v>
      </c>
      <c r="N3314" s="736"/>
      <c r="O3314" s="736"/>
      <c r="P3314" s="738">
        <f t="shared" ref="P3314:P3358" si="988">M3314+N3314-O3314</f>
        <v>0</v>
      </c>
      <c r="Q3314" s="954">
        <v>2421681.7200000002</v>
      </c>
      <c r="R3314" s="738"/>
      <c r="S3314" s="954"/>
      <c r="T3314" s="739">
        <v>1100119</v>
      </c>
      <c r="U3314" s="740">
        <v>787277.84</v>
      </c>
      <c r="V3314" s="741">
        <v>1100119</v>
      </c>
    </row>
    <row r="3315" spans="1:22" ht="15" x14ac:dyDescent="0.25">
      <c r="A3315" s="955">
        <v>3321</v>
      </c>
      <c r="B3315" s="755" t="s">
        <v>190</v>
      </c>
      <c r="C3315" s="915">
        <v>3804151.77</v>
      </c>
      <c r="D3315" s="915">
        <v>15042131.98</v>
      </c>
      <c r="E3315" s="915">
        <v>12495848.23</v>
      </c>
      <c r="F3315" s="915">
        <v>8299776.0800000001</v>
      </c>
      <c r="G3315" s="953"/>
      <c r="H3315" s="953"/>
      <c r="I3315" s="953"/>
      <c r="J3315" s="759">
        <f t="shared" si="986"/>
        <v>0</v>
      </c>
      <c r="K3315" s="953"/>
      <c r="L3315" s="953"/>
      <c r="M3315" s="736">
        <f t="shared" si="987"/>
        <v>0</v>
      </c>
      <c r="N3315" s="736"/>
      <c r="O3315" s="736"/>
      <c r="P3315" s="738">
        <f t="shared" si="988"/>
        <v>0</v>
      </c>
      <c r="Q3315" s="954">
        <v>4235773.58</v>
      </c>
      <c r="R3315" s="738"/>
      <c r="S3315" s="954"/>
      <c r="T3315" s="739">
        <v>1100120</v>
      </c>
      <c r="U3315" s="740">
        <v>640154.93000000005</v>
      </c>
      <c r="V3315" s="741">
        <v>1100120</v>
      </c>
    </row>
    <row r="3316" spans="1:22" ht="15" x14ac:dyDescent="0.25">
      <c r="A3316" s="955">
        <v>3321</v>
      </c>
      <c r="B3316" s="755" t="s">
        <v>190</v>
      </c>
      <c r="C3316" s="956"/>
      <c r="D3316" s="956">
        <v>0</v>
      </c>
      <c r="E3316" s="956">
        <v>9725000</v>
      </c>
      <c r="F3316" s="956">
        <v>6732945.9699999997</v>
      </c>
      <c r="G3316" s="953"/>
      <c r="H3316" s="953"/>
      <c r="I3316" s="953"/>
      <c r="J3316" s="759">
        <f t="shared" si="986"/>
        <v>0</v>
      </c>
      <c r="K3316" s="953"/>
      <c r="L3316" s="953"/>
      <c r="M3316" s="736">
        <f t="shared" si="987"/>
        <v>0</v>
      </c>
      <c r="N3316" s="736"/>
      <c r="O3316" s="736"/>
      <c r="P3316" s="738">
        <f t="shared" si="988"/>
        <v>0</v>
      </c>
      <c r="Q3316" s="954">
        <v>2929623.98</v>
      </c>
      <c r="R3316" s="738"/>
      <c r="S3316" s="954"/>
      <c r="T3316" s="739">
        <v>1100118</v>
      </c>
      <c r="U3316" s="740">
        <v>860117.87</v>
      </c>
      <c r="V3316" s="741">
        <v>1100118</v>
      </c>
    </row>
    <row r="3317" spans="1:22" ht="15" x14ac:dyDescent="0.25">
      <c r="A3317" s="864">
        <v>3961</v>
      </c>
      <c r="B3317" s="822" t="s">
        <v>122</v>
      </c>
      <c r="C3317" s="915">
        <v>636247.69999999995</v>
      </c>
      <c r="D3317" s="915">
        <v>26270.66</v>
      </c>
      <c r="E3317" s="915">
        <v>0</v>
      </c>
      <c r="F3317" s="915">
        <v>0</v>
      </c>
      <c r="G3317" s="953"/>
      <c r="H3317" s="953"/>
      <c r="I3317" s="953"/>
      <c r="J3317" s="759">
        <f t="shared" si="986"/>
        <v>0</v>
      </c>
      <c r="K3317" s="953"/>
      <c r="L3317" s="953"/>
      <c r="M3317" s="736">
        <f t="shared" si="987"/>
        <v>0</v>
      </c>
      <c r="N3317" s="736"/>
      <c r="O3317" s="736"/>
      <c r="P3317" s="738">
        <f t="shared" si="988"/>
        <v>0</v>
      </c>
      <c r="Q3317" s="954"/>
      <c r="R3317" s="738"/>
      <c r="S3317" s="954"/>
      <c r="T3317" s="739">
        <v>1100119</v>
      </c>
      <c r="U3317" s="745"/>
      <c r="V3317" s="739">
        <v>1100119</v>
      </c>
    </row>
    <row r="3318" spans="1:22" ht="15" x14ac:dyDescent="0.25">
      <c r="A3318" s="864">
        <v>4156</v>
      </c>
      <c r="B3318" s="743" t="s">
        <v>1850</v>
      </c>
      <c r="C3318" s="915">
        <v>821553.71</v>
      </c>
      <c r="D3318" s="915">
        <v>465868.93</v>
      </c>
      <c r="E3318" s="915">
        <v>2185402.17</v>
      </c>
      <c r="F3318" s="915">
        <v>0</v>
      </c>
      <c r="G3318" s="953"/>
      <c r="H3318" s="953"/>
      <c r="I3318" s="953"/>
      <c r="J3318" s="759">
        <f t="shared" si="986"/>
        <v>0</v>
      </c>
      <c r="K3318" s="953"/>
      <c r="L3318" s="953"/>
      <c r="M3318" s="736">
        <f t="shared" si="987"/>
        <v>0</v>
      </c>
      <c r="N3318" s="736"/>
      <c r="O3318" s="736"/>
      <c r="P3318" s="738">
        <f t="shared" si="988"/>
        <v>0</v>
      </c>
      <c r="Q3318" s="954">
        <v>1057200.74</v>
      </c>
      <c r="R3318" s="738"/>
      <c r="S3318" s="954"/>
      <c r="T3318" s="739">
        <v>1100119</v>
      </c>
      <c r="U3318" s="745"/>
      <c r="V3318" s="739">
        <v>1100119</v>
      </c>
    </row>
    <row r="3319" spans="1:22" ht="15" x14ac:dyDescent="0.25">
      <c r="A3319" s="955">
        <v>4156</v>
      </c>
      <c r="B3319" s="735" t="s">
        <v>1850</v>
      </c>
      <c r="C3319" s="915">
        <v>46201.71</v>
      </c>
      <c r="D3319" s="915">
        <v>0</v>
      </c>
      <c r="E3319" s="915">
        <v>8537987.6300000008</v>
      </c>
      <c r="F3319" s="915">
        <v>275000</v>
      </c>
      <c r="G3319" s="953"/>
      <c r="H3319" s="953"/>
      <c r="I3319" s="953"/>
      <c r="J3319" s="759">
        <f t="shared" si="986"/>
        <v>0</v>
      </c>
      <c r="K3319" s="953"/>
      <c r="L3319" s="953"/>
      <c r="M3319" s="736">
        <f t="shared" si="987"/>
        <v>0</v>
      </c>
      <c r="N3319" s="736"/>
      <c r="O3319" s="736"/>
      <c r="P3319" s="738">
        <f t="shared" si="988"/>
        <v>0</v>
      </c>
      <c r="Q3319" s="954">
        <v>1272500</v>
      </c>
      <c r="R3319" s="738"/>
      <c r="S3319" s="954"/>
      <c r="T3319" s="739">
        <v>1100120</v>
      </c>
      <c r="U3319" s="740">
        <v>269500</v>
      </c>
      <c r="V3319" s="741">
        <v>1100120</v>
      </c>
    </row>
    <row r="3320" spans="1:22" ht="15" x14ac:dyDescent="0.25">
      <c r="A3320" s="955">
        <v>6111</v>
      </c>
      <c r="B3320" s="755" t="s">
        <v>355</v>
      </c>
      <c r="C3320" s="915"/>
      <c r="D3320" s="915">
        <v>29463.759999999998</v>
      </c>
      <c r="E3320" s="915">
        <v>0</v>
      </c>
      <c r="F3320" s="915">
        <v>0</v>
      </c>
      <c r="G3320" s="953"/>
      <c r="H3320" s="953"/>
      <c r="I3320" s="953"/>
      <c r="J3320" s="759">
        <f t="shared" si="986"/>
        <v>0</v>
      </c>
      <c r="K3320" s="953"/>
      <c r="L3320" s="953"/>
      <c r="M3320" s="736">
        <f t="shared" si="987"/>
        <v>0</v>
      </c>
      <c r="N3320" s="736"/>
      <c r="O3320" s="736"/>
      <c r="P3320" s="738">
        <f t="shared" si="988"/>
        <v>0</v>
      </c>
      <c r="Q3320" s="954"/>
      <c r="R3320" s="738"/>
      <c r="S3320" s="954"/>
      <c r="T3320" s="739">
        <v>1100119</v>
      </c>
      <c r="U3320" s="740">
        <v>5654889.8499999996</v>
      </c>
      <c r="V3320" s="741">
        <v>1100119</v>
      </c>
    </row>
    <row r="3321" spans="1:22" ht="15" x14ac:dyDescent="0.25">
      <c r="A3321" s="864">
        <v>6111</v>
      </c>
      <c r="B3321" s="822" t="s">
        <v>355</v>
      </c>
      <c r="C3321" s="915"/>
      <c r="D3321" s="915">
        <v>0</v>
      </c>
      <c r="E3321" s="915"/>
      <c r="F3321" s="915">
        <v>40283.47</v>
      </c>
      <c r="G3321" s="953"/>
      <c r="H3321" s="953"/>
      <c r="I3321" s="953"/>
      <c r="J3321" s="759">
        <f t="shared" si="986"/>
        <v>0</v>
      </c>
      <c r="K3321" s="953"/>
      <c r="L3321" s="953"/>
      <c r="M3321" s="736">
        <f t="shared" si="987"/>
        <v>0</v>
      </c>
      <c r="N3321" s="736"/>
      <c r="O3321" s="736"/>
      <c r="P3321" s="738">
        <f t="shared" si="988"/>
        <v>0</v>
      </c>
      <c r="Q3321" s="954"/>
      <c r="R3321" s="738"/>
      <c r="S3321" s="954"/>
      <c r="T3321" s="739">
        <v>1100121</v>
      </c>
      <c r="U3321" s="745"/>
      <c r="V3321" s="739">
        <v>1100122</v>
      </c>
    </row>
    <row r="3322" spans="1:22" ht="15" x14ac:dyDescent="0.25">
      <c r="A3322" s="955">
        <v>6121</v>
      </c>
      <c r="B3322" s="755" t="s">
        <v>353</v>
      </c>
      <c r="C3322" s="915">
        <v>4478010.04</v>
      </c>
      <c r="D3322" s="915">
        <v>0</v>
      </c>
      <c r="E3322" s="915">
        <v>8310627.5499999998</v>
      </c>
      <c r="F3322" s="915">
        <f>7895194.65-67734.51</f>
        <v>7827460.1400000006</v>
      </c>
      <c r="G3322" s="953"/>
      <c r="H3322" s="953"/>
      <c r="I3322" s="953"/>
      <c r="J3322" s="759">
        <f t="shared" si="986"/>
        <v>0</v>
      </c>
      <c r="K3322" s="953"/>
      <c r="L3322" s="953"/>
      <c r="M3322" s="736">
        <f t="shared" si="987"/>
        <v>0</v>
      </c>
      <c r="N3322" s="736"/>
      <c r="O3322" s="736"/>
      <c r="P3322" s="738">
        <f t="shared" si="988"/>
        <v>0</v>
      </c>
      <c r="Q3322" s="954">
        <v>1104807.76</v>
      </c>
      <c r="R3322" s="738"/>
      <c r="S3322" s="954"/>
      <c r="T3322" s="739">
        <v>1100118</v>
      </c>
      <c r="U3322" s="740">
        <v>1427940.33</v>
      </c>
      <c r="V3322" s="741">
        <v>1100118</v>
      </c>
    </row>
    <row r="3323" spans="1:22" ht="15" x14ac:dyDescent="0.25">
      <c r="A3323" s="864">
        <v>6121</v>
      </c>
      <c r="B3323" s="822" t="s">
        <v>353</v>
      </c>
      <c r="C3323" s="915">
        <v>367335.17</v>
      </c>
      <c r="D3323" s="915">
        <v>8741526.1400000006</v>
      </c>
      <c r="E3323" s="915">
        <v>31656317.039999999</v>
      </c>
      <c r="F3323" s="915">
        <f>7238214.87+67734.51</f>
        <v>7305949.3799999999</v>
      </c>
      <c r="G3323" s="953"/>
      <c r="H3323" s="953"/>
      <c r="I3323" s="953"/>
      <c r="J3323" s="759">
        <f t="shared" si="986"/>
        <v>0</v>
      </c>
      <c r="K3323" s="953"/>
      <c r="L3323" s="953"/>
      <c r="M3323" s="736">
        <f t="shared" si="987"/>
        <v>0</v>
      </c>
      <c r="N3323" s="736"/>
      <c r="O3323" s="736"/>
      <c r="P3323" s="738">
        <f t="shared" si="988"/>
        <v>0</v>
      </c>
      <c r="Q3323" s="954">
        <v>14908918.34</v>
      </c>
      <c r="R3323" s="738"/>
      <c r="S3323" s="954"/>
      <c r="T3323" s="739">
        <v>1100119</v>
      </c>
      <c r="U3323" s="745"/>
      <c r="V3323" s="739">
        <v>1100119</v>
      </c>
    </row>
    <row r="3324" spans="1:22" ht="15" x14ac:dyDescent="0.25">
      <c r="A3324" s="955">
        <v>6121</v>
      </c>
      <c r="B3324" s="755" t="s">
        <v>353</v>
      </c>
      <c r="C3324" s="915"/>
      <c r="D3324" s="915"/>
      <c r="E3324" s="915"/>
      <c r="F3324" s="915"/>
      <c r="G3324" s="953"/>
      <c r="H3324" s="953">
        <v>6786</v>
      </c>
      <c r="I3324" s="953"/>
      <c r="J3324" s="759">
        <f t="shared" si="986"/>
        <v>6786</v>
      </c>
      <c r="K3324" s="953"/>
      <c r="L3324" s="953"/>
      <c r="M3324" s="736">
        <f t="shared" si="987"/>
        <v>6786</v>
      </c>
      <c r="N3324" s="736"/>
      <c r="O3324" s="736">
        <v>6786</v>
      </c>
      <c r="P3324" s="738">
        <f t="shared" si="988"/>
        <v>0</v>
      </c>
      <c r="Q3324" s="954">
        <v>15192220.76</v>
      </c>
      <c r="R3324" s="738"/>
      <c r="S3324" s="954"/>
      <c r="T3324" s="739">
        <v>1100120</v>
      </c>
      <c r="U3324" s="740">
        <v>4369078.0999999996</v>
      </c>
      <c r="V3324" s="741">
        <v>1100120</v>
      </c>
    </row>
    <row r="3325" spans="1:22" ht="15" x14ac:dyDescent="0.25">
      <c r="A3325" s="864">
        <v>6121</v>
      </c>
      <c r="B3325" s="822" t="s">
        <v>353</v>
      </c>
      <c r="C3325" s="915"/>
      <c r="D3325" s="915">
        <v>2500000</v>
      </c>
      <c r="E3325" s="915">
        <v>16221363.34</v>
      </c>
      <c r="F3325" s="915">
        <v>7274660.7299999995</v>
      </c>
      <c r="G3325" s="953">
        <v>2000000</v>
      </c>
      <c r="H3325" s="953"/>
      <c r="I3325" s="953"/>
      <c r="J3325" s="759">
        <f t="shared" si="986"/>
        <v>2000000</v>
      </c>
      <c r="K3325" s="953"/>
      <c r="L3325" s="953">
        <v>2000000</v>
      </c>
      <c r="M3325" s="736">
        <f t="shared" si="987"/>
        <v>0</v>
      </c>
      <c r="N3325" s="736"/>
      <c r="O3325" s="736"/>
      <c r="P3325" s="738">
        <f t="shared" si="988"/>
        <v>0</v>
      </c>
      <c r="Q3325" s="954"/>
      <c r="R3325" s="738"/>
      <c r="S3325" s="954"/>
      <c r="T3325" s="739">
        <v>1100121</v>
      </c>
      <c r="U3325" s="745"/>
      <c r="V3325" s="739">
        <v>1100122</v>
      </c>
    </row>
    <row r="3326" spans="1:22" ht="15" x14ac:dyDescent="0.25">
      <c r="A3326" s="864">
        <v>6121</v>
      </c>
      <c r="B3326" s="822" t="s">
        <v>353</v>
      </c>
      <c r="C3326" s="956"/>
      <c r="D3326" s="956"/>
      <c r="E3326" s="956"/>
      <c r="F3326" s="956"/>
      <c r="G3326" s="953"/>
      <c r="H3326" s="953"/>
      <c r="I3326" s="953"/>
      <c r="J3326" s="759">
        <f t="shared" si="986"/>
        <v>0</v>
      </c>
      <c r="K3326" s="953"/>
      <c r="L3326" s="953"/>
      <c r="M3326" s="736">
        <f t="shared" si="987"/>
        <v>0</v>
      </c>
      <c r="N3326" s="736"/>
      <c r="O3326" s="736"/>
      <c r="P3326" s="738">
        <f t="shared" si="988"/>
        <v>0</v>
      </c>
      <c r="Q3326" s="954"/>
      <c r="R3326" s="738"/>
      <c r="S3326" s="954"/>
      <c r="T3326" s="739">
        <v>2510221</v>
      </c>
      <c r="U3326" s="745"/>
      <c r="V3326" s="739">
        <v>2510222</v>
      </c>
    </row>
    <row r="3327" spans="1:22" ht="30" x14ac:dyDescent="0.25">
      <c r="A3327" s="864">
        <v>6131</v>
      </c>
      <c r="B3327" s="822" t="s">
        <v>1851</v>
      </c>
      <c r="C3327" s="915">
        <v>465582.25</v>
      </c>
      <c r="D3327" s="915">
        <v>0</v>
      </c>
      <c r="E3327" s="915">
        <v>4697911.1500000004</v>
      </c>
      <c r="F3327" s="915">
        <v>1626217.14</v>
      </c>
      <c r="G3327" s="953"/>
      <c r="H3327" s="953"/>
      <c r="I3327" s="953"/>
      <c r="J3327" s="759">
        <f t="shared" si="986"/>
        <v>0</v>
      </c>
      <c r="K3327" s="953"/>
      <c r="L3327" s="953"/>
      <c r="M3327" s="736">
        <f t="shared" si="987"/>
        <v>0</v>
      </c>
      <c r="N3327" s="736"/>
      <c r="O3327" s="736"/>
      <c r="P3327" s="738">
        <f t="shared" si="988"/>
        <v>0</v>
      </c>
      <c r="Q3327" s="954">
        <v>3329718.74</v>
      </c>
      <c r="R3327" s="738"/>
      <c r="S3327" s="954"/>
      <c r="T3327" s="739">
        <v>1100118</v>
      </c>
      <c r="U3327" s="745"/>
      <c r="V3327" s="739">
        <v>1100118</v>
      </c>
    </row>
    <row r="3328" spans="1:22" ht="30" x14ac:dyDescent="0.25">
      <c r="A3328" s="864">
        <v>6131</v>
      </c>
      <c r="B3328" s="822" t="s">
        <v>1851</v>
      </c>
      <c r="C3328" s="915">
        <v>15642289.029999999</v>
      </c>
      <c r="D3328" s="915">
        <v>31794398.620000001</v>
      </c>
      <c r="E3328" s="915">
        <v>20457939.359999999</v>
      </c>
      <c r="F3328" s="915">
        <v>15153352.49</v>
      </c>
      <c r="G3328" s="953"/>
      <c r="H3328" s="953"/>
      <c r="I3328" s="953"/>
      <c r="J3328" s="759">
        <f t="shared" si="986"/>
        <v>0</v>
      </c>
      <c r="K3328" s="953"/>
      <c r="L3328" s="953"/>
      <c r="M3328" s="736">
        <f t="shared" si="987"/>
        <v>0</v>
      </c>
      <c r="N3328" s="736"/>
      <c r="O3328" s="736"/>
      <c r="P3328" s="738">
        <f t="shared" si="988"/>
        <v>0</v>
      </c>
      <c r="Q3328" s="954">
        <v>5452653.25</v>
      </c>
      <c r="R3328" s="738"/>
      <c r="S3328" s="954"/>
      <c r="T3328" s="739">
        <v>1100119</v>
      </c>
      <c r="U3328" s="745"/>
      <c r="V3328" s="739">
        <v>1100119</v>
      </c>
    </row>
    <row r="3329" spans="1:22" ht="30" x14ac:dyDescent="0.25">
      <c r="A3329" s="955">
        <v>6131</v>
      </c>
      <c r="B3329" s="755" t="s">
        <v>1851</v>
      </c>
      <c r="C3329" s="915"/>
      <c r="D3329" s="915">
        <v>19106080</v>
      </c>
      <c r="E3329" s="915">
        <v>16620638.470000001</v>
      </c>
      <c r="F3329" s="915">
        <v>7547789.7000000002</v>
      </c>
      <c r="G3329" s="953">
        <v>25000000</v>
      </c>
      <c r="H3329" s="953"/>
      <c r="I3329" s="953">
        <v>25000000</v>
      </c>
      <c r="J3329" s="759">
        <f t="shared" si="986"/>
        <v>0</v>
      </c>
      <c r="K3329" s="953"/>
      <c r="L3329" s="953"/>
      <c r="M3329" s="736">
        <f t="shared" si="987"/>
        <v>0</v>
      </c>
      <c r="N3329" s="736"/>
      <c r="O3329" s="736"/>
      <c r="P3329" s="738">
        <f t="shared" si="988"/>
        <v>0</v>
      </c>
      <c r="Q3329" s="954">
        <v>51983906.939999998</v>
      </c>
      <c r="R3329" s="738"/>
      <c r="S3329" s="954"/>
      <c r="T3329" s="739">
        <v>1100121</v>
      </c>
      <c r="U3329" s="740">
        <v>52000000</v>
      </c>
      <c r="V3329" s="741">
        <v>1100121</v>
      </c>
    </row>
    <row r="3330" spans="1:22" ht="30" x14ac:dyDescent="0.25">
      <c r="A3330" s="955">
        <v>6131</v>
      </c>
      <c r="B3330" s="755" t="s">
        <v>1851</v>
      </c>
      <c r="C3330" s="915"/>
      <c r="D3330" s="915">
        <v>18000000</v>
      </c>
      <c r="E3330" s="915">
        <v>50000000</v>
      </c>
      <c r="F3330" s="915">
        <v>0</v>
      </c>
      <c r="G3330" s="953">
        <v>25000000</v>
      </c>
      <c r="H3330" s="953"/>
      <c r="I3330" s="953"/>
      <c r="J3330" s="759">
        <f t="shared" si="986"/>
        <v>25000000</v>
      </c>
      <c r="K3330" s="953"/>
      <c r="L3330" s="953">
        <v>25000000</v>
      </c>
      <c r="M3330" s="736">
        <f t="shared" si="987"/>
        <v>0</v>
      </c>
      <c r="N3330" s="736"/>
      <c r="O3330" s="736"/>
      <c r="P3330" s="738">
        <f t="shared" si="988"/>
        <v>0</v>
      </c>
      <c r="Q3330" s="954"/>
      <c r="R3330" s="738"/>
      <c r="S3330" s="954"/>
      <c r="T3330" s="739">
        <v>1100122</v>
      </c>
      <c r="U3330" s="740">
        <f>25000000-7542971+3353952-4000000+800000-1922450-454300-912264+104397+148000+6000006.68+15000000-3937800</f>
        <v>31636570.68</v>
      </c>
      <c r="V3330" s="741">
        <v>1100122</v>
      </c>
    </row>
    <row r="3331" spans="1:22" ht="30" x14ac:dyDescent="0.25">
      <c r="A3331" s="955">
        <v>6131</v>
      </c>
      <c r="B3331" s="755" t="s">
        <v>1851</v>
      </c>
      <c r="C3331" s="915"/>
      <c r="D3331" s="915">
        <v>5893920</v>
      </c>
      <c r="E3331" s="915">
        <v>0</v>
      </c>
      <c r="F3331" s="915">
        <v>0</v>
      </c>
      <c r="G3331" s="953"/>
      <c r="H3331" s="953"/>
      <c r="I3331" s="953"/>
      <c r="J3331" s="759">
        <f t="shared" si="986"/>
        <v>0</v>
      </c>
      <c r="K3331" s="953"/>
      <c r="L3331" s="953"/>
      <c r="M3331" s="736">
        <f t="shared" si="987"/>
        <v>0</v>
      </c>
      <c r="N3331" s="736"/>
      <c r="O3331" s="736"/>
      <c r="P3331" s="738">
        <f t="shared" si="988"/>
        <v>0</v>
      </c>
      <c r="Q3331" s="954"/>
      <c r="R3331" s="738"/>
      <c r="S3331" s="954"/>
      <c r="T3331" s="739">
        <v>1100120</v>
      </c>
      <c r="U3331" s="740">
        <v>2720198.36</v>
      </c>
      <c r="V3331" s="741">
        <v>1100120</v>
      </c>
    </row>
    <row r="3332" spans="1:22" ht="15" x14ac:dyDescent="0.25">
      <c r="A3332" s="955">
        <v>6141</v>
      </c>
      <c r="B3332" s="755" t="s">
        <v>356</v>
      </c>
      <c r="C3332" s="915">
        <v>15362069.82</v>
      </c>
      <c r="D3332" s="915">
        <v>0</v>
      </c>
      <c r="E3332" s="915">
        <v>33408226.949999999</v>
      </c>
      <c r="F3332" s="915">
        <v>28569382.989999998</v>
      </c>
      <c r="G3332" s="953"/>
      <c r="H3332" s="953"/>
      <c r="I3332" s="953"/>
      <c r="J3332" s="759">
        <f t="shared" si="986"/>
        <v>0</v>
      </c>
      <c r="K3332" s="953"/>
      <c r="L3332" s="953"/>
      <c r="M3332" s="736">
        <f t="shared" si="987"/>
        <v>0</v>
      </c>
      <c r="N3332" s="736"/>
      <c r="O3332" s="736"/>
      <c r="P3332" s="738">
        <f t="shared" si="988"/>
        <v>0</v>
      </c>
      <c r="Q3332" s="954">
        <v>3902786.37</v>
      </c>
      <c r="R3332" s="738"/>
      <c r="S3332" s="954"/>
      <c r="T3332" s="739">
        <v>1100120</v>
      </c>
      <c r="U3332" s="740">
        <v>1789624.59</v>
      </c>
      <c r="V3332" s="741">
        <v>1100120</v>
      </c>
    </row>
    <row r="3333" spans="1:22" ht="15" x14ac:dyDescent="0.25">
      <c r="A3333" s="955">
        <v>6141</v>
      </c>
      <c r="B3333" s="755" t="s">
        <v>356</v>
      </c>
      <c r="C3333" s="915">
        <v>764307.36</v>
      </c>
      <c r="D3333" s="915">
        <v>35832528.310000002</v>
      </c>
      <c r="E3333" s="915">
        <v>31731559.050000001</v>
      </c>
      <c r="F3333" s="915">
        <v>6533050.4199999999</v>
      </c>
      <c r="G3333" s="953"/>
      <c r="H3333" s="953"/>
      <c r="I3333" s="953"/>
      <c r="J3333" s="759">
        <f t="shared" si="986"/>
        <v>0</v>
      </c>
      <c r="K3333" s="953"/>
      <c r="L3333" s="953"/>
      <c r="M3333" s="736">
        <f t="shared" si="987"/>
        <v>0</v>
      </c>
      <c r="N3333" s="736"/>
      <c r="O3333" s="736"/>
      <c r="P3333" s="738">
        <f t="shared" si="988"/>
        <v>0</v>
      </c>
      <c r="Q3333" s="954">
        <v>29280390.859999999</v>
      </c>
      <c r="R3333" s="738"/>
      <c r="S3333" s="954"/>
      <c r="T3333" s="739">
        <v>1100119</v>
      </c>
      <c r="U3333" s="740">
        <v>2651446.08</v>
      </c>
      <c r="V3333" s="741">
        <v>1100119</v>
      </c>
    </row>
    <row r="3334" spans="1:22" ht="15" x14ac:dyDescent="0.25">
      <c r="A3334" s="955">
        <v>6141</v>
      </c>
      <c r="B3334" s="755" t="s">
        <v>356</v>
      </c>
      <c r="C3334" s="956"/>
      <c r="D3334" s="956">
        <v>20680000</v>
      </c>
      <c r="E3334" s="956">
        <v>8079804.0700000003</v>
      </c>
      <c r="F3334" s="956">
        <v>3733476.9299999997</v>
      </c>
      <c r="G3334" s="953"/>
      <c r="H3334" s="953"/>
      <c r="I3334" s="953"/>
      <c r="J3334" s="759">
        <f t="shared" si="986"/>
        <v>0</v>
      </c>
      <c r="K3334" s="953"/>
      <c r="L3334" s="953"/>
      <c r="M3334" s="736">
        <f t="shared" si="987"/>
        <v>0</v>
      </c>
      <c r="N3334" s="736"/>
      <c r="O3334" s="736"/>
      <c r="P3334" s="738">
        <f t="shared" si="988"/>
        <v>0</v>
      </c>
      <c r="Q3334" s="954">
        <v>9930702.0999999996</v>
      </c>
      <c r="R3334" s="738"/>
      <c r="S3334" s="954"/>
      <c r="T3334" s="739">
        <v>1100118</v>
      </c>
      <c r="U3334" s="740">
        <v>751508.79</v>
      </c>
      <c r="V3334" s="741">
        <v>1100118</v>
      </c>
    </row>
    <row r="3335" spans="1:22" ht="15" x14ac:dyDescent="0.25">
      <c r="A3335" s="955">
        <v>6221</v>
      </c>
      <c r="B3335" s="755" t="s">
        <v>353</v>
      </c>
      <c r="C3335" s="915"/>
      <c r="D3335" s="915">
        <v>0</v>
      </c>
      <c r="E3335" s="915">
        <v>4350000</v>
      </c>
      <c r="F3335" s="915">
        <v>0</v>
      </c>
      <c r="G3335" s="953"/>
      <c r="H3335" s="953"/>
      <c r="I3335" s="953"/>
      <c r="J3335" s="759">
        <f t="shared" si="986"/>
        <v>0</v>
      </c>
      <c r="K3335" s="953"/>
      <c r="L3335" s="953"/>
      <c r="M3335" s="736">
        <f t="shared" si="987"/>
        <v>0</v>
      </c>
      <c r="N3335" s="736"/>
      <c r="O3335" s="736"/>
      <c r="P3335" s="738">
        <f t="shared" si="988"/>
        <v>0</v>
      </c>
      <c r="Q3335" s="954">
        <v>4350000</v>
      </c>
      <c r="R3335" s="738"/>
      <c r="S3335" s="954"/>
      <c r="T3335" s="739">
        <v>1100118</v>
      </c>
      <c r="U3335" s="740">
        <v>2564186.7799999998</v>
      </c>
      <c r="V3335" s="741">
        <v>1100118</v>
      </c>
    </row>
    <row r="3336" spans="1:22" ht="15" x14ac:dyDescent="0.25">
      <c r="A3336" s="864">
        <v>6221</v>
      </c>
      <c r="B3336" s="822" t="s">
        <v>353</v>
      </c>
      <c r="C3336" s="915"/>
      <c r="D3336" s="915">
        <v>8602559.0999999996</v>
      </c>
      <c r="E3336" s="915">
        <v>2250000</v>
      </c>
      <c r="F3336" s="915">
        <v>0</v>
      </c>
      <c r="G3336" s="953"/>
      <c r="H3336" s="953"/>
      <c r="I3336" s="953"/>
      <c r="J3336" s="759">
        <f t="shared" si="986"/>
        <v>0</v>
      </c>
      <c r="K3336" s="953"/>
      <c r="L3336" s="953"/>
      <c r="M3336" s="736">
        <f t="shared" si="987"/>
        <v>0</v>
      </c>
      <c r="N3336" s="736"/>
      <c r="O3336" s="736"/>
      <c r="P3336" s="738">
        <f t="shared" si="988"/>
        <v>0</v>
      </c>
      <c r="Q3336" s="954">
        <v>4250000</v>
      </c>
      <c r="R3336" s="738"/>
      <c r="S3336" s="954"/>
      <c r="T3336" s="739">
        <v>1100119</v>
      </c>
      <c r="U3336" s="745"/>
      <c r="V3336" s="739">
        <v>1100119</v>
      </c>
    </row>
    <row r="3337" spans="1:22" ht="15" x14ac:dyDescent="0.25">
      <c r="A3337" s="864">
        <v>6221</v>
      </c>
      <c r="B3337" s="822" t="s">
        <v>353</v>
      </c>
      <c r="C3337" s="956"/>
      <c r="D3337" s="956">
        <v>0</v>
      </c>
      <c r="E3337" s="956">
        <v>750000</v>
      </c>
      <c r="F3337" s="956">
        <v>0</v>
      </c>
      <c r="G3337" s="953"/>
      <c r="H3337" s="953"/>
      <c r="I3337" s="953"/>
      <c r="J3337" s="759">
        <f t="shared" si="986"/>
        <v>0</v>
      </c>
      <c r="K3337" s="953"/>
      <c r="L3337" s="953"/>
      <c r="M3337" s="736">
        <f t="shared" si="987"/>
        <v>0</v>
      </c>
      <c r="N3337" s="736"/>
      <c r="O3337" s="736"/>
      <c r="P3337" s="738">
        <f t="shared" si="988"/>
        <v>0</v>
      </c>
      <c r="Q3337" s="954">
        <v>681205.41</v>
      </c>
      <c r="R3337" s="738"/>
      <c r="S3337" s="954"/>
      <c r="T3337" s="739">
        <v>2510221</v>
      </c>
      <c r="U3337" s="745"/>
      <c r="V3337" s="739">
        <v>2510222</v>
      </c>
    </row>
    <row r="3338" spans="1:22" ht="15" x14ac:dyDescent="0.25">
      <c r="A3338" s="808">
        <v>3321</v>
      </c>
      <c r="B3338" s="806" t="s">
        <v>190</v>
      </c>
      <c r="C3338" s="915"/>
      <c r="D3338" s="915"/>
      <c r="E3338" s="915"/>
      <c r="F3338" s="915"/>
      <c r="G3338" s="953">
        <v>2569767.3199999998</v>
      </c>
      <c r="H3338" s="953"/>
      <c r="I3338" s="953">
        <v>204477</v>
      </c>
      <c r="J3338" s="759">
        <f t="shared" si="986"/>
        <v>2365290.3199999998</v>
      </c>
      <c r="K3338" s="953"/>
      <c r="L3338" s="953"/>
      <c r="M3338" s="738">
        <f t="shared" si="987"/>
        <v>2365290.3199999998</v>
      </c>
      <c r="N3338" s="738">
        <v>1.53</v>
      </c>
      <c r="O3338" s="738"/>
      <c r="P3338" s="736">
        <f t="shared" si="988"/>
        <v>2365291.8499999996</v>
      </c>
      <c r="Q3338" s="954"/>
      <c r="R3338" s="738"/>
      <c r="S3338" s="954"/>
      <c r="T3338" s="739">
        <v>1100118</v>
      </c>
      <c r="U3338" s="745"/>
      <c r="V3338" s="739">
        <v>1100118</v>
      </c>
    </row>
    <row r="3339" spans="1:22" ht="15" x14ac:dyDescent="0.25">
      <c r="A3339" s="808">
        <v>6121</v>
      </c>
      <c r="B3339" s="806" t="s">
        <v>353</v>
      </c>
      <c r="C3339" s="915"/>
      <c r="D3339" s="915"/>
      <c r="E3339" s="915"/>
      <c r="F3339" s="915"/>
      <c r="G3339" s="953">
        <v>634610.06999999995</v>
      </c>
      <c r="H3339" s="953"/>
      <c r="I3339" s="953">
        <v>59112</v>
      </c>
      <c r="J3339" s="759">
        <f t="shared" si="986"/>
        <v>575498.06999999995</v>
      </c>
      <c r="K3339" s="953"/>
      <c r="L3339" s="953"/>
      <c r="M3339" s="738">
        <f t="shared" si="987"/>
        <v>575498.06999999995</v>
      </c>
      <c r="N3339" s="738">
        <v>584069.26</v>
      </c>
      <c r="O3339" s="738"/>
      <c r="P3339" s="736">
        <f t="shared" si="988"/>
        <v>1159567.33</v>
      </c>
      <c r="Q3339" s="954"/>
      <c r="R3339" s="738"/>
      <c r="S3339" s="954"/>
      <c r="T3339" s="739">
        <v>1100118</v>
      </c>
      <c r="U3339" s="745"/>
      <c r="V3339" s="739">
        <v>1100118</v>
      </c>
    </row>
    <row r="3340" spans="1:22" ht="30" x14ac:dyDescent="0.25">
      <c r="A3340" s="912">
        <v>6131</v>
      </c>
      <c r="B3340" s="762" t="s">
        <v>1851</v>
      </c>
      <c r="C3340" s="915"/>
      <c r="D3340" s="915"/>
      <c r="E3340" s="915"/>
      <c r="F3340" s="915"/>
      <c r="G3340" s="953">
        <v>2610939.9</v>
      </c>
      <c r="H3340" s="953">
        <v>840862</v>
      </c>
      <c r="I3340" s="953"/>
      <c r="J3340" s="759">
        <f t="shared" si="986"/>
        <v>3451801.9</v>
      </c>
      <c r="K3340" s="953"/>
      <c r="L3340" s="953"/>
      <c r="M3340" s="738">
        <f t="shared" si="987"/>
        <v>3451801.9</v>
      </c>
      <c r="N3340" s="738">
        <v>0.13</v>
      </c>
      <c r="O3340" s="738"/>
      <c r="P3340" s="736">
        <f t="shared" si="988"/>
        <v>3451802.03</v>
      </c>
      <c r="Q3340" s="954"/>
      <c r="R3340" s="738"/>
      <c r="S3340" s="954"/>
      <c r="T3340" s="739">
        <v>1100118</v>
      </c>
      <c r="U3340" s="740">
        <v>729059.5</v>
      </c>
      <c r="V3340" s="741">
        <v>1100118</v>
      </c>
    </row>
    <row r="3341" spans="1:22" ht="15" x14ac:dyDescent="0.25">
      <c r="A3341" s="808">
        <v>6141</v>
      </c>
      <c r="B3341" s="806" t="s">
        <v>356</v>
      </c>
      <c r="C3341" s="915"/>
      <c r="D3341" s="915"/>
      <c r="E3341" s="915"/>
      <c r="F3341" s="915"/>
      <c r="G3341" s="953">
        <v>4113017.3</v>
      </c>
      <c r="H3341" s="953">
        <v>253387</v>
      </c>
      <c r="I3341" s="953"/>
      <c r="J3341" s="759">
        <f t="shared" si="986"/>
        <v>4366404.3</v>
      </c>
      <c r="K3341" s="953"/>
      <c r="L3341" s="953"/>
      <c r="M3341" s="738">
        <f t="shared" si="987"/>
        <v>4366404.3</v>
      </c>
      <c r="N3341" s="738"/>
      <c r="O3341" s="738">
        <v>584070.92000000004</v>
      </c>
      <c r="P3341" s="736">
        <f t="shared" si="988"/>
        <v>3782333.38</v>
      </c>
      <c r="Q3341" s="954"/>
      <c r="R3341" s="738"/>
      <c r="S3341" s="954"/>
      <c r="T3341" s="739">
        <v>1100118</v>
      </c>
      <c r="U3341" s="745"/>
      <c r="V3341" s="739">
        <v>1100118</v>
      </c>
    </row>
    <row r="3342" spans="1:22" ht="15" x14ac:dyDescent="0.25">
      <c r="A3342" s="912">
        <v>6221</v>
      </c>
      <c r="B3342" s="762" t="s">
        <v>353</v>
      </c>
      <c r="C3342" s="915"/>
      <c r="D3342" s="915"/>
      <c r="E3342" s="915"/>
      <c r="F3342" s="915"/>
      <c r="G3342" s="953">
        <v>3697500</v>
      </c>
      <c r="H3342" s="953">
        <v>652500</v>
      </c>
      <c r="I3342" s="953"/>
      <c r="J3342" s="759">
        <f t="shared" si="986"/>
        <v>4350000</v>
      </c>
      <c r="K3342" s="953"/>
      <c r="L3342" s="953"/>
      <c r="M3342" s="738">
        <f t="shared" si="987"/>
        <v>4350000</v>
      </c>
      <c r="N3342" s="738"/>
      <c r="O3342" s="738"/>
      <c r="P3342" s="736">
        <f t="shared" si="988"/>
        <v>4350000</v>
      </c>
      <c r="Q3342" s="954"/>
      <c r="R3342" s="738"/>
      <c r="S3342" s="954"/>
      <c r="T3342" s="739">
        <v>1100119</v>
      </c>
      <c r="U3342" s="740">
        <v>1896792.3</v>
      </c>
      <c r="V3342" s="741">
        <v>1100119</v>
      </c>
    </row>
    <row r="3343" spans="1:22" ht="15" x14ac:dyDescent="0.25">
      <c r="A3343" s="808">
        <v>3321</v>
      </c>
      <c r="B3343" s="806" t="s">
        <v>190</v>
      </c>
      <c r="C3343" s="915"/>
      <c r="D3343" s="915"/>
      <c r="E3343" s="915"/>
      <c r="F3343" s="915"/>
      <c r="G3343" s="953">
        <v>3898765.9</v>
      </c>
      <c r="H3343" s="953">
        <v>1937008</v>
      </c>
      <c r="I3343" s="953"/>
      <c r="J3343" s="759">
        <f t="shared" si="986"/>
        <v>5835773.9000000004</v>
      </c>
      <c r="K3343" s="953"/>
      <c r="L3343" s="953"/>
      <c r="M3343" s="738">
        <f t="shared" si="987"/>
        <v>5835773.9000000004</v>
      </c>
      <c r="N3343" s="738"/>
      <c r="O3343" s="738">
        <v>1600000.32</v>
      </c>
      <c r="P3343" s="736">
        <f t="shared" si="988"/>
        <v>4235773.58</v>
      </c>
      <c r="Q3343" s="954"/>
      <c r="R3343" s="738"/>
      <c r="S3343" s="954"/>
      <c r="T3343" s="739">
        <v>1100119</v>
      </c>
      <c r="U3343" s="745"/>
      <c r="V3343" s="739">
        <v>1100119</v>
      </c>
    </row>
    <row r="3344" spans="1:22" ht="15" x14ac:dyDescent="0.25">
      <c r="A3344" s="912">
        <v>4156</v>
      </c>
      <c r="B3344" s="735" t="s">
        <v>1850</v>
      </c>
      <c r="C3344" s="915"/>
      <c r="D3344" s="915"/>
      <c r="E3344" s="915"/>
      <c r="F3344" s="915"/>
      <c r="G3344" s="953">
        <v>1857591.8</v>
      </c>
      <c r="H3344" s="953"/>
      <c r="I3344" s="953">
        <v>1311891</v>
      </c>
      <c r="J3344" s="759">
        <f t="shared" si="986"/>
        <v>545700.80000000005</v>
      </c>
      <c r="K3344" s="953"/>
      <c r="L3344" s="953"/>
      <c r="M3344" s="738">
        <f t="shared" si="987"/>
        <v>545700.80000000005</v>
      </c>
      <c r="N3344" s="738">
        <v>511499.94</v>
      </c>
      <c r="O3344" s="738"/>
      <c r="P3344" s="736">
        <f t="shared" si="988"/>
        <v>1057200.74</v>
      </c>
      <c r="Q3344" s="954"/>
      <c r="R3344" s="738"/>
      <c r="S3344" s="954"/>
      <c r="T3344" s="739">
        <v>1100119</v>
      </c>
      <c r="U3344" s="740">
        <v>339062</v>
      </c>
      <c r="V3344" s="741">
        <v>1100119</v>
      </c>
    </row>
    <row r="3345" spans="1:22" ht="15" x14ac:dyDescent="0.25">
      <c r="A3345" s="808">
        <v>6121</v>
      </c>
      <c r="B3345" s="806" t="s">
        <v>353</v>
      </c>
      <c r="C3345" s="915"/>
      <c r="D3345" s="915"/>
      <c r="E3345" s="915"/>
      <c r="F3345" s="915"/>
      <c r="G3345" s="953">
        <v>18843880.300000001</v>
      </c>
      <c r="H3345" s="953"/>
      <c r="I3345" s="953">
        <v>4958713</v>
      </c>
      <c r="J3345" s="759">
        <f t="shared" si="986"/>
        <v>13885167.300000001</v>
      </c>
      <c r="K3345" s="953"/>
      <c r="L3345" s="953"/>
      <c r="M3345" s="738">
        <f t="shared" si="987"/>
        <v>13885167.300000001</v>
      </c>
      <c r="N3345" s="738"/>
      <c r="O3345" s="738">
        <v>738710.8</v>
      </c>
      <c r="P3345" s="736">
        <f t="shared" si="988"/>
        <v>13146456.5</v>
      </c>
      <c r="Q3345" s="954"/>
      <c r="R3345" s="738"/>
      <c r="S3345" s="954"/>
      <c r="T3345" s="739">
        <v>1100119</v>
      </c>
      <c r="U3345" s="745"/>
      <c r="V3345" s="739">
        <v>1100119</v>
      </c>
    </row>
    <row r="3346" spans="1:22" ht="15" x14ac:dyDescent="0.25">
      <c r="A3346" s="808">
        <v>6131</v>
      </c>
      <c r="B3346" s="806" t="s">
        <v>1851</v>
      </c>
      <c r="C3346" s="915"/>
      <c r="D3346" s="915"/>
      <c r="E3346" s="915"/>
      <c r="F3346" s="915"/>
      <c r="G3346" s="953">
        <v>8847739.2599999998</v>
      </c>
      <c r="H3346" s="953"/>
      <c r="I3346" s="953">
        <v>3293491</v>
      </c>
      <c r="J3346" s="759">
        <f t="shared" si="986"/>
        <v>5554248.2599999998</v>
      </c>
      <c r="K3346" s="953"/>
      <c r="L3346" s="953"/>
      <c r="M3346" s="738">
        <f t="shared" si="987"/>
        <v>5554248.2599999998</v>
      </c>
      <c r="N3346" s="738"/>
      <c r="O3346" s="738">
        <v>0.24</v>
      </c>
      <c r="P3346" s="736">
        <f t="shared" si="988"/>
        <v>5554248.0199999996</v>
      </c>
      <c r="Q3346" s="954"/>
      <c r="R3346" s="738"/>
      <c r="S3346" s="954"/>
      <c r="T3346" s="739">
        <v>1100119</v>
      </c>
      <c r="U3346" s="745"/>
      <c r="V3346" s="739">
        <v>1100119</v>
      </c>
    </row>
    <row r="3347" spans="1:22" ht="15" x14ac:dyDescent="0.25">
      <c r="A3347" s="808">
        <v>6141</v>
      </c>
      <c r="B3347" s="806" t="s">
        <v>356</v>
      </c>
      <c r="C3347" s="915"/>
      <c r="D3347" s="915"/>
      <c r="E3347" s="915"/>
      <c r="F3347" s="915"/>
      <c r="G3347" s="953">
        <v>23786116.699999999</v>
      </c>
      <c r="H3347" s="953">
        <v>5237930</v>
      </c>
      <c r="I3347" s="953"/>
      <c r="J3347" s="759">
        <f t="shared" si="986"/>
        <v>29024046.699999999</v>
      </c>
      <c r="K3347" s="953"/>
      <c r="L3347" s="953"/>
      <c r="M3347" s="738">
        <f t="shared" si="987"/>
        <v>29024046.699999999</v>
      </c>
      <c r="N3347" s="738">
        <v>1827211.23</v>
      </c>
      <c r="O3347" s="738"/>
      <c r="P3347" s="736">
        <f t="shared" si="988"/>
        <v>30851257.93</v>
      </c>
      <c r="Q3347" s="954"/>
      <c r="R3347" s="738"/>
      <c r="S3347" s="954"/>
      <c r="T3347" s="739">
        <v>1100119</v>
      </c>
      <c r="U3347" s="745"/>
      <c r="V3347" s="739">
        <v>1100119</v>
      </c>
    </row>
    <row r="3348" spans="1:22" ht="15" x14ac:dyDescent="0.25">
      <c r="A3348" s="808">
        <v>6221</v>
      </c>
      <c r="B3348" s="806" t="s">
        <v>353</v>
      </c>
      <c r="C3348" s="915"/>
      <c r="D3348" s="915"/>
      <c r="E3348" s="915"/>
      <c r="F3348" s="915"/>
      <c r="G3348" s="953">
        <v>1912500</v>
      </c>
      <c r="H3348" s="953">
        <v>2427500</v>
      </c>
      <c r="I3348" s="953"/>
      <c r="J3348" s="759">
        <f t="shared" si="986"/>
        <v>4340000</v>
      </c>
      <c r="K3348" s="953"/>
      <c r="L3348" s="953"/>
      <c r="M3348" s="738">
        <f t="shared" si="987"/>
        <v>4340000</v>
      </c>
      <c r="N3348" s="738"/>
      <c r="O3348" s="738"/>
      <c r="P3348" s="736">
        <f t="shared" si="988"/>
        <v>4340000</v>
      </c>
      <c r="Q3348" s="954"/>
      <c r="R3348" s="738"/>
      <c r="S3348" s="954"/>
      <c r="T3348" s="739">
        <v>1100119</v>
      </c>
      <c r="U3348" s="745"/>
      <c r="V3348" s="739">
        <v>1100119</v>
      </c>
    </row>
    <row r="3349" spans="1:22" ht="15" x14ac:dyDescent="0.25">
      <c r="A3349" s="957">
        <v>6121</v>
      </c>
      <c r="B3349" s="806" t="s">
        <v>353</v>
      </c>
      <c r="C3349" s="915"/>
      <c r="D3349" s="915"/>
      <c r="E3349" s="915"/>
      <c r="F3349" s="915"/>
      <c r="G3349" s="953"/>
      <c r="H3349" s="953"/>
      <c r="I3349" s="953"/>
      <c r="J3349" s="759">
        <f t="shared" si="986"/>
        <v>0</v>
      </c>
      <c r="K3349" s="953"/>
      <c r="L3349" s="953"/>
      <c r="M3349" s="738">
        <f t="shared" si="987"/>
        <v>0</v>
      </c>
      <c r="N3349" s="738"/>
      <c r="O3349" s="738"/>
      <c r="P3349" s="738">
        <f t="shared" si="988"/>
        <v>0</v>
      </c>
      <c r="Q3349" s="954"/>
      <c r="R3349" s="738"/>
      <c r="S3349" s="954"/>
      <c r="T3349" s="739">
        <v>1100120</v>
      </c>
      <c r="U3349" s="745"/>
      <c r="V3349" s="739">
        <v>1100120</v>
      </c>
    </row>
    <row r="3350" spans="1:22" ht="15" x14ac:dyDescent="0.25">
      <c r="A3350" s="957">
        <v>6141</v>
      </c>
      <c r="B3350" s="806" t="s">
        <v>356</v>
      </c>
      <c r="C3350" s="915"/>
      <c r="D3350" s="915"/>
      <c r="E3350" s="915"/>
      <c r="F3350" s="915"/>
      <c r="G3350" s="953"/>
      <c r="H3350" s="953"/>
      <c r="I3350" s="953"/>
      <c r="J3350" s="759">
        <f t="shared" si="986"/>
        <v>0</v>
      </c>
      <c r="K3350" s="953"/>
      <c r="L3350" s="953"/>
      <c r="M3350" s="738">
        <f t="shared" si="987"/>
        <v>0</v>
      </c>
      <c r="N3350" s="738"/>
      <c r="O3350" s="738"/>
      <c r="P3350" s="738">
        <f t="shared" si="988"/>
        <v>0</v>
      </c>
      <c r="Q3350" s="954"/>
      <c r="R3350" s="738"/>
      <c r="S3350" s="954"/>
      <c r="T3350" s="739">
        <v>1100120</v>
      </c>
      <c r="U3350" s="745"/>
      <c r="V3350" s="739">
        <v>1100120</v>
      </c>
    </row>
    <row r="3351" spans="1:22" ht="15" x14ac:dyDescent="0.25">
      <c r="A3351" s="957">
        <v>4156</v>
      </c>
      <c r="B3351" s="743" t="s">
        <v>1850</v>
      </c>
      <c r="C3351" s="915"/>
      <c r="D3351" s="915"/>
      <c r="E3351" s="915"/>
      <c r="F3351" s="915"/>
      <c r="G3351" s="953"/>
      <c r="H3351" s="953"/>
      <c r="I3351" s="953"/>
      <c r="J3351" s="759">
        <f t="shared" si="986"/>
        <v>0</v>
      </c>
      <c r="K3351" s="953"/>
      <c r="L3351" s="953"/>
      <c r="M3351" s="738">
        <f t="shared" si="987"/>
        <v>0</v>
      </c>
      <c r="N3351" s="738"/>
      <c r="O3351" s="738"/>
      <c r="P3351" s="738">
        <f t="shared" si="988"/>
        <v>0</v>
      </c>
      <c r="Q3351" s="954"/>
      <c r="R3351" s="738"/>
      <c r="S3351" s="954"/>
      <c r="T3351" s="739">
        <v>1100120</v>
      </c>
      <c r="U3351" s="745"/>
      <c r="V3351" s="739">
        <v>1100120</v>
      </c>
    </row>
    <row r="3352" spans="1:22" ht="15" x14ac:dyDescent="0.25">
      <c r="A3352" s="957">
        <v>3321</v>
      </c>
      <c r="B3352" s="806" t="s">
        <v>190</v>
      </c>
      <c r="C3352" s="915"/>
      <c r="D3352" s="915"/>
      <c r="E3352" s="915"/>
      <c r="F3352" s="915"/>
      <c r="G3352" s="953"/>
      <c r="H3352" s="953"/>
      <c r="I3352" s="953"/>
      <c r="J3352" s="759">
        <f t="shared" si="986"/>
        <v>0</v>
      </c>
      <c r="K3352" s="953"/>
      <c r="L3352" s="953"/>
      <c r="M3352" s="738">
        <f t="shared" si="987"/>
        <v>0</v>
      </c>
      <c r="N3352" s="738"/>
      <c r="O3352" s="738"/>
      <c r="P3352" s="738">
        <f t="shared" si="988"/>
        <v>0</v>
      </c>
      <c r="Q3352" s="954"/>
      <c r="R3352" s="738"/>
      <c r="S3352" s="954"/>
      <c r="T3352" s="739">
        <v>1100120</v>
      </c>
      <c r="U3352" s="745"/>
      <c r="V3352" s="739">
        <v>1100120</v>
      </c>
    </row>
    <row r="3353" spans="1:22" ht="15" x14ac:dyDescent="0.25">
      <c r="A3353" s="808">
        <v>3321</v>
      </c>
      <c r="B3353" s="806" t="s">
        <v>190</v>
      </c>
      <c r="C3353" s="915"/>
      <c r="D3353" s="915"/>
      <c r="E3353" s="915"/>
      <c r="F3353" s="915"/>
      <c r="G3353" s="953">
        <v>5041476.1400000006</v>
      </c>
      <c r="H3353" s="953"/>
      <c r="I3353" s="953">
        <v>2049422</v>
      </c>
      <c r="J3353" s="759">
        <f t="shared" si="986"/>
        <v>2992054.1400000006</v>
      </c>
      <c r="K3353" s="953"/>
      <c r="L3353" s="953"/>
      <c r="M3353" s="738">
        <f t="shared" si="987"/>
        <v>2992054.1400000006</v>
      </c>
      <c r="N3353" s="738"/>
      <c r="O3353" s="738">
        <v>55644.160000000003</v>
      </c>
      <c r="P3353" s="736">
        <f t="shared" si="988"/>
        <v>2936409.9800000004</v>
      </c>
      <c r="Q3353" s="954"/>
      <c r="R3353" s="738"/>
      <c r="S3353" s="954"/>
      <c r="T3353" s="739">
        <v>1100120</v>
      </c>
      <c r="U3353" s="745"/>
      <c r="V3353" s="739">
        <v>1100120</v>
      </c>
    </row>
    <row r="3354" spans="1:22" ht="15" x14ac:dyDescent="0.25">
      <c r="A3354" s="808">
        <v>4156</v>
      </c>
      <c r="B3354" s="743" t="s">
        <v>1850</v>
      </c>
      <c r="C3354" s="915"/>
      <c r="D3354" s="915"/>
      <c r="E3354" s="915"/>
      <c r="F3354" s="915"/>
      <c r="G3354" s="953">
        <v>7023539.4800000004</v>
      </c>
      <c r="H3354" s="953"/>
      <c r="I3354" s="953">
        <v>4391039</v>
      </c>
      <c r="J3354" s="759">
        <f t="shared" si="986"/>
        <v>2632500.4800000004</v>
      </c>
      <c r="K3354" s="953"/>
      <c r="L3354" s="953"/>
      <c r="M3354" s="738">
        <f t="shared" si="987"/>
        <v>2632500.4800000004</v>
      </c>
      <c r="N3354" s="738"/>
      <c r="O3354" s="738">
        <v>0.48</v>
      </c>
      <c r="P3354" s="736">
        <f t="shared" si="988"/>
        <v>2632500.0000000005</v>
      </c>
      <c r="Q3354" s="954"/>
      <c r="R3354" s="738"/>
      <c r="S3354" s="954"/>
      <c r="T3354" s="739">
        <v>1100120</v>
      </c>
      <c r="U3354" s="745"/>
      <c r="V3354" s="739">
        <v>1100120</v>
      </c>
    </row>
    <row r="3355" spans="1:22" ht="15" x14ac:dyDescent="0.25">
      <c r="A3355" s="808">
        <v>6121</v>
      </c>
      <c r="B3355" s="806" t="s">
        <v>353</v>
      </c>
      <c r="C3355" s="915"/>
      <c r="D3355" s="915"/>
      <c r="E3355" s="915"/>
      <c r="F3355" s="915"/>
      <c r="G3355" s="953">
        <v>9659178.2200000007</v>
      </c>
      <c r="H3355" s="953">
        <v>5476171</v>
      </c>
      <c r="I3355" s="953"/>
      <c r="J3355" s="759">
        <f t="shared" si="986"/>
        <v>15135349.220000001</v>
      </c>
      <c r="K3355" s="953"/>
      <c r="L3355" s="953"/>
      <c r="M3355" s="738">
        <f t="shared" si="987"/>
        <v>15135349.220000001</v>
      </c>
      <c r="N3355" s="738"/>
      <c r="O3355" s="738">
        <v>327969.65000000002</v>
      </c>
      <c r="P3355" s="736">
        <f t="shared" si="988"/>
        <v>14807379.57</v>
      </c>
      <c r="Q3355" s="954"/>
      <c r="R3355" s="738"/>
      <c r="S3355" s="954"/>
      <c r="T3355" s="739">
        <v>1100120</v>
      </c>
      <c r="U3355" s="745"/>
      <c r="V3355" s="739">
        <v>1100120</v>
      </c>
    </row>
    <row r="3356" spans="1:22" ht="15" x14ac:dyDescent="0.25">
      <c r="A3356" s="808">
        <v>6131</v>
      </c>
      <c r="B3356" s="806" t="s">
        <v>1851</v>
      </c>
      <c r="C3356" s="915"/>
      <c r="D3356" s="915"/>
      <c r="E3356" s="915"/>
      <c r="F3356" s="915"/>
      <c r="G3356" s="953">
        <v>12138542.699999999</v>
      </c>
      <c r="H3356" s="953">
        <v>39845364</v>
      </c>
      <c r="I3356" s="953"/>
      <c r="J3356" s="759">
        <f t="shared" si="986"/>
        <v>51983906.700000003</v>
      </c>
      <c r="K3356" s="953"/>
      <c r="L3356" s="953"/>
      <c r="M3356" s="738">
        <f t="shared" si="987"/>
        <v>51983906.700000003</v>
      </c>
      <c r="N3356" s="738">
        <v>0.24</v>
      </c>
      <c r="O3356" s="738"/>
      <c r="P3356" s="736">
        <f t="shared" si="988"/>
        <v>51983906.940000005</v>
      </c>
      <c r="Q3356" s="954"/>
      <c r="R3356" s="738"/>
      <c r="S3356" s="954"/>
      <c r="T3356" s="739">
        <v>1100120</v>
      </c>
      <c r="U3356" s="745"/>
      <c r="V3356" s="739">
        <v>1100120</v>
      </c>
    </row>
    <row r="3357" spans="1:22" ht="15" x14ac:dyDescent="0.25">
      <c r="A3357" s="808">
        <v>6141</v>
      </c>
      <c r="B3357" s="806" t="s">
        <v>356</v>
      </c>
      <c r="C3357" s="915"/>
      <c r="D3357" s="915"/>
      <c r="E3357" s="915"/>
      <c r="F3357" s="915"/>
      <c r="G3357" s="953">
        <v>4879076.5999999996</v>
      </c>
      <c r="H3357" s="953">
        <v>3617273</v>
      </c>
      <c r="I3357" s="953"/>
      <c r="J3357" s="759">
        <f t="shared" si="986"/>
        <v>8496349.5999999996</v>
      </c>
      <c r="K3357" s="953"/>
      <c r="L3357" s="953"/>
      <c r="M3357" s="738">
        <f t="shared" si="987"/>
        <v>8496349.5999999996</v>
      </c>
      <c r="N3357" s="738">
        <v>383613.1</v>
      </c>
      <c r="O3357" s="738"/>
      <c r="P3357" s="736">
        <f t="shared" si="988"/>
        <v>8879962.6999999993</v>
      </c>
      <c r="Q3357" s="954"/>
      <c r="R3357" s="738"/>
      <c r="S3357" s="954"/>
      <c r="T3357" s="739">
        <v>1100120</v>
      </c>
      <c r="U3357" s="745"/>
      <c r="V3357" s="739">
        <v>1100120</v>
      </c>
    </row>
    <row r="3358" spans="1:22" ht="15" x14ac:dyDescent="0.25">
      <c r="A3358" s="808">
        <v>6221</v>
      </c>
      <c r="B3358" s="806" t="s">
        <v>353</v>
      </c>
      <c r="C3358" s="915"/>
      <c r="D3358" s="915"/>
      <c r="E3358" s="915"/>
      <c r="F3358" s="915"/>
      <c r="G3358" s="953">
        <v>637500</v>
      </c>
      <c r="H3358" s="953">
        <v>112500</v>
      </c>
      <c r="I3358" s="953"/>
      <c r="J3358" s="759">
        <f t="shared" si="986"/>
        <v>750000</v>
      </c>
      <c r="K3358" s="953"/>
      <c r="L3358" s="953"/>
      <c r="M3358" s="738">
        <f t="shared" si="987"/>
        <v>750000</v>
      </c>
      <c r="N3358" s="738"/>
      <c r="O3358" s="738"/>
      <c r="P3358" s="736">
        <f t="shared" si="988"/>
        <v>750000</v>
      </c>
      <c r="Q3358" s="954"/>
      <c r="R3358" s="738"/>
      <c r="S3358" s="954"/>
      <c r="T3358" s="739">
        <v>1100120</v>
      </c>
      <c r="U3358" s="745"/>
      <c r="V3358" s="739">
        <v>1100120</v>
      </c>
    </row>
    <row r="3359" spans="1:22" ht="15" x14ac:dyDescent="0.25">
      <c r="A3359" s="728" t="s">
        <v>357</v>
      </c>
      <c r="B3359" s="883" t="s">
        <v>1607</v>
      </c>
      <c r="C3359" s="950">
        <f t="shared" ref="C3359:S3359" si="989">SUM(C3360:C3368)</f>
        <v>95191220.700000003</v>
      </c>
      <c r="D3359" s="950">
        <f t="shared" si="989"/>
        <v>93343367.939999998</v>
      </c>
      <c r="E3359" s="950">
        <f t="shared" si="989"/>
        <v>99359118</v>
      </c>
      <c r="F3359" s="950">
        <f t="shared" si="989"/>
        <v>98783184.75</v>
      </c>
      <c r="G3359" s="951">
        <f t="shared" si="989"/>
        <v>104226114.53</v>
      </c>
      <c r="H3359" s="951">
        <f t="shared" si="989"/>
        <v>0</v>
      </c>
      <c r="I3359" s="951">
        <f t="shared" si="989"/>
        <v>9930889.7699999996</v>
      </c>
      <c r="J3359" s="951">
        <f t="shared" si="989"/>
        <v>94295224.760000005</v>
      </c>
      <c r="K3359" s="951">
        <f t="shared" si="989"/>
        <v>57702937.219999999</v>
      </c>
      <c r="L3359" s="951">
        <f t="shared" si="989"/>
        <v>54749027.979999997</v>
      </c>
      <c r="M3359" s="952">
        <f t="shared" si="989"/>
        <v>97249134</v>
      </c>
      <c r="N3359" s="952">
        <f t="shared" si="989"/>
        <v>2596846.37</v>
      </c>
      <c r="O3359" s="952">
        <f t="shared" si="989"/>
        <v>2596846.37</v>
      </c>
      <c r="P3359" s="950">
        <f t="shared" si="989"/>
        <v>97249134.000000015</v>
      </c>
      <c r="Q3359" s="952">
        <f t="shared" si="989"/>
        <v>97249134</v>
      </c>
      <c r="R3359" s="952">
        <f t="shared" si="989"/>
        <v>0</v>
      </c>
      <c r="S3359" s="952">
        <f t="shared" si="989"/>
        <v>0</v>
      </c>
      <c r="T3359" s="731"/>
      <c r="U3359" s="732">
        <f>SUM(U3360:U3368)</f>
        <v>96643134</v>
      </c>
      <c r="V3359" s="733"/>
    </row>
    <row r="3360" spans="1:22" ht="15" x14ac:dyDescent="0.25">
      <c r="A3360" s="739">
        <v>4156</v>
      </c>
      <c r="B3360" s="743" t="s">
        <v>1850</v>
      </c>
      <c r="C3360" s="915">
        <v>8084594.0300000003</v>
      </c>
      <c r="D3360" s="915">
        <v>0</v>
      </c>
      <c r="E3360" s="915">
        <v>3702500</v>
      </c>
      <c r="F3360" s="915">
        <v>3702500</v>
      </c>
      <c r="G3360" s="953"/>
      <c r="H3360" s="953"/>
      <c r="I3360" s="953"/>
      <c r="J3360" s="759">
        <f t="shared" ref="J3360:J3368" si="990">G3360+H3360-I3360</f>
        <v>0</v>
      </c>
      <c r="K3360" s="953">
        <f>3791846.37+900000</f>
        <v>4691846.37</v>
      </c>
      <c r="L3360" s="953"/>
      <c r="M3360" s="738">
        <f t="shared" ref="M3360:M3368" si="991">J3360+K3360-L3360</f>
        <v>4691846.37</v>
      </c>
      <c r="N3360" s="738"/>
      <c r="O3360" s="738">
        <v>2596846.37</v>
      </c>
      <c r="P3360" s="736">
        <f t="shared" ref="P3360:P3368" si="992">M3360+N3360-O3360</f>
        <v>2095000</v>
      </c>
      <c r="Q3360" s="954">
        <v>1295820.24</v>
      </c>
      <c r="R3360" s="738"/>
      <c r="S3360" s="954"/>
      <c r="T3360" s="739">
        <v>2510121</v>
      </c>
      <c r="U3360" s="745"/>
      <c r="V3360" s="739">
        <v>2510122</v>
      </c>
    </row>
    <row r="3361" spans="1:22" ht="15" x14ac:dyDescent="0.25">
      <c r="A3361" s="864">
        <v>6111</v>
      </c>
      <c r="B3361" s="806" t="s">
        <v>355</v>
      </c>
      <c r="C3361" s="915">
        <v>36868671.509999998</v>
      </c>
      <c r="D3361" s="915">
        <v>0</v>
      </c>
      <c r="E3361" s="915">
        <v>33827509.210000001</v>
      </c>
      <c r="F3361" s="915">
        <v>33983092.219999999</v>
      </c>
      <c r="G3361" s="953">
        <v>2490096.15</v>
      </c>
      <c r="H3361" s="953"/>
      <c r="I3361" s="953">
        <v>2490096.15</v>
      </c>
      <c r="J3361" s="759">
        <f t="shared" si="990"/>
        <v>0</v>
      </c>
      <c r="K3361" s="953"/>
      <c r="L3361" s="953"/>
      <c r="M3361" s="738">
        <f t="shared" si="991"/>
        <v>0</v>
      </c>
      <c r="N3361" s="738"/>
      <c r="O3361" s="738"/>
      <c r="P3361" s="738">
        <f t="shared" si="992"/>
        <v>0</v>
      </c>
      <c r="Q3361" s="954"/>
      <c r="R3361" s="738"/>
      <c r="S3361" s="954"/>
      <c r="T3361" s="739">
        <v>2510120</v>
      </c>
      <c r="U3361" s="745"/>
      <c r="V3361" s="739">
        <v>2510120</v>
      </c>
    </row>
    <row r="3362" spans="1:22" ht="15" x14ac:dyDescent="0.25">
      <c r="A3362" s="864">
        <v>6121</v>
      </c>
      <c r="B3362" s="806" t="s">
        <v>353</v>
      </c>
      <c r="C3362" s="915">
        <v>11120779.140000001</v>
      </c>
      <c r="D3362" s="915">
        <v>0</v>
      </c>
      <c r="E3362" s="915">
        <v>10007798.17</v>
      </c>
      <c r="F3362" s="915">
        <v>10161345.539999999</v>
      </c>
      <c r="G3362" s="953">
        <v>1585570.86</v>
      </c>
      <c r="H3362" s="953"/>
      <c r="I3362" s="953">
        <v>1585570.86</v>
      </c>
      <c r="J3362" s="759">
        <f t="shared" si="990"/>
        <v>0</v>
      </c>
      <c r="K3362" s="953"/>
      <c r="L3362" s="953"/>
      <c r="M3362" s="738">
        <f t="shared" si="991"/>
        <v>0</v>
      </c>
      <c r="N3362" s="738"/>
      <c r="O3362" s="738"/>
      <c r="P3362" s="738">
        <f t="shared" si="992"/>
        <v>0</v>
      </c>
      <c r="Q3362" s="954"/>
      <c r="R3362" s="738"/>
      <c r="S3362" s="954"/>
      <c r="T3362" s="739">
        <v>2510120</v>
      </c>
      <c r="U3362" s="745"/>
      <c r="V3362" s="739">
        <v>2510120</v>
      </c>
    </row>
    <row r="3363" spans="1:22" ht="15" x14ac:dyDescent="0.25">
      <c r="A3363" s="864">
        <v>6131</v>
      </c>
      <c r="B3363" s="806" t="s">
        <v>1851</v>
      </c>
      <c r="C3363" s="915">
        <v>8151595.9000000004</v>
      </c>
      <c r="D3363" s="915">
        <v>0</v>
      </c>
      <c r="E3363" s="915">
        <v>9438031.4399999995</v>
      </c>
      <c r="F3363" s="915">
        <v>8965910.5199999996</v>
      </c>
      <c r="G3363" s="953">
        <v>1651655</v>
      </c>
      <c r="H3363" s="953"/>
      <c r="I3363" s="953">
        <v>1651655</v>
      </c>
      <c r="J3363" s="759">
        <f t="shared" si="990"/>
        <v>0</v>
      </c>
      <c r="K3363" s="953"/>
      <c r="L3363" s="953"/>
      <c r="M3363" s="738">
        <f t="shared" si="991"/>
        <v>0</v>
      </c>
      <c r="N3363" s="738"/>
      <c r="O3363" s="738"/>
      <c r="P3363" s="738">
        <f t="shared" si="992"/>
        <v>0</v>
      </c>
      <c r="Q3363" s="954"/>
      <c r="R3363" s="738"/>
      <c r="S3363" s="954"/>
      <c r="T3363" s="739">
        <v>2510120</v>
      </c>
      <c r="U3363" s="745"/>
      <c r="V3363" s="739">
        <v>2510120</v>
      </c>
    </row>
    <row r="3364" spans="1:22" ht="15" x14ac:dyDescent="0.25">
      <c r="A3364" s="739">
        <v>6141</v>
      </c>
      <c r="B3364" s="806" t="s">
        <v>356</v>
      </c>
      <c r="C3364" s="915"/>
      <c r="D3364" s="915"/>
      <c r="E3364" s="915"/>
      <c r="F3364" s="915"/>
      <c r="G3364" s="915">
        <v>4203567.76</v>
      </c>
      <c r="H3364" s="915"/>
      <c r="I3364" s="915">
        <v>4203567.76</v>
      </c>
      <c r="J3364" s="736">
        <f t="shared" si="990"/>
        <v>0</v>
      </c>
      <c r="K3364" s="915"/>
      <c r="L3364" s="915"/>
      <c r="M3364" s="738">
        <f t="shared" si="991"/>
        <v>0</v>
      </c>
      <c r="N3364" s="738"/>
      <c r="O3364" s="738"/>
      <c r="P3364" s="738">
        <f t="shared" si="992"/>
        <v>0</v>
      </c>
      <c r="Q3364" s="954"/>
      <c r="R3364" s="738"/>
      <c r="S3364" s="772"/>
      <c r="T3364" s="739">
        <v>2510120</v>
      </c>
      <c r="U3364" s="745"/>
      <c r="V3364" s="739">
        <v>2510120</v>
      </c>
    </row>
    <row r="3365" spans="1:22" ht="15" x14ac:dyDescent="0.25">
      <c r="A3365" s="739">
        <v>6121</v>
      </c>
      <c r="B3365" s="806" t="s">
        <v>353</v>
      </c>
      <c r="C3365" s="915"/>
      <c r="D3365" s="915"/>
      <c r="E3365" s="915"/>
      <c r="F3365" s="915"/>
      <c r="G3365" s="953"/>
      <c r="H3365" s="953"/>
      <c r="I3365" s="953"/>
      <c r="J3365" s="759">
        <f t="shared" si="990"/>
        <v>0</v>
      </c>
      <c r="K3365" s="953">
        <f>11514608.44-900000</f>
        <v>10614608.439999999</v>
      </c>
      <c r="L3365" s="953"/>
      <c r="M3365" s="738">
        <f t="shared" si="991"/>
        <v>10614608.439999999</v>
      </c>
      <c r="N3365" s="738"/>
      <c r="O3365" s="738"/>
      <c r="P3365" s="736">
        <f t="shared" si="992"/>
        <v>10614608.439999999</v>
      </c>
      <c r="Q3365" s="954">
        <v>10379516.640000001</v>
      </c>
      <c r="R3365" s="738"/>
      <c r="S3365" s="954"/>
      <c r="T3365" s="739">
        <v>2510121</v>
      </c>
      <c r="U3365" s="745"/>
      <c r="V3365" s="739">
        <v>2510122</v>
      </c>
    </row>
    <row r="3366" spans="1:22" ht="30" x14ac:dyDescent="0.25">
      <c r="A3366" s="734">
        <v>6131</v>
      </c>
      <c r="B3366" s="762" t="s">
        <v>1851</v>
      </c>
      <c r="C3366" s="915"/>
      <c r="D3366" s="915"/>
      <c r="E3366" s="915"/>
      <c r="F3366" s="915"/>
      <c r="G3366" s="953"/>
      <c r="H3366" s="953"/>
      <c r="I3366" s="953"/>
      <c r="J3366" s="759">
        <f t="shared" si="990"/>
        <v>0</v>
      </c>
      <c r="K3366" s="953">
        <v>13085051.98</v>
      </c>
      <c r="L3366" s="953"/>
      <c r="M3366" s="738">
        <f t="shared" si="991"/>
        <v>13085051.98</v>
      </c>
      <c r="N3366" s="738">
        <v>1009810.74</v>
      </c>
      <c r="O3366" s="738"/>
      <c r="P3366" s="736">
        <f t="shared" si="992"/>
        <v>14094862.720000001</v>
      </c>
      <c r="Q3366" s="954">
        <v>14642461.810000001</v>
      </c>
      <c r="R3366" s="738"/>
      <c r="S3366" s="954"/>
      <c r="T3366" s="739">
        <v>2510121</v>
      </c>
      <c r="U3366" s="740">
        <v>96643134</v>
      </c>
      <c r="V3366" s="741">
        <v>2510122</v>
      </c>
    </row>
    <row r="3367" spans="1:22" ht="15" x14ac:dyDescent="0.25">
      <c r="A3367" s="739">
        <v>6111</v>
      </c>
      <c r="B3367" s="822" t="s">
        <v>355</v>
      </c>
      <c r="C3367" s="915"/>
      <c r="D3367" s="915"/>
      <c r="E3367" s="915"/>
      <c r="F3367" s="915"/>
      <c r="G3367" s="958"/>
      <c r="H3367" s="958"/>
      <c r="I3367" s="958"/>
      <c r="J3367" s="759">
        <f t="shared" si="990"/>
        <v>0</v>
      </c>
      <c r="K3367" s="958">
        <v>29311430.43</v>
      </c>
      <c r="L3367" s="958"/>
      <c r="M3367" s="738">
        <f t="shared" si="991"/>
        <v>29311430.43</v>
      </c>
      <c r="N3367" s="738">
        <v>658684.64</v>
      </c>
      <c r="O3367" s="738"/>
      <c r="P3367" s="736">
        <f t="shared" si="992"/>
        <v>29970115.07</v>
      </c>
      <c r="Q3367" s="959">
        <v>30234838.18</v>
      </c>
      <c r="R3367" s="738"/>
      <c r="S3367" s="959"/>
      <c r="T3367" s="739">
        <v>2510121</v>
      </c>
      <c r="U3367" s="745"/>
      <c r="V3367" s="739">
        <v>2510122</v>
      </c>
    </row>
    <row r="3368" spans="1:22" ht="15" x14ac:dyDescent="0.25">
      <c r="A3368" s="739">
        <v>6141</v>
      </c>
      <c r="B3368" s="822" t="s">
        <v>356</v>
      </c>
      <c r="C3368" s="915">
        <v>30965580.120000001</v>
      </c>
      <c r="D3368" s="915">
        <v>93343367.939999998</v>
      </c>
      <c r="E3368" s="915">
        <v>42383279.18</v>
      </c>
      <c r="F3368" s="915">
        <f>41970336.45+0.02</f>
        <v>41970336.470000006</v>
      </c>
      <c r="G3368" s="958">
        <f>92989224+1306000+0.76</f>
        <v>94295224.760000005</v>
      </c>
      <c r="H3368" s="958"/>
      <c r="I3368" s="958"/>
      <c r="J3368" s="759">
        <f t="shared" si="990"/>
        <v>94295224.760000005</v>
      </c>
      <c r="K3368" s="958"/>
      <c r="L3368" s="958">
        <v>54749027.979999997</v>
      </c>
      <c r="M3368" s="738">
        <f t="shared" si="991"/>
        <v>39546196.780000009</v>
      </c>
      <c r="N3368" s="738">
        <v>928350.99</v>
      </c>
      <c r="O3368" s="738"/>
      <c r="P3368" s="736">
        <f t="shared" si="992"/>
        <v>40474547.770000011</v>
      </c>
      <c r="Q3368" s="959">
        <v>40696497.130000003</v>
      </c>
      <c r="R3368" s="738"/>
      <c r="S3368" s="959"/>
      <c r="T3368" s="739">
        <v>2510121</v>
      </c>
      <c r="U3368" s="745"/>
      <c r="V3368" s="739">
        <v>2510122</v>
      </c>
    </row>
    <row r="3369" spans="1:22" ht="15" x14ac:dyDescent="0.25">
      <c r="A3369" s="728" t="s">
        <v>358</v>
      </c>
      <c r="B3369" s="883" t="s">
        <v>1608</v>
      </c>
      <c r="C3369" s="951">
        <f t="shared" ref="C3369:S3369" si="993">SUM(C3370:C3380)</f>
        <v>63990763.929999992</v>
      </c>
      <c r="D3369" s="951">
        <f t="shared" si="993"/>
        <v>58460422</v>
      </c>
      <c r="E3369" s="951">
        <f t="shared" si="993"/>
        <v>63890900.039999999</v>
      </c>
      <c r="F3369" s="951">
        <f t="shared" si="993"/>
        <v>63890900.039999999</v>
      </c>
      <c r="G3369" s="951">
        <f t="shared" si="993"/>
        <v>47850465.850000001</v>
      </c>
      <c r="H3369" s="951">
        <f t="shared" si="993"/>
        <v>0</v>
      </c>
      <c r="I3369" s="951">
        <f t="shared" si="993"/>
        <v>6493474.4199999999</v>
      </c>
      <c r="J3369" s="951">
        <f t="shared" si="993"/>
        <v>41356991.43</v>
      </c>
      <c r="K3369" s="951">
        <f t="shared" si="993"/>
        <v>69117160.150000006</v>
      </c>
      <c r="L3369" s="951">
        <f t="shared" si="993"/>
        <v>41356991.43</v>
      </c>
      <c r="M3369" s="952">
        <f t="shared" si="993"/>
        <v>69117160.150000006</v>
      </c>
      <c r="N3369" s="952">
        <f t="shared" si="993"/>
        <v>38617160.150000006</v>
      </c>
      <c r="O3369" s="952">
        <f t="shared" si="993"/>
        <v>38718620.149999999</v>
      </c>
      <c r="P3369" s="950">
        <f t="shared" si="993"/>
        <v>69015700.150000006</v>
      </c>
      <c r="Q3369" s="952">
        <f>SUM(Q3370:Q3380)</f>
        <v>65523809.490000002</v>
      </c>
      <c r="R3369" s="952">
        <f t="shared" si="993"/>
        <v>0</v>
      </c>
      <c r="S3369" s="952">
        <f t="shared" si="993"/>
        <v>0</v>
      </c>
      <c r="T3369" s="731"/>
      <c r="U3369" s="732">
        <f t="shared" ref="U3369" si="994">SUM(U3370:U3380)</f>
        <v>42117160</v>
      </c>
      <c r="V3369" s="733"/>
    </row>
    <row r="3370" spans="1:22" ht="15" x14ac:dyDescent="0.25">
      <c r="A3370" s="739">
        <v>3321</v>
      </c>
      <c r="B3370" s="822" t="s">
        <v>190</v>
      </c>
      <c r="C3370" s="915"/>
      <c r="D3370" s="915"/>
      <c r="E3370" s="915"/>
      <c r="F3370" s="915"/>
      <c r="G3370" s="953"/>
      <c r="H3370" s="953"/>
      <c r="I3370" s="953"/>
      <c r="J3370" s="759"/>
      <c r="K3370" s="953">
        <v>1332202</v>
      </c>
      <c r="L3370" s="953"/>
      <c r="M3370" s="738">
        <f t="shared" ref="M3370:M3380" si="995">J3370+K3370-L3370</f>
        <v>1332202</v>
      </c>
      <c r="N3370" s="738">
        <v>0.15</v>
      </c>
      <c r="O3370" s="738"/>
      <c r="P3370" s="736">
        <f t="shared" ref="P3370:P3380" si="996">M3370+N3370-O3370</f>
        <v>1332202.1499999999</v>
      </c>
      <c r="Q3370" s="954">
        <v>1317100.8899999999</v>
      </c>
      <c r="R3370" s="738"/>
      <c r="S3370" s="954"/>
      <c r="T3370" s="739">
        <v>2510221</v>
      </c>
      <c r="U3370" s="745"/>
      <c r="V3370" s="739">
        <v>2510222</v>
      </c>
    </row>
    <row r="3371" spans="1:22" ht="15" x14ac:dyDescent="0.25">
      <c r="A3371" s="739">
        <v>6121</v>
      </c>
      <c r="B3371" s="822" t="s">
        <v>353</v>
      </c>
      <c r="C3371" s="915"/>
      <c r="D3371" s="915"/>
      <c r="E3371" s="915"/>
      <c r="F3371" s="915"/>
      <c r="G3371" s="953"/>
      <c r="H3371" s="953"/>
      <c r="I3371" s="953"/>
      <c r="J3371" s="759"/>
      <c r="K3371" s="953">
        <v>15550000</v>
      </c>
      <c r="L3371" s="953"/>
      <c r="M3371" s="738">
        <f t="shared" si="995"/>
        <v>15550000</v>
      </c>
      <c r="N3371" s="738">
        <v>11617160.15</v>
      </c>
      <c r="O3371" s="738"/>
      <c r="P3371" s="736">
        <f t="shared" si="996"/>
        <v>27167160.149999999</v>
      </c>
      <c r="Q3371" s="954"/>
      <c r="R3371" s="738"/>
      <c r="S3371" s="954"/>
      <c r="T3371" s="739">
        <v>2510221</v>
      </c>
      <c r="U3371" s="745"/>
      <c r="V3371" s="739">
        <v>2510222</v>
      </c>
    </row>
    <row r="3372" spans="1:22" ht="15" x14ac:dyDescent="0.25">
      <c r="A3372" s="734">
        <v>6141</v>
      </c>
      <c r="B3372" s="755" t="s">
        <v>356</v>
      </c>
      <c r="C3372" s="915"/>
      <c r="D3372" s="915"/>
      <c r="E3372" s="915"/>
      <c r="F3372" s="915"/>
      <c r="G3372" s="953"/>
      <c r="H3372" s="953"/>
      <c r="I3372" s="953"/>
      <c r="J3372" s="759"/>
      <c r="K3372" s="953">
        <v>4117798</v>
      </c>
      <c r="L3372" s="953"/>
      <c r="M3372" s="738">
        <f t="shared" si="995"/>
        <v>4117798</v>
      </c>
      <c r="N3372" s="738">
        <v>26999999.850000001</v>
      </c>
      <c r="O3372" s="738">
        <v>101460</v>
      </c>
      <c r="P3372" s="736">
        <f t="shared" si="996"/>
        <v>31016337.850000001</v>
      </c>
      <c r="Q3372" s="954"/>
      <c r="R3372" s="738"/>
      <c r="S3372" s="954"/>
      <c r="T3372" s="739">
        <v>2510221</v>
      </c>
      <c r="U3372" s="740">
        <v>42117160</v>
      </c>
      <c r="V3372" s="741">
        <v>2510222</v>
      </c>
    </row>
    <row r="3373" spans="1:22" ht="15" x14ac:dyDescent="0.25">
      <c r="A3373" s="739">
        <v>6221</v>
      </c>
      <c r="B3373" s="822" t="s">
        <v>353</v>
      </c>
      <c r="C3373" s="915"/>
      <c r="D3373" s="915"/>
      <c r="E3373" s="915"/>
      <c r="F3373" s="915"/>
      <c r="G3373" s="953"/>
      <c r="H3373" s="953"/>
      <c r="I3373" s="953"/>
      <c r="J3373" s="759"/>
      <c r="K3373" s="953">
        <v>6000000</v>
      </c>
      <c r="L3373" s="953"/>
      <c r="M3373" s="738">
        <f t="shared" si="995"/>
        <v>6000000</v>
      </c>
      <c r="N3373" s="738"/>
      <c r="O3373" s="738"/>
      <c r="P3373" s="736">
        <f t="shared" si="996"/>
        <v>6000000</v>
      </c>
      <c r="Q3373" s="954"/>
      <c r="R3373" s="738"/>
      <c r="S3373" s="954"/>
      <c r="T3373" s="739">
        <v>2510221</v>
      </c>
      <c r="U3373" s="745"/>
      <c r="V3373" s="739">
        <v>2510222</v>
      </c>
    </row>
    <row r="3374" spans="1:22" ht="15" x14ac:dyDescent="0.25">
      <c r="A3374" s="739">
        <v>4156</v>
      </c>
      <c r="B3374" s="743" t="s">
        <v>1850</v>
      </c>
      <c r="C3374" s="915">
        <v>6941766.3199999994</v>
      </c>
      <c r="D3374" s="915">
        <v>0</v>
      </c>
      <c r="E3374" s="915">
        <v>0</v>
      </c>
      <c r="F3374" s="915">
        <v>0</v>
      </c>
      <c r="G3374" s="953"/>
      <c r="H3374" s="953"/>
      <c r="I3374" s="953"/>
      <c r="J3374" s="759">
        <f t="shared" ref="J3374:J3380" si="997">G3374+H3374-I3374</f>
        <v>0</v>
      </c>
      <c r="K3374" s="953">
        <v>3500000</v>
      </c>
      <c r="L3374" s="953"/>
      <c r="M3374" s="738">
        <f t="shared" si="995"/>
        <v>3500000</v>
      </c>
      <c r="N3374" s="738"/>
      <c r="O3374" s="738"/>
      <c r="P3374" s="736">
        <f t="shared" si="996"/>
        <v>3500000</v>
      </c>
      <c r="Q3374" s="954"/>
      <c r="R3374" s="738"/>
      <c r="S3374" s="954"/>
      <c r="T3374" s="739">
        <v>2510221</v>
      </c>
      <c r="U3374" s="745"/>
      <c r="V3374" s="739">
        <v>2510222</v>
      </c>
    </row>
    <row r="3375" spans="1:22" ht="15" x14ac:dyDescent="0.25">
      <c r="A3375" s="864">
        <v>6121</v>
      </c>
      <c r="B3375" s="822" t="s">
        <v>353</v>
      </c>
      <c r="C3375" s="915"/>
      <c r="D3375" s="915">
        <v>0</v>
      </c>
      <c r="E3375" s="915">
        <v>0</v>
      </c>
      <c r="F3375" s="915">
        <v>0</v>
      </c>
      <c r="G3375" s="953"/>
      <c r="H3375" s="953"/>
      <c r="I3375" s="953"/>
      <c r="J3375" s="759">
        <f t="shared" si="997"/>
        <v>0</v>
      </c>
      <c r="K3375" s="953">
        <v>11617160.15</v>
      </c>
      <c r="L3375" s="953"/>
      <c r="M3375" s="738">
        <f t="shared" si="995"/>
        <v>11617160.15</v>
      </c>
      <c r="N3375" s="738"/>
      <c r="O3375" s="738">
        <v>11617160.15</v>
      </c>
      <c r="P3375" s="738">
        <f t="shared" si="996"/>
        <v>0</v>
      </c>
      <c r="Q3375" s="954"/>
      <c r="R3375" s="738"/>
      <c r="S3375" s="954"/>
      <c r="T3375" s="739">
        <v>2510221</v>
      </c>
      <c r="U3375" s="745"/>
      <c r="V3375" s="739">
        <v>2510222</v>
      </c>
    </row>
    <row r="3376" spans="1:22" ht="15" x14ac:dyDescent="0.25">
      <c r="A3376" s="864">
        <v>6141</v>
      </c>
      <c r="B3376" s="822" t="s">
        <v>356</v>
      </c>
      <c r="C3376" s="915"/>
      <c r="D3376" s="915">
        <v>0</v>
      </c>
      <c r="E3376" s="915">
        <v>0</v>
      </c>
      <c r="F3376" s="915">
        <v>0</v>
      </c>
      <c r="G3376" s="953"/>
      <c r="H3376" s="953"/>
      <c r="I3376" s="953"/>
      <c r="J3376" s="759">
        <f t="shared" si="997"/>
        <v>0</v>
      </c>
      <c r="K3376" s="953">
        <v>27000000</v>
      </c>
      <c r="L3376" s="953"/>
      <c r="M3376" s="738">
        <f t="shared" si="995"/>
        <v>27000000</v>
      </c>
      <c r="N3376" s="738"/>
      <c r="O3376" s="738">
        <v>27000000</v>
      </c>
      <c r="P3376" s="738">
        <f t="shared" si="996"/>
        <v>0</v>
      </c>
      <c r="Q3376" s="954"/>
      <c r="R3376" s="738"/>
      <c r="S3376" s="954"/>
      <c r="T3376" s="739">
        <v>2510221</v>
      </c>
      <c r="U3376" s="745"/>
      <c r="V3376" s="739">
        <v>2510222</v>
      </c>
    </row>
    <row r="3377" spans="1:22" ht="15" x14ac:dyDescent="0.25">
      <c r="A3377" s="864">
        <v>6121</v>
      </c>
      <c r="B3377" s="822" t="s">
        <v>353</v>
      </c>
      <c r="C3377" s="915">
        <v>6133647.7199999997</v>
      </c>
      <c r="D3377" s="915">
        <v>0</v>
      </c>
      <c r="E3377" s="915">
        <v>13426238.33</v>
      </c>
      <c r="F3377" s="915">
        <v>13386325.139999999</v>
      </c>
      <c r="G3377" s="958">
        <v>2096120.77</v>
      </c>
      <c r="H3377" s="958"/>
      <c r="I3377" s="958">
        <v>2096120.77</v>
      </c>
      <c r="J3377" s="759">
        <f t="shared" si="997"/>
        <v>0</v>
      </c>
      <c r="K3377" s="958"/>
      <c r="L3377" s="958"/>
      <c r="M3377" s="738">
        <f t="shared" si="995"/>
        <v>0</v>
      </c>
      <c r="N3377" s="738"/>
      <c r="O3377" s="738"/>
      <c r="P3377" s="738">
        <f t="shared" si="996"/>
        <v>0</v>
      </c>
      <c r="Q3377" s="959">
        <v>22608399</v>
      </c>
      <c r="R3377" s="738"/>
      <c r="S3377" s="959"/>
      <c r="T3377" s="739">
        <v>2510220</v>
      </c>
      <c r="U3377" s="745"/>
      <c r="V3377" s="739">
        <v>2510220</v>
      </c>
    </row>
    <row r="3378" spans="1:22" ht="30" x14ac:dyDescent="0.25">
      <c r="A3378" s="864">
        <v>6131</v>
      </c>
      <c r="B3378" s="822" t="s">
        <v>1851</v>
      </c>
      <c r="C3378" s="915">
        <v>22007696.48</v>
      </c>
      <c r="D3378" s="915">
        <v>0</v>
      </c>
      <c r="E3378" s="915">
        <v>22431816.170000002</v>
      </c>
      <c r="F3378" s="915">
        <v>27045515.470000003</v>
      </c>
      <c r="G3378" s="958">
        <v>41356991.43</v>
      </c>
      <c r="H3378" s="958"/>
      <c r="I3378" s="958"/>
      <c r="J3378" s="759">
        <f t="shared" si="997"/>
        <v>41356991.43</v>
      </c>
      <c r="K3378" s="958"/>
      <c r="L3378" s="958">
        <f>4397353.65+36959637.78</f>
        <v>41356991.43</v>
      </c>
      <c r="M3378" s="738">
        <f t="shared" si="995"/>
        <v>0</v>
      </c>
      <c r="N3378" s="738"/>
      <c r="O3378" s="738"/>
      <c r="P3378" s="738">
        <f t="shared" si="996"/>
        <v>0</v>
      </c>
      <c r="Q3378" s="959">
        <v>11474542.18</v>
      </c>
      <c r="R3378" s="738"/>
      <c r="S3378" s="959"/>
      <c r="T3378" s="739">
        <v>2510221</v>
      </c>
      <c r="U3378" s="745"/>
      <c r="V3378" s="739">
        <v>2510222</v>
      </c>
    </row>
    <row r="3379" spans="1:22" ht="15" x14ac:dyDescent="0.25">
      <c r="A3379" s="864">
        <v>6141</v>
      </c>
      <c r="B3379" s="822" t="s">
        <v>356</v>
      </c>
      <c r="C3379" s="915">
        <v>28907653.41</v>
      </c>
      <c r="D3379" s="915">
        <v>58460422</v>
      </c>
      <c r="E3379" s="915">
        <v>27280430.82</v>
      </c>
      <c r="F3379" s="915">
        <v>22706644.710000001</v>
      </c>
      <c r="G3379" s="958">
        <v>4397353.6500000004</v>
      </c>
      <c r="H3379" s="958"/>
      <c r="I3379" s="958">
        <v>4397353.6500000004</v>
      </c>
      <c r="J3379" s="759">
        <f t="shared" si="997"/>
        <v>0</v>
      </c>
      <c r="K3379" s="958"/>
      <c r="L3379" s="958"/>
      <c r="M3379" s="738">
        <f t="shared" si="995"/>
        <v>0</v>
      </c>
      <c r="N3379" s="738"/>
      <c r="O3379" s="738"/>
      <c r="P3379" s="738">
        <f t="shared" si="996"/>
        <v>0</v>
      </c>
      <c r="Q3379" s="959">
        <v>26275994.170000002</v>
      </c>
      <c r="R3379" s="738"/>
      <c r="S3379" s="959"/>
      <c r="T3379" s="739">
        <v>2510220</v>
      </c>
      <c r="U3379" s="745"/>
      <c r="V3379" s="739">
        <v>2510220</v>
      </c>
    </row>
    <row r="3380" spans="1:22" ht="15" x14ac:dyDescent="0.25">
      <c r="A3380" s="864">
        <v>6221</v>
      </c>
      <c r="B3380" s="822" t="s">
        <v>353</v>
      </c>
      <c r="C3380" s="915"/>
      <c r="D3380" s="915">
        <v>0</v>
      </c>
      <c r="E3380" s="915">
        <v>752414.71999999997</v>
      </c>
      <c r="F3380" s="915">
        <v>752414.71999999997</v>
      </c>
      <c r="G3380" s="953"/>
      <c r="H3380" s="953"/>
      <c r="I3380" s="953"/>
      <c r="J3380" s="759">
        <f t="shared" si="997"/>
        <v>0</v>
      </c>
      <c r="K3380" s="953"/>
      <c r="L3380" s="953"/>
      <c r="M3380" s="738">
        <f t="shared" si="995"/>
        <v>0</v>
      </c>
      <c r="N3380" s="738"/>
      <c r="O3380" s="738"/>
      <c r="P3380" s="738">
        <f t="shared" si="996"/>
        <v>0</v>
      </c>
      <c r="Q3380" s="954">
        <v>3847773.25</v>
      </c>
      <c r="R3380" s="738"/>
      <c r="S3380" s="954"/>
      <c r="T3380" s="739">
        <v>2510221</v>
      </c>
      <c r="U3380" s="745"/>
      <c r="V3380" s="739">
        <v>2510222</v>
      </c>
    </row>
    <row r="3381" spans="1:22" ht="15" x14ac:dyDescent="0.25">
      <c r="A3381" s="728" t="s">
        <v>359</v>
      </c>
      <c r="B3381" s="883" t="s">
        <v>1609</v>
      </c>
      <c r="C3381" s="951">
        <f t="shared" ref="C3381:S3381" si="998">SUM(C3383:C3388)</f>
        <v>0</v>
      </c>
      <c r="D3381" s="951">
        <f t="shared" si="998"/>
        <v>0</v>
      </c>
      <c r="E3381" s="951">
        <f t="shared" si="998"/>
        <v>0</v>
      </c>
      <c r="F3381" s="951">
        <f t="shared" si="998"/>
        <v>0</v>
      </c>
      <c r="G3381" s="951">
        <f t="shared" si="998"/>
        <v>0</v>
      </c>
      <c r="H3381" s="951">
        <f t="shared" si="998"/>
        <v>50126384.68</v>
      </c>
      <c r="I3381" s="951">
        <f t="shared" si="998"/>
        <v>0</v>
      </c>
      <c r="J3381" s="951">
        <f t="shared" si="998"/>
        <v>50126384.68</v>
      </c>
      <c r="K3381" s="951">
        <f t="shared" si="998"/>
        <v>0</v>
      </c>
      <c r="L3381" s="951">
        <f t="shared" si="998"/>
        <v>0</v>
      </c>
      <c r="M3381" s="952">
        <f t="shared" si="998"/>
        <v>50126384.68</v>
      </c>
      <c r="N3381" s="952">
        <f t="shared" si="998"/>
        <v>11448179.4</v>
      </c>
      <c r="O3381" s="952">
        <f t="shared" si="998"/>
        <v>23871181</v>
      </c>
      <c r="P3381" s="950">
        <f t="shared" si="998"/>
        <v>37703383.079999998</v>
      </c>
      <c r="Q3381" s="952">
        <f>SUM(Q3382:Q3388)</f>
        <v>39401543.079999998</v>
      </c>
      <c r="R3381" s="952">
        <f>SUM(R3383:R3388)</f>
        <v>0</v>
      </c>
      <c r="S3381" s="952">
        <f t="shared" si="998"/>
        <v>0</v>
      </c>
      <c r="T3381" s="731"/>
      <c r="U3381" s="732">
        <f>SUM(U3382:U3388)</f>
        <v>19821548.479999997</v>
      </c>
      <c r="V3381" s="733"/>
    </row>
    <row r="3382" spans="1:22" ht="15" x14ac:dyDescent="0.25">
      <c r="A3382" s="912">
        <v>6111</v>
      </c>
      <c r="B3382" s="755" t="s">
        <v>355</v>
      </c>
      <c r="C3382" s="951"/>
      <c r="D3382" s="951"/>
      <c r="E3382" s="951"/>
      <c r="F3382" s="951"/>
      <c r="G3382" s="951"/>
      <c r="H3382" s="951"/>
      <c r="I3382" s="951"/>
      <c r="J3382" s="951"/>
      <c r="K3382" s="951"/>
      <c r="L3382" s="951"/>
      <c r="M3382" s="952"/>
      <c r="N3382" s="952"/>
      <c r="O3382" s="952"/>
      <c r="P3382" s="950"/>
      <c r="Q3382" s="960">
        <v>116950</v>
      </c>
      <c r="R3382" s="954"/>
      <c r="S3382" s="954"/>
      <c r="T3382" s="739">
        <v>1100120</v>
      </c>
      <c r="U3382" s="740">
        <v>30449.99</v>
      </c>
      <c r="V3382" s="741">
        <v>1100120</v>
      </c>
    </row>
    <row r="3383" spans="1:22" ht="15" x14ac:dyDescent="0.25">
      <c r="A3383" s="912">
        <v>6121</v>
      </c>
      <c r="B3383" s="762" t="s">
        <v>353</v>
      </c>
      <c r="C3383" s="915"/>
      <c r="D3383" s="915"/>
      <c r="E3383" s="915"/>
      <c r="F3383" s="915"/>
      <c r="G3383" s="953"/>
      <c r="H3383" s="953">
        <v>12746247.1</v>
      </c>
      <c r="I3383" s="953"/>
      <c r="J3383" s="759">
        <f>G3383+H3383-I3383</f>
        <v>12746247.1</v>
      </c>
      <c r="K3383" s="953"/>
      <c r="L3383" s="953"/>
      <c r="M3383" s="738">
        <f>J3383+K3383-L3383</f>
        <v>12746247.1</v>
      </c>
      <c r="N3383" s="738"/>
      <c r="O3383" s="738">
        <v>436500</v>
      </c>
      <c r="P3383" s="736">
        <f t="shared" ref="P3383:P3388" si="999">M3383+N3383-O3383</f>
        <v>12309747.1</v>
      </c>
      <c r="Q3383" s="954">
        <v>20226501.670000002</v>
      </c>
      <c r="R3383" s="954"/>
      <c r="S3383" s="954"/>
      <c r="T3383" s="739">
        <v>1100120</v>
      </c>
      <c r="U3383" s="740">
        <v>8618580.7200000007</v>
      </c>
      <c r="V3383" s="741">
        <v>1100120</v>
      </c>
    </row>
    <row r="3384" spans="1:22" ht="30" x14ac:dyDescent="0.25">
      <c r="A3384" s="734">
        <v>6131</v>
      </c>
      <c r="B3384" s="755" t="s">
        <v>1851</v>
      </c>
      <c r="C3384" s="915"/>
      <c r="D3384" s="915"/>
      <c r="E3384" s="915"/>
      <c r="F3384" s="915"/>
      <c r="G3384" s="953"/>
      <c r="H3384" s="953"/>
      <c r="I3384" s="953"/>
      <c r="J3384" s="759"/>
      <c r="K3384" s="953"/>
      <c r="L3384" s="953"/>
      <c r="M3384" s="738">
        <v>0</v>
      </c>
      <c r="N3384" s="738">
        <v>10000000</v>
      </c>
      <c r="O3384" s="738">
        <v>0</v>
      </c>
      <c r="P3384" s="736">
        <f t="shared" si="999"/>
        <v>10000000</v>
      </c>
      <c r="Q3384" s="954">
        <v>114608.72</v>
      </c>
      <c r="R3384" s="738"/>
      <c r="S3384" s="954"/>
      <c r="T3384" s="739">
        <v>1100120</v>
      </c>
      <c r="U3384" s="740">
        <v>81173.77</v>
      </c>
      <c r="V3384" s="741">
        <v>1100120</v>
      </c>
    </row>
    <row r="3385" spans="1:22" ht="15" x14ac:dyDescent="0.25">
      <c r="A3385" s="912">
        <v>6141</v>
      </c>
      <c r="B3385" s="762" t="s">
        <v>356</v>
      </c>
      <c r="C3385" s="915"/>
      <c r="D3385" s="915"/>
      <c r="E3385" s="915"/>
      <c r="F3385" s="915"/>
      <c r="G3385" s="953"/>
      <c r="H3385" s="953">
        <f>3500000+21171492</f>
        <v>24671492</v>
      </c>
      <c r="I3385" s="953"/>
      <c r="J3385" s="759">
        <f t="shared" ref="J3385:J3388" si="1000">G3385+H3385-I3385</f>
        <v>24671492</v>
      </c>
      <c r="K3385" s="953"/>
      <c r="L3385" s="953"/>
      <c r="M3385" s="738">
        <f t="shared" ref="M3385:M3388" si="1001">J3385+K3385-L3385</f>
        <v>24671492</v>
      </c>
      <c r="N3385" s="738">
        <f>997361+157073.56</f>
        <v>1154434.5600000001</v>
      </c>
      <c r="O3385" s="738">
        <f>7000000+10000000+2693431+3500000</f>
        <v>23193431</v>
      </c>
      <c r="P3385" s="736">
        <f t="shared" si="999"/>
        <v>2632495.5599999987</v>
      </c>
      <c r="Q3385" s="954">
        <v>5633748.4000000004</v>
      </c>
      <c r="R3385" s="738"/>
      <c r="S3385" s="954"/>
      <c r="T3385" s="739">
        <v>1100120</v>
      </c>
      <c r="U3385" s="740">
        <v>3662732.53</v>
      </c>
      <c r="V3385" s="741">
        <v>1100120</v>
      </c>
    </row>
    <row r="3386" spans="1:22" ht="15" x14ac:dyDescent="0.25">
      <c r="A3386" s="912">
        <v>4156</v>
      </c>
      <c r="B3386" s="735" t="s">
        <v>1850</v>
      </c>
      <c r="C3386" s="915"/>
      <c r="D3386" s="915"/>
      <c r="E3386" s="915"/>
      <c r="F3386" s="915"/>
      <c r="G3386" s="953"/>
      <c r="H3386" s="953">
        <v>1040847.73</v>
      </c>
      <c r="I3386" s="953"/>
      <c r="J3386" s="759">
        <f t="shared" si="1000"/>
        <v>1040847.73</v>
      </c>
      <c r="K3386" s="953"/>
      <c r="L3386" s="953"/>
      <c r="M3386" s="738">
        <f t="shared" si="1001"/>
        <v>1040847.73</v>
      </c>
      <c r="N3386" s="738">
        <v>241250</v>
      </c>
      <c r="O3386" s="738"/>
      <c r="P3386" s="736">
        <f t="shared" si="999"/>
        <v>1282097.73</v>
      </c>
      <c r="Q3386" s="954">
        <v>2439667.63</v>
      </c>
      <c r="R3386" s="738"/>
      <c r="S3386" s="954"/>
      <c r="T3386" s="739">
        <v>1100120</v>
      </c>
      <c r="U3386" s="740">
        <v>1735048.27</v>
      </c>
      <c r="V3386" s="741">
        <v>1100120</v>
      </c>
    </row>
    <row r="3387" spans="1:22" ht="15" x14ac:dyDescent="0.25">
      <c r="A3387" s="912">
        <v>6121</v>
      </c>
      <c r="B3387" s="762" t="s">
        <v>353</v>
      </c>
      <c r="C3387" s="915"/>
      <c r="D3387" s="915"/>
      <c r="E3387" s="915"/>
      <c r="F3387" s="915"/>
      <c r="G3387" s="953"/>
      <c r="H3387" s="953"/>
      <c r="I3387" s="953"/>
      <c r="J3387" s="759"/>
      <c r="K3387" s="953"/>
      <c r="L3387" s="953"/>
      <c r="M3387" s="738"/>
      <c r="N3387" s="738"/>
      <c r="O3387" s="738"/>
      <c r="P3387" s="736"/>
      <c r="Q3387" s="954"/>
      <c r="R3387" s="738"/>
      <c r="S3387" s="954"/>
      <c r="T3387" s="739"/>
      <c r="U3387" s="740">
        <v>378291.79</v>
      </c>
      <c r="V3387" s="741">
        <v>1100121</v>
      </c>
    </row>
    <row r="3388" spans="1:22" ht="15" x14ac:dyDescent="0.25">
      <c r="A3388" s="912">
        <v>3321</v>
      </c>
      <c r="B3388" s="762" t="s">
        <v>190</v>
      </c>
      <c r="C3388" s="915"/>
      <c r="D3388" s="915"/>
      <c r="E3388" s="915"/>
      <c r="F3388" s="915"/>
      <c r="G3388" s="953"/>
      <c r="H3388" s="953">
        <v>11667797.85</v>
      </c>
      <c r="I3388" s="953"/>
      <c r="J3388" s="759">
        <f t="shared" si="1000"/>
        <v>11667797.85</v>
      </c>
      <c r="K3388" s="953"/>
      <c r="L3388" s="953"/>
      <c r="M3388" s="738">
        <f t="shared" si="1001"/>
        <v>11667797.85</v>
      </c>
      <c r="N3388" s="738">
        <v>52494.84</v>
      </c>
      <c r="O3388" s="738">
        <v>241250</v>
      </c>
      <c r="P3388" s="736">
        <f t="shared" si="999"/>
        <v>11479042.689999999</v>
      </c>
      <c r="Q3388" s="954">
        <v>10870066.66</v>
      </c>
      <c r="R3388" s="738"/>
      <c r="S3388" s="954"/>
      <c r="T3388" s="739">
        <v>1100120</v>
      </c>
      <c r="U3388" s="740">
        <v>5315271.41</v>
      </c>
      <c r="V3388" s="741">
        <v>1100120</v>
      </c>
    </row>
    <row r="3389" spans="1:22" ht="15" x14ac:dyDescent="0.25">
      <c r="A3389" s="728" t="s">
        <v>360</v>
      </c>
      <c r="B3389" s="883" t="s">
        <v>1610</v>
      </c>
      <c r="C3389" s="950">
        <f t="shared" ref="C3389:S3389" si="1002">SUM(C3390:C3401)</f>
        <v>33456315.579999998</v>
      </c>
      <c r="D3389" s="950">
        <f t="shared" si="1002"/>
        <v>0</v>
      </c>
      <c r="E3389" s="950">
        <f t="shared" si="1002"/>
        <v>19743436.18</v>
      </c>
      <c r="F3389" s="950">
        <f t="shared" si="1002"/>
        <v>6550356.5199999996</v>
      </c>
      <c r="G3389" s="951">
        <f t="shared" si="1002"/>
        <v>11214117.689999999</v>
      </c>
      <c r="H3389" s="951">
        <f t="shared" si="1002"/>
        <v>2925278</v>
      </c>
      <c r="I3389" s="951">
        <f t="shared" si="1002"/>
        <v>946316</v>
      </c>
      <c r="J3389" s="951">
        <f t="shared" si="1002"/>
        <v>13193079.689999999</v>
      </c>
      <c r="K3389" s="951">
        <f t="shared" si="1002"/>
        <v>0</v>
      </c>
      <c r="L3389" s="951">
        <f t="shared" si="1002"/>
        <v>0</v>
      </c>
      <c r="M3389" s="952">
        <f t="shared" si="1002"/>
        <v>13193079.689999999</v>
      </c>
      <c r="N3389" s="952">
        <f t="shared" si="1002"/>
        <v>491650.73</v>
      </c>
      <c r="O3389" s="952">
        <f t="shared" si="1002"/>
        <v>491650.29</v>
      </c>
      <c r="P3389" s="950">
        <f t="shared" si="1002"/>
        <v>13193080.129999999</v>
      </c>
      <c r="Q3389" s="952">
        <f t="shared" si="1002"/>
        <v>13193080.130000001</v>
      </c>
      <c r="R3389" s="952">
        <f t="shared" si="1002"/>
        <v>0</v>
      </c>
      <c r="S3389" s="952">
        <f t="shared" si="1002"/>
        <v>0</v>
      </c>
      <c r="T3389" s="731"/>
      <c r="U3389" s="732">
        <f t="shared" ref="U3389" si="1003">SUM(U3390:U3401)</f>
        <v>5531970.7199999997</v>
      </c>
      <c r="V3389" s="733"/>
    </row>
    <row r="3390" spans="1:22" ht="15" x14ac:dyDescent="0.25">
      <c r="A3390" s="955">
        <v>3321</v>
      </c>
      <c r="B3390" s="755" t="s">
        <v>190</v>
      </c>
      <c r="C3390" s="915">
        <v>507927.26</v>
      </c>
      <c r="D3390" s="915">
        <v>0</v>
      </c>
      <c r="E3390" s="915">
        <v>651805.5</v>
      </c>
      <c r="F3390" s="915">
        <v>166034.75</v>
      </c>
      <c r="G3390" s="953"/>
      <c r="H3390" s="953"/>
      <c r="I3390" s="953"/>
      <c r="J3390" s="759">
        <f t="shared" ref="J3390:J3401" si="1004">G3390+H3390-I3390</f>
        <v>0</v>
      </c>
      <c r="K3390" s="953"/>
      <c r="L3390" s="953"/>
      <c r="M3390" s="738">
        <f t="shared" ref="M3390:M3401" si="1005">J3390+K3390-L3390</f>
        <v>0</v>
      </c>
      <c r="N3390" s="738"/>
      <c r="O3390" s="738"/>
      <c r="P3390" s="738">
        <f t="shared" ref="P3390:P3401" si="1006">M3390+N3390-O3390</f>
        <v>0</v>
      </c>
      <c r="Q3390" s="954"/>
      <c r="R3390" s="738"/>
      <c r="S3390" s="954"/>
      <c r="T3390" s="739">
        <v>1100117</v>
      </c>
      <c r="U3390" s="740">
        <v>581290.93000000005</v>
      </c>
      <c r="V3390" s="741">
        <v>1100117</v>
      </c>
    </row>
    <row r="3391" spans="1:22" ht="15" x14ac:dyDescent="0.25">
      <c r="A3391" s="734">
        <v>3321</v>
      </c>
      <c r="B3391" s="755" t="s">
        <v>190</v>
      </c>
      <c r="C3391" s="915">
        <v>1393515.37</v>
      </c>
      <c r="D3391" s="915">
        <v>0</v>
      </c>
      <c r="E3391" s="915">
        <v>2692950.39</v>
      </c>
      <c r="F3391" s="915">
        <v>449687.97</v>
      </c>
      <c r="G3391" s="953">
        <v>412905.2</v>
      </c>
      <c r="H3391" s="953"/>
      <c r="I3391" s="953">
        <v>30565</v>
      </c>
      <c r="J3391" s="759">
        <f t="shared" si="1004"/>
        <v>382340.2</v>
      </c>
      <c r="K3391" s="953"/>
      <c r="L3391" s="953"/>
      <c r="M3391" s="738">
        <f t="shared" si="1005"/>
        <v>382340.2</v>
      </c>
      <c r="N3391" s="738">
        <v>161295.29999999999</v>
      </c>
      <c r="O3391" s="738"/>
      <c r="P3391" s="736">
        <f t="shared" si="1006"/>
        <v>543635.5</v>
      </c>
      <c r="Q3391" s="954">
        <v>543635.5</v>
      </c>
      <c r="R3391" s="738"/>
      <c r="S3391" s="954"/>
      <c r="T3391" s="739">
        <v>1100116</v>
      </c>
      <c r="U3391" s="740">
        <v>517977.89</v>
      </c>
      <c r="V3391" s="741">
        <v>1100116</v>
      </c>
    </row>
    <row r="3392" spans="1:22" ht="15" x14ac:dyDescent="0.25">
      <c r="A3392" s="739">
        <v>4156</v>
      </c>
      <c r="B3392" s="743" t="s">
        <v>1850</v>
      </c>
      <c r="C3392" s="915"/>
      <c r="D3392" s="915">
        <v>0</v>
      </c>
      <c r="E3392" s="915">
        <v>675299.26</v>
      </c>
      <c r="F3392" s="915">
        <v>0</v>
      </c>
      <c r="G3392" s="953">
        <v>574004.37</v>
      </c>
      <c r="H3392" s="953">
        <v>101295</v>
      </c>
      <c r="I3392" s="953"/>
      <c r="J3392" s="759">
        <f t="shared" si="1004"/>
        <v>675299.37</v>
      </c>
      <c r="K3392" s="953"/>
      <c r="L3392" s="953"/>
      <c r="M3392" s="738">
        <f t="shared" si="1005"/>
        <v>675299.37</v>
      </c>
      <c r="N3392" s="738"/>
      <c r="O3392" s="738">
        <v>0.11</v>
      </c>
      <c r="P3392" s="736">
        <f t="shared" si="1006"/>
        <v>675299.26</v>
      </c>
      <c r="Q3392" s="954">
        <v>675299.26</v>
      </c>
      <c r="R3392" s="738"/>
      <c r="S3392" s="954"/>
      <c r="T3392" s="739">
        <v>1100116</v>
      </c>
      <c r="U3392" s="745"/>
      <c r="V3392" s="739">
        <v>1100116</v>
      </c>
    </row>
    <row r="3393" spans="1:22" ht="15" x14ac:dyDescent="0.25">
      <c r="A3393" s="734">
        <v>6121</v>
      </c>
      <c r="B3393" s="755" t="s">
        <v>353</v>
      </c>
      <c r="C3393" s="915">
        <v>5137598.32</v>
      </c>
      <c r="D3393" s="915">
        <v>0</v>
      </c>
      <c r="E3393" s="915">
        <v>4721015.5999999996</v>
      </c>
      <c r="F3393" s="915">
        <v>3031840.84</v>
      </c>
      <c r="G3393" s="953">
        <v>1435798.55</v>
      </c>
      <c r="H3393" s="953">
        <v>433376</v>
      </c>
      <c r="I3393" s="953"/>
      <c r="J3393" s="759">
        <f t="shared" si="1004"/>
        <v>1869174.55</v>
      </c>
      <c r="K3393" s="953"/>
      <c r="L3393" s="953"/>
      <c r="M3393" s="738">
        <f t="shared" si="1005"/>
        <v>1869174.55</v>
      </c>
      <c r="N3393" s="738">
        <v>0.2</v>
      </c>
      <c r="O3393" s="738"/>
      <c r="P3393" s="736">
        <f t="shared" si="1006"/>
        <v>1869174.75</v>
      </c>
      <c r="Q3393" s="954">
        <v>1869174.75</v>
      </c>
      <c r="R3393" s="738"/>
      <c r="S3393" s="954"/>
      <c r="T3393" s="739">
        <v>1100116</v>
      </c>
      <c r="U3393" s="740">
        <v>544372.21</v>
      </c>
      <c r="V3393" s="741">
        <v>1100116</v>
      </c>
    </row>
    <row r="3394" spans="1:22" ht="15" x14ac:dyDescent="0.25">
      <c r="A3394" s="955">
        <v>6121</v>
      </c>
      <c r="B3394" s="755" t="s">
        <v>353</v>
      </c>
      <c r="C3394" s="915"/>
      <c r="D3394" s="915">
        <v>0</v>
      </c>
      <c r="E3394" s="915">
        <v>452102.85</v>
      </c>
      <c r="F3394" s="915">
        <v>452102.85</v>
      </c>
      <c r="G3394" s="953"/>
      <c r="H3394" s="953"/>
      <c r="I3394" s="953"/>
      <c r="J3394" s="759">
        <f t="shared" si="1004"/>
        <v>0</v>
      </c>
      <c r="K3394" s="953"/>
      <c r="L3394" s="953"/>
      <c r="M3394" s="738">
        <f t="shared" si="1005"/>
        <v>0</v>
      </c>
      <c r="N3394" s="738"/>
      <c r="O3394" s="738"/>
      <c r="P3394" s="738">
        <f t="shared" si="1006"/>
        <v>0</v>
      </c>
      <c r="Q3394" s="954"/>
      <c r="R3394" s="738"/>
      <c r="S3394" s="954"/>
      <c r="T3394" s="739">
        <v>1100117</v>
      </c>
      <c r="U3394" s="740">
        <v>109723.97</v>
      </c>
      <c r="V3394" s="741">
        <v>1100117</v>
      </c>
    </row>
    <row r="3395" spans="1:22" ht="30" x14ac:dyDescent="0.25">
      <c r="A3395" s="734">
        <v>6131</v>
      </c>
      <c r="B3395" s="755" t="s">
        <v>1851</v>
      </c>
      <c r="C3395" s="915">
        <v>264941.21000000002</v>
      </c>
      <c r="D3395" s="915">
        <v>0</v>
      </c>
      <c r="E3395" s="915">
        <v>645766.66</v>
      </c>
      <c r="F3395" s="915">
        <v>0</v>
      </c>
      <c r="G3395" s="953">
        <v>548901.6</v>
      </c>
      <c r="H3395" s="953"/>
      <c r="I3395" s="953">
        <v>153243</v>
      </c>
      <c r="J3395" s="759">
        <f t="shared" si="1004"/>
        <v>395658.6</v>
      </c>
      <c r="K3395" s="953"/>
      <c r="L3395" s="953"/>
      <c r="M3395" s="738">
        <f t="shared" si="1005"/>
        <v>395658.6</v>
      </c>
      <c r="N3395" s="738">
        <v>0.04</v>
      </c>
      <c r="O3395" s="738"/>
      <c r="P3395" s="736">
        <f t="shared" si="1006"/>
        <v>395658.63999999996</v>
      </c>
      <c r="Q3395" s="954">
        <v>395658.64</v>
      </c>
      <c r="R3395" s="738"/>
      <c r="S3395" s="954"/>
      <c r="T3395" s="739">
        <v>1100116</v>
      </c>
      <c r="U3395" s="740">
        <v>452048.51</v>
      </c>
      <c r="V3395" s="741">
        <v>1100116</v>
      </c>
    </row>
    <row r="3396" spans="1:22" ht="15" x14ac:dyDescent="0.25">
      <c r="A3396" s="734">
        <v>6141</v>
      </c>
      <c r="B3396" s="755" t="s">
        <v>356</v>
      </c>
      <c r="C3396" s="915">
        <v>5494399.8700000001</v>
      </c>
      <c r="D3396" s="915">
        <v>0</v>
      </c>
      <c r="E3396" s="915">
        <v>2337188.25</v>
      </c>
      <c r="F3396" s="915">
        <v>739729.29</v>
      </c>
      <c r="G3396" s="953">
        <v>1357840.11</v>
      </c>
      <c r="H3396" s="953">
        <v>413157</v>
      </c>
      <c r="I3396" s="953"/>
      <c r="J3396" s="759">
        <f t="shared" si="1004"/>
        <v>1770997.11</v>
      </c>
      <c r="K3396" s="953"/>
      <c r="L3396" s="953"/>
      <c r="M3396" s="738">
        <f t="shared" si="1005"/>
        <v>1770997.11</v>
      </c>
      <c r="N3396" s="738"/>
      <c r="O3396" s="738">
        <v>161295.43</v>
      </c>
      <c r="P3396" s="736">
        <f t="shared" si="1006"/>
        <v>1609701.6800000002</v>
      </c>
      <c r="Q3396" s="954">
        <v>1609701.68</v>
      </c>
      <c r="R3396" s="738"/>
      <c r="S3396" s="954"/>
      <c r="T3396" s="739">
        <v>1100117</v>
      </c>
      <c r="U3396" s="740">
        <v>745781</v>
      </c>
      <c r="V3396" s="741">
        <v>1100117</v>
      </c>
    </row>
    <row r="3397" spans="1:22" ht="15" x14ac:dyDescent="0.25">
      <c r="A3397" s="734">
        <v>6141</v>
      </c>
      <c r="B3397" s="755" t="s">
        <v>356</v>
      </c>
      <c r="C3397" s="915"/>
      <c r="D3397" s="915"/>
      <c r="E3397" s="915"/>
      <c r="F3397" s="915"/>
      <c r="G3397" s="953"/>
      <c r="H3397" s="953"/>
      <c r="I3397" s="953"/>
      <c r="J3397" s="759"/>
      <c r="K3397" s="953"/>
      <c r="L3397" s="953"/>
      <c r="M3397" s="738"/>
      <c r="N3397" s="738"/>
      <c r="O3397" s="738"/>
      <c r="P3397" s="736"/>
      <c r="Q3397" s="954"/>
      <c r="R3397" s="738"/>
      <c r="S3397" s="954" t="s">
        <v>695</v>
      </c>
      <c r="T3397" s="739">
        <v>1100116</v>
      </c>
      <c r="U3397" s="740">
        <v>280861.26</v>
      </c>
      <c r="V3397" s="741">
        <v>1100116</v>
      </c>
    </row>
    <row r="3398" spans="1:22" ht="15" x14ac:dyDescent="0.25">
      <c r="A3398" s="808">
        <v>3321</v>
      </c>
      <c r="B3398" s="806" t="s">
        <v>190</v>
      </c>
      <c r="C3398" s="915"/>
      <c r="D3398" s="915"/>
      <c r="E3398" s="915"/>
      <c r="F3398" s="915"/>
      <c r="G3398" s="953">
        <v>1906773.05</v>
      </c>
      <c r="H3398" s="953"/>
      <c r="I3398" s="953">
        <v>762508</v>
      </c>
      <c r="J3398" s="759">
        <f t="shared" si="1004"/>
        <v>1144265.05</v>
      </c>
      <c r="K3398" s="953"/>
      <c r="L3398" s="953"/>
      <c r="M3398" s="738">
        <f t="shared" si="1005"/>
        <v>1144265.05</v>
      </c>
      <c r="N3398" s="738"/>
      <c r="O3398" s="738">
        <v>330354.46999999997</v>
      </c>
      <c r="P3398" s="736">
        <f t="shared" si="1006"/>
        <v>813910.58000000007</v>
      </c>
      <c r="Q3398" s="954">
        <v>813910.58</v>
      </c>
      <c r="R3398" s="738"/>
      <c r="S3398" s="954"/>
      <c r="T3398" s="739">
        <v>1100117</v>
      </c>
      <c r="U3398" s="745"/>
      <c r="V3398" s="739">
        <v>1100117</v>
      </c>
    </row>
    <row r="3399" spans="1:22" ht="15" x14ac:dyDescent="0.25">
      <c r="A3399" s="739">
        <v>6141</v>
      </c>
      <c r="B3399" s="822" t="s">
        <v>356</v>
      </c>
      <c r="C3399" s="915">
        <v>6254149.8099999996</v>
      </c>
      <c r="D3399" s="915">
        <v>0</v>
      </c>
      <c r="E3399" s="915">
        <v>831875.36</v>
      </c>
      <c r="F3399" s="915">
        <v>0</v>
      </c>
      <c r="G3399" s="953">
        <v>707094.05</v>
      </c>
      <c r="H3399" s="953">
        <v>1223779</v>
      </c>
      <c r="I3399" s="953"/>
      <c r="J3399" s="759">
        <f t="shared" si="1004"/>
        <v>1930873.05</v>
      </c>
      <c r="K3399" s="953"/>
      <c r="L3399" s="953"/>
      <c r="M3399" s="738">
        <f t="shared" si="1005"/>
        <v>1930873.05</v>
      </c>
      <c r="N3399" s="738">
        <v>330355.19</v>
      </c>
      <c r="O3399" s="738"/>
      <c r="P3399" s="736">
        <f t="shared" si="1006"/>
        <v>2261228.2400000002</v>
      </c>
      <c r="Q3399" s="954">
        <v>2261228.2400000002</v>
      </c>
      <c r="R3399" s="738"/>
      <c r="S3399" s="954"/>
      <c r="T3399" s="739">
        <v>1100117</v>
      </c>
      <c r="U3399" s="745" t="s">
        <v>695</v>
      </c>
      <c r="V3399" s="739">
        <v>1100117</v>
      </c>
    </row>
    <row r="3400" spans="1:22" ht="15" x14ac:dyDescent="0.25">
      <c r="A3400" s="739">
        <v>6221</v>
      </c>
      <c r="B3400" s="822" t="s">
        <v>353</v>
      </c>
      <c r="C3400" s="915"/>
      <c r="D3400" s="915"/>
      <c r="E3400" s="915"/>
      <c r="F3400" s="915"/>
      <c r="G3400" s="953"/>
      <c r="H3400" s="953"/>
      <c r="I3400" s="953"/>
      <c r="J3400" s="759"/>
      <c r="K3400" s="953"/>
      <c r="L3400" s="953"/>
      <c r="M3400" s="738"/>
      <c r="N3400" s="738"/>
      <c r="O3400" s="738"/>
      <c r="P3400" s="736"/>
      <c r="Q3400" s="954"/>
      <c r="R3400" s="738"/>
      <c r="S3400" s="954" t="s">
        <v>695</v>
      </c>
      <c r="T3400" s="739">
        <v>1100116</v>
      </c>
      <c r="U3400" s="839"/>
      <c r="V3400" s="739">
        <v>1100116</v>
      </c>
    </row>
    <row r="3401" spans="1:22" ht="15" x14ac:dyDescent="0.25">
      <c r="A3401" s="734">
        <v>6221</v>
      </c>
      <c r="B3401" s="755" t="s">
        <v>353</v>
      </c>
      <c r="C3401" s="915">
        <v>14403783.739999998</v>
      </c>
      <c r="D3401" s="915">
        <v>0</v>
      </c>
      <c r="E3401" s="915">
        <v>6735432.3099999996</v>
      </c>
      <c r="F3401" s="915">
        <v>1710960.82</v>
      </c>
      <c r="G3401" s="953">
        <v>4270800.76</v>
      </c>
      <c r="H3401" s="953">
        <v>753671</v>
      </c>
      <c r="I3401" s="953"/>
      <c r="J3401" s="759">
        <f t="shared" si="1004"/>
        <v>5024471.76</v>
      </c>
      <c r="K3401" s="953"/>
      <c r="L3401" s="953"/>
      <c r="M3401" s="738">
        <f t="shared" si="1005"/>
        <v>5024471.76</v>
      </c>
      <c r="N3401" s="738"/>
      <c r="O3401" s="738">
        <v>0.28000000000000003</v>
      </c>
      <c r="P3401" s="736">
        <f t="shared" si="1006"/>
        <v>5024471.4799999995</v>
      </c>
      <c r="Q3401" s="954">
        <v>5024471.4800000004</v>
      </c>
      <c r="R3401" s="738"/>
      <c r="S3401" s="954"/>
      <c r="T3401" s="739">
        <v>1100117</v>
      </c>
      <c r="U3401" s="740">
        <v>2299914.9500000002</v>
      </c>
      <c r="V3401" s="741">
        <v>1100117</v>
      </c>
    </row>
    <row r="3402" spans="1:22" ht="15" x14ac:dyDescent="0.25">
      <c r="A3402" s="949" t="s">
        <v>360</v>
      </c>
      <c r="B3402" s="883" t="s">
        <v>1610</v>
      </c>
      <c r="C3402" s="950">
        <f t="shared" ref="C3402:S3402" si="1007">SUM(C3403:C3410)</f>
        <v>0</v>
      </c>
      <c r="D3402" s="950">
        <f t="shared" si="1007"/>
        <v>0</v>
      </c>
      <c r="E3402" s="950">
        <f t="shared" si="1007"/>
        <v>0</v>
      </c>
      <c r="F3402" s="950">
        <f t="shared" si="1007"/>
        <v>0</v>
      </c>
      <c r="G3402" s="951">
        <f t="shared" si="1007"/>
        <v>0</v>
      </c>
      <c r="H3402" s="951">
        <f t="shared" si="1007"/>
        <v>0</v>
      </c>
      <c r="I3402" s="951">
        <f t="shared" si="1007"/>
        <v>0</v>
      </c>
      <c r="J3402" s="951">
        <f t="shared" si="1007"/>
        <v>0</v>
      </c>
      <c r="K3402" s="951">
        <f t="shared" si="1007"/>
        <v>0</v>
      </c>
      <c r="L3402" s="951">
        <f t="shared" si="1007"/>
        <v>0</v>
      </c>
      <c r="M3402" s="952">
        <f t="shared" si="1007"/>
        <v>0</v>
      </c>
      <c r="N3402" s="952">
        <f t="shared" si="1007"/>
        <v>0</v>
      </c>
      <c r="O3402" s="952">
        <f t="shared" si="1007"/>
        <v>0</v>
      </c>
      <c r="P3402" s="952">
        <f t="shared" si="1007"/>
        <v>0</v>
      </c>
      <c r="Q3402" s="952">
        <f t="shared" si="1007"/>
        <v>0</v>
      </c>
      <c r="R3402" s="952">
        <f t="shared" si="1007"/>
        <v>0</v>
      </c>
      <c r="S3402" s="952">
        <f t="shared" si="1007"/>
        <v>0</v>
      </c>
      <c r="T3402" s="731"/>
      <c r="U3402" s="732">
        <f t="shared" ref="U3402" si="1008">SUM(U3403:U3410)</f>
        <v>0</v>
      </c>
      <c r="V3402" s="728"/>
    </row>
    <row r="3403" spans="1:22" ht="15" x14ac:dyDescent="0.25">
      <c r="A3403" s="864">
        <v>3321</v>
      </c>
      <c r="B3403" s="822" t="s">
        <v>190</v>
      </c>
      <c r="C3403" s="915"/>
      <c r="D3403" s="915">
        <v>0</v>
      </c>
      <c r="E3403" s="915"/>
      <c r="F3403" s="915">
        <v>0</v>
      </c>
      <c r="G3403" s="953"/>
      <c r="H3403" s="953"/>
      <c r="I3403" s="953"/>
      <c r="J3403" s="759">
        <f t="shared" ref="J3403:J3410" si="1009">G3403+H3403-I3403</f>
        <v>0</v>
      </c>
      <c r="K3403" s="953"/>
      <c r="L3403" s="953"/>
      <c r="M3403" s="738">
        <f t="shared" ref="M3403:M3410" si="1010">J3403+K3403-L3403</f>
        <v>0</v>
      </c>
      <c r="N3403" s="738"/>
      <c r="O3403" s="738"/>
      <c r="P3403" s="738">
        <f t="shared" ref="P3403:P3410" si="1011">M3403+N3403-O3403</f>
        <v>0</v>
      </c>
      <c r="Q3403" s="954"/>
      <c r="R3403" s="738"/>
      <c r="S3403" s="954"/>
      <c r="T3403" s="739">
        <v>1100116</v>
      </c>
      <c r="U3403" s="745"/>
      <c r="V3403" s="739">
        <v>1100116</v>
      </c>
    </row>
    <row r="3404" spans="1:22" ht="15" x14ac:dyDescent="0.25">
      <c r="A3404" s="864">
        <v>3321</v>
      </c>
      <c r="B3404" s="822" t="s">
        <v>190</v>
      </c>
      <c r="C3404" s="915"/>
      <c r="D3404" s="915">
        <v>0</v>
      </c>
      <c r="E3404" s="915"/>
      <c r="F3404" s="915">
        <v>0</v>
      </c>
      <c r="G3404" s="953"/>
      <c r="H3404" s="953"/>
      <c r="I3404" s="953"/>
      <c r="J3404" s="759">
        <f t="shared" si="1009"/>
        <v>0</v>
      </c>
      <c r="K3404" s="953"/>
      <c r="L3404" s="953"/>
      <c r="M3404" s="738">
        <f t="shared" si="1010"/>
        <v>0</v>
      </c>
      <c r="N3404" s="738"/>
      <c r="O3404" s="738"/>
      <c r="P3404" s="738">
        <f t="shared" si="1011"/>
        <v>0</v>
      </c>
      <c r="Q3404" s="954"/>
      <c r="R3404" s="738"/>
      <c r="S3404" s="954"/>
      <c r="T3404" s="739">
        <v>1100117</v>
      </c>
      <c r="U3404" s="745"/>
      <c r="V3404" s="739">
        <v>1100117</v>
      </c>
    </row>
    <row r="3405" spans="1:22" ht="15" x14ac:dyDescent="0.25">
      <c r="A3405" s="864">
        <v>6121</v>
      </c>
      <c r="B3405" s="822" t="s">
        <v>353</v>
      </c>
      <c r="C3405" s="915"/>
      <c r="D3405" s="915">
        <v>0</v>
      </c>
      <c r="E3405" s="915"/>
      <c r="F3405" s="915">
        <v>0</v>
      </c>
      <c r="G3405" s="953"/>
      <c r="H3405" s="953"/>
      <c r="I3405" s="953"/>
      <c r="J3405" s="759">
        <f t="shared" si="1009"/>
        <v>0</v>
      </c>
      <c r="K3405" s="953"/>
      <c r="L3405" s="953"/>
      <c r="M3405" s="738">
        <f t="shared" si="1010"/>
        <v>0</v>
      </c>
      <c r="N3405" s="738"/>
      <c r="O3405" s="738"/>
      <c r="P3405" s="738">
        <f t="shared" si="1011"/>
        <v>0</v>
      </c>
      <c r="Q3405" s="954"/>
      <c r="R3405" s="738"/>
      <c r="S3405" s="954"/>
      <c r="T3405" s="739">
        <v>1100116</v>
      </c>
      <c r="U3405" s="745"/>
      <c r="V3405" s="739">
        <v>1100116</v>
      </c>
    </row>
    <row r="3406" spans="1:22" ht="15" x14ac:dyDescent="0.25">
      <c r="A3406" s="864">
        <v>6121</v>
      </c>
      <c r="B3406" s="822" t="s">
        <v>353</v>
      </c>
      <c r="C3406" s="915"/>
      <c r="D3406" s="915">
        <v>0</v>
      </c>
      <c r="E3406" s="915"/>
      <c r="F3406" s="915">
        <v>0</v>
      </c>
      <c r="G3406" s="953"/>
      <c r="H3406" s="953"/>
      <c r="I3406" s="953"/>
      <c r="J3406" s="759">
        <f t="shared" si="1009"/>
        <v>0</v>
      </c>
      <c r="K3406" s="953"/>
      <c r="L3406" s="953"/>
      <c r="M3406" s="738">
        <f t="shared" si="1010"/>
        <v>0</v>
      </c>
      <c r="N3406" s="738"/>
      <c r="O3406" s="738"/>
      <c r="P3406" s="738">
        <f t="shared" si="1011"/>
        <v>0</v>
      </c>
      <c r="Q3406" s="954"/>
      <c r="R3406" s="738"/>
      <c r="S3406" s="954"/>
      <c r="T3406" s="739">
        <v>1100117</v>
      </c>
      <c r="U3406" s="745"/>
      <c r="V3406" s="739">
        <v>1100117</v>
      </c>
    </row>
    <row r="3407" spans="1:22" ht="30" x14ac:dyDescent="0.25">
      <c r="A3407" s="864">
        <v>6131</v>
      </c>
      <c r="B3407" s="822" t="s">
        <v>1851</v>
      </c>
      <c r="C3407" s="915"/>
      <c r="D3407" s="915">
        <v>0</v>
      </c>
      <c r="E3407" s="915"/>
      <c r="F3407" s="915">
        <v>0</v>
      </c>
      <c r="G3407" s="953"/>
      <c r="H3407" s="953"/>
      <c r="I3407" s="953"/>
      <c r="J3407" s="759">
        <f t="shared" si="1009"/>
        <v>0</v>
      </c>
      <c r="K3407" s="953"/>
      <c r="L3407" s="953"/>
      <c r="M3407" s="738">
        <f t="shared" si="1010"/>
        <v>0</v>
      </c>
      <c r="N3407" s="738"/>
      <c r="O3407" s="738"/>
      <c r="P3407" s="738">
        <f t="shared" si="1011"/>
        <v>0</v>
      </c>
      <c r="Q3407" s="954"/>
      <c r="R3407" s="738"/>
      <c r="S3407" s="954"/>
      <c r="T3407" s="739">
        <v>1100116</v>
      </c>
      <c r="U3407" s="745"/>
      <c r="V3407" s="739">
        <v>1100116</v>
      </c>
    </row>
    <row r="3408" spans="1:22" ht="15" x14ac:dyDescent="0.25">
      <c r="A3408" s="864">
        <v>6141</v>
      </c>
      <c r="B3408" s="822" t="s">
        <v>356</v>
      </c>
      <c r="C3408" s="915"/>
      <c r="D3408" s="915">
        <v>0</v>
      </c>
      <c r="E3408" s="915"/>
      <c r="F3408" s="915">
        <v>0</v>
      </c>
      <c r="G3408" s="953"/>
      <c r="H3408" s="953"/>
      <c r="I3408" s="953"/>
      <c r="J3408" s="759">
        <f t="shared" si="1009"/>
        <v>0</v>
      </c>
      <c r="K3408" s="953"/>
      <c r="L3408" s="953"/>
      <c r="M3408" s="738">
        <f t="shared" si="1010"/>
        <v>0</v>
      </c>
      <c r="N3408" s="738"/>
      <c r="O3408" s="738"/>
      <c r="P3408" s="738">
        <f t="shared" si="1011"/>
        <v>0</v>
      </c>
      <c r="Q3408" s="954"/>
      <c r="R3408" s="738"/>
      <c r="S3408" s="954"/>
      <c r="T3408" s="739">
        <v>1100116</v>
      </c>
      <c r="U3408" s="745"/>
      <c r="V3408" s="739">
        <v>1100116</v>
      </c>
    </row>
    <row r="3409" spans="1:22" ht="15" x14ac:dyDescent="0.25">
      <c r="A3409" s="864">
        <v>6141</v>
      </c>
      <c r="B3409" s="822" t="s">
        <v>356</v>
      </c>
      <c r="C3409" s="915"/>
      <c r="D3409" s="915">
        <v>0</v>
      </c>
      <c r="E3409" s="915"/>
      <c r="F3409" s="915">
        <v>0</v>
      </c>
      <c r="G3409" s="953"/>
      <c r="H3409" s="953"/>
      <c r="I3409" s="953"/>
      <c r="J3409" s="759">
        <f t="shared" si="1009"/>
        <v>0</v>
      </c>
      <c r="K3409" s="953"/>
      <c r="L3409" s="953"/>
      <c r="M3409" s="738">
        <f t="shared" si="1010"/>
        <v>0</v>
      </c>
      <c r="N3409" s="738"/>
      <c r="O3409" s="738"/>
      <c r="P3409" s="738">
        <f t="shared" si="1011"/>
        <v>0</v>
      </c>
      <c r="Q3409" s="954"/>
      <c r="R3409" s="738"/>
      <c r="S3409" s="954"/>
      <c r="T3409" s="739">
        <v>1100117</v>
      </c>
      <c r="U3409" s="745"/>
      <c r="V3409" s="739">
        <v>1100117</v>
      </c>
    </row>
    <row r="3410" spans="1:22" ht="15" x14ac:dyDescent="0.25">
      <c r="A3410" s="864">
        <v>6221</v>
      </c>
      <c r="B3410" s="822" t="s">
        <v>353</v>
      </c>
      <c r="C3410" s="915"/>
      <c r="D3410" s="915">
        <v>0</v>
      </c>
      <c r="E3410" s="915"/>
      <c r="F3410" s="915">
        <v>0</v>
      </c>
      <c r="G3410" s="953"/>
      <c r="H3410" s="953"/>
      <c r="I3410" s="953"/>
      <c r="J3410" s="759">
        <f t="shared" si="1009"/>
        <v>0</v>
      </c>
      <c r="K3410" s="953"/>
      <c r="L3410" s="953"/>
      <c r="M3410" s="738">
        <f t="shared" si="1010"/>
        <v>0</v>
      </c>
      <c r="N3410" s="738"/>
      <c r="O3410" s="738"/>
      <c r="P3410" s="738">
        <f t="shared" si="1011"/>
        <v>0</v>
      </c>
      <c r="Q3410" s="954"/>
      <c r="R3410" s="738"/>
      <c r="S3410" s="954"/>
      <c r="T3410" s="739">
        <v>1100117</v>
      </c>
      <c r="U3410" s="745"/>
      <c r="V3410" s="739">
        <v>1100117</v>
      </c>
    </row>
    <row r="3411" spans="1:22" ht="15" x14ac:dyDescent="0.25">
      <c r="A3411" s="728" t="s">
        <v>1852</v>
      </c>
      <c r="B3411" s="883" t="s">
        <v>1853</v>
      </c>
      <c r="C3411" s="950">
        <f t="shared" ref="C3411:F3411" si="1012">SUM(C3413:C3415)</f>
        <v>2284701.56</v>
      </c>
      <c r="D3411" s="950">
        <f t="shared" si="1012"/>
        <v>1229353.22</v>
      </c>
      <c r="E3411" s="950">
        <f t="shared" si="1012"/>
        <v>11087580.75</v>
      </c>
      <c r="F3411" s="950">
        <f t="shared" si="1012"/>
        <v>7759735.7999999998</v>
      </c>
      <c r="G3411" s="951">
        <f t="shared" ref="G3411:S3411" si="1013">SUM(G3412:G3416)</f>
        <v>6869521.7699999996</v>
      </c>
      <c r="H3411" s="951">
        <f t="shared" si="1013"/>
        <v>0</v>
      </c>
      <c r="I3411" s="951">
        <f t="shared" si="1013"/>
        <v>5859521.7699999996</v>
      </c>
      <c r="J3411" s="951">
        <f t="shared" si="1013"/>
        <v>1010000</v>
      </c>
      <c r="K3411" s="951">
        <f t="shared" si="1013"/>
        <v>8980000</v>
      </c>
      <c r="L3411" s="951">
        <f t="shared" si="1013"/>
        <v>990000</v>
      </c>
      <c r="M3411" s="952">
        <f t="shared" si="1013"/>
        <v>9000000</v>
      </c>
      <c r="N3411" s="952">
        <f t="shared" si="1013"/>
        <v>1149826.5</v>
      </c>
      <c r="O3411" s="952">
        <f t="shared" si="1013"/>
        <v>0</v>
      </c>
      <c r="P3411" s="950">
        <f t="shared" si="1013"/>
        <v>10149826.5</v>
      </c>
      <c r="Q3411" s="952">
        <f t="shared" si="1013"/>
        <v>10450096.359999999</v>
      </c>
      <c r="R3411" s="952">
        <f t="shared" si="1013"/>
        <v>0</v>
      </c>
      <c r="S3411" s="952">
        <f t="shared" si="1013"/>
        <v>0</v>
      </c>
      <c r="T3411" s="731"/>
      <c r="U3411" s="732">
        <f t="shared" ref="U3411" si="1014">SUM(U3412:U3416)</f>
        <v>0</v>
      </c>
      <c r="V3411" s="728"/>
    </row>
    <row r="3412" spans="1:22" ht="15" x14ac:dyDescent="0.25">
      <c r="A3412" s="864">
        <v>6141</v>
      </c>
      <c r="B3412" s="822" t="s">
        <v>356</v>
      </c>
      <c r="C3412" s="915"/>
      <c r="D3412" s="915"/>
      <c r="E3412" s="915"/>
      <c r="F3412" s="915"/>
      <c r="G3412" s="958">
        <v>180000</v>
      </c>
      <c r="H3412" s="958"/>
      <c r="I3412" s="958">
        <v>180000</v>
      </c>
      <c r="J3412" s="759">
        <f t="shared" ref="J3412:J3416" si="1015">G3412+H3412-I3412</f>
        <v>0</v>
      </c>
      <c r="K3412" s="958"/>
      <c r="L3412" s="958"/>
      <c r="M3412" s="738">
        <f t="shared" ref="M3412:M3416" si="1016">J3412+K3412-L3412</f>
        <v>0</v>
      </c>
      <c r="N3412" s="738"/>
      <c r="O3412" s="738"/>
      <c r="P3412" s="738">
        <f t="shared" ref="P3412:P3416" si="1017">M3412+N3412-O3412</f>
        <v>0</v>
      </c>
      <c r="Q3412" s="959"/>
      <c r="R3412" s="738"/>
      <c r="S3412" s="959"/>
      <c r="T3412" s="739">
        <v>2610120</v>
      </c>
      <c r="U3412" s="745"/>
      <c r="V3412" s="739">
        <v>2610120</v>
      </c>
    </row>
    <row r="3413" spans="1:22" ht="30" x14ac:dyDescent="0.25">
      <c r="A3413" s="864">
        <v>6131</v>
      </c>
      <c r="B3413" s="822" t="s">
        <v>1851</v>
      </c>
      <c r="C3413" s="915"/>
      <c r="D3413" s="915">
        <v>0</v>
      </c>
      <c r="E3413" s="915"/>
      <c r="F3413" s="915">
        <v>7554414.7000000002</v>
      </c>
      <c r="G3413" s="958">
        <v>5679521.7699999996</v>
      </c>
      <c r="H3413" s="958"/>
      <c r="I3413" s="958">
        <v>5679521.7699999996</v>
      </c>
      <c r="J3413" s="759">
        <f t="shared" si="1015"/>
        <v>0</v>
      </c>
      <c r="K3413" s="958"/>
      <c r="L3413" s="958"/>
      <c r="M3413" s="738">
        <f t="shared" si="1016"/>
        <v>0</v>
      </c>
      <c r="N3413" s="738"/>
      <c r="O3413" s="738"/>
      <c r="P3413" s="738">
        <f t="shared" si="1017"/>
        <v>0</v>
      </c>
      <c r="Q3413" s="959"/>
      <c r="R3413" s="738"/>
      <c r="S3413" s="959"/>
      <c r="T3413" s="739">
        <v>2610120</v>
      </c>
      <c r="U3413" s="745"/>
      <c r="V3413" s="739">
        <v>2610120</v>
      </c>
    </row>
    <row r="3414" spans="1:22" ht="15" x14ac:dyDescent="0.25">
      <c r="A3414" s="864">
        <v>6141</v>
      </c>
      <c r="B3414" s="822" t="s">
        <v>356</v>
      </c>
      <c r="C3414" s="915">
        <v>2284701.56</v>
      </c>
      <c r="D3414" s="915">
        <v>1229353.22</v>
      </c>
      <c r="E3414" s="915">
        <v>11087580.75</v>
      </c>
      <c r="F3414" s="915">
        <v>0</v>
      </c>
      <c r="G3414" s="953"/>
      <c r="H3414" s="953"/>
      <c r="I3414" s="953"/>
      <c r="J3414" s="759">
        <f t="shared" si="1015"/>
        <v>0</v>
      </c>
      <c r="K3414" s="953"/>
      <c r="L3414" s="953"/>
      <c r="M3414" s="738">
        <f t="shared" si="1016"/>
        <v>0</v>
      </c>
      <c r="N3414" s="738"/>
      <c r="O3414" s="738"/>
      <c r="P3414" s="738">
        <f t="shared" si="1017"/>
        <v>0</v>
      </c>
      <c r="Q3414" s="954"/>
      <c r="R3414" s="738"/>
      <c r="S3414" s="954"/>
      <c r="T3414" s="739">
        <v>2610119</v>
      </c>
      <c r="U3414" s="745"/>
      <c r="V3414" s="739">
        <v>2610119</v>
      </c>
    </row>
    <row r="3415" spans="1:22" ht="15" x14ac:dyDescent="0.25">
      <c r="A3415" s="739">
        <v>6141</v>
      </c>
      <c r="B3415" s="822" t="s">
        <v>356</v>
      </c>
      <c r="C3415" s="915"/>
      <c r="D3415" s="915">
        <v>0</v>
      </c>
      <c r="E3415" s="915"/>
      <c r="F3415" s="915">
        <v>205321.1</v>
      </c>
      <c r="G3415" s="958">
        <v>20000</v>
      </c>
      <c r="H3415" s="958"/>
      <c r="I3415" s="958"/>
      <c r="J3415" s="759">
        <f t="shared" si="1015"/>
        <v>20000</v>
      </c>
      <c r="K3415" s="958">
        <v>8980000</v>
      </c>
      <c r="L3415" s="958"/>
      <c r="M3415" s="738">
        <f t="shared" si="1016"/>
        <v>9000000</v>
      </c>
      <c r="N3415" s="738">
        <v>1149826.5</v>
      </c>
      <c r="O3415" s="738"/>
      <c r="P3415" s="736">
        <f t="shared" si="1017"/>
        <v>10149826.5</v>
      </c>
      <c r="Q3415" s="959">
        <v>7014722.0999999996</v>
      </c>
      <c r="R3415" s="738"/>
      <c r="S3415" s="959"/>
      <c r="T3415" s="739">
        <v>2610121</v>
      </c>
      <c r="U3415" s="745"/>
      <c r="V3415" s="739">
        <v>2610122</v>
      </c>
    </row>
    <row r="3416" spans="1:22" ht="30" x14ac:dyDescent="0.25">
      <c r="A3416" s="864">
        <v>6131</v>
      </c>
      <c r="B3416" s="822" t="s">
        <v>1851</v>
      </c>
      <c r="C3416" s="915"/>
      <c r="D3416" s="915">
        <v>0</v>
      </c>
      <c r="E3416" s="915"/>
      <c r="F3416" s="915"/>
      <c r="G3416" s="958">
        <v>990000</v>
      </c>
      <c r="H3416" s="958"/>
      <c r="I3416" s="958"/>
      <c r="J3416" s="759">
        <f t="shared" si="1015"/>
        <v>990000</v>
      </c>
      <c r="K3416" s="958"/>
      <c r="L3416" s="958">
        <v>990000</v>
      </c>
      <c r="M3416" s="738">
        <f t="shared" si="1016"/>
        <v>0</v>
      </c>
      <c r="N3416" s="738"/>
      <c r="O3416" s="738"/>
      <c r="P3416" s="738">
        <f t="shared" si="1017"/>
        <v>0</v>
      </c>
      <c r="Q3416" s="959">
        <v>3435374.26</v>
      </c>
      <c r="R3416" s="738"/>
      <c r="S3416" s="959"/>
      <c r="T3416" s="739">
        <v>2610121</v>
      </c>
      <c r="U3416" s="745"/>
      <c r="V3416" s="739">
        <v>2610122</v>
      </c>
    </row>
    <row r="3417" spans="1:22" ht="15" x14ac:dyDescent="0.25">
      <c r="A3417" s="728" t="s">
        <v>1854</v>
      </c>
      <c r="B3417" s="883" t="s">
        <v>1855</v>
      </c>
      <c r="C3417" s="950">
        <f t="shared" ref="C3417:S3417" si="1018">SUM(C3418:C3420)</f>
        <v>1993356.1</v>
      </c>
      <c r="D3417" s="950">
        <f t="shared" si="1018"/>
        <v>569342.97</v>
      </c>
      <c r="E3417" s="950">
        <f t="shared" si="1018"/>
        <v>2735260.16</v>
      </c>
      <c r="F3417" s="950">
        <f t="shared" si="1018"/>
        <v>4749997.58</v>
      </c>
      <c r="G3417" s="951">
        <f t="shared" si="1018"/>
        <v>4269933.71</v>
      </c>
      <c r="H3417" s="951">
        <f t="shared" si="1018"/>
        <v>0</v>
      </c>
      <c r="I3417" s="951">
        <f t="shared" si="1018"/>
        <v>3907933.71</v>
      </c>
      <c r="J3417" s="951">
        <f t="shared" si="1018"/>
        <v>362000</v>
      </c>
      <c r="K3417" s="951">
        <f t="shared" si="1018"/>
        <v>4638000</v>
      </c>
      <c r="L3417" s="951">
        <f t="shared" si="1018"/>
        <v>0</v>
      </c>
      <c r="M3417" s="952">
        <f t="shared" si="1018"/>
        <v>5000000</v>
      </c>
      <c r="N3417" s="952">
        <f t="shared" si="1018"/>
        <v>0</v>
      </c>
      <c r="O3417" s="952">
        <f t="shared" si="1018"/>
        <v>0</v>
      </c>
      <c r="P3417" s="950">
        <f t="shared" si="1018"/>
        <v>5000000</v>
      </c>
      <c r="Q3417" s="952">
        <f t="shared" si="1018"/>
        <v>4699730.1399999997</v>
      </c>
      <c r="R3417" s="952">
        <f t="shared" si="1018"/>
        <v>0</v>
      </c>
      <c r="S3417" s="952">
        <f t="shared" si="1018"/>
        <v>0</v>
      </c>
      <c r="T3417" s="731"/>
      <c r="U3417" s="732">
        <f t="shared" ref="U3417" si="1019">SUM(U3418:U3420)</f>
        <v>0</v>
      </c>
      <c r="V3417" s="728"/>
    </row>
    <row r="3418" spans="1:22" ht="30" x14ac:dyDescent="0.25">
      <c r="A3418" s="864">
        <v>6131</v>
      </c>
      <c r="B3418" s="822" t="s">
        <v>1851</v>
      </c>
      <c r="C3418" s="915"/>
      <c r="D3418" s="915">
        <v>0</v>
      </c>
      <c r="E3418" s="915">
        <v>2735260.16</v>
      </c>
      <c r="F3418" s="915">
        <v>3451144.1900000004</v>
      </c>
      <c r="G3418" s="953"/>
      <c r="H3418" s="953"/>
      <c r="I3418" s="953"/>
      <c r="J3418" s="759">
        <f t="shared" ref="J3418:J3420" si="1020">G3418+H3418-I3418</f>
        <v>0</v>
      </c>
      <c r="K3418" s="953"/>
      <c r="L3418" s="953"/>
      <c r="M3418" s="738">
        <f t="shared" ref="M3418:M3420" si="1021">J3418+K3418-L3418</f>
        <v>0</v>
      </c>
      <c r="N3418" s="738"/>
      <c r="O3418" s="738"/>
      <c r="P3418" s="738">
        <f t="shared" ref="P3418:P3420" si="1022">M3418+N3418-O3418</f>
        <v>0</v>
      </c>
      <c r="Q3418" s="954">
        <v>1564716.99</v>
      </c>
      <c r="R3418" s="738"/>
      <c r="S3418" s="954"/>
      <c r="T3418" s="739">
        <v>2610121</v>
      </c>
      <c r="U3418" s="745"/>
      <c r="V3418" s="739">
        <v>2610122</v>
      </c>
    </row>
    <row r="3419" spans="1:22" ht="15" x14ac:dyDescent="0.25">
      <c r="A3419" s="864">
        <v>6141</v>
      </c>
      <c r="B3419" s="822" t="s">
        <v>356</v>
      </c>
      <c r="C3419" s="915">
        <v>466307.27</v>
      </c>
      <c r="D3419" s="915">
        <v>569342.97</v>
      </c>
      <c r="E3419" s="915"/>
      <c r="F3419" s="915">
        <v>0</v>
      </c>
      <c r="G3419" s="958">
        <v>3907933.71</v>
      </c>
      <c r="H3419" s="958"/>
      <c r="I3419" s="958">
        <v>3907933.71</v>
      </c>
      <c r="J3419" s="759">
        <f t="shared" si="1020"/>
        <v>0</v>
      </c>
      <c r="K3419" s="958"/>
      <c r="L3419" s="958"/>
      <c r="M3419" s="738">
        <f t="shared" si="1021"/>
        <v>0</v>
      </c>
      <c r="N3419" s="738"/>
      <c r="O3419" s="738"/>
      <c r="P3419" s="738">
        <f t="shared" si="1022"/>
        <v>0</v>
      </c>
      <c r="Q3419" s="959">
        <v>3135013.15</v>
      </c>
      <c r="R3419" s="738"/>
      <c r="S3419" s="959"/>
      <c r="T3419" s="739">
        <v>2610120</v>
      </c>
      <c r="U3419" s="745"/>
      <c r="V3419" s="739">
        <v>2610120</v>
      </c>
    </row>
    <row r="3420" spans="1:22" ht="15" x14ac:dyDescent="0.25">
      <c r="A3420" s="739">
        <v>6141</v>
      </c>
      <c r="B3420" s="822" t="s">
        <v>356</v>
      </c>
      <c r="C3420" s="915">
        <v>1527048.83</v>
      </c>
      <c r="D3420" s="915">
        <v>0</v>
      </c>
      <c r="E3420" s="915"/>
      <c r="F3420" s="915">
        <v>1298853.3900000001</v>
      </c>
      <c r="G3420" s="958">
        <v>362000</v>
      </c>
      <c r="H3420" s="958"/>
      <c r="I3420" s="958"/>
      <c r="J3420" s="759">
        <f t="shared" si="1020"/>
        <v>362000</v>
      </c>
      <c r="K3420" s="958">
        <v>4638000</v>
      </c>
      <c r="L3420" s="958"/>
      <c r="M3420" s="738">
        <f t="shared" si="1021"/>
        <v>5000000</v>
      </c>
      <c r="N3420" s="738"/>
      <c r="O3420" s="738"/>
      <c r="P3420" s="736">
        <f t="shared" si="1022"/>
        <v>5000000</v>
      </c>
      <c r="Q3420" s="959"/>
      <c r="R3420" s="738"/>
      <c r="S3420" s="959"/>
      <c r="T3420" s="739">
        <v>2610121</v>
      </c>
      <c r="U3420" s="745"/>
      <c r="V3420" s="739">
        <v>2610122</v>
      </c>
    </row>
    <row r="3421" spans="1:22" ht="15" x14ac:dyDescent="0.2">
      <c r="A3421" s="728" t="s">
        <v>1856</v>
      </c>
      <c r="B3421" s="883" t="s">
        <v>1857</v>
      </c>
      <c r="C3421" s="950">
        <f>SUM(C3422:C3423)</f>
        <v>35640276.399999999</v>
      </c>
      <c r="D3421" s="961"/>
      <c r="E3421" s="961"/>
      <c r="F3421" s="950"/>
      <c r="G3421" s="950"/>
      <c r="H3421" s="950"/>
      <c r="I3421" s="950"/>
      <c r="J3421" s="950"/>
      <c r="K3421" s="950"/>
      <c r="L3421" s="950"/>
      <c r="M3421" s="777"/>
      <c r="N3421" s="777"/>
      <c r="O3421" s="777"/>
      <c r="P3421" s="777"/>
      <c r="Q3421" s="777"/>
      <c r="R3421" s="777"/>
      <c r="S3421" s="777"/>
      <c r="T3421" s="731"/>
      <c r="U3421" s="732"/>
      <c r="V3421" s="728"/>
    </row>
    <row r="3422" spans="1:22" ht="15" x14ac:dyDescent="0.25">
      <c r="A3422" s="864">
        <v>4156</v>
      </c>
      <c r="B3422" s="743" t="s">
        <v>1850</v>
      </c>
      <c r="C3422" s="915">
        <v>5010839.67</v>
      </c>
      <c r="D3422" s="915"/>
      <c r="E3422" s="915"/>
      <c r="F3422" s="915"/>
      <c r="G3422" s="953"/>
      <c r="H3422" s="953"/>
      <c r="I3422" s="953"/>
      <c r="J3422" s="759">
        <f t="shared" ref="J3422:J3423" si="1023">G3422+H3422-I3422</f>
        <v>0</v>
      </c>
      <c r="K3422" s="953"/>
      <c r="L3422" s="953"/>
      <c r="M3422" s="738">
        <f t="shared" ref="M3422:M3423" si="1024">J3422+K3422-L3422</f>
        <v>0</v>
      </c>
      <c r="N3422" s="738"/>
      <c r="O3422" s="738"/>
      <c r="P3422" s="738">
        <f t="shared" ref="P3422:P3423" si="1025">M3422+N3422-O3422</f>
        <v>0</v>
      </c>
      <c r="Q3422" s="954"/>
      <c r="R3422" s="738"/>
      <c r="S3422" s="954"/>
      <c r="T3422" s="739"/>
      <c r="U3422" s="745"/>
      <c r="V3422" s="739"/>
    </row>
    <row r="3423" spans="1:22" ht="15" x14ac:dyDescent="0.25">
      <c r="A3423" s="864">
        <v>6141</v>
      </c>
      <c r="B3423" s="822" t="s">
        <v>356</v>
      </c>
      <c r="C3423" s="915">
        <v>30629436.73</v>
      </c>
      <c r="D3423" s="915"/>
      <c r="E3423" s="915"/>
      <c r="F3423" s="915"/>
      <c r="G3423" s="953"/>
      <c r="H3423" s="953"/>
      <c r="I3423" s="953"/>
      <c r="J3423" s="759">
        <f t="shared" si="1023"/>
        <v>0</v>
      </c>
      <c r="K3423" s="953"/>
      <c r="L3423" s="953"/>
      <c r="M3423" s="738">
        <f t="shared" si="1024"/>
        <v>0</v>
      </c>
      <c r="N3423" s="738"/>
      <c r="O3423" s="738"/>
      <c r="P3423" s="738">
        <f t="shared" si="1025"/>
        <v>0</v>
      </c>
      <c r="Q3423" s="954"/>
      <c r="R3423" s="738"/>
      <c r="S3423" s="954"/>
      <c r="T3423" s="739"/>
      <c r="U3423" s="745"/>
      <c r="V3423" s="739"/>
    </row>
    <row r="3424" spans="1:22" ht="15" x14ac:dyDescent="0.25">
      <c r="A3424" s="949" t="s">
        <v>1858</v>
      </c>
      <c r="B3424" s="883" t="s">
        <v>1859</v>
      </c>
      <c r="C3424" s="950">
        <f>SUM(C3425:C3426)</f>
        <v>2145768.6800000002</v>
      </c>
      <c r="D3424" s="950"/>
      <c r="E3424" s="950"/>
      <c r="F3424" s="950"/>
      <c r="G3424" s="951"/>
      <c r="H3424" s="951"/>
      <c r="I3424" s="951"/>
      <c r="J3424" s="951"/>
      <c r="K3424" s="951"/>
      <c r="L3424" s="951"/>
      <c r="M3424" s="952"/>
      <c r="N3424" s="952"/>
      <c r="O3424" s="952"/>
      <c r="P3424" s="952"/>
      <c r="Q3424" s="952"/>
      <c r="R3424" s="952"/>
      <c r="S3424" s="952"/>
      <c r="T3424" s="731"/>
      <c r="U3424" s="732"/>
      <c r="V3424" s="728"/>
    </row>
    <row r="3425" spans="1:22" ht="15" x14ac:dyDescent="0.25">
      <c r="A3425" s="864">
        <v>6121</v>
      </c>
      <c r="B3425" s="822" t="s">
        <v>353</v>
      </c>
      <c r="C3425" s="915">
        <v>1198800</v>
      </c>
      <c r="D3425" s="915"/>
      <c r="E3425" s="915"/>
      <c r="F3425" s="915"/>
      <c r="G3425" s="953"/>
      <c r="H3425" s="953"/>
      <c r="I3425" s="953"/>
      <c r="J3425" s="759">
        <f t="shared" ref="J3425:J3426" si="1026">G3425+H3425-I3425</f>
        <v>0</v>
      </c>
      <c r="K3425" s="953"/>
      <c r="L3425" s="953"/>
      <c r="M3425" s="738">
        <f t="shared" ref="M3425:M3426" si="1027">J3425+K3425-L3425</f>
        <v>0</v>
      </c>
      <c r="N3425" s="738"/>
      <c r="O3425" s="738"/>
      <c r="P3425" s="738">
        <f t="shared" ref="P3425:P3426" si="1028">M3425+N3425-O3425</f>
        <v>0</v>
      </c>
      <c r="Q3425" s="954"/>
      <c r="R3425" s="738"/>
      <c r="S3425" s="954"/>
      <c r="T3425" s="739"/>
      <c r="U3425" s="745"/>
      <c r="V3425" s="739"/>
    </row>
    <row r="3426" spans="1:22" ht="15" x14ac:dyDescent="0.25">
      <c r="A3426" s="864">
        <v>6141</v>
      </c>
      <c r="B3426" s="822" t="s">
        <v>356</v>
      </c>
      <c r="C3426" s="915">
        <v>946968.68</v>
      </c>
      <c r="D3426" s="915"/>
      <c r="E3426" s="915"/>
      <c r="F3426" s="915"/>
      <c r="G3426" s="953"/>
      <c r="H3426" s="953"/>
      <c r="I3426" s="953"/>
      <c r="J3426" s="759">
        <f t="shared" si="1026"/>
        <v>0</v>
      </c>
      <c r="K3426" s="953"/>
      <c r="L3426" s="953"/>
      <c r="M3426" s="738">
        <f t="shared" si="1027"/>
        <v>0</v>
      </c>
      <c r="N3426" s="738"/>
      <c r="O3426" s="738"/>
      <c r="P3426" s="738">
        <f t="shared" si="1028"/>
        <v>0</v>
      </c>
      <c r="Q3426" s="954"/>
      <c r="R3426" s="738"/>
      <c r="S3426" s="954"/>
      <c r="T3426" s="739"/>
      <c r="U3426" s="745"/>
      <c r="V3426" s="739"/>
    </row>
    <row r="3427" spans="1:22" ht="15" x14ac:dyDescent="0.25">
      <c r="A3427" s="728" t="s">
        <v>1860</v>
      </c>
      <c r="B3427" s="883" t="s">
        <v>1861</v>
      </c>
      <c r="C3427" s="950">
        <f t="shared" ref="C3427:S3427" si="1029">SUM(C3428:C3430)</f>
        <v>2315222.23</v>
      </c>
      <c r="D3427" s="950">
        <f t="shared" si="1029"/>
        <v>0</v>
      </c>
      <c r="E3427" s="950">
        <f t="shared" si="1029"/>
        <v>18365564.239999998</v>
      </c>
      <c r="F3427" s="950">
        <f t="shared" si="1029"/>
        <v>16444786.83</v>
      </c>
      <c r="G3427" s="951">
        <f t="shared" si="1029"/>
        <v>3044459.67</v>
      </c>
      <c r="H3427" s="951">
        <f t="shared" si="1029"/>
        <v>0</v>
      </c>
      <c r="I3427" s="951">
        <f t="shared" si="1029"/>
        <v>3044459.67</v>
      </c>
      <c r="J3427" s="951">
        <f t="shared" si="1029"/>
        <v>0</v>
      </c>
      <c r="K3427" s="951">
        <f t="shared" si="1029"/>
        <v>617797.85</v>
      </c>
      <c r="L3427" s="951">
        <f t="shared" si="1029"/>
        <v>0</v>
      </c>
      <c r="M3427" s="952">
        <f t="shared" si="1029"/>
        <v>617797.85</v>
      </c>
      <c r="N3427" s="952">
        <f t="shared" si="1029"/>
        <v>0</v>
      </c>
      <c r="O3427" s="952">
        <f t="shared" si="1029"/>
        <v>0</v>
      </c>
      <c r="P3427" s="950">
        <f t="shared" si="1029"/>
        <v>617797.85</v>
      </c>
      <c r="Q3427" s="952">
        <f t="shared" si="1029"/>
        <v>617797.85</v>
      </c>
      <c r="R3427" s="952">
        <f t="shared" si="1029"/>
        <v>0</v>
      </c>
      <c r="S3427" s="952">
        <f t="shared" si="1029"/>
        <v>0</v>
      </c>
      <c r="T3427" s="731"/>
      <c r="U3427" s="732">
        <f t="shared" ref="U3427" si="1030">SUM(U3428:U3430)</f>
        <v>0</v>
      </c>
      <c r="V3427" s="728"/>
    </row>
    <row r="3428" spans="1:22" ht="15" x14ac:dyDescent="0.25">
      <c r="A3428" s="864">
        <v>6141</v>
      </c>
      <c r="B3428" s="822" t="s">
        <v>356</v>
      </c>
      <c r="C3428" s="915">
        <v>2315222.23</v>
      </c>
      <c r="D3428" s="915">
        <v>0</v>
      </c>
      <c r="E3428" s="915">
        <v>710850</v>
      </c>
      <c r="F3428" s="915">
        <v>708896.84</v>
      </c>
      <c r="G3428" s="958">
        <v>604222.5</v>
      </c>
      <c r="H3428" s="958"/>
      <c r="I3428" s="958">
        <v>604222.5</v>
      </c>
      <c r="J3428" s="759">
        <f t="shared" ref="J3428:J3430" si="1031">G3428+H3428-I3428</f>
        <v>0</v>
      </c>
      <c r="K3428" s="958"/>
      <c r="L3428" s="958"/>
      <c r="M3428" s="738">
        <f t="shared" ref="M3428:M3430" si="1032">J3428+K3428-L3428</f>
        <v>0</v>
      </c>
      <c r="N3428" s="738"/>
      <c r="O3428" s="738"/>
      <c r="P3428" s="738">
        <f t="shared" ref="P3428:P3430" si="1033">M3428+N3428-O3428</f>
        <v>0</v>
      </c>
      <c r="Q3428" s="959"/>
      <c r="R3428" s="738"/>
      <c r="S3428" s="959"/>
      <c r="T3428" s="808">
        <v>2610120</v>
      </c>
      <c r="U3428" s="745"/>
      <c r="V3428" s="808">
        <v>2610120</v>
      </c>
    </row>
    <row r="3429" spans="1:22" ht="15" x14ac:dyDescent="0.25">
      <c r="A3429" s="739">
        <v>6141</v>
      </c>
      <c r="B3429" s="822" t="s">
        <v>356</v>
      </c>
      <c r="C3429" s="915"/>
      <c r="D3429" s="915"/>
      <c r="E3429" s="915"/>
      <c r="F3429" s="915"/>
      <c r="G3429" s="958"/>
      <c r="H3429" s="958"/>
      <c r="I3429" s="958"/>
      <c r="J3429" s="759">
        <f t="shared" si="1031"/>
        <v>0</v>
      </c>
      <c r="K3429" s="958">
        <v>617797.85</v>
      </c>
      <c r="L3429" s="958"/>
      <c r="M3429" s="738">
        <f t="shared" si="1032"/>
        <v>617797.85</v>
      </c>
      <c r="N3429" s="738"/>
      <c r="O3429" s="738"/>
      <c r="P3429" s="736">
        <f t="shared" si="1033"/>
        <v>617797.85</v>
      </c>
      <c r="Q3429" s="959">
        <v>617797.85</v>
      </c>
      <c r="R3429" s="738"/>
      <c r="S3429" s="959"/>
      <c r="T3429" s="808">
        <v>2610121</v>
      </c>
      <c r="U3429" s="745"/>
      <c r="V3429" s="808">
        <v>2610122</v>
      </c>
    </row>
    <row r="3430" spans="1:22" ht="15" x14ac:dyDescent="0.25">
      <c r="A3430" s="864">
        <v>6141</v>
      </c>
      <c r="B3430" s="822" t="s">
        <v>356</v>
      </c>
      <c r="C3430" s="915"/>
      <c r="D3430" s="915">
        <v>0</v>
      </c>
      <c r="E3430" s="915">
        <v>17654714.239999998</v>
      </c>
      <c r="F3430" s="915">
        <v>15735889.99</v>
      </c>
      <c r="G3430" s="958">
        <v>2440237.17</v>
      </c>
      <c r="H3430" s="958"/>
      <c r="I3430" s="958">
        <v>2440237.17</v>
      </c>
      <c r="J3430" s="759">
        <f t="shared" si="1031"/>
        <v>0</v>
      </c>
      <c r="K3430" s="958"/>
      <c r="L3430" s="958"/>
      <c r="M3430" s="738">
        <f t="shared" si="1032"/>
        <v>0</v>
      </c>
      <c r="N3430" s="738"/>
      <c r="O3430" s="738"/>
      <c r="P3430" s="738">
        <f t="shared" si="1033"/>
        <v>0</v>
      </c>
      <c r="Q3430" s="959"/>
      <c r="R3430" s="738"/>
      <c r="S3430" s="959"/>
      <c r="T3430" s="808">
        <v>2610220</v>
      </c>
      <c r="U3430" s="745"/>
      <c r="V3430" s="808">
        <v>2610220</v>
      </c>
    </row>
    <row r="3431" spans="1:22" ht="15" x14ac:dyDescent="0.25">
      <c r="A3431" s="728" t="s">
        <v>361</v>
      </c>
      <c r="B3431" s="883" t="s">
        <v>1529</v>
      </c>
      <c r="C3431" s="950">
        <f t="shared" ref="C3431:H3431" si="1034">SUM(C3432:C3436)</f>
        <v>2360141.0099999998</v>
      </c>
      <c r="D3431" s="950">
        <f t="shared" si="1034"/>
        <v>0</v>
      </c>
      <c r="E3431" s="950">
        <f t="shared" si="1034"/>
        <v>2400000</v>
      </c>
      <c r="F3431" s="950">
        <f t="shared" si="1034"/>
        <v>2398073.8199999998</v>
      </c>
      <c r="G3431" s="951">
        <f t="shared" si="1034"/>
        <v>625222.85</v>
      </c>
      <c r="H3431" s="951">
        <f t="shared" si="1034"/>
        <v>0</v>
      </c>
      <c r="I3431" s="951">
        <v>625222.85</v>
      </c>
      <c r="J3431" s="951">
        <f t="shared" ref="J3431:S3431" si="1035">SUM(J3432:J3436)</f>
        <v>0</v>
      </c>
      <c r="K3431" s="951">
        <f t="shared" si="1035"/>
        <v>12819101.530000001</v>
      </c>
      <c r="L3431" s="951">
        <f t="shared" si="1035"/>
        <v>0</v>
      </c>
      <c r="M3431" s="952">
        <f t="shared" si="1035"/>
        <v>12819101.530000001</v>
      </c>
      <c r="N3431" s="952">
        <f t="shared" si="1035"/>
        <v>0</v>
      </c>
      <c r="O3431" s="952">
        <f t="shared" si="1035"/>
        <v>0</v>
      </c>
      <c r="P3431" s="950">
        <f t="shared" si="1035"/>
        <v>12819101.530000001</v>
      </c>
      <c r="Q3431" s="952">
        <f t="shared" si="1035"/>
        <v>12819101.529999999</v>
      </c>
      <c r="R3431" s="952">
        <f t="shared" si="1035"/>
        <v>0</v>
      </c>
      <c r="S3431" s="952">
        <f t="shared" si="1035"/>
        <v>0</v>
      </c>
      <c r="T3431" s="731"/>
      <c r="U3431" s="732">
        <f t="shared" ref="U3431" si="1036">SUM(U3432:U3436)</f>
        <v>2061990.69</v>
      </c>
      <c r="V3431" s="733"/>
    </row>
    <row r="3432" spans="1:22" ht="15" x14ac:dyDescent="0.25">
      <c r="A3432" s="864">
        <v>6121</v>
      </c>
      <c r="B3432" s="822" t="s">
        <v>353</v>
      </c>
      <c r="C3432" s="915">
        <v>2360141.0099999998</v>
      </c>
      <c r="D3432" s="915">
        <v>0</v>
      </c>
      <c r="E3432" s="915">
        <v>2400000</v>
      </c>
      <c r="F3432" s="915">
        <v>2398073.8199999998</v>
      </c>
      <c r="G3432" s="958">
        <v>625222.85</v>
      </c>
      <c r="H3432" s="958"/>
      <c r="I3432" s="958">
        <v>625222.85</v>
      </c>
      <c r="J3432" s="759">
        <f t="shared" ref="J3432:J3436" si="1037">G3432+H3432-I3432</f>
        <v>0</v>
      </c>
      <c r="K3432" s="958"/>
      <c r="L3432" s="958"/>
      <c r="M3432" s="738">
        <f t="shared" ref="M3432:M3436" si="1038">J3432+K3432-L3432</f>
        <v>0</v>
      </c>
      <c r="N3432" s="738"/>
      <c r="O3432" s="738"/>
      <c r="P3432" s="738">
        <f t="shared" ref="P3432:P3436" si="1039">M3432+N3432-O3432</f>
        <v>0</v>
      </c>
      <c r="Q3432" s="959"/>
      <c r="R3432" s="738"/>
      <c r="S3432" s="959"/>
      <c r="T3432" s="739">
        <v>2610220</v>
      </c>
      <c r="U3432" s="745"/>
      <c r="V3432" s="739">
        <v>2610220</v>
      </c>
    </row>
    <row r="3433" spans="1:22" ht="15" x14ac:dyDescent="0.25">
      <c r="A3433" s="739">
        <v>6121</v>
      </c>
      <c r="B3433" s="822" t="s">
        <v>353</v>
      </c>
      <c r="C3433" s="915"/>
      <c r="D3433" s="915"/>
      <c r="E3433" s="915"/>
      <c r="F3433" s="915"/>
      <c r="G3433" s="958"/>
      <c r="H3433" s="958"/>
      <c r="I3433" s="958"/>
      <c r="J3433" s="759">
        <f t="shared" si="1037"/>
        <v>0</v>
      </c>
      <c r="K3433" s="958">
        <f>2400000+2254320.33+8164781.2</f>
        <v>12819101.530000001</v>
      </c>
      <c r="L3433" s="958"/>
      <c r="M3433" s="738">
        <f t="shared" si="1038"/>
        <v>12819101.530000001</v>
      </c>
      <c r="N3433" s="738"/>
      <c r="O3433" s="738"/>
      <c r="P3433" s="736">
        <f t="shared" si="1039"/>
        <v>12819101.530000001</v>
      </c>
      <c r="Q3433" s="959">
        <v>12819101.529999999</v>
      </c>
      <c r="R3433" s="738"/>
      <c r="S3433" s="959"/>
      <c r="T3433" s="739">
        <v>2610121</v>
      </c>
      <c r="U3433" s="745"/>
      <c r="V3433" s="739">
        <v>2610122</v>
      </c>
    </row>
    <row r="3434" spans="1:22" ht="15" x14ac:dyDescent="0.25">
      <c r="A3434" s="734">
        <v>6121</v>
      </c>
      <c r="B3434" s="755" t="s">
        <v>353</v>
      </c>
      <c r="C3434" s="915"/>
      <c r="D3434" s="915"/>
      <c r="E3434" s="915"/>
      <c r="F3434" s="915"/>
      <c r="G3434" s="958"/>
      <c r="H3434" s="958"/>
      <c r="I3434" s="958"/>
      <c r="J3434" s="759"/>
      <c r="K3434" s="958"/>
      <c r="L3434" s="958"/>
      <c r="M3434" s="738"/>
      <c r="N3434" s="738"/>
      <c r="O3434" s="738"/>
      <c r="P3434" s="736"/>
      <c r="Q3434" s="959"/>
      <c r="R3434" s="738"/>
      <c r="S3434" s="959"/>
      <c r="T3434" s="739">
        <v>2610221</v>
      </c>
      <c r="U3434" s="740">
        <v>1031959.84</v>
      </c>
      <c r="V3434" s="741">
        <v>2610221</v>
      </c>
    </row>
    <row r="3435" spans="1:22" ht="15" x14ac:dyDescent="0.25">
      <c r="A3435" s="734">
        <v>6121</v>
      </c>
      <c r="B3435" s="755" t="s">
        <v>353</v>
      </c>
      <c r="C3435" s="915"/>
      <c r="D3435" s="915"/>
      <c r="E3435" s="915"/>
      <c r="F3435" s="915"/>
      <c r="G3435" s="958"/>
      <c r="H3435" s="958"/>
      <c r="I3435" s="958"/>
      <c r="J3435" s="759"/>
      <c r="K3435" s="958"/>
      <c r="L3435" s="958"/>
      <c r="M3435" s="738"/>
      <c r="N3435" s="738"/>
      <c r="O3435" s="738"/>
      <c r="P3435" s="736"/>
      <c r="Q3435" s="959"/>
      <c r="R3435" s="738"/>
      <c r="S3435" s="959"/>
      <c r="T3435" s="739">
        <v>2610222</v>
      </c>
      <c r="U3435" s="740">
        <v>1030030.85</v>
      </c>
      <c r="V3435" s="741">
        <v>2610222</v>
      </c>
    </row>
    <row r="3436" spans="1:22" ht="15" x14ac:dyDescent="0.25">
      <c r="A3436" s="864">
        <v>6141</v>
      </c>
      <c r="B3436" s="822" t="s">
        <v>356</v>
      </c>
      <c r="C3436" s="915"/>
      <c r="D3436" s="915">
        <v>0</v>
      </c>
      <c r="E3436" s="915"/>
      <c r="F3436" s="915">
        <v>0</v>
      </c>
      <c r="G3436" s="953"/>
      <c r="H3436" s="953"/>
      <c r="I3436" s="953"/>
      <c r="J3436" s="759">
        <f t="shared" si="1037"/>
        <v>0</v>
      </c>
      <c r="K3436" s="953"/>
      <c r="L3436" s="953"/>
      <c r="M3436" s="738">
        <f t="shared" si="1038"/>
        <v>0</v>
      </c>
      <c r="N3436" s="738"/>
      <c r="O3436" s="738"/>
      <c r="P3436" s="738">
        <f t="shared" si="1039"/>
        <v>0</v>
      </c>
      <c r="Q3436" s="954"/>
      <c r="R3436" s="738"/>
      <c r="S3436" s="954"/>
      <c r="T3436" s="739">
        <v>2610221</v>
      </c>
      <c r="U3436" s="745"/>
      <c r="V3436" s="739">
        <v>2610222</v>
      </c>
    </row>
    <row r="3437" spans="1:22" ht="15" x14ac:dyDescent="0.25">
      <c r="A3437" s="949" t="s">
        <v>1862</v>
      </c>
      <c r="B3437" s="883" t="s">
        <v>1863</v>
      </c>
      <c r="C3437" s="950">
        <f>SUM(C3438:C3439)</f>
        <v>9341812.2899999991</v>
      </c>
      <c r="D3437" s="950"/>
      <c r="E3437" s="950"/>
      <c r="F3437" s="950"/>
      <c r="G3437" s="951"/>
      <c r="H3437" s="951"/>
      <c r="I3437" s="951"/>
      <c r="J3437" s="951"/>
      <c r="K3437" s="951"/>
      <c r="L3437" s="951"/>
      <c r="M3437" s="952"/>
      <c r="N3437" s="952"/>
      <c r="O3437" s="952"/>
      <c r="P3437" s="952"/>
      <c r="Q3437" s="952"/>
      <c r="R3437" s="952"/>
      <c r="S3437" s="952"/>
      <c r="T3437" s="731"/>
      <c r="U3437" s="732"/>
      <c r="V3437" s="728"/>
    </row>
    <row r="3438" spans="1:22" ht="15" x14ac:dyDescent="0.25">
      <c r="A3438" s="864">
        <v>6121</v>
      </c>
      <c r="B3438" s="822" t="s">
        <v>353</v>
      </c>
      <c r="C3438" s="915">
        <v>7377698.5800000001</v>
      </c>
      <c r="D3438" s="915"/>
      <c r="E3438" s="915"/>
      <c r="F3438" s="915"/>
      <c r="G3438" s="953"/>
      <c r="H3438" s="953"/>
      <c r="I3438" s="953"/>
      <c r="J3438" s="759">
        <f t="shared" ref="J3438:J3439" si="1040">G3438+H3438-I3438</f>
        <v>0</v>
      </c>
      <c r="K3438" s="953"/>
      <c r="L3438" s="953"/>
      <c r="M3438" s="738">
        <f t="shared" ref="M3438:M3439" si="1041">J3438+K3438-L3438</f>
        <v>0</v>
      </c>
      <c r="N3438" s="738"/>
      <c r="O3438" s="738"/>
      <c r="P3438" s="738">
        <f t="shared" ref="P3438:P3439" si="1042">M3438+N3438-O3438</f>
        <v>0</v>
      </c>
      <c r="Q3438" s="954"/>
      <c r="R3438" s="738"/>
      <c r="S3438" s="954"/>
      <c r="T3438" s="739"/>
      <c r="U3438" s="745"/>
      <c r="V3438" s="739"/>
    </row>
    <row r="3439" spans="1:22" ht="15" x14ac:dyDescent="0.25">
      <c r="A3439" s="864">
        <v>6121</v>
      </c>
      <c r="B3439" s="822" t="s">
        <v>353</v>
      </c>
      <c r="C3439" s="915">
        <v>1964113.71</v>
      </c>
      <c r="D3439" s="915"/>
      <c r="E3439" s="915"/>
      <c r="F3439" s="915"/>
      <c r="G3439" s="953"/>
      <c r="H3439" s="953"/>
      <c r="I3439" s="953"/>
      <c r="J3439" s="759">
        <f t="shared" si="1040"/>
        <v>0</v>
      </c>
      <c r="K3439" s="953"/>
      <c r="L3439" s="953"/>
      <c r="M3439" s="738">
        <f t="shared" si="1041"/>
        <v>0</v>
      </c>
      <c r="N3439" s="738"/>
      <c r="O3439" s="738"/>
      <c r="P3439" s="738">
        <f t="shared" si="1042"/>
        <v>0</v>
      </c>
      <c r="Q3439" s="954"/>
      <c r="R3439" s="738"/>
      <c r="S3439" s="954"/>
      <c r="T3439" s="739"/>
      <c r="U3439" s="745"/>
      <c r="V3439" s="739"/>
    </row>
    <row r="3440" spans="1:22" ht="15" x14ac:dyDescent="0.25">
      <c r="A3440" s="949" t="s">
        <v>1864</v>
      </c>
      <c r="B3440" s="883" t="s">
        <v>1865</v>
      </c>
      <c r="C3440" s="950">
        <f>SUM(C3441:C3442)</f>
        <v>279120.02</v>
      </c>
      <c r="D3440" s="950"/>
      <c r="E3440" s="950"/>
      <c r="F3440" s="950"/>
      <c r="G3440" s="951"/>
      <c r="H3440" s="951"/>
      <c r="I3440" s="951"/>
      <c r="J3440" s="951"/>
      <c r="K3440" s="951"/>
      <c r="L3440" s="951"/>
      <c r="M3440" s="952"/>
      <c r="N3440" s="952"/>
      <c r="O3440" s="952"/>
      <c r="P3440" s="952"/>
      <c r="Q3440" s="952"/>
      <c r="R3440" s="952"/>
      <c r="S3440" s="952"/>
      <c r="T3440" s="731"/>
      <c r="U3440" s="732"/>
      <c r="V3440" s="728"/>
    </row>
    <row r="3441" spans="1:22" ht="15" x14ac:dyDescent="0.25">
      <c r="A3441" s="864">
        <v>6121</v>
      </c>
      <c r="B3441" s="822" t="s">
        <v>353</v>
      </c>
      <c r="C3441" s="915">
        <v>149974.24</v>
      </c>
      <c r="D3441" s="915"/>
      <c r="E3441" s="915"/>
      <c r="F3441" s="915"/>
      <c r="G3441" s="953"/>
      <c r="H3441" s="953"/>
      <c r="I3441" s="953"/>
      <c r="J3441" s="759">
        <f t="shared" ref="J3441:J3442" si="1043">G3441+H3441-I3441</f>
        <v>0</v>
      </c>
      <c r="K3441" s="953"/>
      <c r="L3441" s="953"/>
      <c r="M3441" s="738">
        <f t="shared" ref="M3441:M3442" si="1044">J3441+K3441-L3441</f>
        <v>0</v>
      </c>
      <c r="N3441" s="738"/>
      <c r="O3441" s="738"/>
      <c r="P3441" s="738">
        <f t="shared" ref="P3441:P3442" si="1045">M3441+N3441-O3441</f>
        <v>0</v>
      </c>
      <c r="Q3441" s="954"/>
      <c r="R3441" s="738"/>
      <c r="S3441" s="954"/>
      <c r="T3441" s="739"/>
      <c r="U3441" s="745"/>
      <c r="V3441" s="739"/>
    </row>
    <row r="3442" spans="1:22" ht="15" x14ac:dyDescent="0.25">
      <c r="A3442" s="864">
        <v>6121</v>
      </c>
      <c r="B3442" s="822" t="s">
        <v>353</v>
      </c>
      <c r="C3442" s="915">
        <v>129145.78</v>
      </c>
      <c r="D3442" s="915"/>
      <c r="E3442" s="915"/>
      <c r="F3442" s="915"/>
      <c r="G3442" s="953"/>
      <c r="H3442" s="953"/>
      <c r="I3442" s="953"/>
      <c r="J3442" s="759">
        <f t="shared" si="1043"/>
        <v>0</v>
      </c>
      <c r="K3442" s="953"/>
      <c r="L3442" s="953"/>
      <c r="M3442" s="738">
        <f t="shared" si="1044"/>
        <v>0</v>
      </c>
      <c r="N3442" s="738"/>
      <c r="O3442" s="738"/>
      <c r="P3442" s="738">
        <f t="shared" si="1045"/>
        <v>0</v>
      </c>
      <c r="Q3442" s="954"/>
      <c r="R3442" s="738"/>
      <c r="S3442" s="954"/>
      <c r="T3442" s="739"/>
      <c r="U3442" s="745"/>
      <c r="V3442" s="739"/>
    </row>
    <row r="3443" spans="1:22" ht="15" x14ac:dyDescent="0.25">
      <c r="A3443" s="949" t="s">
        <v>1866</v>
      </c>
      <c r="B3443" s="883" t="s">
        <v>1867</v>
      </c>
      <c r="C3443" s="950">
        <f t="shared" ref="C3443:S3443" si="1046">SUM(C3444:C3445)</f>
        <v>0</v>
      </c>
      <c r="D3443" s="950">
        <f t="shared" si="1046"/>
        <v>0</v>
      </c>
      <c r="E3443" s="950">
        <f t="shared" si="1046"/>
        <v>10000000</v>
      </c>
      <c r="F3443" s="950">
        <f t="shared" si="1046"/>
        <v>10000000</v>
      </c>
      <c r="G3443" s="951">
        <f t="shared" si="1046"/>
        <v>0</v>
      </c>
      <c r="H3443" s="951">
        <f t="shared" si="1046"/>
        <v>0</v>
      </c>
      <c r="I3443" s="951">
        <f t="shared" si="1046"/>
        <v>0</v>
      </c>
      <c r="J3443" s="951">
        <f t="shared" si="1046"/>
        <v>0</v>
      </c>
      <c r="K3443" s="951">
        <f t="shared" si="1046"/>
        <v>0</v>
      </c>
      <c r="L3443" s="951">
        <f t="shared" si="1046"/>
        <v>0</v>
      </c>
      <c r="M3443" s="952">
        <f t="shared" si="1046"/>
        <v>0</v>
      </c>
      <c r="N3443" s="952">
        <f t="shared" si="1046"/>
        <v>0</v>
      </c>
      <c r="O3443" s="952">
        <f t="shared" si="1046"/>
        <v>0</v>
      </c>
      <c r="P3443" s="952">
        <f t="shared" si="1046"/>
        <v>0</v>
      </c>
      <c r="Q3443" s="952">
        <f t="shared" si="1046"/>
        <v>0</v>
      </c>
      <c r="R3443" s="952">
        <f t="shared" si="1046"/>
        <v>0</v>
      </c>
      <c r="S3443" s="952">
        <f t="shared" si="1046"/>
        <v>0</v>
      </c>
      <c r="T3443" s="731"/>
      <c r="U3443" s="732">
        <f t="shared" ref="U3443" si="1047">SUM(U3444:U3445)</f>
        <v>0</v>
      </c>
      <c r="V3443" s="728"/>
    </row>
    <row r="3444" spans="1:22" ht="15" x14ac:dyDescent="0.25">
      <c r="A3444" s="864">
        <v>6121</v>
      </c>
      <c r="B3444" s="822" t="s">
        <v>353</v>
      </c>
      <c r="C3444" s="915"/>
      <c r="D3444" s="915">
        <v>0</v>
      </c>
      <c r="E3444" s="915"/>
      <c r="F3444" s="915">
        <v>0</v>
      </c>
      <c r="G3444" s="953"/>
      <c r="H3444" s="953"/>
      <c r="I3444" s="953"/>
      <c r="J3444" s="759">
        <f t="shared" ref="J3444:J3445" si="1048">G3444+H3444-I3444</f>
        <v>0</v>
      </c>
      <c r="K3444" s="953"/>
      <c r="L3444" s="953"/>
      <c r="M3444" s="738">
        <f t="shared" ref="M3444:M3445" si="1049">J3444+K3444-L3444</f>
        <v>0</v>
      </c>
      <c r="N3444" s="738"/>
      <c r="O3444" s="738"/>
      <c r="P3444" s="738">
        <f t="shared" ref="P3444:P3445" si="1050">M3444+N3444-O3444</f>
        <v>0</v>
      </c>
      <c r="Q3444" s="954"/>
      <c r="R3444" s="738"/>
      <c r="S3444" s="954"/>
      <c r="T3444" s="739">
        <v>2610121</v>
      </c>
      <c r="U3444" s="745"/>
      <c r="V3444" s="739">
        <v>2610122</v>
      </c>
    </row>
    <row r="3445" spans="1:22" ht="30" x14ac:dyDescent="0.25">
      <c r="A3445" s="864">
        <v>6131</v>
      </c>
      <c r="B3445" s="822" t="s">
        <v>1851</v>
      </c>
      <c r="C3445" s="915"/>
      <c r="D3445" s="915">
        <v>0</v>
      </c>
      <c r="E3445" s="915">
        <v>10000000</v>
      </c>
      <c r="F3445" s="915">
        <v>10000000</v>
      </c>
      <c r="G3445" s="953"/>
      <c r="H3445" s="953"/>
      <c r="I3445" s="953"/>
      <c r="J3445" s="759">
        <f t="shared" si="1048"/>
        <v>0</v>
      </c>
      <c r="K3445" s="953"/>
      <c r="L3445" s="953"/>
      <c r="M3445" s="738">
        <f t="shared" si="1049"/>
        <v>0</v>
      </c>
      <c r="N3445" s="738"/>
      <c r="O3445" s="738"/>
      <c r="P3445" s="738">
        <f t="shared" si="1050"/>
        <v>0</v>
      </c>
      <c r="Q3445" s="954"/>
      <c r="R3445" s="738"/>
      <c r="S3445" s="954"/>
      <c r="T3445" s="739">
        <v>2610121</v>
      </c>
      <c r="U3445" s="745"/>
      <c r="V3445" s="739">
        <v>2610122</v>
      </c>
    </row>
    <row r="3446" spans="1:22" ht="15" x14ac:dyDescent="0.25">
      <c r="A3446" s="949" t="s">
        <v>1868</v>
      </c>
      <c r="B3446" s="883" t="s">
        <v>1869</v>
      </c>
      <c r="C3446" s="950">
        <f>SUM(C3447:C3450)</f>
        <v>8002542.04</v>
      </c>
      <c r="D3446" s="950">
        <f t="shared" ref="D3446:S3446" si="1051">SUM(D3448:D3450)</f>
        <v>24374983.799999997</v>
      </c>
      <c r="E3446" s="950">
        <f t="shared" si="1051"/>
        <v>0</v>
      </c>
      <c r="F3446" s="950">
        <f t="shared" si="1051"/>
        <v>0</v>
      </c>
      <c r="G3446" s="951">
        <f t="shared" si="1051"/>
        <v>0</v>
      </c>
      <c r="H3446" s="951">
        <f t="shared" si="1051"/>
        <v>0</v>
      </c>
      <c r="I3446" s="951">
        <f t="shared" si="1051"/>
        <v>0</v>
      </c>
      <c r="J3446" s="951">
        <f t="shared" si="1051"/>
        <v>0</v>
      </c>
      <c r="K3446" s="951">
        <f t="shared" si="1051"/>
        <v>0</v>
      </c>
      <c r="L3446" s="951">
        <f t="shared" si="1051"/>
        <v>0</v>
      </c>
      <c r="M3446" s="952">
        <f t="shared" si="1051"/>
        <v>0</v>
      </c>
      <c r="N3446" s="952">
        <f t="shared" si="1051"/>
        <v>0</v>
      </c>
      <c r="O3446" s="952">
        <f t="shared" si="1051"/>
        <v>0</v>
      </c>
      <c r="P3446" s="952">
        <f t="shared" si="1051"/>
        <v>0</v>
      </c>
      <c r="Q3446" s="952">
        <f t="shared" si="1051"/>
        <v>0</v>
      </c>
      <c r="R3446" s="952">
        <f t="shared" si="1051"/>
        <v>0</v>
      </c>
      <c r="S3446" s="952">
        <f t="shared" si="1051"/>
        <v>0</v>
      </c>
      <c r="T3446" s="731"/>
      <c r="U3446" s="732">
        <f t="shared" ref="U3446" si="1052">SUM(U3448:U3450)</f>
        <v>0</v>
      </c>
      <c r="V3446" s="728"/>
    </row>
    <row r="3447" spans="1:22" ht="15" x14ac:dyDescent="0.25">
      <c r="A3447" s="864">
        <v>3321</v>
      </c>
      <c r="B3447" s="822" t="s">
        <v>190</v>
      </c>
      <c r="C3447" s="915">
        <v>231676.38</v>
      </c>
      <c r="D3447" s="962"/>
      <c r="E3447" s="962"/>
      <c r="F3447" s="962"/>
      <c r="G3447" s="963"/>
      <c r="H3447" s="963"/>
      <c r="I3447" s="963"/>
      <c r="J3447" s="759">
        <f t="shared" ref="J3447:J3450" si="1053">G3447+H3447-I3447</f>
        <v>0</v>
      </c>
      <c r="K3447" s="963"/>
      <c r="L3447" s="963"/>
      <c r="M3447" s="738">
        <f t="shared" ref="M3447:M3450" si="1054">J3447+K3447-L3447</f>
        <v>0</v>
      </c>
      <c r="N3447" s="738"/>
      <c r="O3447" s="738"/>
      <c r="P3447" s="738">
        <f t="shared" ref="P3447:P3450" si="1055">M3447+N3447-O3447</f>
        <v>0</v>
      </c>
      <c r="Q3447" s="964"/>
      <c r="R3447" s="738"/>
      <c r="S3447" s="964"/>
      <c r="T3447" s="778"/>
      <c r="U3447" s="745"/>
      <c r="V3447" s="778"/>
    </row>
    <row r="3448" spans="1:22" ht="15" x14ac:dyDescent="0.25">
      <c r="A3448" s="864">
        <v>6121</v>
      </c>
      <c r="B3448" s="822" t="s">
        <v>353</v>
      </c>
      <c r="C3448" s="915"/>
      <c r="D3448" s="915">
        <v>846622.92</v>
      </c>
      <c r="E3448" s="915"/>
      <c r="F3448" s="915">
        <v>0</v>
      </c>
      <c r="G3448" s="953"/>
      <c r="H3448" s="953"/>
      <c r="I3448" s="953"/>
      <c r="J3448" s="759">
        <f t="shared" si="1053"/>
        <v>0</v>
      </c>
      <c r="K3448" s="953"/>
      <c r="L3448" s="953"/>
      <c r="M3448" s="738">
        <f t="shared" si="1054"/>
        <v>0</v>
      </c>
      <c r="N3448" s="738"/>
      <c r="O3448" s="738"/>
      <c r="P3448" s="738">
        <f t="shared" si="1055"/>
        <v>0</v>
      </c>
      <c r="Q3448" s="954"/>
      <c r="R3448" s="738"/>
      <c r="S3448" s="954"/>
      <c r="T3448" s="739">
        <v>2520319</v>
      </c>
      <c r="U3448" s="745"/>
      <c r="V3448" s="739">
        <v>2520319</v>
      </c>
    </row>
    <row r="3449" spans="1:22" ht="15" x14ac:dyDescent="0.25">
      <c r="A3449" s="864">
        <v>6121</v>
      </c>
      <c r="B3449" s="822" t="s">
        <v>353</v>
      </c>
      <c r="C3449" s="915"/>
      <c r="D3449" s="915">
        <v>845000</v>
      </c>
      <c r="E3449" s="915"/>
      <c r="F3449" s="915">
        <v>0</v>
      </c>
      <c r="G3449" s="953"/>
      <c r="H3449" s="953"/>
      <c r="I3449" s="953"/>
      <c r="J3449" s="759">
        <f t="shared" si="1053"/>
        <v>0</v>
      </c>
      <c r="K3449" s="953"/>
      <c r="L3449" s="953"/>
      <c r="M3449" s="738">
        <f t="shared" si="1054"/>
        <v>0</v>
      </c>
      <c r="N3449" s="738"/>
      <c r="O3449" s="738"/>
      <c r="P3449" s="738">
        <f t="shared" si="1055"/>
        <v>0</v>
      </c>
      <c r="Q3449" s="954"/>
      <c r="R3449" s="738"/>
      <c r="S3449" s="954"/>
      <c r="T3449" s="739">
        <v>2610119</v>
      </c>
      <c r="U3449" s="745"/>
      <c r="V3449" s="739">
        <v>2610119</v>
      </c>
    </row>
    <row r="3450" spans="1:22" ht="15" x14ac:dyDescent="0.25">
      <c r="A3450" s="864">
        <v>6141</v>
      </c>
      <c r="B3450" s="822" t="s">
        <v>356</v>
      </c>
      <c r="C3450" s="915">
        <v>7770865.6600000001</v>
      </c>
      <c r="D3450" s="915">
        <v>22683360.879999999</v>
      </c>
      <c r="E3450" s="915"/>
      <c r="F3450" s="915">
        <v>0</v>
      </c>
      <c r="G3450" s="953"/>
      <c r="H3450" s="953"/>
      <c r="I3450" s="953"/>
      <c r="J3450" s="759">
        <f t="shared" si="1053"/>
        <v>0</v>
      </c>
      <c r="K3450" s="953"/>
      <c r="L3450" s="953"/>
      <c r="M3450" s="738">
        <f t="shared" si="1054"/>
        <v>0</v>
      </c>
      <c r="N3450" s="738"/>
      <c r="O3450" s="738"/>
      <c r="P3450" s="738">
        <f t="shared" si="1055"/>
        <v>0</v>
      </c>
      <c r="Q3450" s="954"/>
      <c r="R3450" s="738"/>
      <c r="S3450" s="954"/>
      <c r="T3450" s="739">
        <v>2610119</v>
      </c>
      <c r="U3450" s="745"/>
      <c r="V3450" s="739">
        <v>2610119</v>
      </c>
    </row>
    <row r="3451" spans="1:22" ht="15" x14ac:dyDescent="0.25">
      <c r="A3451" s="728" t="s">
        <v>362</v>
      </c>
      <c r="B3451" s="883" t="s">
        <v>757</v>
      </c>
      <c r="C3451" s="950">
        <f t="shared" ref="C3451:F3451" si="1056">SUM(C3452:C3455)</f>
        <v>28233730.760000002</v>
      </c>
      <c r="D3451" s="950">
        <f t="shared" si="1056"/>
        <v>0</v>
      </c>
      <c r="E3451" s="950">
        <f t="shared" si="1056"/>
        <v>81619675.300000012</v>
      </c>
      <c r="F3451" s="950">
        <f t="shared" si="1056"/>
        <v>76811800.340000004</v>
      </c>
      <c r="G3451" s="951">
        <f t="shared" ref="G3451:S3451" si="1057">SUM(G3452:G3461)</f>
        <v>84268728.709999993</v>
      </c>
      <c r="H3451" s="951">
        <f t="shared" si="1057"/>
        <v>0</v>
      </c>
      <c r="I3451" s="951">
        <f t="shared" si="1057"/>
        <v>18888057.869999997</v>
      </c>
      <c r="J3451" s="951">
        <f t="shared" si="1057"/>
        <v>65380670.839999996</v>
      </c>
      <c r="K3451" s="951">
        <f t="shared" si="1057"/>
        <v>49632478.710000001</v>
      </c>
      <c r="L3451" s="951">
        <f t="shared" si="1057"/>
        <v>15324376.020000001</v>
      </c>
      <c r="M3451" s="952">
        <f t="shared" si="1057"/>
        <v>99688773.530000001</v>
      </c>
      <c r="N3451" s="952">
        <f t="shared" si="1057"/>
        <v>0</v>
      </c>
      <c r="O3451" s="952">
        <f t="shared" si="1057"/>
        <v>0</v>
      </c>
      <c r="P3451" s="950">
        <f t="shared" si="1057"/>
        <v>99688773.530000001</v>
      </c>
      <c r="Q3451" s="952">
        <f t="shared" si="1057"/>
        <v>99688773.529999986</v>
      </c>
      <c r="R3451" s="952">
        <f t="shared" si="1057"/>
        <v>0</v>
      </c>
      <c r="S3451" s="952">
        <f t="shared" si="1057"/>
        <v>0</v>
      </c>
      <c r="T3451" s="731"/>
      <c r="U3451" s="732">
        <f t="shared" ref="U3451" si="1058">SUM(U3452:U3461)</f>
        <v>12767181.66</v>
      </c>
      <c r="V3451" s="733"/>
    </row>
    <row r="3452" spans="1:22" ht="15" x14ac:dyDescent="0.25">
      <c r="A3452" s="864">
        <v>6121</v>
      </c>
      <c r="B3452" s="822" t="s">
        <v>353</v>
      </c>
      <c r="C3452" s="915"/>
      <c r="D3452" s="915">
        <v>0</v>
      </c>
      <c r="E3452" s="915">
        <v>30060839.550000001</v>
      </c>
      <c r="F3452" s="915">
        <v>30464229.780000001</v>
      </c>
      <c r="G3452" s="953"/>
      <c r="H3452" s="953"/>
      <c r="I3452" s="953"/>
      <c r="J3452" s="759">
        <f t="shared" ref="J3452:J3461" si="1059">G3452+H3452-I3452</f>
        <v>0</v>
      </c>
      <c r="K3452" s="953"/>
      <c r="L3452" s="953"/>
      <c r="M3452" s="738">
        <f t="shared" ref="M3452:M3461" si="1060">J3452+K3452-L3452</f>
        <v>0</v>
      </c>
      <c r="N3452" s="738"/>
      <c r="O3452" s="738"/>
      <c r="P3452" s="738">
        <f t="shared" ref="P3452:P3461" si="1061">M3452+N3452-O3452</f>
        <v>0</v>
      </c>
      <c r="Q3452" s="954"/>
      <c r="R3452" s="738"/>
      <c r="S3452" s="954"/>
      <c r="T3452" s="739">
        <v>2610221</v>
      </c>
      <c r="U3452" s="745"/>
      <c r="V3452" s="739">
        <v>2610222</v>
      </c>
    </row>
    <row r="3453" spans="1:22" ht="15" x14ac:dyDescent="0.25">
      <c r="A3453" s="864">
        <v>6141</v>
      </c>
      <c r="B3453" s="822" t="s">
        <v>356</v>
      </c>
      <c r="C3453" s="915">
        <v>28233730.760000002</v>
      </c>
      <c r="D3453" s="915">
        <v>0</v>
      </c>
      <c r="E3453" s="915">
        <v>8161443.1200000001</v>
      </c>
      <c r="F3453" s="915">
        <v>8161443.1200000001</v>
      </c>
      <c r="G3453" s="953"/>
      <c r="H3453" s="953"/>
      <c r="I3453" s="953"/>
      <c r="J3453" s="759">
        <f t="shared" si="1059"/>
        <v>0</v>
      </c>
      <c r="K3453" s="953"/>
      <c r="L3453" s="953"/>
      <c r="M3453" s="738">
        <f t="shared" si="1060"/>
        <v>0</v>
      </c>
      <c r="N3453" s="738"/>
      <c r="O3453" s="738"/>
      <c r="P3453" s="738">
        <f t="shared" si="1061"/>
        <v>0</v>
      </c>
      <c r="Q3453" s="954"/>
      <c r="R3453" s="738"/>
      <c r="S3453" s="954"/>
      <c r="T3453" s="739">
        <v>2610119</v>
      </c>
      <c r="U3453" s="745"/>
      <c r="V3453" s="739">
        <v>2610119</v>
      </c>
    </row>
    <row r="3454" spans="1:22" ht="15" x14ac:dyDescent="0.25">
      <c r="A3454" s="864">
        <v>6141</v>
      </c>
      <c r="B3454" s="822" t="s">
        <v>356</v>
      </c>
      <c r="C3454" s="915"/>
      <c r="D3454" s="915">
        <v>0</v>
      </c>
      <c r="E3454" s="915">
        <v>3054764.39</v>
      </c>
      <c r="F3454" s="915">
        <v>3054764.39</v>
      </c>
      <c r="G3454" s="953"/>
      <c r="H3454" s="953"/>
      <c r="I3454" s="953"/>
      <c r="J3454" s="759">
        <f t="shared" si="1059"/>
        <v>0</v>
      </c>
      <c r="K3454" s="953"/>
      <c r="L3454" s="953"/>
      <c r="M3454" s="738">
        <f t="shared" si="1060"/>
        <v>0</v>
      </c>
      <c r="N3454" s="738"/>
      <c r="O3454" s="738"/>
      <c r="P3454" s="738">
        <f t="shared" si="1061"/>
        <v>0</v>
      </c>
      <c r="Q3454" s="954"/>
      <c r="R3454" s="738"/>
      <c r="S3454" s="954"/>
      <c r="T3454" s="739">
        <v>2610121</v>
      </c>
      <c r="U3454" s="745"/>
      <c r="V3454" s="739">
        <v>2610122</v>
      </c>
    </row>
    <row r="3455" spans="1:22" ht="15" x14ac:dyDescent="0.25">
      <c r="A3455" s="734">
        <v>6141</v>
      </c>
      <c r="B3455" s="755" t="s">
        <v>356</v>
      </c>
      <c r="C3455" s="915"/>
      <c r="D3455" s="915">
        <v>0</v>
      </c>
      <c r="E3455" s="915">
        <v>40342628.240000002</v>
      </c>
      <c r="F3455" s="915">
        <v>35131363.049999997</v>
      </c>
      <c r="G3455" s="958">
        <v>44812241.909999996</v>
      </c>
      <c r="H3455" s="958"/>
      <c r="I3455" s="958"/>
      <c r="J3455" s="759">
        <f t="shared" si="1059"/>
        <v>44812241.909999996</v>
      </c>
      <c r="K3455" s="958">
        <v>4019206.66</v>
      </c>
      <c r="L3455" s="958"/>
      <c r="M3455" s="738">
        <f t="shared" si="1060"/>
        <v>48831448.569999993</v>
      </c>
      <c r="N3455" s="738"/>
      <c r="O3455" s="738"/>
      <c r="P3455" s="736">
        <f t="shared" si="1061"/>
        <v>48831448.569999993</v>
      </c>
      <c r="Q3455" s="959"/>
      <c r="R3455" s="738"/>
      <c r="S3455" s="959"/>
      <c r="T3455" s="739">
        <v>2610221</v>
      </c>
      <c r="U3455" s="740">
        <v>9713438.3800000008</v>
      </c>
      <c r="V3455" s="741">
        <v>2610221</v>
      </c>
    </row>
    <row r="3456" spans="1:22" ht="15" x14ac:dyDescent="0.25">
      <c r="A3456" s="734">
        <v>6141</v>
      </c>
      <c r="B3456" s="755" t="s">
        <v>356</v>
      </c>
      <c r="C3456" s="915"/>
      <c r="D3456" s="915"/>
      <c r="E3456" s="915"/>
      <c r="F3456" s="915"/>
      <c r="G3456" s="958"/>
      <c r="H3456" s="958"/>
      <c r="I3456" s="958"/>
      <c r="J3456" s="759"/>
      <c r="K3456" s="958"/>
      <c r="L3456" s="958"/>
      <c r="M3456" s="738"/>
      <c r="N3456" s="738"/>
      <c r="O3456" s="738"/>
      <c r="P3456" s="736"/>
      <c r="Q3456" s="959"/>
      <c r="R3456" s="738"/>
      <c r="S3456" s="959"/>
      <c r="T3456" s="739">
        <v>2610222</v>
      </c>
      <c r="U3456" s="740">
        <v>3053743.28</v>
      </c>
      <c r="V3456" s="741">
        <v>2610222</v>
      </c>
    </row>
    <row r="3457" spans="1:22" ht="15" x14ac:dyDescent="0.25">
      <c r="A3457" s="864">
        <v>6121</v>
      </c>
      <c r="B3457" s="806" t="s">
        <v>353</v>
      </c>
      <c r="C3457" s="915"/>
      <c r="D3457" s="915"/>
      <c r="E3457" s="915"/>
      <c r="F3457" s="915"/>
      <c r="G3457" s="958">
        <v>9140751.9700000007</v>
      </c>
      <c r="H3457" s="958"/>
      <c r="I3457" s="958"/>
      <c r="J3457" s="759">
        <f t="shared" si="1059"/>
        <v>9140751.9700000007</v>
      </c>
      <c r="K3457" s="958"/>
      <c r="L3457" s="958">
        <v>9140751.9700000007</v>
      </c>
      <c r="M3457" s="738">
        <f t="shared" si="1060"/>
        <v>0</v>
      </c>
      <c r="N3457" s="738"/>
      <c r="O3457" s="738"/>
      <c r="P3457" s="738">
        <f t="shared" si="1061"/>
        <v>0</v>
      </c>
      <c r="Q3457" s="959"/>
      <c r="R3457" s="738"/>
      <c r="S3457" s="959"/>
      <c r="T3457" s="808">
        <v>2610121</v>
      </c>
      <c r="U3457" s="745"/>
      <c r="V3457" s="808">
        <v>2610122</v>
      </c>
    </row>
    <row r="3458" spans="1:22" ht="15" x14ac:dyDescent="0.25">
      <c r="A3458" s="739">
        <v>6121</v>
      </c>
      <c r="B3458" s="806" t="s">
        <v>353</v>
      </c>
      <c r="C3458" s="915"/>
      <c r="D3458" s="915"/>
      <c r="E3458" s="915"/>
      <c r="F3458" s="915"/>
      <c r="G3458" s="958">
        <v>12230749.18</v>
      </c>
      <c r="H3458" s="958"/>
      <c r="I3458" s="958">
        <v>12226292.539999999</v>
      </c>
      <c r="J3458" s="759">
        <f t="shared" si="1059"/>
        <v>4456.640000000596</v>
      </c>
      <c r="K3458" s="958">
        <v>3846944.2999999993</v>
      </c>
      <c r="L3458" s="958"/>
      <c r="M3458" s="738">
        <f t="shared" si="1060"/>
        <v>3851400.94</v>
      </c>
      <c r="N3458" s="738"/>
      <c r="O3458" s="738"/>
      <c r="P3458" s="736">
        <f t="shared" si="1061"/>
        <v>3851400.94</v>
      </c>
      <c r="Q3458" s="959">
        <v>3851400.94</v>
      </c>
      <c r="R3458" s="738"/>
      <c r="S3458" s="959"/>
      <c r="T3458" s="808">
        <v>2610220</v>
      </c>
      <c r="U3458" s="745"/>
      <c r="V3458" s="808">
        <v>2610220</v>
      </c>
    </row>
    <row r="3459" spans="1:22" ht="15" x14ac:dyDescent="0.25">
      <c r="A3459" s="739">
        <v>6141</v>
      </c>
      <c r="B3459" s="822" t="s">
        <v>356</v>
      </c>
      <c r="C3459" s="915"/>
      <c r="D3459" s="915"/>
      <c r="E3459" s="915"/>
      <c r="F3459" s="915"/>
      <c r="G3459" s="958">
        <v>10973985.65</v>
      </c>
      <c r="H3459" s="958"/>
      <c r="I3459" s="958">
        <v>6661765.3300000001</v>
      </c>
      <c r="J3459" s="759">
        <f t="shared" si="1059"/>
        <v>4312220.32</v>
      </c>
      <c r="K3459" s="958"/>
      <c r="L3459" s="958">
        <v>3846944.3000000003</v>
      </c>
      <c r="M3459" s="738">
        <f t="shared" si="1060"/>
        <v>465276.02</v>
      </c>
      <c r="N3459" s="738"/>
      <c r="O3459" s="738"/>
      <c r="P3459" s="736">
        <f t="shared" si="1061"/>
        <v>465276.02</v>
      </c>
      <c r="Q3459" s="959">
        <v>465276.02</v>
      </c>
      <c r="R3459" s="738"/>
      <c r="S3459" s="959"/>
      <c r="T3459" s="808">
        <v>2610220</v>
      </c>
      <c r="U3459" s="745"/>
      <c r="V3459" s="808">
        <v>2610220</v>
      </c>
    </row>
    <row r="3460" spans="1:22" ht="15" x14ac:dyDescent="0.25">
      <c r="A3460" s="739">
        <v>6121</v>
      </c>
      <c r="B3460" s="806" t="s">
        <v>353</v>
      </c>
      <c r="C3460" s="915"/>
      <c r="D3460" s="915"/>
      <c r="E3460" s="915"/>
      <c r="F3460" s="915"/>
      <c r="G3460" s="958">
        <v>3077000</v>
      </c>
      <c r="H3460" s="958"/>
      <c r="I3460" s="958"/>
      <c r="J3460" s="759">
        <f t="shared" si="1059"/>
        <v>3077000</v>
      </c>
      <c r="K3460" s="958"/>
      <c r="L3460" s="958">
        <v>2336679.75</v>
      </c>
      <c r="M3460" s="738">
        <f t="shared" si="1060"/>
        <v>740320.25</v>
      </c>
      <c r="N3460" s="738"/>
      <c r="O3460" s="738"/>
      <c r="P3460" s="736">
        <f t="shared" si="1061"/>
        <v>740320.25</v>
      </c>
      <c r="Q3460" s="959">
        <v>740320.25</v>
      </c>
      <c r="R3460" s="738"/>
      <c r="S3460" s="959"/>
      <c r="T3460" s="808">
        <v>2610221</v>
      </c>
      <c r="U3460" s="745"/>
      <c r="V3460" s="808">
        <v>2610222</v>
      </c>
    </row>
    <row r="3461" spans="1:22" ht="15" x14ac:dyDescent="0.25">
      <c r="A3461" s="739">
        <v>6141</v>
      </c>
      <c r="B3461" s="822" t="s">
        <v>356</v>
      </c>
      <c r="C3461" s="915"/>
      <c r="D3461" s="915"/>
      <c r="E3461" s="915"/>
      <c r="F3461" s="915"/>
      <c r="G3461" s="958">
        <v>4034000</v>
      </c>
      <c r="H3461" s="958"/>
      <c r="I3461" s="958"/>
      <c r="J3461" s="759">
        <f t="shared" si="1059"/>
        <v>4034000</v>
      </c>
      <c r="K3461" s="958">
        <f>41766327.87-0.12</f>
        <v>41766327.75</v>
      </c>
      <c r="L3461" s="958"/>
      <c r="M3461" s="738">
        <f t="shared" si="1060"/>
        <v>45800327.75</v>
      </c>
      <c r="N3461" s="738"/>
      <c r="O3461" s="738"/>
      <c r="P3461" s="736">
        <f t="shared" si="1061"/>
        <v>45800327.75</v>
      </c>
      <c r="Q3461" s="959">
        <v>94631776.319999993</v>
      </c>
      <c r="R3461" s="738"/>
      <c r="S3461" s="959"/>
      <c r="T3461" s="808">
        <v>2610221</v>
      </c>
      <c r="U3461" s="745"/>
      <c r="V3461" s="808">
        <v>2610222</v>
      </c>
    </row>
    <row r="3462" spans="1:22" ht="15" x14ac:dyDescent="0.25">
      <c r="A3462" s="728" t="s">
        <v>1870</v>
      </c>
      <c r="B3462" s="883" t="s">
        <v>1871</v>
      </c>
      <c r="C3462" s="950">
        <f t="shared" ref="C3462:S3462" si="1062">SUM(C3463:C3464)</f>
        <v>3354833.16</v>
      </c>
      <c r="D3462" s="950">
        <f t="shared" si="1062"/>
        <v>0</v>
      </c>
      <c r="E3462" s="950">
        <f t="shared" si="1062"/>
        <v>2585018.34</v>
      </c>
      <c r="F3462" s="950">
        <f t="shared" si="1062"/>
        <v>15124307.25</v>
      </c>
      <c r="G3462" s="951">
        <f t="shared" si="1062"/>
        <v>11053171.58</v>
      </c>
      <c r="H3462" s="951">
        <f t="shared" si="1062"/>
        <v>0</v>
      </c>
      <c r="I3462" s="951">
        <f t="shared" si="1062"/>
        <v>9752171.5800000001</v>
      </c>
      <c r="J3462" s="951">
        <f t="shared" si="1062"/>
        <v>1301000</v>
      </c>
      <c r="K3462" s="951">
        <f t="shared" si="1062"/>
        <v>21890717.539999999</v>
      </c>
      <c r="L3462" s="951">
        <f t="shared" si="1062"/>
        <v>0</v>
      </c>
      <c r="M3462" s="952">
        <f t="shared" si="1062"/>
        <v>23191717.539999999</v>
      </c>
      <c r="N3462" s="952">
        <f t="shared" si="1062"/>
        <v>0</v>
      </c>
      <c r="O3462" s="952">
        <f t="shared" si="1062"/>
        <v>0</v>
      </c>
      <c r="P3462" s="950">
        <f t="shared" si="1062"/>
        <v>23191717.539999999</v>
      </c>
      <c r="Q3462" s="952">
        <f t="shared" si="1062"/>
        <v>15777162.34</v>
      </c>
      <c r="R3462" s="952">
        <f t="shared" si="1062"/>
        <v>0</v>
      </c>
      <c r="S3462" s="952">
        <f t="shared" si="1062"/>
        <v>0</v>
      </c>
      <c r="T3462" s="731"/>
      <c r="U3462" s="732">
        <f t="shared" ref="U3462" si="1063">SUM(U3463:U3464)</f>
        <v>0</v>
      </c>
      <c r="V3462" s="728"/>
    </row>
    <row r="3463" spans="1:22" ht="15" x14ac:dyDescent="0.25">
      <c r="A3463" s="739">
        <v>6121</v>
      </c>
      <c r="B3463" s="822" t="s">
        <v>353</v>
      </c>
      <c r="C3463" s="915">
        <v>3354833.16</v>
      </c>
      <c r="D3463" s="915">
        <v>0</v>
      </c>
      <c r="E3463" s="915">
        <v>1298202.43</v>
      </c>
      <c r="F3463" s="915">
        <v>1298202.43</v>
      </c>
      <c r="G3463" s="958">
        <v>1301000</v>
      </c>
      <c r="H3463" s="958"/>
      <c r="I3463" s="958"/>
      <c r="J3463" s="759">
        <f t="shared" ref="J3463:J3464" si="1064">G3463+H3463-I3463</f>
        <v>1301000</v>
      </c>
      <c r="K3463" s="958">
        <v>21890717.539999999</v>
      </c>
      <c r="L3463" s="958"/>
      <c r="M3463" s="738">
        <f t="shared" ref="M3463:M3464" si="1065">J3463+K3463-L3463</f>
        <v>23191717.539999999</v>
      </c>
      <c r="N3463" s="738"/>
      <c r="O3463" s="738"/>
      <c r="P3463" s="736">
        <f t="shared" ref="P3463:P3464" si="1066">M3463+N3463-O3463</f>
        <v>23191717.539999999</v>
      </c>
      <c r="Q3463" s="959">
        <v>15777162.34</v>
      </c>
      <c r="R3463" s="738"/>
      <c r="S3463" s="959"/>
      <c r="T3463" s="808">
        <v>2610121</v>
      </c>
      <c r="U3463" s="745"/>
      <c r="V3463" s="808">
        <v>2610122</v>
      </c>
    </row>
    <row r="3464" spans="1:22" ht="15" x14ac:dyDescent="0.25">
      <c r="A3464" s="864">
        <v>6121</v>
      </c>
      <c r="B3464" s="822" t="s">
        <v>353</v>
      </c>
      <c r="C3464" s="915"/>
      <c r="D3464" s="915">
        <v>0</v>
      </c>
      <c r="E3464" s="915">
        <v>1286815.9099999999</v>
      </c>
      <c r="F3464" s="915">
        <v>13826104.82</v>
      </c>
      <c r="G3464" s="958">
        <v>9752171.5800000001</v>
      </c>
      <c r="H3464" s="958"/>
      <c r="I3464" s="958">
        <v>9752171.5800000001</v>
      </c>
      <c r="J3464" s="759">
        <f t="shared" si="1064"/>
        <v>0</v>
      </c>
      <c r="K3464" s="958"/>
      <c r="L3464" s="958"/>
      <c r="M3464" s="738">
        <f t="shared" si="1065"/>
        <v>0</v>
      </c>
      <c r="N3464" s="738"/>
      <c r="O3464" s="738"/>
      <c r="P3464" s="738">
        <f t="shared" si="1066"/>
        <v>0</v>
      </c>
      <c r="Q3464" s="959"/>
      <c r="R3464" s="738"/>
      <c r="S3464" s="959"/>
      <c r="T3464" s="808">
        <v>2610220</v>
      </c>
      <c r="U3464" s="745"/>
      <c r="V3464" s="808">
        <v>2610220</v>
      </c>
    </row>
    <row r="3465" spans="1:22" ht="15" x14ac:dyDescent="0.25">
      <c r="A3465" s="949" t="s">
        <v>1872</v>
      </c>
      <c r="B3465" s="883" t="s">
        <v>1873</v>
      </c>
      <c r="C3465" s="950">
        <f t="shared" ref="C3465:S3465" si="1067">SUM(C3466)</f>
        <v>0</v>
      </c>
      <c r="D3465" s="950">
        <f t="shared" si="1067"/>
        <v>0</v>
      </c>
      <c r="E3465" s="950">
        <f t="shared" si="1067"/>
        <v>846622.92</v>
      </c>
      <c r="F3465" s="950">
        <f t="shared" si="1067"/>
        <v>846622.92</v>
      </c>
      <c r="G3465" s="951">
        <f t="shared" si="1067"/>
        <v>0</v>
      </c>
      <c r="H3465" s="951">
        <f t="shared" si="1067"/>
        <v>0</v>
      </c>
      <c r="I3465" s="951">
        <f t="shared" si="1067"/>
        <v>0</v>
      </c>
      <c r="J3465" s="951">
        <f t="shared" si="1067"/>
        <v>0</v>
      </c>
      <c r="K3465" s="951">
        <f t="shared" si="1067"/>
        <v>0</v>
      </c>
      <c r="L3465" s="951">
        <f t="shared" si="1067"/>
        <v>0</v>
      </c>
      <c r="M3465" s="952">
        <f t="shared" si="1067"/>
        <v>0</v>
      </c>
      <c r="N3465" s="952">
        <f t="shared" si="1067"/>
        <v>0</v>
      </c>
      <c r="O3465" s="952">
        <f t="shared" si="1067"/>
        <v>0</v>
      </c>
      <c r="P3465" s="952">
        <f t="shared" si="1067"/>
        <v>0</v>
      </c>
      <c r="Q3465" s="952">
        <f t="shared" si="1067"/>
        <v>0</v>
      </c>
      <c r="R3465" s="952">
        <f t="shared" si="1067"/>
        <v>0</v>
      </c>
      <c r="S3465" s="952">
        <f t="shared" si="1067"/>
        <v>0</v>
      </c>
      <c r="T3465" s="731"/>
      <c r="U3465" s="732">
        <f t="shared" ref="U3465" si="1068">SUM(U3466)</f>
        <v>0</v>
      </c>
      <c r="V3465" s="728"/>
    </row>
    <row r="3466" spans="1:22" ht="15" x14ac:dyDescent="0.25">
      <c r="A3466" s="864">
        <v>6121</v>
      </c>
      <c r="B3466" s="822" t="s">
        <v>353</v>
      </c>
      <c r="C3466" s="915"/>
      <c r="D3466" s="915">
        <v>0</v>
      </c>
      <c r="E3466" s="915">
        <v>846622.92</v>
      </c>
      <c r="F3466" s="915">
        <v>846622.92</v>
      </c>
      <c r="G3466" s="953"/>
      <c r="H3466" s="953"/>
      <c r="I3466" s="953"/>
      <c r="J3466" s="759">
        <f>G3466+H3466-I3466</f>
        <v>0</v>
      </c>
      <c r="K3466" s="953"/>
      <c r="L3466" s="953"/>
      <c r="M3466" s="738">
        <f>J3466+K3466-L3466</f>
        <v>0</v>
      </c>
      <c r="N3466" s="738"/>
      <c r="O3466" s="738"/>
      <c r="P3466" s="738">
        <f>M3466+N3466-O3466</f>
        <v>0</v>
      </c>
      <c r="Q3466" s="954"/>
      <c r="R3466" s="738"/>
      <c r="S3466" s="954"/>
      <c r="T3466" s="739">
        <v>2520319</v>
      </c>
      <c r="U3466" s="745"/>
      <c r="V3466" s="739">
        <v>2520319</v>
      </c>
    </row>
    <row r="3467" spans="1:22" ht="15" x14ac:dyDescent="0.2">
      <c r="A3467" s="728" t="s">
        <v>1874</v>
      </c>
      <c r="B3467" s="883" t="s">
        <v>1875</v>
      </c>
      <c r="C3467" s="950">
        <f t="shared" ref="C3467:D3467" si="1069">SUM(C3469:C3470)</f>
        <v>0</v>
      </c>
      <c r="D3467" s="950">
        <f t="shared" si="1069"/>
        <v>0</v>
      </c>
      <c r="E3467" s="950">
        <f t="shared" ref="E3467:S3467" si="1070">SUM(E3468:E3470)</f>
        <v>1545000</v>
      </c>
      <c r="F3467" s="950">
        <f t="shared" si="1070"/>
        <v>843022.59</v>
      </c>
      <c r="G3467" s="950">
        <f t="shared" si="1070"/>
        <v>649781.65</v>
      </c>
      <c r="H3467" s="950">
        <f t="shared" si="1070"/>
        <v>114667</v>
      </c>
      <c r="I3467" s="950">
        <f t="shared" si="1070"/>
        <v>0</v>
      </c>
      <c r="J3467" s="950">
        <f t="shared" si="1070"/>
        <v>764448.65</v>
      </c>
      <c r="K3467" s="950">
        <f t="shared" si="1070"/>
        <v>72631.240000000005</v>
      </c>
      <c r="L3467" s="950">
        <f t="shared" si="1070"/>
        <v>72631.240000000005</v>
      </c>
      <c r="M3467" s="777">
        <f t="shared" si="1070"/>
        <v>764448.65</v>
      </c>
      <c r="N3467" s="777">
        <f t="shared" si="1070"/>
        <v>0.35</v>
      </c>
      <c r="O3467" s="777">
        <f t="shared" si="1070"/>
        <v>0.35</v>
      </c>
      <c r="P3467" s="950">
        <f t="shared" si="1070"/>
        <v>764448.65</v>
      </c>
      <c r="Q3467" s="777">
        <f t="shared" si="1070"/>
        <v>764448.65</v>
      </c>
      <c r="R3467" s="777">
        <f t="shared" si="1070"/>
        <v>0</v>
      </c>
      <c r="S3467" s="777">
        <f t="shared" si="1070"/>
        <v>0</v>
      </c>
      <c r="T3467" s="731"/>
      <c r="U3467" s="732">
        <f t="shared" ref="U3467" si="1071">SUM(U3468:U3470)</f>
        <v>0</v>
      </c>
      <c r="V3467" s="728"/>
    </row>
    <row r="3468" spans="1:22" ht="15" x14ac:dyDescent="0.25">
      <c r="A3468" s="739">
        <v>6121</v>
      </c>
      <c r="B3468" s="822" t="s">
        <v>353</v>
      </c>
      <c r="C3468" s="915"/>
      <c r="D3468" s="915">
        <v>0</v>
      </c>
      <c r="E3468" s="915">
        <v>845000</v>
      </c>
      <c r="F3468" s="915">
        <v>843022.59</v>
      </c>
      <c r="G3468" s="958">
        <v>649781.65</v>
      </c>
      <c r="H3468" s="958">
        <v>114667</v>
      </c>
      <c r="I3468" s="958"/>
      <c r="J3468" s="759">
        <f>G3468+H3468-I3468</f>
        <v>764448.65</v>
      </c>
      <c r="K3468" s="958"/>
      <c r="L3468" s="958">
        <v>72631.240000000005</v>
      </c>
      <c r="M3468" s="738">
        <f t="shared" ref="M3468:M3470" si="1072">J3468+K3468-L3468</f>
        <v>691817.41</v>
      </c>
      <c r="N3468" s="738">
        <v>0.35</v>
      </c>
      <c r="O3468" s="738"/>
      <c r="P3468" s="736">
        <f t="shared" ref="P3468:P3470" si="1073">M3468+N3468-O3468</f>
        <v>691817.76</v>
      </c>
      <c r="Q3468" s="959"/>
      <c r="R3468" s="738"/>
      <c r="S3468" s="959"/>
      <c r="T3468" s="808">
        <v>2610120</v>
      </c>
      <c r="U3468" s="745"/>
      <c r="V3468" s="808">
        <v>2610120</v>
      </c>
    </row>
    <row r="3469" spans="1:22" ht="15" x14ac:dyDescent="0.25">
      <c r="A3469" s="739">
        <v>3961</v>
      </c>
      <c r="B3469" s="822" t="s">
        <v>122</v>
      </c>
      <c r="C3469" s="915"/>
      <c r="D3469" s="915">
        <v>0</v>
      </c>
      <c r="E3469" s="915"/>
      <c r="F3469" s="915"/>
      <c r="G3469" s="958"/>
      <c r="H3469" s="958"/>
      <c r="I3469" s="958"/>
      <c r="J3469" s="759"/>
      <c r="K3469" s="958">
        <v>72631.240000000005</v>
      </c>
      <c r="L3469" s="958"/>
      <c r="M3469" s="738">
        <f t="shared" si="1072"/>
        <v>72631.240000000005</v>
      </c>
      <c r="N3469" s="738"/>
      <c r="O3469" s="738">
        <v>0.35</v>
      </c>
      <c r="P3469" s="736">
        <f t="shared" si="1073"/>
        <v>72630.89</v>
      </c>
      <c r="Q3469" s="959">
        <v>72630.89</v>
      </c>
      <c r="R3469" s="738"/>
      <c r="S3469" s="959"/>
      <c r="T3469" s="808">
        <v>2610120</v>
      </c>
      <c r="U3469" s="745"/>
      <c r="V3469" s="808">
        <v>2610120</v>
      </c>
    </row>
    <row r="3470" spans="1:22" ht="15" x14ac:dyDescent="0.25">
      <c r="A3470" s="864">
        <v>6121</v>
      </c>
      <c r="B3470" s="822" t="s">
        <v>353</v>
      </c>
      <c r="C3470" s="915"/>
      <c r="D3470" s="915">
        <v>0</v>
      </c>
      <c r="E3470" s="915">
        <v>700000</v>
      </c>
      <c r="F3470" s="915">
        <v>0</v>
      </c>
      <c r="G3470" s="953"/>
      <c r="H3470" s="953"/>
      <c r="I3470" s="953"/>
      <c r="J3470" s="759">
        <f>G3470+H3470-I3470</f>
        <v>0</v>
      </c>
      <c r="K3470" s="953"/>
      <c r="L3470" s="953"/>
      <c r="M3470" s="738">
        <f t="shared" si="1072"/>
        <v>0</v>
      </c>
      <c r="N3470" s="738"/>
      <c r="O3470" s="738"/>
      <c r="P3470" s="738">
        <f t="shared" si="1073"/>
        <v>0</v>
      </c>
      <c r="Q3470" s="954">
        <v>691817.76</v>
      </c>
      <c r="R3470" s="738"/>
      <c r="S3470" s="954"/>
      <c r="T3470" s="739">
        <v>2610121</v>
      </c>
      <c r="U3470" s="745"/>
      <c r="V3470" s="739">
        <v>2610122</v>
      </c>
    </row>
    <row r="3471" spans="1:22" ht="15" x14ac:dyDescent="0.25">
      <c r="A3471" s="728" t="s">
        <v>173</v>
      </c>
      <c r="B3471" s="883" t="s">
        <v>1876</v>
      </c>
      <c r="C3471" s="950">
        <f t="shared" ref="C3471:F3471" si="1074">SUM(C3472)</f>
        <v>0</v>
      </c>
      <c r="D3471" s="950">
        <f t="shared" si="1074"/>
        <v>0</v>
      </c>
      <c r="E3471" s="950">
        <f t="shared" si="1074"/>
        <v>11500000</v>
      </c>
      <c r="F3471" s="950">
        <f t="shared" si="1074"/>
        <v>11499319.57</v>
      </c>
      <c r="G3471" s="951">
        <f t="shared" ref="G3471:S3471" si="1075">SUM(G3472:G3477)</f>
        <v>5754926.1100000003</v>
      </c>
      <c r="H3471" s="951">
        <f t="shared" si="1075"/>
        <v>0</v>
      </c>
      <c r="I3471" s="951">
        <f t="shared" si="1075"/>
        <v>5754244.8600000003</v>
      </c>
      <c r="J3471" s="951">
        <f t="shared" si="1075"/>
        <v>681.25</v>
      </c>
      <c r="K3471" s="951">
        <f t="shared" si="1075"/>
        <v>97649.86</v>
      </c>
      <c r="L3471" s="951">
        <f t="shared" si="1075"/>
        <v>0</v>
      </c>
      <c r="M3471" s="952">
        <f t="shared" si="1075"/>
        <v>98331.11</v>
      </c>
      <c r="N3471" s="952">
        <f t="shared" si="1075"/>
        <v>15056078.23</v>
      </c>
      <c r="O3471" s="952">
        <f t="shared" si="1075"/>
        <v>0</v>
      </c>
      <c r="P3471" s="950">
        <f t="shared" si="1075"/>
        <v>15154409.34</v>
      </c>
      <c r="Q3471" s="952">
        <f t="shared" si="1075"/>
        <v>19654409.34</v>
      </c>
      <c r="R3471" s="952">
        <f t="shared" si="1075"/>
        <v>0</v>
      </c>
      <c r="S3471" s="952">
        <f t="shared" si="1075"/>
        <v>0</v>
      </c>
      <c r="T3471" s="731"/>
      <c r="U3471" s="732">
        <f t="shared" ref="U3471" si="1076">SUM(U3472:U3477)</f>
        <v>17770351</v>
      </c>
      <c r="V3471" s="733"/>
    </row>
    <row r="3472" spans="1:22" ht="15" x14ac:dyDescent="0.25">
      <c r="A3472" s="734">
        <v>6141</v>
      </c>
      <c r="B3472" s="755" t="s">
        <v>356</v>
      </c>
      <c r="C3472" s="915"/>
      <c r="D3472" s="915">
        <v>0</v>
      </c>
      <c r="E3472" s="915">
        <v>11500000</v>
      </c>
      <c r="F3472" s="915">
        <v>11499319.57</v>
      </c>
      <c r="G3472" s="958">
        <v>5754926.1100000003</v>
      </c>
      <c r="H3472" s="958"/>
      <c r="I3472" s="958">
        <f>5656595+97649.86</f>
        <v>5754244.8600000003</v>
      </c>
      <c r="J3472" s="759">
        <f>G3472+H3472-I3472</f>
        <v>681.25</v>
      </c>
      <c r="K3472" s="958"/>
      <c r="L3472" s="958"/>
      <c r="M3472" s="738">
        <f>J3472+K3472-L3472</f>
        <v>681.25</v>
      </c>
      <c r="N3472" s="738"/>
      <c r="O3472" s="738"/>
      <c r="P3472" s="736">
        <f t="shared" ref="P3472:P3477" si="1077">M3472+N3472-O3472</f>
        <v>681.25</v>
      </c>
      <c r="Q3472" s="959">
        <v>681.25</v>
      </c>
      <c r="R3472" s="738"/>
      <c r="S3472" s="959"/>
      <c r="T3472" s="808">
        <v>2610121</v>
      </c>
      <c r="U3472" s="740">
        <v>1971380.78</v>
      </c>
      <c r="V3472" s="870">
        <v>2610121</v>
      </c>
    </row>
    <row r="3473" spans="1:22" ht="15" x14ac:dyDescent="0.25">
      <c r="A3473" s="734">
        <v>6141</v>
      </c>
      <c r="B3473" s="755" t="s">
        <v>356</v>
      </c>
      <c r="C3473" s="915"/>
      <c r="D3473" s="915"/>
      <c r="E3473" s="915"/>
      <c r="F3473" s="915"/>
      <c r="G3473" s="958"/>
      <c r="H3473" s="958"/>
      <c r="I3473" s="958"/>
      <c r="J3473" s="759"/>
      <c r="K3473" s="958"/>
      <c r="L3473" s="958"/>
      <c r="M3473" s="738"/>
      <c r="N3473" s="738"/>
      <c r="O3473" s="738"/>
      <c r="P3473" s="736"/>
      <c r="Q3473" s="959"/>
      <c r="R3473" s="738"/>
      <c r="S3473" s="959" t="s">
        <v>695</v>
      </c>
      <c r="T3473" s="808">
        <v>2610122</v>
      </c>
      <c r="U3473" s="740">
        <v>11028619.220000001</v>
      </c>
      <c r="V3473" s="870">
        <v>2610122</v>
      </c>
    </row>
    <row r="3474" spans="1:22" ht="15" x14ac:dyDescent="0.25">
      <c r="A3474" s="734">
        <v>6141</v>
      </c>
      <c r="B3474" s="755" t="s">
        <v>356</v>
      </c>
      <c r="C3474" s="915"/>
      <c r="D3474" s="915"/>
      <c r="E3474" s="915"/>
      <c r="F3474" s="915"/>
      <c r="G3474" s="958"/>
      <c r="H3474" s="958"/>
      <c r="I3474" s="958"/>
      <c r="J3474" s="759"/>
      <c r="K3474" s="958"/>
      <c r="L3474" s="958"/>
      <c r="M3474" s="738"/>
      <c r="N3474" s="738">
        <v>2000000</v>
      </c>
      <c r="O3474" s="738"/>
      <c r="P3474" s="736">
        <f t="shared" si="1077"/>
        <v>2000000</v>
      </c>
      <c r="Q3474" s="959">
        <v>2000000</v>
      </c>
      <c r="R3474" s="738"/>
      <c r="S3474" s="959"/>
      <c r="T3474" s="739">
        <v>1100121</v>
      </c>
      <c r="U3474" s="740">
        <v>2000000</v>
      </c>
      <c r="V3474" s="741">
        <v>1100121</v>
      </c>
    </row>
    <row r="3475" spans="1:22" ht="30" x14ac:dyDescent="0.25">
      <c r="A3475" s="734">
        <v>6131</v>
      </c>
      <c r="B3475" s="755" t="s">
        <v>1851</v>
      </c>
      <c r="C3475" s="915"/>
      <c r="D3475" s="915"/>
      <c r="E3475" s="915"/>
      <c r="F3475" s="915"/>
      <c r="G3475" s="958"/>
      <c r="H3475" s="958"/>
      <c r="I3475" s="958"/>
      <c r="J3475" s="759"/>
      <c r="K3475" s="958"/>
      <c r="L3475" s="958"/>
      <c r="M3475" s="738"/>
      <c r="N3475" s="738">
        <v>13000000</v>
      </c>
      <c r="O3475" s="738"/>
      <c r="P3475" s="736">
        <f t="shared" si="1077"/>
        <v>13000000</v>
      </c>
      <c r="Q3475" s="959">
        <v>4500000</v>
      </c>
      <c r="R3475" s="738"/>
      <c r="S3475" s="959"/>
      <c r="T3475" s="808">
        <v>2610121</v>
      </c>
      <c r="U3475" s="740">
        <v>2320351</v>
      </c>
      <c r="V3475" s="870">
        <v>2610121</v>
      </c>
    </row>
    <row r="3476" spans="1:22" ht="30" x14ac:dyDescent="0.25">
      <c r="A3476" s="734">
        <v>6131</v>
      </c>
      <c r="B3476" s="755" t="s">
        <v>1851</v>
      </c>
      <c r="C3476" s="915"/>
      <c r="D3476" s="915"/>
      <c r="E3476" s="915"/>
      <c r="F3476" s="915"/>
      <c r="G3476" s="958"/>
      <c r="H3476" s="958"/>
      <c r="I3476" s="958"/>
      <c r="J3476" s="759"/>
      <c r="K3476" s="958"/>
      <c r="L3476" s="958"/>
      <c r="M3476" s="738"/>
      <c r="N3476" s="738"/>
      <c r="O3476" s="738"/>
      <c r="P3476" s="736"/>
      <c r="Q3476" s="959"/>
      <c r="R3476" s="738"/>
      <c r="S3476" s="959"/>
      <c r="T3476" s="808">
        <v>2610122</v>
      </c>
      <c r="U3476" s="740">
        <v>450000</v>
      </c>
      <c r="V3476" s="870">
        <v>2610122</v>
      </c>
    </row>
    <row r="3477" spans="1:22" ht="15" x14ac:dyDescent="0.25">
      <c r="A3477" s="739">
        <v>6141</v>
      </c>
      <c r="B3477" s="822" t="s">
        <v>356</v>
      </c>
      <c r="C3477" s="915"/>
      <c r="D3477" s="915">
        <v>0</v>
      </c>
      <c r="E3477" s="915"/>
      <c r="F3477" s="915"/>
      <c r="G3477" s="958"/>
      <c r="H3477" s="958"/>
      <c r="I3477" s="958"/>
      <c r="J3477" s="759">
        <f>G3477+H3477-I3477</f>
        <v>0</v>
      </c>
      <c r="K3477" s="958">
        <v>97649.86</v>
      </c>
      <c r="L3477" s="958"/>
      <c r="M3477" s="738">
        <f>J3477+K3477-L3477</f>
        <v>97649.86</v>
      </c>
      <c r="N3477" s="738">
        <v>56078.23</v>
      </c>
      <c r="O3477" s="738"/>
      <c r="P3477" s="736">
        <f t="shared" si="1077"/>
        <v>153728.09</v>
      </c>
      <c r="Q3477" s="959">
        <v>13153728.09</v>
      </c>
      <c r="R3477" s="738"/>
      <c r="S3477" s="959"/>
      <c r="T3477" s="808">
        <v>2610121</v>
      </c>
      <c r="U3477" s="745"/>
      <c r="V3477" s="808">
        <v>2610122</v>
      </c>
    </row>
    <row r="3478" spans="1:22" ht="15" x14ac:dyDescent="0.25">
      <c r="A3478" s="728" t="s">
        <v>1877</v>
      </c>
      <c r="B3478" s="883" t="s">
        <v>1878</v>
      </c>
      <c r="C3478" s="950">
        <f t="shared" ref="C3478:S3478" si="1078">SUM(C3479)</f>
        <v>0</v>
      </c>
      <c r="D3478" s="950">
        <f t="shared" si="1078"/>
        <v>0</v>
      </c>
      <c r="E3478" s="950">
        <f t="shared" si="1078"/>
        <v>0</v>
      </c>
      <c r="F3478" s="950">
        <f t="shared" si="1078"/>
        <v>0</v>
      </c>
      <c r="G3478" s="951">
        <f t="shared" si="1078"/>
        <v>6377472.9000000004</v>
      </c>
      <c r="H3478" s="951">
        <f t="shared" si="1078"/>
        <v>0</v>
      </c>
      <c r="I3478" s="951">
        <f t="shared" si="1078"/>
        <v>0</v>
      </c>
      <c r="J3478" s="951">
        <f t="shared" si="1078"/>
        <v>6377472.9000000004</v>
      </c>
      <c r="K3478" s="951">
        <f t="shared" si="1078"/>
        <v>38629843.359999999</v>
      </c>
      <c r="L3478" s="951">
        <f t="shared" si="1078"/>
        <v>0</v>
      </c>
      <c r="M3478" s="952">
        <f t="shared" si="1078"/>
        <v>45007316.259999998</v>
      </c>
      <c r="N3478" s="952">
        <f t="shared" si="1078"/>
        <v>0</v>
      </c>
      <c r="O3478" s="952">
        <f t="shared" si="1078"/>
        <v>0</v>
      </c>
      <c r="P3478" s="950">
        <f t="shared" si="1078"/>
        <v>45007316.259999998</v>
      </c>
      <c r="Q3478" s="952">
        <f t="shared" si="1078"/>
        <v>44493085.689999998</v>
      </c>
      <c r="R3478" s="952">
        <f t="shared" si="1078"/>
        <v>0</v>
      </c>
      <c r="S3478" s="952">
        <f t="shared" si="1078"/>
        <v>0</v>
      </c>
      <c r="T3478" s="731"/>
      <c r="U3478" s="732">
        <f t="shared" ref="U3478" si="1079">SUM(U3479)</f>
        <v>0</v>
      </c>
      <c r="V3478" s="728"/>
    </row>
    <row r="3479" spans="1:22" ht="15" x14ac:dyDescent="0.25">
      <c r="A3479" s="739">
        <v>6141</v>
      </c>
      <c r="B3479" s="822" t="s">
        <v>356</v>
      </c>
      <c r="C3479" s="915"/>
      <c r="D3479" s="915">
        <v>0</v>
      </c>
      <c r="E3479" s="915"/>
      <c r="F3479" s="915">
        <v>0</v>
      </c>
      <c r="G3479" s="958">
        <v>6377472.9000000004</v>
      </c>
      <c r="H3479" s="958"/>
      <c r="I3479" s="958"/>
      <c r="J3479" s="759">
        <f>G3479+H3479-I3479</f>
        <v>6377472.9000000004</v>
      </c>
      <c r="K3479" s="958">
        <f>630000.6+35364882.76+2634960</f>
        <v>38629843.359999999</v>
      </c>
      <c r="L3479" s="958"/>
      <c r="M3479" s="738">
        <f>J3479+K3479-L3479</f>
        <v>45007316.259999998</v>
      </c>
      <c r="N3479" s="738"/>
      <c r="O3479" s="738"/>
      <c r="P3479" s="736">
        <f>M3479+N3479-O3479</f>
        <v>45007316.259999998</v>
      </c>
      <c r="Q3479" s="959">
        <v>44493085.689999998</v>
      </c>
      <c r="R3479" s="738"/>
      <c r="S3479" s="959"/>
      <c r="T3479" s="739">
        <v>2610121</v>
      </c>
      <c r="U3479" s="745"/>
      <c r="V3479" s="739">
        <v>2610122</v>
      </c>
    </row>
    <row r="3480" spans="1:22" ht="15" x14ac:dyDescent="0.25">
      <c r="A3480" s="949" t="s">
        <v>1879</v>
      </c>
      <c r="B3480" s="883"/>
      <c r="C3480" s="950">
        <f t="shared" ref="C3480:S3480" si="1080">SUM(C3481)</f>
        <v>0</v>
      </c>
      <c r="D3480" s="950">
        <f t="shared" si="1080"/>
        <v>0</v>
      </c>
      <c r="E3480" s="950">
        <f t="shared" si="1080"/>
        <v>0</v>
      </c>
      <c r="F3480" s="950">
        <f t="shared" si="1080"/>
        <v>1650000</v>
      </c>
      <c r="G3480" s="951">
        <f t="shared" si="1080"/>
        <v>0</v>
      </c>
      <c r="H3480" s="951">
        <f t="shared" si="1080"/>
        <v>0</v>
      </c>
      <c r="I3480" s="951">
        <f t="shared" si="1080"/>
        <v>0</v>
      </c>
      <c r="J3480" s="951">
        <f t="shared" si="1080"/>
        <v>0</v>
      </c>
      <c r="K3480" s="951">
        <f t="shared" si="1080"/>
        <v>0</v>
      </c>
      <c r="L3480" s="951">
        <f t="shared" si="1080"/>
        <v>0</v>
      </c>
      <c r="M3480" s="952">
        <f t="shared" si="1080"/>
        <v>0</v>
      </c>
      <c r="N3480" s="952">
        <f t="shared" si="1080"/>
        <v>0</v>
      </c>
      <c r="O3480" s="952">
        <f t="shared" si="1080"/>
        <v>0</v>
      </c>
      <c r="P3480" s="952">
        <f t="shared" si="1080"/>
        <v>0</v>
      </c>
      <c r="Q3480" s="952">
        <f t="shared" si="1080"/>
        <v>0</v>
      </c>
      <c r="R3480" s="952">
        <f t="shared" si="1080"/>
        <v>0</v>
      </c>
      <c r="S3480" s="952">
        <f t="shared" si="1080"/>
        <v>0</v>
      </c>
      <c r="T3480" s="731"/>
      <c r="U3480" s="732">
        <f t="shared" ref="U3480" si="1081">SUM(U3481)</f>
        <v>0</v>
      </c>
      <c r="V3480" s="728"/>
    </row>
    <row r="3481" spans="1:22" ht="15" x14ac:dyDescent="0.25">
      <c r="A3481" s="864">
        <v>6121</v>
      </c>
      <c r="B3481" s="822" t="s">
        <v>353</v>
      </c>
      <c r="C3481" s="915"/>
      <c r="D3481" s="915">
        <v>0</v>
      </c>
      <c r="E3481" s="915"/>
      <c r="F3481" s="915">
        <v>1650000</v>
      </c>
      <c r="G3481" s="953"/>
      <c r="H3481" s="953"/>
      <c r="I3481" s="953"/>
      <c r="J3481" s="759">
        <f>G3481+H3481-I3481</f>
        <v>0</v>
      </c>
      <c r="K3481" s="953"/>
      <c r="L3481" s="953"/>
      <c r="M3481" s="738">
        <f>J3481+K3481-L3481</f>
        <v>0</v>
      </c>
      <c r="N3481" s="738"/>
      <c r="O3481" s="738"/>
      <c r="P3481" s="738">
        <f>M3481+N3481-O3481</f>
        <v>0</v>
      </c>
      <c r="Q3481" s="954"/>
      <c r="R3481" s="738"/>
      <c r="S3481" s="954"/>
      <c r="T3481" s="739">
        <v>2610121</v>
      </c>
      <c r="U3481" s="745"/>
      <c r="V3481" s="739">
        <v>2610122</v>
      </c>
    </row>
    <row r="3482" spans="1:22" ht="15" x14ac:dyDescent="0.25">
      <c r="A3482" s="728" t="s">
        <v>1880</v>
      </c>
      <c r="B3482" s="883" t="s">
        <v>363</v>
      </c>
      <c r="C3482" s="950">
        <f t="shared" ref="C3482:S3482" si="1082">SUM(C3483:C3484)</f>
        <v>775000</v>
      </c>
      <c r="D3482" s="950">
        <f t="shared" si="1082"/>
        <v>232500</v>
      </c>
      <c r="E3482" s="950">
        <f t="shared" si="1082"/>
        <v>0</v>
      </c>
      <c r="F3482" s="950">
        <f t="shared" si="1082"/>
        <v>0</v>
      </c>
      <c r="G3482" s="951">
        <f t="shared" si="1082"/>
        <v>0</v>
      </c>
      <c r="H3482" s="951">
        <f t="shared" si="1082"/>
        <v>0</v>
      </c>
      <c r="I3482" s="951">
        <f t="shared" si="1082"/>
        <v>0</v>
      </c>
      <c r="J3482" s="951">
        <f t="shared" si="1082"/>
        <v>0</v>
      </c>
      <c r="K3482" s="951">
        <f t="shared" si="1082"/>
        <v>900000</v>
      </c>
      <c r="L3482" s="951">
        <f t="shared" si="1082"/>
        <v>0</v>
      </c>
      <c r="M3482" s="952">
        <f t="shared" si="1082"/>
        <v>900000</v>
      </c>
      <c r="N3482" s="952">
        <f t="shared" si="1082"/>
        <v>0</v>
      </c>
      <c r="O3482" s="952">
        <f t="shared" si="1082"/>
        <v>0</v>
      </c>
      <c r="P3482" s="950">
        <f t="shared" si="1082"/>
        <v>900000</v>
      </c>
      <c r="Q3482" s="952">
        <f t="shared" si="1082"/>
        <v>900000</v>
      </c>
      <c r="R3482" s="952">
        <f t="shared" si="1082"/>
        <v>0</v>
      </c>
      <c r="S3482" s="952">
        <f t="shared" si="1082"/>
        <v>0</v>
      </c>
      <c r="T3482" s="731"/>
      <c r="U3482" s="732">
        <f t="shared" ref="U3482" si="1083">SUM(U3483:U3484)</f>
        <v>0</v>
      </c>
      <c r="V3482" s="728"/>
    </row>
    <row r="3483" spans="1:22" ht="15" x14ac:dyDescent="0.25">
      <c r="A3483" s="864">
        <v>6141</v>
      </c>
      <c r="B3483" s="822" t="s">
        <v>356</v>
      </c>
      <c r="C3483" s="915">
        <v>775000</v>
      </c>
      <c r="D3483" s="915">
        <v>232500</v>
      </c>
      <c r="E3483" s="915"/>
      <c r="F3483" s="915">
        <v>0</v>
      </c>
      <c r="G3483" s="953"/>
      <c r="H3483" s="953"/>
      <c r="I3483" s="953"/>
      <c r="J3483" s="759">
        <f t="shared" ref="J3483:J3484" si="1084">G3483+H3483-I3483</f>
        <v>0</v>
      </c>
      <c r="K3483" s="953"/>
      <c r="L3483" s="953"/>
      <c r="M3483" s="738">
        <f t="shared" ref="M3483:M3484" si="1085">J3483+K3483-L3483</f>
        <v>0</v>
      </c>
      <c r="N3483" s="738"/>
      <c r="O3483" s="738"/>
      <c r="P3483" s="738">
        <f t="shared" ref="P3483:P3484" si="1086">M3483+N3483-O3483</f>
        <v>0</v>
      </c>
      <c r="Q3483" s="954"/>
      <c r="R3483" s="738"/>
      <c r="S3483" s="954"/>
      <c r="T3483" s="739">
        <v>2610119</v>
      </c>
      <c r="U3483" s="745"/>
      <c r="V3483" s="739">
        <v>2610119</v>
      </c>
    </row>
    <row r="3484" spans="1:22" ht="15" x14ac:dyDescent="0.25">
      <c r="A3484" s="739">
        <v>6141</v>
      </c>
      <c r="B3484" s="822" t="s">
        <v>356</v>
      </c>
      <c r="C3484" s="915"/>
      <c r="D3484" s="915">
        <v>0</v>
      </c>
      <c r="E3484" s="915"/>
      <c r="F3484" s="915">
        <v>0</v>
      </c>
      <c r="G3484" s="953"/>
      <c r="H3484" s="953"/>
      <c r="I3484" s="953"/>
      <c r="J3484" s="759">
        <f t="shared" si="1084"/>
        <v>0</v>
      </c>
      <c r="K3484" s="953">
        <v>900000</v>
      </c>
      <c r="L3484" s="953"/>
      <c r="M3484" s="738">
        <f t="shared" si="1085"/>
        <v>900000</v>
      </c>
      <c r="N3484" s="738"/>
      <c r="O3484" s="738"/>
      <c r="P3484" s="736">
        <f t="shared" si="1086"/>
        <v>900000</v>
      </c>
      <c r="Q3484" s="954">
        <v>900000</v>
      </c>
      <c r="R3484" s="738"/>
      <c r="S3484" s="954"/>
      <c r="T3484" s="739">
        <v>2610121</v>
      </c>
      <c r="U3484" s="745"/>
      <c r="V3484" s="739">
        <v>2610122</v>
      </c>
    </row>
    <row r="3485" spans="1:22" ht="15" x14ac:dyDescent="0.25">
      <c r="A3485" s="728" t="s">
        <v>364</v>
      </c>
      <c r="B3485" s="883" t="s">
        <v>1551</v>
      </c>
      <c r="C3485" s="950">
        <f t="shared" ref="C3485:S3485" si="1087">SUM(C3486:C3488)</f>
        <v>0</v>
      </c>
      <c r="D3485" s="950">
        <f t="shared" si="1087"/>
        <v>0</v>
      </c>
      <c r="E3485" s="950">
        <f t="shared" si="1087"/>
        <v>7953116</v>
      </c>
      <c r="F3485" s="950">
        <f t="shared" si="1087"/>
        <v>7718296.5</v>
      </c>
      <c r="G3485" s="951">
        <f t="shared" si="1087"/>
        <v>4998764</v>
      </c>
      <c r="H3485" s="951">
        <f t="shared" si="1087"/>
        <v>0</v>
      </c>
      <c r="I3485" s="951">
        <f t="shared" si="1087"/>
        <v>3408140</v>
      </c>
      <c r="J3485" s="951">
        <f t="shared" si="1087"/>
        <v>1590624</v>
      </c>
      <c r="K3485" s="951">
        <f t="shared" si="1087"/>
        <v>2092280.39</v>
      </c>
      <c r="L3485" s="951">
        <f t="shared" si="1087"/>
        <v>1590624</v>
      </c>
      <c r="M3485" s="952">
        <f t="shared" si="1087"/>
        <v>2092280.39</v>
      </c>
      <c r="N3485" s="952">
        <f t="shared" si="1087"/>
        <v>0</v>
      </c>
      <c r="O3485" s="952">
        <f t="shared" si="1087"/>
        <v>0</v>
      </c>
      <c r="P3485" s="950">
        <f t="shared" si="1087"/>
        <v>2092280.39</v>
      </c>
      <c r="Q3485" s="952">
        <f t="shared" si="1087"/>
        <v>2606510.96</v>
      </c>
      <c r="R3485" s="952">
        <f t="shared" si="1087"/>
        <v>0</v>
      </c>
      <c r="S3485" s="952">
        <f t="shared" si="1087"/>
        <v>0</v>
      </c>
      <c r="T3485" s="731"/>
      <c r="U3485" s="732">
        <f t="shared" ref="U3485" si="1088">SUM(U3486:U3488)</f>
        <v>5000000.28</v>
      </c>
      <c r="V3485" s="733"/>
    </row>
    <row r="3486" spans="1:22" ht="15" x14ac:dyDescent="0.25">
      <c r="A3486" s="864">
        <v>6111</v>
      </c>
      <c r="B3486" s="822" t="s">
        <v>355</v>
      </c>
      <c r="C3486" s="915"/>
      <c r="D3486" s="915">
        <v>0</v>
      </c>
      <c r="E3486" s="915"/>
      <c r="F3486" s="915">
        <v>7718296.5</v>
      </c>
      <c r="G3486" s="958">
        <v>3408140</v>
      </c>
      <c r="H3486" s="958"/>
      <c r="I3486" s="958">
        <v>3408140</v>
      </c>
      <c r="J3486" s="759">
        <f t="shared" ref="J3486:J3488" si="1089">G3486+H3486-I3486</f>
        <v>0</v>
      </c>
      <c r="K3486" s="958"/>
      <c r="L3486" s="958"/>
      <c r="M3486" s="738">
        <f t="shared" ref="M3486:M3488" si="1090">J3486+K3486-L3486</f>
        <v>0</v>
      </c>
      <c r="N3486" s="738"/>
      <c r="O3486" s="738"/>
      <c r="P3486" s="738">
        <f t="shared" ref="P3486:P3488" si="1091">M3486+N3486-O3486</f>
        <v>0</v>
      </c>
      <c r="Q3486" s="959"/>
      <c r="R3486" s="738"/>
      <c r="S3486" s="959"/>
      <c r="T3486" s="808">
        <v>2610120</v>
      </c>
      <c r="U3486" s="745"/>
      <c r="V3486" s="808">
        <v>2610120</v>
      </c>
    </row>
    <row r="3487" spans="1:22" ht="15" x14ac:dyDescent="0.25">
      <c r="A3487" s="734">
        <v>6111</v>
      </c>
      <c r="B3487" s="755" t="s">
        <v>355</v>
      </c>
      <c r="C3487" s="915"/>
      <c r="D3487" s="915"/>
      <c r="E3487" s="915"/>
      <c r="F3487" s="915"/>
      <c r="G3487" s="958"/>
      <c r="H3487" s="958"/>
      <c r="I3487" s="958"/>
      <c r="J3487" s="759">
        <f t="shared" si="1089"/>
        <v>0</v>
      </c>
      <c r="K3487" s="958">
        <f>2092279.4+0.99</f>
        <v>2092280.39</v>
      </c>
      <c r="L3487" s="958"/>
      <c r="M3487" s="738">
        <f t="shared" si="1090"/>
        <v>2092280.39</v>
      </c>
      <c r="N3487" s="738"/>
      <c r="O3487" s="738"/>
      <c r="P3487" s="736">
        <f t="shared" si="1091"/>
        <v>2092280.39</v>
      </c>
      <c r="Q3487" s="959">
        <v>2606510.96</v>
      </c>
      <c r="R3487" s="738"/>
      <c r="S3487" s="959"/>
      <c r="T3487" s="808">
        <v>2610121</v>
      </c>
      <c r="U3487" s="740">
        <v>5000000.28</v>
      </c>
      <c r="V3487" s="870">
        <v>2610122</v>
      </c>
    </row>
    <row r="3488" spans="1:22" ht="15" x14ac:dyDescent="0.25">
      <c r="A3488" s="864">
        <v>6121</v>
      </c>
      <c r="B3488" s="822" t="s">
        <v>353</v>
      </c>
      <c r="C3488" s="915"/>
      <c r="D3488" s="915">
        <v>0</v>
      </c>
      <c r="E3488" s="915">
        <v>7953116</v>
      </c>
      <c r="F3488" s="915"/>
      <c r="G3488" s="958">
        <v>1590624</v>
      </c>
      <c r="H3488" s="958"/>
      <c r="I3488" s="958"/>
      <c r="J3488" s="759">
        <f t="shared" si="1089"/>
        <v>1590624</v>
      </c>
      <c r="K3488" s="958"/>
      <c r="L3488" s="958">
        <v>1590624</v>
      </c>
      <c r="M3488" s="738">
        <f t="shared" si="1090"/>
        <v>0</v>
      </c>
      <c r="N3488" s="738"/>
      <c r="O3488" s="738"/>
      <c r="P3488" s="738">
        <f t="shared" si="1091"/>
        <v>0</v>
      </c>
      <c r="Q3488" s="959"/>
      <c r="R3488" s="738"/>
      <c r="S3488" s="959"/>
      <c r="T3488" s="808">
        <v>2610121</v>
      </c>
      <c r="U3488" s="745"/>
      <c r="V3488" s="808">
        <v>2610122</v>
      </c>
    </row>
    <row r="3489" spans="1:22" ht="15" x14ac:dyDescent="0.25">
      <c r="A3489" s="949" t="s">
        <v>1753</v>
      </c>
      <c r="B3489" s="883" t="s">
        <v>1881</v>
      </c>
      <c r="C3489" s="950">
        <f t="shared" ref="C3489:F3489" si="1092">SUM(C3491)</f>
        <v>0</v>
      </c>
      <c r="D3489" s="950">
        <f t="shared" si="1092"/>
        <v>0</v>
      </c>
      <c r="E3489" s="950">
        <f t="shared" si="1092"/>
        <v>825000</v>
      </c>
      <c r="F3489" s="950">
        <f t="shared" si="1092"/>
        <v>0</v>
      </c>
      <c r="G3489" s="951">
        <f t="shared" ref="G3489:S3489" si="1093">SUM(G3490:G3491)</f>
        <v>1402500</v>
      </c>
      <c r="H3489" s="951">
        <f t="shared" si="1093"/>
        <v>0</v>
      </c>
      <c r="I3489" s="951">
        <f t="shared" si="1093"/>
        <v>1237500</v>
      </c>
      <c r="J3489" s="951">
        <f t="shared" si="1093"/>
        <v>165000</v>
      </c>
      <c r="K3489" s="951">
        <f t="shared" si="1093"/>
        <v>0</v>
      </c>
      <c r="L3489" s="951">
        <f t="shared" si="1093"/>
        <v>165000</v>
      </c>
      <c r="M3489" s="952">
        <f t="shared" si="1093"/>
        <v>0</v>
      </c>
      <c r="N3489" s="952">
        <f t="shared" si="1093"/>
        <v>0</v>
      </c>
      <c r="O3489" s="952">
        <f t="shared" si="1093"/>
        <v>0</v>
      </c>
      <c r="P3489" s="952">
        <f t="shared" si="1093"/>
        <v>0</v>
      </c>
      <c r="Q3489" s="952">
        <f t="shared" si="1093"/>
        <v>0</v>
      </c>
      <c r="R3489" s="952">
        <f t="shared" si="1093"/>
        <v>0</v>
      </c>
      <c r="S3489" s="952">
        <f t="shared" si="1093"/>
        <v>0</v>
      </c>
      <c r="T3489" s="731"/>
      <c r="U3489" s="732">
        <f t="shared" ref="U3489" si="1094">SUM(U3490:U3491)</f>
        <v>0</v>
      </c>
      <c r="V3489" s="728"/>
    </row>
    <row r="3490" spans="1:22" ht="15" x14ac:dyDescent="0.2">
      <c r="A3490" s="739">
        <v>6121</v>
      </c>
      <c r="B3490" s="822" t="s">
        <v>353</v>
      </c>
      <c r="C3490" s="962"/>
      <c r="D3490" s="962"/>
      <c r="E3490" s="962"/>
      <c r="F3490" s="962"/>
      <c r="G3490" s="965">
        <v>1237500</v>
      </c>
      <c r="H3490" s="965"/>
      <c r="I3490" s="965">
        <v>1237500</v>
      </c>
      <c r="J3490" s="736">
        <f t="shared" ref="J3490:J3491" si="1095">G3490+H3490-I3490</f>
        <v>0</v>
      </c>
      <c r="K3490" s="965"/>
      <c r="L3490" s="965"/>
      <c r="M3490" s="738">
        <f t="shared" ref="M3490:M3491" si="1096">J3490+K3490-L3490</f>
        <v>0</v>
      </c>
      <c r="N3490" s="738"/>
      <c r="O3490" s="738"/>
      <c r="P3490" s="738">
        <f t="shared" ref="P3490:P3491" si="1097">M3490+N3490-O3490</f>
        <v>0</v>
      </c>
      <c r="Q3490" s="966"/>
      <c r="R3490" s="738"/>
      <c r="S3490" s="966"/>
      <c r="T3490" s="808">
        <v>2610220</v>
      </c>
      <c r="U3490" s="745"/>
      <c r="V3490" s="808">
        <v>2610220</v>
      </c>
    </row>
    <row r="3491" spans="1:22" ht="15" x14ac:dyDescent="0.25">
      <c r="A3491" s="864">
        <v>6121</v>
      </c>
      <c r="B3491" s="822" t="s">
        <v>353</v>
      </c>
      <c r="C3491" s="915"/>
      <c r="D3491" s="915">
        <v>0</v>
      </c>
      <c r="E3491" s="915">
        <v>825000</v>
      </c>
      <c r="F3491" s="915">
        <v>0</v>
      </c>
      <c r="G3491" s="958">
        <v>165000</v>
      </c>
      <c r="H3491" s="958"/>
      <c r="I3491" s="958"/>
      <c r="J3491" s="759">
        <f t="shared" si="1095"/>
        <v>165000</v>
      </c>
      <c r="K3491" s="958"/>
      <c r="L3491" s="958">
        <v>165000</v>
      </c>
      <c r="M3491" s="738">
        <f t="shared" si="1096"/>
        <v>0</v>
      </c>
      <c r="N3491" s="738"/>
      <c r="O3491" s="738"/>
      <c r="P3491" s="738">
        <f t="shared" si="1097"/>
        <v>0</v>
      </c>
      <c r="Q3491" s="959"/>
      <c r="R3491" s="738"/>
      <c r="S3491" s="959"/>
      <c r="T3491" s="808">
        <v>2610121</v>
      </c>
      <c r="U3491" s="745"/>
      <c r="V3491" s="808">
        <v>2610122</v>
      </c>
    </row>
    <row r="3492" spans="1:22" ht="15" x14ac:dyDescent="0.25">
      <c r="A3492" s="949" t="s">
        <v>1882</v>
      </c>
      <c r="B3492" s="883" t="s">
        <v>1881</v>
      </c>
      <c r="C3492" s="950">
        <f t="shared" ref="C3492:S3492" si="1098">SUM(C3493)</f>
        <v>0</v>
      </c>
      <c r="D3492" s="950">
        <f t="shared" si="1098"/>
        <v>0</v>
      </c>
      <c r="E3492" s="950">
        <f t="shared" si="1098"/>
        <v>3825000</v>
      </c>
      <c r="F3492" s="950">
        <f t="shared" si="1098"/>
        <v>0</v>
      </c>
      <c r="G3492" s="951">
        <f t="shared" si="1098"/>
        <v>0</v>
      </c>
      <c r="H3492" s="951">
        <f t="shared" si="1098"/>
        <v>0</v>
      </c>
      <c r="I3492" s="951">
        <f t="shared" si="1098"/>
        <v>0</v>
      </c>
      <c r="J3492" s="951">
        <f t="shared" si="1098"/>
        <v>0</v>
      </c>
      <c r="K3492" s="951">
        <f t="shared" si="1098"/>
        <v>0</v>
      </c>
      <c r="L3492" s="951">
        <f t="shared" si="1098"/>
        <v>0</v>
      </c>
      <c r="M3492" s="952">
        <f t="shared" si="1098"/>
        <v>0</v>
      </c>
      <c r="N3492" s="952">
        <f t="shared" si="1098"/>
        <v>0</v>
      </c>
      <c r="O3492" s="952">
        <f t="shared" si="1098"/>
        <v>0</v>
      </c>
      <c r="P3492" s="952">
        <f t="shared" si="1098"/>
        <v>0</v>
      </c>
      <c r="Q3492" s="952">
        <f t="shared" si="1098"/>
        <v>0</v>
      </c>
      <c r="R3492" s="952">
        <f t="shared" si="1098"/>
        <v>0</v>
      </c>
      <c r="S3492" s="952">
        <f t="shared" si="1098"/>
        <v>0</v>
      </c>
      <c r="T3492" s="731"/>
      <c r="U3492" s="732">
        <f t="shared" ref="U3492" si="1099">SUM(U3493)</f>
        <v>0</v>
      </c>
      <c r="V3492" s="728"/>
    </row>
    <row r="3493" spans="1:22" ht="15" x14ac:dyDescent="0.25">
      <c r="A3493" s="864">
        <v>6111</v>
      </c>
      <c r="B3493" s="822" t="s">
        <v>355</v>
      </c>
      <c r="C3493" s="915"/>
      <c r="D3493" s="915">
        <v>0</v>
      </c>
      <c r="E3493" s="915">
        <v>3825000</v>
      </c>
      <c r="F3493" s="915">
        <v>0</v>
      </c>
      <c r="G3493" s="953"/>
      <c r="H3493" s="953"/>
      <c r="I3493" s="953"/>
      <c r="J3493" s="759">
        <f>G3493+H3493-I3493</f>
        <v>0</v>
      </c>
      <c r="K3493" s="953"/>
      <c r="L3493" s="953"/>
      <c r="M3493" s="738">
        <f>J3493+K3493-L3493</f>
        <v>0</v>
      </c>
      <c r="N3493" s="738"/>
      <c r="O3493" s="738"/>
      <c r="P3493" s="738">
        <f>M3493+N3493-O3493</f>
        <v>0</v>
      </c>
      <c r="Q3493" s="954"/>
      <c r="R3493" s="738"/>
      <c r="S3493" s="954"/>
      <c r="T3493" s="739">
        <v>2610121</v>
      </c>
      <c r="U3493" s="745"/>
      <c r="V3493" s="739">
        <v>2610122</v>
      </c>
    </row>
    <row r="3494" spans="1:22" ht="15" x14ac:dyDescent="0.25">
      <c r="A3494" s="728" t="s">
        <v>1883</v>
      </c>
      <c r="B3494" s="883" t="s">
        <v>1884</v>
      </c>
      <c r="C3494" s="961"/>
      <c r="D3494" s="961"/>
      <c r="E3494" s="961"/>
      <c r="F3494" s="961"/>
      <c r="G3494" s="967"/>
      <c r="H3494" s="967"/>
      <c r="I3494" s="967"/>
      <c r="J3494" s="968"/>
      <c r="K3494" s="967"/>
      <c r="L3494" s="967"/>
      <c r="M3494" s="952">
        <f t="shared" ref="M3494:P3494" si="1100">SUM(M3495)</f>
        <v>0</v>
      </c>
      <c r="N3494" s="952">
        <f t="shared" si="1100"/>
        <v>2204000</v>
      </c>
      <c r="O3494" s="952">
        <f t="shared" si="1100"/>
        <v>0</v>
      </c>
      <c r="P3494" s="950">
        <f t="shared" si="1100"/>
        <v>2204000</v>
      </c>
      <c r="Q3494" s="969">
        <f>Q3495</f>
        <v>2204000</v>
      </c>
      <c r="R3494" s="970"/>
      <c r="S3494" s="969"/>
      <c r="T3494" s="731"/>
      <c r="U3494" s="732"/>
      <c r="V3494" s="728"/>
    </row>
    <row r="3495" spans="1:22" ht="15" x14ac:dyDescent="0.25">
      <c r="A3495" s="739">
        <v>6121</v>
      </c>
      <c r="B3495" s="822" t="s">
        <v>353</v>
      </c>
      <c r="C3495" s="915"/>
      <c r="D3495" s="915"/>
      <c r="E3495" s="915"/>
      <c r="F3495" s="915"/>
      <c r="G3495" s="953"/>
      <c r="H3495" s="953"/>
      <c r="I3495" s="953"/>
      <c r="J3495" s="759"/>
      <c r="K3495" s="953"/>
      <c r="L3495" s="953"/>
      <c r="M3495" s="738">
        <v>0</v>
      </c>
      <c r="N3495" s="738">
        <v>2204000</v>
      </c>
      <c r="O3495" s="738"/>
      <c r="P3495" s="736">
        <f>M3495+N3495-O3495</f>
        <v>2204000</v>
      </c>
      <c r="Q3495" s="954">
        <v>2204000</v>
      </c>
      <c r="R3495" s="738"/>
      <c r="S3495" s="954"/>
      <c r="T3495" s="739">
        <v>2610121</v>
      </c>
      <c r="U3495" s="745"/>
      <c r="V3495" s="739">
        <v>2610122</v>
      </c>
    </row>
    <row r="3496" spans="1:22" ht="15" x14ac:dyDescent="0.2">
      <c r="A3496" s="724" t="s">
        <v>365</v>
      </c>
      <c r="B3496" s="725" t="s">
        <v>366</v>
      </c>
      <c r="C3496" s="721">
        <f t="shared" ref="C3496:S3496" si="1101">SUM(C3497+C3537+C3585+C3618+C3626+C3656+C3699)</f>
        <v>12280731.73</v>
      </c>
      <c r="D3496" s="721">
        <f t="shared" si="1101"/>
        <v>21719160.719999999</v>
      </c>
      <c r="E3496" s="721">
        <f t="shared" si="1101"/>
        <v>21513298.68</v>
      </c>
      <c r="F3496" s="721">
        <f t="shared" si="1101"/>
        <v>13112558.589999998</v>
      </c>
      <c r="G3496" s="721">
        <f t="shared" si="1101"/>
        <v>28230258.729999997</v>
      </c>
      <c r="H3496" s="721">
        <f t="shared" si="1101"/>
        <v>3130864.58</v>
      </c>
      <c r="I3496" s="721">
        <f t="shared" si="1101"/>
        <v>2934708.1900000004</v>
      </c>
      <c r="J3496" s="721">
        <f t="shared" si="1101"/>
        <v>28426415.119999997</v>
      </c>
      <c r="K3496" s="721">
        <f t="shared" si="1101"/>
        <v>791841.42</v>
      </c>
      <c r="L3496" s="721">
        <f t="shared" si="1101"/>
        <v>588153.25</v>
      </c>
      <c r="M3496" s="721">
        <f t="shared" si="1101"/>
        <v>28630103.289999999</v>
      </c>
      <c r="N3496" s="721">
        <f t="shared" si="1101"/>
        <v>191483.63</v>
      </c>
      <c r="O3496" s="721">
        <f t="shared" si="1101"/>
        <v>391483.63</v>
      </c>
      <c r="P3496" s="721">
        <f t="shared" si="1101"/>
        <v>28430103.289999999</v>
      </c>
      <c r="Q3496" s="756">
        <f t="shared" si="1101"/>
        <v>28319444.289999999</v>
      </c>
      <c r="R3496" s="756">
        <f t="shared" si="1101"/>
        <v>12993684.230000002</v>
      </c>
      <c r="S3496" s="756">
        <f t="shared" si="1101"/>
        <v>23033892.549999997</v>
      </c>
      <c r="T3496" s="724"/>
      <c r="U3496" s="726">
        <f t="shared" ref="U3496" si="1102">SUM(U3497+U3537+U3585+U3618+U3626+U3656+U3699)</f>
        <v>28484802.409999996</v>
      </c>
      <c r="V3496" s="727"/>
    </row>
    <row r="3497" spans="1:22" ht="15" x14ac:dyDescent="0.2">
      <c r="A3497" s="728" t="s">
        <v>316</v>
      </c>
      <c r="B3497" s="729" t="s">
        <v>1638</v>
      </c>
      <c r="C3497" s="730">
        <f t="shared" ref="C3497:S3497" si="1103">SUM(C3498:C3536)</f>
        <v>2695630.55</v>
      </c>
      <c r="D3497" s="730">
        <f t="shared" si="1103"/>
        <v>3625456.8</v>
      </c>
      <c r="E3497" s="730">
        <f t="shared" si="1103"/>
        <v>3105338.8299999996</v>
      </c>
      <c r="F3497" s="730">
        <f t="shared" si="1103"/>
        <v>2882036.48</v>
      </c>
      <c r="G3497" s="730">
        <f t="shared" si="1103"/>
        <v>2722681</v>
      </c>
      <c r="H3497" s="730">
        <f t="shared" si="1103"/>
        <v>0</v>
      </c>
      <c r="I3497" s="730">
        <f t="shared" si="1103"/>
        <v>0</v>
      </c>
      <c r="J3497" s="730">
        <f t="shared" si="1103"/>
        <v>2722681</v>
      </c>
      <c r="K3497" s="730">
        <f t="shared" si="1103"/>
        <v>390593.3</v>
      </c>
      <c r="L3497" s="730">
        <f t="shared" si="1103"/>
        <v>110000</v>
      </c>
      <c r="M3497" s="730">
        <f t="shared" si="1103"/>
        <v>3003274.3</v>
      </c>
      <c r="N3497" s="730">
        <f t="shared" si="1103"/>
        <v>0</v>
      </c>
      <c r="O3497" s="730">
        <f t="shared" si="1103"/>
        <v>15000</v>
      </c>
      <c r="P3497" s="730">
        <f t="shared" si="1103"/>
        <v>2988274.3</v>
      </c>
      <c r="Q3497" s="748">
        <f t="shared" si="1103"/>
        <v>2641130.62</v>
      </c>
      <c r="R3497" s="748">
        <f t="shared" si="1103"/>
        <v>1789927.99</v>
      </c>
      <c r="S3497" s="748">
        <f t="shared" si="1103"/>
        <v>2302525.0099999998</v>
      </c>
      <c r="T3497" s="731"/>
      <c r="U3497" s="732">
        <f>SUM(U3498:U3536)</f>
        <v>3036034.06</v>
      </c>
      <c r="V3497" s="733"/>
    </row>
    <row r="3498" spans="1:22" ht="15" x14ac:dyDescent="0.25">
      <c r="A3498" s="734">
        <v>1131</v>
      </c>
      <c r="B3498" s="735" t="s">
        <v>6</v>
      </c>
      <c r="C3498" s="736">
        <v>230839.29</v>
      </c>
      <c r="D3498" s="736">
        <v>267962.23999999999</v>
      </c>
      <c r="E3498" s="749">
        <v>268884.24</v>
      </c>
      <c r="F3498" s="736">
        <v>300771.09000000003</v>
      </c>
      <c r="G3498" s="736">
        <v>291541.39999999997</v>
      </c>
      <c r="H3498" s="736"/>
      <c r="I3498" s="736"/>
      <c r="J3498" s="736">
        <f t="shared" ref="J3498:J3501" si="1104">G3498+H3498-I3498</f>
        <v>291541.39999999997</v>
      </c>
      <c r="K3498" s="736">
        <v>1315.96</v>
      </c>
      <c r="L3498" s="736"/>
      <c r="M3498" s="736">
        <f t="shared" ref="M3498:M3530" si="1105">J3498+K3498-L3498</f>
        <v>292857.36</v>
      </c>
      <c r="N3498" s="736"/>
      <c r="O3498" s="736"/>
      <c r="P3498" s="736">
        <f t="shared" ref="P3498:P3530" si="1106">M3498+N3498-O3498</f>
        <v>292857.36</v>
      </c>
      <c r="Q3498" s="738">
        <v>284728.43</v>
      </c>
      <c r="R3498" s="738">
        <v>210614.16</v>
      </c>
      <c r="S3498" s="751">
        <v>302855.28000000003</v>
      </c>
      <c r="T3498" s="739">
        <v>1500521</v>
      </c>
      <c r="U3498" s="779">
        <v>301711.15999999997</v>
      </c>
      <c r="V3498" s="741">
        <v>1500522</v>
      </c>
    </row>
    <row r="3499" spans="1:22" ht="15" x14ac:dyDescent="0.25">
      <c r="A3499" s="734">
        <v>1132</v>
      </c>
      <c r="B3499" s="735" t="s">
        <v>8</v>
      </c>
      <c r="C3499" s="736">
        <v>290437.86</v>
      </c>
      <c r="D3499" s="736">
        <v>309723.96000000002</v>
      </c>
      <c r="E3499" s="749">
        <v>308022.96000000002</v>
      </c>
      <c r="F3499" s="736">
        <v>319286.53000000003</v>
      </c>
      <c r="G3499" s="736">
        <v>325365.09999999998</v>
      </c>
      <c r="H3499" s="736"/>
      <c r="I3499" s="736"/>
      <c r="J3499" s="736">
        <f t="shared" si="1104"/>
        <v>325365.09999999998</v>
      </c>
      <c r="K3499" s="736">
        <v>84.99</v>
      </c>
      <c r="L3499" s="736"/>
      <c r="M3499" s="736">
        <f t="shared" si="1105"/>
        <v>325450.08999999997</v>
      </c>
      <c r="N3499" s="736"/>
      <c r="O3499" s="736"/>
      <c r="P3499" s="736">
        <f t="shared" si="1106"/>
        <v>325450.08999999997</v>
      </c>
      <c r="Q3499" s="738">
        <v>263016.94</v>
      </c>
      <c r="R3499" s="738">
        <v>161489.64000000001</v>
      </c>
      <c r="S3499" s="751"/>
      <c r="T3499" s="739">
        <v>1500521</v>
      </c>
      <c r="U3499" s="779">
        <v>200026.94</v>
      </c>
      <c r="V3499" s="741">
        <v>1500522</v>
      </c>
    </row>
    <row r="3500" spans="1:22" ht="15" x14ac:dyDescent="0.25">
      <c r="A3500" s="734">
        <v>1212</v>
      </c>
      <c r="B3500" s="735" t="s">
        <v>53</v>
      </c>
      <c r="C3500" s="736">
        <v>381751.13</v>
      </c>
      <c r="D3500" s="736">
        <v>462060</v>
      </c>
      <c r="E3500" s="749">
        <v>465010.33</v>
      </c>
      <c r="F3500" s="736">
        <v>457503.53</v>
      </c>
      <c r="G3500" s="736">
        <v>478242</v>
      </c>
      <c r="H3500" s="736"/>
      <c r="I3500" s="736"/>
      <c r="J3500" s="736">
        <f t="shared" si="1104"/>
        <v>478242</v>
      </c>
      <c r="K3500" s="736">
        <v>7184.88</v>
      </c>
      <c r="L3500" s="736"/>
      <c r="M3500" s="736">
        <f t="shared" si="1105"/>
        <v>485426.88</v>
      </c>
      <c r="N3500" s="736"/>
      <c r="O3500" s="736"/>
      <c r="P3500" s="736">
        <f t="shared" si="1106"/>
        <v>485426.88</v>
      </c>
      <c r="Q3500" s="738">
        <v>474731.58</v>
      </c>
      <c r="R3500" s="738">
        <v>338302.57</v>
      </c>
      <c r="S3500" s="751">
        <v>362926.8</v>
      </c>
      <c r="T3500" s="739">
        <v>1500521</v>
      </c>
      <c r="U3500" s="779">
        <v>459806.37</v>
      </c>
      <c r="V3500" s="741">
        <v>1500522</v>
      </c>
    </row>
    <row r="3501" spans="1:22" ht="15" x14ac:dyDescent="0.25">
      <c r="A3501" s="734">
        <v>1321</v>
      </c>
      <c r="B3501" s="735" t="s">
        <v>9</v>
      </c>
      <c r="C3501" s="736">
        <v>28468.13</v>
      </c>
      <c r="D3501" s="736">
        <v>30214.92</v>
      </c>
      <c r="E3501" s="749">
        <v>32799.919999999998</v>
      </c>
      <c r="F3501" s="736">
        <v>30372.29</v>
      </c>
      <c r="G3501" s="736">
        <v>37561.9</v>
      </c>
      <c r="H3501" s="736"/>
      <c r="I3501" s="736"/>
      <c r="J3501" s="736">
        <f t="shared" si="1104"/>
        <v>37561.9</v>
      </c>
      <c r="K3501" s="736">
        <v>767.11</v>
      </c>
      <c r="L3501" s="736"/>
      <c r="M3501" s="736">
        <f t="shared" si="1105"/>
        <v>38329.01</v>
      </c>
      <c r="N3501" s="736"/>
      <c r="O3501" s="736"/>
      <c r="P3501" s="736">
        <f t="shared" si="1106"/>
        <v>38329.01</v>
      </c>
      <c r="Q3501" s="738">
        <v>31120.639999999999</v>
      </c>
      <c r="R3501" s="738">
        <v>16759.939999999999</v>
      </c>
      <c r="S3501" s="751">
        <v>24569.08</v>
      </c>
      <c r="T3501" s="739">
        <v>1500521</v>
      </c>
      <c r="U3501" s="779">
        <v>29584.1</v>
      </c>
      <c r="V3501" s="741">
        <v>1500522</v>
      </c>
    </row>
    <row r="3502" spans="1:22" ht="15" x14ac:dyDescent="0.25">
      <c r="A3502" s="739">
        <v>1322</v>
      </c>
      <c r="B3502" s="743" t="s">
        <v>182</v>
      </c>
      <c r="C3502" s="736"/>
      <c r="D3502" s="736"/>
      <c r="E3502" s="749"/>
      <c r="F3502" s="736"/>
      <c r="G3502" s="736"/>
      <c r="H3502" s="736"/>
      <c r="I3502" s="736"/>
      <c r="J3502" s="736"/>
      <c r="K3502" s="736"/>
      <c r="L3502" s="736"/>
      <c r="M3502" s="736">
        <f t="shared" si="1105"/>
        <v>0</v>
      </c>
      <c r="N3502" s="736"/>
      <c r="O3502" s="736"/>
      <c r="P3502" s="738">
        <f t="shared" si="1106"/>
        <v>0</v>
      </c>
      <c r="Q3502" s="738"/>
      <c r="R3502" s="738"/>
      <c r="S3502" s="751"/>
      <c r="T3502" s="739"/>
      <c r="U3502" s="780"/>
      <c r="V3502" s="739"/>
    </row>
    <row r="3503" spans="1:22" ht="15" x14ac:dyDescent="0.25">
      <c r="A3503" s="734">
        <v>1323</v>
      </c>
      <c r="B3503" s="735" t="s">
        <v>11</v>
      </c>
      <c r="C3503" s="736">
        <v>115478.94</v>
      </c>
      <c r="D3503" s="736">
        <v>130354.5</v>
      </c>
      <c r="E3503" s="749">
        <v>125805.5</v>
      </c>
      <c r="F3503" s="736">
        <v>131849.76</v>
      </c>
      <c r="G3503" s="736">
        <v>136641.80000000002</v>
      </c>
      <c r="H3503" s="736"/>
      <c r="I3503" s="736"/>
      <c r="J3503" s="736">
        <f>G3503+H3503-I3503</f>
        <v>136641.80000000002</v>
      </c>
      <c r="K3503" s="736">
        <v>2507.38</v>
      </c>
      <c r="L3503" s="736"/>
      <c r="M3503" s="736">
        <f t="shared" si="1105"/>
        <v>139149.18000000002</v>
      </c>
      <c r="N3503" s="736"/>
      <c r="O3503" s="736"/>
      <c r="P3503" s="736">
        <f t="shared" si="1106"/>
        <v>139149.18000000002</v>
      </c>
      <c r="Q3503" s="738">
        <v>94201.1</v>
      </c>
      <c r="R3503" s="738">
        <v>75890.13</v>
      </c>
      <c r="S3503" s="751">
        <v>83041.95</v>
      </c>
      <c r="T3503" s="739">
        <v>1500521</v>
      </c>
      <c r="U3503" s="779">
        <v>124553.99</v>
      </c>
      <c r="V3503" s="741">
        <v>1500522</v>
      </c>
    </row>
    <row r="3504" spans="1:22" ht="15" x14ac:dyDescent="0.25">
      <c r="A3504" s="739">
        <v>1331</v>
      </c>
      <c r="B3504" s="743" t="s">
        <v>183</v>
      </c>
      <c r="C3504" s="736"/>
      <c r="D3504" s="736"/>
      <c r="E3504" s="749"/>
      <c r="F3504" s="736"/>
      <c r="G3504" s="736"/>
      <c r="H3504" s="736"/>
      <c r="I3504" s="736"/>
      <c r="J3504" s="736"/>
      <c r="K3504" s="736"/>
      <c r="L3504" s="736"/>
      <c r="M3504" s="736">
        <f t="shared" si="1105"/>
        <v>0</v>
      </c>
      <c r="N3504" s="736"/>
      <c r="O3504" s="736"/>
      <c r="P3504" s="738">
        <f t="shared" si="1106"/>
        <v>0</v>
      </c>
      <c r="Q3504" s="738"/>
      <c r="R3504" s="738"/>
      <c r="S3504" s="751"/>
      <c r="T3504" s="739"/>
      <c r="U3504" s="780"/>
      <c r="V3504" s="739"/>
    </row>
    <row r="3505" spans="1:22" ht="15" x14ac:dyDescent="0.25">
      <c r="A3505" s="734">
        <v>1413</v>
      </c>
      <c r="B3505" s="735" t="s">
        <v>13</v>
      </c>
      <c r="C3505" s="736">
        <v>193263.15</v>
      </c>
      <c r="D3505" s="736">
        <v>256987.7</v>
      </c>
      <c r="E3505" s="749">
        <v>243735.7</v>
      </c>
      <c r="F3505" s="736">
        <v>237153.93</v>
      </c>
      <c r="G3505" s="736">
        <v>288405.5</v>
      </c>
      <c r="H3505" s="736"/>
      <c r="I3505" s="736"/>
      <c r="J3505" s="736">
        <f t="shared" ref="J3505:J3530" si="1107">G3505+H3505-I3505</f>
        <v>288405.5</v>
      </c>
      <c r="K3505" s="736">
        <v>10639.28</v>
      </c>
      <c r="L3505" s="736"/>
      <c r="M3505" s="736">
        <f t="shared" si="1105"/>
        <v>299044.78000000003</v>
      </c>
      <c r="N3505" s="736"/>
      <c r="O3505" s="736"/>
      <c r="P3505" s="736">
        <f t="shared" si="1106"/>
        <v>299044.78000000003</v>
      </c>
      <c r="Q3505" s="738">
        <v>299044.78000000003</v>
      </c>
      <c r="R3505" s="738">
        <v>172921.28</v>
      </c>
      <c r="S3505" s="751">
        <v>204372.12</v>
      </c>
      <c r="T3505" s="739">
        <v>1500521</v>
      </c>
      <c r="U3505" s="779">
        <v>225514.96</v>
      </c>
      <c r="V3505" s="741">
        <v>1500522</v>
      </c>
    </row>
    <row r="3506" spans="1:22" ht="15" x14ac:dyDescent="0.25">
      <c r="A3506" s="734">
        <v>1421</v>
      </c>
      <c r="B3506" s="735" t="s">
        <v>15</v>
      </c>
      <c r="C3506" s="736">
        <v>57546.84</v>
      </c>
      <c r="D3506" s="736">
        <v>71737.679999999993</v>
      </c>
      <c r="E3506" s="749">
        <v>63165.68</v>
      </c>
      <c r="F3506" s="736">
        <v>67613.3</v>
      </c>
      <c r="G3506" s="736">
        <v>76772.3</v>
      </c>
      <c r="H3506" s="736"/>
      <c r="I3506" s="736"/>
      <c r="J3506" s="736">
        <f t="shared" si="1107"/>
        <v>76772.3</v>
      </c>
      <c r="K3506" s="736">
        <v>2851.64</v>
      </c>
      <c r="L3506" s="736"/>
      <c r="M3506" s="736">
        <f t="shared" si="1105"/>
        <v>79623.94</v>
      </c>
      <c r="N3506" s="736"/>
      <c r="O3506" s="736"/>
      <c r="P3506" s="736">
        <f t="shared" si="1106"/>
        <v>79623.94</v>
      </c>
      <c r="Q3506" s="738">
        <v>79623.94</v>
      </c>
      <c r="R3506" s="738">
        <v>44381.3</v>
      </c>
      <c r="S3506" s="751">
        <v>49463.76</v>
      </c>
      <c r="T3506" s="739">
        <v>1500521</v>
      </c>
      <c r="U3506" s="779">
        <v>74145.66</v>
      </c>
      <c r="V3506" s="741">
        <v>1500522</v>
      </c>
    </row>
    <row r="3507" spans="1:22" ht="15" x14ac:dyDescent="0.25">
      <c r="A3507" s="734">
        <v>1431</v>
      </c>
      <c r="B3507" s="735" t="s">
        <v>16</v>
      </c>
      <c r="C3507" s="736">
        <v>61273.04</v>
      </c>
      <c r="D3507" s="736">
        <v>73889.899999999994</v>
      </c>
      <c r="E3507" s="749">
        <v>66070.899999999994</v>
      </c>
      <c r="F3507" s="736">
        <v>71507.240000000005</v>
      </c>
      <c r="G3507" s="736">
        <v>79075.400000000009</v>
      </c>
      <c r="H3507" s="736"/>
      <c r="I3507" s="736"/>
      <c r="J3507" s="736">
        <f t="shared" si="1107"/>
        <v>79075.400000000009</v>
      </c>
      <c r="K3507" s="736">
        <v>2921.02</v>
      </c>
      <c r="L3507" s="736"/>
      <c r="M3507" s="736">
        <f t="shared" si="1105"/>
        <v>81996.420000000013</v>
      </c>
      <c r="N3507" s="736"/>
      <c r="O3507" s="736"/>
      <c r="P3507" s="736">
        <f t="shared" si="1106"/>
        <v>81996.420000000013</v>
      </c>
      <c r="Q3507" s="738">
        <v>81996.42</v>
      </c>
      <c r="R3507" s="738">
        <v>45025.54</v>
      </c>
      <c r="S3507" s="751">
        <v>50947.68</v>
      </c>
      <c r="T3507" s="739">
        <v>1500521</v>
      </c>
      <c r="U3507" s="779">
        <v>74162.320000000007</v>
      </c>
      <c r="V3507" s="741">
        <v>1500522</v>
      </c>
    </row>
    <row r="3508" spans="1:22" ht="15" x14ac:dyDescent="0.25">
      <c r="A3508" s="734">
        <v>1511</v>
      </c>
      <c r="B3508" s="735" t="s">
        <v>18</v>
      </c>
      <c r="C3508" s="736">
        <v>13947.41</v>
      </c>
      <c r="D3508" s="736">
        <v>16172.52</v>
      </c>
      <c r="E3508" s="749">
        <v>16172.52</v>
      </c>
      <c r="F3508" s="736">
        <v>16698.77</v>
      </c>
      <c r="G3508" s="736">
        <v>16991.599999999999</v>
      </c>
      <c r="H3508" s="736"/>
      <c r="I3508" s="736"/>
      <c r="J3508" s="736">
        <f t="shared" si="1107"/>
        <v>16991.599999999999</v>
      </c>
      <c r="K3508" s="736">
        <v>298.39999999999998</v>
      </c>
      <c r="L3508" s="736"/>
      <c r="M3508" s="736">
        <f t="shared" si="1105"/>
        <v>17290</v>
      </c>
      <c r="N3508" s="736"/>
      <c r="O3508" s="736"/>
      <c r="P3508" s="736">
        <f t="shared" si="1106"/>
        <v>17290</v>
      </c>
      <c r="Q3508" s="738">
        <v>15639.27</v>
      </c>
      <c r="R3508" s="738">
        <v>10164.18</v>
      </c>
      <c r="S3508" s="751">
        <v>9889.8799999999992</v>
      </c>
      <c r="T3508" s="739">
        <v>1500521</v>
      </c>
      <c r="U3508" s="779">
        <v>13923.07</v>
      </c>
      <c r="V3508" s="741">
        <v>1500522</v>
      </c>
    </row>
    <row r="3509" spans="1:22" ht="15" x14ac:dyDescent="0.25">
      <c r="A3509" s="734">
        <v>1541</v>
      </c>
      <c r="B3509" s="735" t="s">
        <v>19</v>
      </c>
      <c r="C3509" s="736">
        <v>116992.84</v>
      </c>
      <c r="D3509" s="736">
        <v>112977.02</v>
      </c>
      <c r="E3509" s="749">
        <v>116928.72</v>
      </c>
      <c r="F3509" s="736">
        <v>120459.72</v>
      </c>
      <c r="G3509" s="736">
        <v>161255.9</v>
      </c>
      <c r="H3509" s="736"/>
      <c r="I3509" s="736"/>
      <c r="J3509" s="736">
        <f t="shared" si="1107"/>
        <v>161255.9</v>
      </c>
      <c r="K3509" s="736">
        <v>6139.56</v>
      </c>
      <c r="L3509" s="736"/>
      <c r="M3509" s="736">
        <f t="shared" si="1105"/>
        <v>167395.46</v>
      </c>
      <c r="N3509" s="736"/>
      <c r="O3509" s="736"/>
      <c r="P3509" s="736">
        <f t="shared" si="1106"/>
        <v>167395.46</v>
      </c>
      <c r="Q3509" s="738">
        <v>123550.11</v>
      </c>
      <c r="R3509" s="738">
        <v>94635.62</v>
      </c>
      <c r="S3509" s="751">
        <v>162100.9</v>
      </c>
      <c r="T3509" s="739">
        <v>1500521</v>
      </c>
      <c r="U3509" s="779">
        <v>161877.66</v>
      </c>
      <c r="V3509" s="741">
        <v>1500522</v>
      </c>
    </row>
    <row r="3510" spans="1:22" ht="15" x14ac:dyDescent="0.25">
      <c r="A3510" s="734">
        <v>1592</v>
      </c>
      <c r="B3510" s="735" t="s">
        <v>20</v>
      </c>
      <c r="C3510" s="736">
        <v>198765.87</v>
      </c>
      <c r="D3510" s="736">
        <v>231136.36</v>
      </c>
      <c r="E3510" s="749">
        <v>231136.36</v>
      </c>
      <c r="F3510" s="736">
        <v>238978.21</v>
      </c>
      <c r="G3510" s="736">
        <v>242828.1</v>
      </c>
      <c r="H3510" s="736"/>
      <c r="I3510" s="736"/>
      <c r="J3510" s="736">
        <f t="shared" si="1107"/>
        <v>242828.1</v>
      </c>
      <c r="K3510" s="736">
        <v>5883.08</v>
      </c>
      <c r="L3510" s="736"/>
      <c r="M3510" s="736">
        <f t="shared" si="1105"/>
        <v>248711.18</v>
      </c>
      <c r="N3510" s="736"/>
      <c r="O3510" s="736"/>
      <c r="P3510" s="736">
        <f t="shared" si="1106"/>
        <v>248711.18</v>
      </c>
      <c r="Q3510" s="738">
        <v>254256.42</v>
      </c>
      <c r="R3510" s="738">
        <v>157932.54</v>
      </c>
      <c r="S3510" s="751">
        <v>191602.32</v>
      </c>
      <c r="T3510" s="739">
        <v>1500521</v>
      </c>
      <c r="U3510" s="779">
        <v>221451.83</v>
      </c>
      <c r="V3510" s="741">
        <v>1500522</v>
      </c>
    </row>
    <row r="3511" spans="1:22" ht="15" x14ac:dyDescent="0.2">
      <c r="A3511" s="734">
        <v>2111</v>
      </c>
      <c r="B3511" s="735" t="s">
        <v>22</v>
      </c>
      <c r="C3511" s="736">
        <v>5249</v>
      </c>
      <c r="D3511" s="736">
        <v>5000</v>
      </c>
      <c r="E3511" s="749">
        <v>3500</v>
      </c>
      <c r="F3511" s="736">
        <v>3250</v>
      </c>
      <c r="G3511" s="752">
        <v>3500</v>
      </c>
      <c r="H3511" s="752"/>
      <c r="I3511" s="752"/>
      <c r="J3511" s="736">
        <f t="shared" si="1107"/>
        <v>3500</v>
      </c>
      <c r="K3511" s="752"/>
      <c r="L3511" s="752"/>
      <c r="M3511" s="736">
        <f t="shared" si="1105"/>
        <v>3500</v>
      </c>
      <c r="N3511" s="736"/>
      <c r="O3511" s="736"/>
      <c r="P3511" s="736">
        <f t="shared" si="1106"/>
        <v>3500</v>
      </c>
      <c r="Q3511" s="753">
        <v>3500</v>
      </c>
      <c r="R3511" s="738">
        <v>2365.7600000000002</v>
      </c>
      <c r="S3511" s="753">
        <v>6000</v>
      </c>
      <c r="T3511" s="739">
        <v>1100121</v>
      </c>
      <c r="U3511" s="740">
        <v>3500</v>
      </c>
      <c r="V3511" s="741">
        <v>1100122</v>
      </c>
    </row>
    <row r="3512" spans="1:22" ht="15" x14ac:dyDescent="0.2">
      <c r="A3512" s="739">
        <v>2112</v>
      </c>
      <c r="B3512" s="743" t="s">
        <v>39</v>
      </c>
      <c r="C3512" s="736">
        <v>19987.39</v>
      </c>
      <c r="D3512" s="736">
        <v>15000</v>
      </c>
      <c r="E3512" s="736"/>
      <c r="F3512" s="736">
        <v>11028.84</v>
      </c>
      <c r="G3512" s="736"/>
      <c r="H3512" s="736"/>
      <c r="I3512" s="736"/>
      <c r="J3512" s="736">
        <f t="shared" si="1107"/>
        <v>0</v>
      </c>
      <c r="K3512" s="736"/>
      <c r="L3512" s="736"/>
      <c r="M3512" s="736">
        <f t="shared" si="1105"/>
        <v>0</v>
      </c>
      <c r="N3512" s="736"/>
      <c r="O3512" s="736"/>
      <c r="P3512" s="738">
        <f t="shared" si="1106"/>
        <v>0</v>
      </c>
      <c r="Q3512" s="738"/>
      <c r="R3512" s="738"/>
      <c r="S3512" s="738"/>
      <c r="T3512" s="739">
        <v>1100121</v>
      </c>
      <c r="U3512" s="745"/>
      <c r="V3512" s="739">
        <v>1100122</v>
      </c>
    </row>
    <row r="3513" spans="1:22" ht="15" x14ac:dyDescent="0.2">
      <c r="A3513" s="734">
        <v>2161</v>
      </c>
      <c r="B3513" s="735" t="s">
        <v>59</v>
      </c>
      <c r="C3513" s="736">
        <v>11999.96</v>
      </c>
      <c r="D3513" s="736">
        <v>20000</v>
      </c>
      <c r="E3513" s="749">
        <v>15000</v>
      </c>
      <c r="F3513" s="736">
        <v>17063.370000000003</v>
      </c>
      <c r="G3513" s="752">
        <v>20000</v>
      </c>
      <c r="H3513" s="752"/>
      <c r="I3513" s="752"/>
      <c r="J3513" s="736">
        <f t="shared" si="1107"/>
        <v>20000</v>
      </c>
      <c r="K3513" s="752"/>
      <c r="L3513" s="752"/>
      <c r="M3513" s="736">
        <f t="shared" si="1105"/>
        <v>20000</v>
      </c>
      <c r="N3513" s="736"/>
      <c r="O3513" s="736">
        <v>10000</v>
      </c>
      <c r="P3513" s="736">
        <f t="shared" si="1106"/>
        <v>10000</v>
      </c>
      <c r="Q3513" s="753">
        <v>10000</v>
      </c>
      <c r="R3513" s="738">
        <v>9880.39</v>
      </c>
      <c r="S3513" s="753">
        <v>25000</v>
      </c>
      <c r="T3513" s="739">
        <v>1100121</v>
      </c>
      <c r="U3513" s="740">
        <v>20000</v>
      </c>
      <c r="V3513" s="741">
        <v>1100122</v>
      </c>
    </row>
    <row r="3514" spans="1:22" ht="15" x14ac:dyDescent="0.2">
      <c r="A3514" s="739">
        <v>2421</v>
      </c>
      <c r="B3514" s="743" t="s">
        <v>111</v>
      </c>
      <c r="C3514" s="736">
        <v>1470.12</v>
      </c>
      <c r="D3514" s="736">
        <v>10000</v>
      </c>
      <c r="E3514" s="749">
        <v>20000</v>
      </c>
      <c r="F3514" s="736">
        <v>156.47999999999999</v>
      </c>
      <c r="G3514" s="736"/>
      <c r="H3514" s="736"/>
      <c r="I3514" s="736"/>
      <c r="J3514" s="736">
        <f t="shared" si="1107"/>
        <v>0</v>
      </c>
      <c r="K3514" s="736"/>
      <c r="L3514" s="736"/>
      <c r="M3514" s="736">
        <f t="shared" si="1105"/>
        <v>0</v>
      </c>
      <c r="N3514" s="736"/>
      <c r="O3514" s="736"/>
      <c r="P3514" s="738">
        <f t="shared" si="1106"/>
        <v>0</v>
      </c>
      <c r="Q3514" s="738"/>
      <c r="R3514" s="738"/>
      <c r="S3514" s="738"/>
      <c r="T3514" s="739">
        <v>1100121</v>
      </c>
      <c r="U3514" s="745"/>
      <c r="V3514" s="739">
        <v>1100122</v>
      </c>
    </row>
    <row r="3515" spans="1:22" ht="15" x14ac:dyDescent="0.2">
      <c r="A3515" s="734">
        <v>2461</v>
      </c>
      <c r="B3515" s="735" t="s">
        <v>115</v>
      </c>
      <c r="C3515" s="736">
        <v>12907.74</v>
      </c>
      <c r="D3515" s="736">
        <v>10000</v>
      </c>
      <c r="E3515" s="749">
        <v>10000</v>
      </c>
      <c r="F3515" s="736">
        <v>9997.23</v>
      </c>
      <c r="G3515" s="752">
        <v>10000</v>
      </c>
      <c r="H3515" s="752"/>
      <c r="I3515" s="752"/>
      <c r="J3515" s="736">
        <f t="shared" si="1107"/>
        <v>10000</v>
      </c>
      <c r="K3515" s="752"/>
      <c r="L3515" s="752"/>
      <c r="M3515" s="736">
        <f t="shared" si="1105"/>
        <v>10000</v>
      </c>
      <c r="N3515" s="736"/>
      <c r="O3515" s="736"/>
      <c r="P3515" s="736">
        <f t="shared" si="1106"/>
        <v>10000</v>
      </c>
      <c r="Q3515" s="753">
        <v>10000</v>
      </c>
      <c r="R3515" s="738">
        <v>9987.99</v>
      </c>
      <c r="S3515" s="753">
        <v>30000</v>
      </c>
      <c r="T3515" s="739">
        <v>1100121</v>
      </c>
      <c r="U3515" s="740">
        <v>15000</v>
      </c>
      <c r="V3515" s="741">
        <v>1100122</v>
      </c>
    </row>
    <row r="3516" spans="1:22" ht="15" x14ac:dyDescent="0.2">
      <c r="A3516" s="734">
        <v>2491</v>
      </c>
      <c r="B3516" s="735" t="s">
        <v>41</v>
      </c>
      <c r="C3516" s="736">
        <v>194930.18</v>
      </c>
      <c r="D3516" s="736">
        <v>200000</v>
      </c>
      <c r="E3516" s="749">
        <v>10000</v>
      </c>
      <c r="F3516" s="736">
        <v>196720.47</v>
      </c>
      <c r="G3516" s="752">
        <v>200000</v>
      </c>
      <c r="H3516" s="752"/>
      <c r="I3516" s="752"/>
      <c r="J3516" s="736">
        <f t="shared" si="1107"/>
        <v>200000</v>
      </c>
      <c r="K3516" s="752"/>
      <c r="L3516" s="752">
        <v>90000</v>
      </c>
      <c r="M3516" s="736">
        <f t="shared" si="1105"/>
        <v>110000</v>
      </c>
      <c r="N3516" s="736"/>
      <c r="O3516" s="736"/>
      <c r="P3516" s="736">
        <f t="shared" si="1106"/>
        <v>110000</v>
      </c>
      <c r="Q3516" s="753">
        <v>110000</v>
      </c>
      <c r="R3516" s="738">
        <v>109896.6</v>
      </c>
      <c r="S3516" s="753">
        <v>220000</v>
      </c>
      <c r="T3516" s="739">
        <v>1100121</v>
      </c>
      <c r="U3516" s="746">
        <v>130000</v>
      </c>
      <c r="V3516" s="741">
        <v>1100122</v>
      </c>
    </row>
    <row r="3517" spans="1:22" ht="15" x14ac:dyDescent="0.2">
      <c r="A3517" s="734">
        <v>2521</v>
      </c>
      <c r="B3517" s="735" t="s">
        <v>310</v>
      </c>
      <c r="C3517" s="736">
        <v>11550</v>
      </c>
      <c r="D3517" s="736">
        <v>20000</v>
      </c>
      <c r="E3517" s="749">
        <v>200000</v>
      </c>
      <c r="F3517" s="736">
        <v>17494.2</v>
      </c>
      <c r="G3517" s="752">
        <v>20000</v>
      </c>
      <c r="H3517" s="752"/>
      <c r="I3517" s="752"/>
      <c r="J3517" s="736">
        <f t="shared" si="1107"/>
        <v>20000</v>
      </c>
      <c r="K3517" s="752"/>
      <c r="L3517" s="752">
        <v>10000</v>
      </c>
      <c r="M3517" s="736">
        <f t="shared" si="1105"/>
        <v>10000</v>
      </c>
      <c r="N3517" s="736"/>
      <c r="O3517" s="736">
        <v>5000</v>
      </c>
      <c r="P3517" s="736">
        <f t="shared" si="1106"/>
        <v>5000</v>
      </c>
      <c r="Q3517" s="753">
        <v>5000</v>
      </c>
      <c r="R3517" s="738"/>
      <c r="S3517" s="753">
        <v>20000</v>
      </c>
      <c r="T3517" s="739">
        <v>1100121</v>
      </c>
      <c r="U3517" s="740">
        <v>20000</v>
      </c>
      <c r="V3517" s="741">
        <v>1100122</v>
      </c>
    </row>
    <row r="3518" spans="1:22" ht="15" x14ac:dyDescent="0.2">
      <c r="A3518" s="734">
        <v>2522</v>
      </c>
      <c r="B3518" s="735" t="s">
        <v>147</v>
      </c>
      <c r="C3518" s="736">
        <v>9878.56</v>
      </c>
      <c r="D3518" s="736">
        <v>16000</v>
      </c>
      <c r="E3518" s="749">
        <v>20000</v>
      </c>
      <c r="F3518" s="736">
        <v>9826</v>
      </c>
      <c r="G3518" s="752">
        <v>16000</v>
      </c>
      <c r="H3518" s="752"/>
      <c r="I3518" s="752"/>
      <c r="J3518" s="736">
        <f t="shared" si="1107"/>
        <v>16000</v>
      </c>
      <c r="K3518" s="752"/>
      <c r="L3518" s="752">
        <v>10000</v>
      </c>
      <c r="M3518" s="736">
        <f t="shared" si="1105"/>
        <v>6000</v>
      </c>
      <c r="N3518" s="736"/>
      <c r="O3518" s="736"/>
      <c r="P3518" s="736">
        <f t="shared" si="1106"/>
        <v>6000</v>
      </c>
      <c r="Q3518" s="753">
        <v>6000</v>
      </c>
      <c r="R3518" s="738"/>
      <c r="S3518" s="753">
        <v>16000</v>
      </c>
      <c r="T3518" s="739">
        <v>1100121</v>
      </c>
      <c r="U3518" s="740">
        <v>15000</v>
      </c>
      <c r="V3518" s="741">
        <v>1100122</v>
      </c>
    </row>
    <row r="3519" spans="1:22" ht="30" x14ac:dyDescent="0.2">
      <c r="A3519" s="734">
        <v>2612</v>
      </c>
      <c r="B3519" s="735" t="s">
        <v>26</v>
      </c>
      <c r="C3519" s="736">
        <v>159390.82</v>
      </c>
      <c r="D3519" s="736">
        <v>60000</v>
      </c>
      <c r="E3519" s="749">
        <v>16000</v>
      </c>
      <c r="F3519" s="736">
        <v>69901.259999999995</v>
      </c>
      <c r="G3519" s="752">
        <v>200000</v>
      </c>
      <c r="H3519" s="752"/>
      <c r="I3519" s="752"/>
      <c r="J3519" s="736">
        <f t="shared" si="1107"/>
        <v>200000</v>
      </c>
      <c r="K3519" s="752"/>
      <c r="L3519" s="752"/>
      <c r="M3519" s="736">
        <f t="shared" si="1105"/>
        <v>200000</v>
      </c>
      <c r="N3519" s="736"/>
      <c r="O3519" s="736"/>
      <c r="P3519" s="736">
        <f t="shared" si="1106"/>
        <v>200000</v>
      </c>
      <c r="Q3519" s="753">
        <v>260000</v>
      </c>
      <c r="R3519" s="738">
        <v>209445.02</v>
      </c>
      <c r="S3519" s="738">
        <f>Q3519</f>
        <v>260000</v>
      </c>
      <c r="T3519" s="739">
        <v>1100121</v>
      </c>
      <c r="U3519" s="746">
        <v>270000</v>
      </c>
      <c r="V3519" s="741">
        <v>1100122</v>
      </c>
    </row>
    <row r="3520" spans="1:22" ht="15" x14ac:dyDescent="0.2">
      <c r="A3520" s="739">
        <v>2613</v>
      </c>
      <c r="B3520" s="743" t="s">
        <v>146</v>
      </c>
      <c r="C3520" s="736">
        <v>61754.49</v>
      </c>
      <c r="D3520" s="736">
        <v>100000</v>
      </c>
      <c r="E3520" s="749">
        <v>100000</v>
      </c>
      <c r="F3520" s="736">
        <v>153639.42000000001</v>
      </c>
      <c r="G3520" s="736"/>
      <c r="H3520" s="736"/>
      <c r="I3520" s="736"/>
      <c r="J3520" s="736">
        <f t="shared" si="1107"/>
        <v>0</v>
      </c>
      <c r="K3520" s="736"/>
      <c r="L3520" s="736"/>
      <c r="M3520" s="736">
        <f t="shared" si="1105"/>
        <v>0</v>
      </c>
      <c r="N3520" s="736"/>
      <c r="O3520" s="736"/>
      <c r="P3520" s="738">
        <f t="shared" si="1106"/>
        <v>0</v>
      </c>
      <c r="Q3520" s="738"/>
      <c r="R3520" s="738"/>
      <c r="S3520" s="738">
        <f>Q3520</f>
        <v>0</v>
      </c>
      <c r="T3520" s="739">
        <v>1100121</v>
      </c>
      <c r="U3520" s="744"/>
      <c r="V3520" s="739">
        <v>1100122</v>
      </c>
    </row>
    <row r="3521" spans="1:22" ht="15" x14ac:dyDescent="0.2">
      <c r="A3521" s="739">
        <v>2711</v>
      </c>
      <c r="B3521" s="743" t="s">
        <v>27</v>
      </c>
      <c r="C3521" s="736">
        <v>17000</v>
      </c>
      <c r="D3521" s="736"/>
      <c r="E3521" s="749">
        <v>180000</v>
      </c>
      <c r="F3521" s="736"/>
      <c r="G3521" s="736"/>
      <c r="H3521" s="736"/>
      <c r="I3521" s="736"/>
      <c r="J3521" s="736">
        <f t="shared" si="1107"/>
        <v>0</v>
      </c>
      <c r="K3521" s="736"/>
      <c r="L3521" s="736"/>
      <c r="M3521" s="736">
        <f t="shared" si="1105"/>
        <v>0</v>
      </c>
      <c r="N3521" s="736"/>
      <c r="O3521" s="736"/>
      <c r="P3521" s="738">
        <f t="shared" si="1106"/>
        <v>0</v>
      </c>
      <c r="Q3521" s="738"/>
      <c r="R3521" s="738"/>
      <c r="S3521" s="738"/>
      <c r="T3521" s="739"/>
      <c r="U3521" s="745"/>
      <c r="V3521" s="739"/>
    </row>
    <row r="3522" spans="1:22" ht="15" x14ac:dyDescent="0.2">
      <c r="A3522" s="739">
        <v>2722</v>
      </c>
      <c r="B3522" s="743" t="s">
        <v>325</v>
      </c>
      <c r="C3522" s="736"/>
      <c r="D3522" s="736">
        <v>15000</v>
      </c>
      <c r="E3522" s="749">
        <v>8000</v>
      </c>
      <c r="F3522" s="736">
        <v>1218</v>
      </c>
      <c r="G3522" s="736"/>
      <c r="H3522" s="736"/>
      <c r="I3522" s="736"/>
      <c r="J3522" s="736">
        <f t="shared" si="1107"/>
        <v>0</v>
      </c>
      <c r="K3522" s="736"/>
      <c r="L3522" s="736"/>
      <c r="M3522" s="736">
        <f t="shared" si="1105"/>
        <v>0</v>
      </c>
      <c r="N3522" s="736"/>
      <c r="O3522" s="736"/>
      <c r="P3522" s="738">
        <f t="shared" si="1106"/>
        <v>0</v>
      </c>
      <c r="Q3522" s="738"/>
      <c r="R3522" s="738"/>
      <c r="S3522" s="738"/>
      <c r="T3522" s="739">
        <v>1100121</v>
      </c>
      <c r="U3522" s="745"/>
      <c r="V3522" s="739">
        <v>1100122</v>
      </c>
    </row>
    <row r="3523" spans="1:22" ht="15" x14ac:dyDescent="0.2">
      <c r="A3523" s="734">
        <v>2911</v>
      </c>
      <c r="B3523" s="735" t="s">
        <v>60</v>
      </c>
      <c r="C3523" s="736">
        <v>14043.04</v>
      </c>
      <c r="D3523" s="736">
        <v>15000</v>
      </c>
      <c r="E3523" s="749">
        <v>15000</v>
      </c>
      <c r="F3523" s="736">
        <v>14578.37</v>
      </c>
      <c r="G3523" s="752">
        <v>15000</v>
      </c>
      <c r="H3523" s="752"/>
      <c r="I3523" s="752"/>
      <c r="J3523" s="736">
        <f t="shared" si="1107"/>
        <v>15000</v>
      </c>
      <c r="K3523" s="752"/>
      <c r="L3523" s="752"/>
      <c r="M3523" s="736">
        <f t="shared" si="1105"/>
        <v>15000</v>
      </c>
      <c r="N3523" s="736"/>
      <c r="O3523" s="736"/>
      <c r="P3523" s="736">
        <f t="shared" si="1106"/>
        <v>15000</v>
      </c>
      <c r="Q3523" s="753">
        <v>15000</v>
      </c>
      <c r="R3523" s="738">
        <v>13147.8</v>
      </c>
      <c r="S3523" s="753">
        <v>25000</v>
      </c>
      <c r="T3523" s="739">
        <v>1100121</v>
      </c>
      <c r="U3523" s="740">
        <v>15000</v>
      </c>
      <c r="V3523" s="741">
        <v>1100122</v>
      </c>
    </row>
    <row r="3524" spans="1:22" ht="15" x14ac:dyDescent="0.2">
      <c r="A3524" s="734">
        <v>3141</v>
      </c>
      <c r="B3524" s="735" t="s">
        <v>48</v>
      </c>
      <c r="C3524" s="736">
        <v>39639.81</v>
      </c>
      <c r="D3524" s="736">
        <v>50000</v>
      </c>
      <c r="E3524" s="749">
        <v>45000</v>
      </c>
      <c r="F3524" s="736">
        <v>39802.18</v>
      </c>
      <c r="G3524" s="752">
        <v>45000</v>
      </c>
      <c r="H3524" s="752"/>
      <c r="I3524" s="752"/>
      <c r="J3524" s="736">
        <f t="shared" si="1107"/>
        <v>45000</v>
      </c>
      <c r="K3524" s="752"/>
      <c r="L3524" s="752"/>
      <c r="M3524" s="736">
        <f t="shared" si="1105"/>
        <v>45000</v>
      </c>
      <c r="N3524" s="736"/>
      <c r="O3524" s="736"/>
      <c r="P3524" s="736">
        <f t="shared" si="1106"/>
        <v>45000</v>
      </c>
      <c r="Q3524" s="753">
        <v>45000</v>
      </c>
      <c r="R3524" s="738">
        <v>30503.49</v>
      </c>
      <c r="S3524" s="753"/>
      <c r="T3524" s="739">
        <v>1100121</v>
      </c>
      <c r="U3524" s="746">
        <v>43000</v>
      </c>
      <c r="V3524" s="741">
        <v>1100122</v>
      </c>
    </row>
    <row r="3525" spans="1:22" ht="15" x14ac:dyDescent="0.2">
      <c r="A3525" s="734">
        <v>3381</v>
      </c>
      <c r="B3525" s="735" t="s">
        <v>64</v>
      </c>
      <c r="C3525" s="736">
        <v>91777.34</v>
      </c>
      <c r="D3525" s="736">
        <v>660000</v>
      </c>
      <c r="E3525" s="749">
        <v>127795</v>
      </c>
      <c r="F3525" s="736">
        <v>12156.8</v>
      </c>
      <c r="G3525" s="736"/>
      <c r="H3525" s="789"/>
      <c r="I3525" s="736"/>
      <c r="J3525" s="736">
        <f t="shared" si="1107"/>
        <v>0</v>
      </c>
      <c r="K3525" s="789">
        <v>240000</v>
      </c>
      <c r="L3525" s="736"/>
      <c r="M3525" s="736">
        <f t="shared" si="1105"/>
        <v>240000</v>
      </c>
      <c r="N3525" s="736"/>
      <c r="O3525" s="736"/>
      <c r="P3525" s="736">
        <f t="shared" si="1106"/>
        <v>240000</v>
      </c>
      <c r="Q3525" s="738">
        <v>4000</v>
      </c>
      <c r="R3525" s="738">
        <v>3572.8</v>
      </c>
      <c r="S3525" s="738"/>
      <c r="T3525" s="739">
        <v>1100121</v>
      </c>
      <c r="U3525" s="746">
        <v>382000</v>
      </c>
      <c r="V3525" s="741">
        <v>1100122</v>
      </c>
    </row>
    <row r="3526" spans="1:22" ht="15" x14ac:dyDescent="0.2">
      <c r="A3526" s="734">
        <v>3511</v>
      </c>
      <c r="B3526" s="735" t="s">
        <v>49</v>
      </c>
      <c r="C3526" s="736">
        <v>90627.32</v>
      </c>
      <c r="D3526" s="736">
        <v>260000</v>
      </c>
      <c r="E3526" s="749">
        <v>190571</v>
      </c>
      <c r="F3526" s="736">
        <v>188158.84</v>
      </c>
      <c r="G3526" s="736"/>
      <c r="H3526" s="736">
        <v>0</v>
      </c>
      <c r="I3526" s="736"/>
      <c r="J3526" s="736">
        <f t="shared" si="1107"/>
        <v>0</v>
      </c>
      <c r="K3526" s="736">
        <v>20000</v>
      </c>
      <c r="L3526" s="736"/>
      <c r="M3526" s="736">
        <f t="shared" si="1105"/>
        <v>20000</v>
      </c>
      <c r="N3526" s="736"/>
      <c r="O3526" s="736"/>
      <c r="P3526" s="736">
        <f t="shared" si="1106"/>
        <v>20000</v>
      </c>
      <c r="Q3526" s="738">
        <v>20000</v>
      </c>
      <c r="R3526" s="738">
        <v>18889.849999999999</v>
      </c>
      <c r="S3526" s="738">
        <v>50000</v>
      </c>
      <c r="T3526" s="739">
        <v>1100121</v>
      </c>
      <c r="U3526" s="740">
        <v>50000</v>
      </c>
      <c r="V3526" s="741">
        <v>1100122</v>
      </c>
    </row>
    <row r="3527" spans="1:22" ht="15" x14ac:dyDescent="0.2">
      <c r="A3527" s="734">
        <v>3551</v>
      </c>
      <c r="B3527" s="735" t="s">
        <v>30</v>
      </c>
      <c r="C3527" s="736">
        <v>6960.84</v>
      </c>
      <c r="D3527" s="736">
        <v>40000</v>
      </c>
      <c r="E3527" s="749">
        <v>30000</v>
      </c>
      <c r="F3527" s="736">
        <v>29709.200000000001</v>
      </c>
      <c r="G3527" s="752">
        <v>40000</v>
      </c>
      <c r="H3527" s="752"/>
      <c r="I3527" s="752"/>
      <c r="J3527" s="736">
        <f t="shared" si="1107"/>
        <v>40000</v>
      </c>
      <c r="K3527" s="752"/>
      <c r="L3527" s="752"/>
      <c r="M3527" s="736">
        <f t="shared" si="1105"/>
        <v>40000</v>
      </c>
      <c r="N3527" s="736"/>
      <c r="O3527" s="736"/>
      <c r="P3527" s="736">
        <f t="shared" si="1106"/>
        <v>40000</v>
      </c>
      <c r="Q3527" s="753">
        <v>40000</v>
      </c>
      <c r="R3527" s="738">
        <v>15632.8</v>
      </c>
      <c r="S3527" s="738">
        <f>Q3527</f>
        <v>40000</v>
      </c>
      <c r="T3527" s="739">
        <v>1100121</v>
      </c>
      <c r="U3527" s="746">
        <v>25000</v>
      </c>
      <c r="V3527" s="741">
        <v>1100122</v>
      </c>
    </row>
    <row r="3528" spans="1:22" ht="15" x14ac:dyDescent="0.2">
      <c r="A3528" s="739">
        <v>3571</v>
      </c>
      <c r="B3528" s="743" t="s">
        <v>65</v>
      </c>
      <c r="C3528" s="736"/>
      <c r="D3528" s="736">
        <v>20000</v>
      </c>
      <c r="E3528" s="749">
        <v>20000</v>
      </c>
      <c r="F3528" s="736">
        <v>16624.03</v>
      </c>
      <c r="G3528" s="736"/>
      <c r="H3528" s="736"/>
      <c r="I3528" s="736"/>
      <c r="J3528" s="736">
        <f t="shared" si="1107"/>
        <v>0</v>
      </c>
      <c r="K3528" s="736">
        <v>20000</v>
      </c>
      <c r="L3528" s="736"/>
      <c r="M3528" s="736">
        <f t="shared" si="1105"/>
        <v>20000</v>
      </c>
      <c r="N3528" s="736"/>
      <c r="O3528" s="736"/>
      <c r="P3528" s="736">
        <f t="shared" si="1106"/>
        <v>20000</v>
      </c>
      <c r="Q3528" s="738">
        <v>20000</v>
      </c>
      <c r="R3528" s="738">
        <v>19223.52</v>
      </c>
      <c r="S3528" s="738"/>
      <c r="T3528" s="739">
        <v>1100121</v>
      </c>
      <c r="U3528" s="745"/>
      <c r="V3528" s="739">
        <v>1100122</v>
      </c>
    </row>
    <row r="3529" spans="1:22" ht="15" x14ac:dyDescent="0.2">
      <c r="A3529" s="734">
        <v>3612</v>
      </c>
      <c r="B3529" s="735" t="s">
        <v>188</v>
      </c>
      <c r="C3529" s="736"/>
      <c r="D3529" s="736">
        <v>20000</v>
      </c>
      <c r="E3529" s="749">
        <v>20000</v>
      </c>
      <c r="F3529" s="736">
        <v>19529.2</v>
      </c>
      <c r="G3529" s="752">
        <v>15000</v>
      </c>
      <c r="H3529" s="752"/>
      <c r="I3529" s="752"/>
      <c r="J3529" s="736">
        <f t="shared" si="1107"/>
        <v>15000</v>
      </c>
      <c r="K3529" s="752"/>
      <c r="L3529" s="752"/>
      <c r="M3529" s="736">
        <f t="shared" si="1105"/>
        <v>15000</v>
      </c>
      <c r="N3529" s="736"/>
      <c r="O3529" s="736"/>
      <c r="P3529" s="736">
        <f t="shared" si="1106"/>
        <v>15000</v>
      </c>
      <c r="Q3529" s="753">
        <v>15000</v>
      </c>
      <c r="R3529" s="738">
        <v>12427.19</v>
      </c>
      <c r="S3529" s="753">
        <v>50000</v>
      </c>
      <c r="T3529" s="739">
        <v>1100121</v>
      </c>
      <c r="U3529" s="740">
        <v>50000</v>
      </c>
      <c r="V3529" s="741">
        <v>1100122</v>
      </c>
    </row>
    <row r="3530" spans="1:22" ht="15" x14ac:dyDescent="0.2">
      <c r="A3530" s="734">
        <v>3921</v>
      </c>
      <c r="B3530" s="735" t="s">
        <v>33</v>
      </c>
      <c r="C3530" s="736">
        <v>4465.08</v>
      </c>
      <c r="D3530" s="736">
        <v>6240</v>
      </c>
      <c r="E3530" s="749">
        <v>6240</v>
      </c>
      <c r="F3530" s="736">
        <v>3418.94</v>
      </c>
      <c r="G3530" s="752">
        <v>3500</v>
      </c>
      <c r="H3530" s="752"/>
      <c r="I3530" s="752"/>
      <c r="J3530" s="736">
        <f t="shared" si="1107"/>
        <v>3500</v>
      </c>
      <c r="K3530" s="752"/>
      <c r="L3530" s="752"/>
      <c r="M3530" s="736">
        <f t="shared" si="1105"/>
        <v>3500</v>
      </c>
      <c r="N3530" s="736"/>
      <c r="O3530" s="736"/>
      <c r="P3530" s="736">
        <f t="shared" si="1106"/>
        <v>3500</v>
      </c>
      <c r="Q3530" s="753">
        <v>6838</v>
      </c>
      <c r="R3530" s="738">
        <v>6837.88</v>
      </c>
      <c r="S3530" s="753">
        <v>10000</v>
      </c>
      <c r="T3530" s="739">
        <v>1100121</v>
      </c>
      <c r="U3530" s="746">
        <v>10776</v>
      </c>
      <c r="V3530" s="741">
        <v>1100122</v>
      </c>
    </row>
    <row r="3531" spans="1:22" ht="15" x14ac:dyDescent="0.2">
      <c r="A3531" s="739">
        <v>3921</v>
      </c>
      <c r="B3531" s="743" t="s">
        <v>33</v>
      </c>
      <c r="C3531" s="736"/>
      <c r="D3531" s="736"/>
      <c r="E3531" s="749"/>
      <c r="F3531" s="736"/>
      <c r="G3531" s="752"/>
      <c r="H3531" s="752"/>
      <c r="I3531" s="752"/>
      <c r="J3531" s="736"/>
      <c r="K3531" s="752"/>
      <c r="L3531" s="752"/>
      <c r="M3531" s="736"/>
      <c r="N3531" s="736"/>
      <c r="O3531" s="736"/>
      <c r="P3531" s="736"/>
      <c r="Q3531" s="753"/>
      <c r="R3531" s="738"/>
      <c r="S3531" s="753">
        <v>8755.24</v>
      </c>
      <c r="T3531" s="739"/>
      <c r="U3531" s="745"/>
      <c r="V3531" s="739"/>
    </row>
    <row r="3532" spans="1:22" ht="15" x14ac:dyDescent="0.2">
      <c r="A3532" s="739">
        <v>5111</v>
      </c>
      <c r="B3532" s="743" t="s">
        <v>35</v>
      </c>
      <c r="C3532" s="736"/>
      <c r="D3532" s="736">
        <v>20000</v>
      </c>
      <c r="E3532" s="749">
        <v>20000</v>
      </c>
      <c r="F3532" s="736">
        <v>0</v>
      </c>
      <c r="G3532" s="736"/>
      <c r="H3532" s="736"/>
      <c r="I3532" s="736"/>
      <c r="J3532" s="736">
        <f t="shared" ref="J3532:J3534" si="1108">G3532+H3532-I3532</f>
        <v>0</v>
      </c>
      <c r="K3532" s="736"/>
      <c r="L3532" s="736"/>
      <c r="M3532" s="736">
        <f t="shared" ref="M3532:M3534" si="1109">J3532+K3532-L3532</f>
        <v>0</v>
      </c>
      <c r="N3532" s="736"/>
      <c r="O3532" s="736"/>
      <c r="P3532" s="738">
        <f t="shared" ref="P3532:P3536" si="1110">M3532+N3532-O3532</f>
        <v>0</v>
      </c>
      <c r="Q3532" s="738"/>
      <c r="R3532" s="738"/>
      <c r="S3532" s="738"/>
      <c r="T3532" s="739">
        <v>1100121</v>
      </c>
      <c r="U3532" s="745"/>
      <c r="V3532" s="739">
        <v>1100122</v>
      </c>
    </row>
    <row r="3533" spans="1:22" ht="15" x14ac:dyDescent="0.2">
      <c r="A3533" s="739">
        <v>5491</v>
      </c>
      <c r="B3533" s="743" t="s">
        <v>1735</v>
      </c>
      <c r="C3533" s="736"/>
      <c r="D3533" s="736">
        <v>0</v>
      </c>
      <c r="E3533" s="749">
        <v>85930.72</v>
      </c>
      <c r="F3533" s="736">
        <v>51000</v>
      </c>
      <c r="G3533" s="736"/>
      <c r="H3533" s="736"/>
      <c r="I3533" s="736"/>
      <c r="J3533" s="736">
        <f t="shared" si="1108"/>
        <v>0</v>
      </c>
      <c r="K3533" s="736"/>
      <c r="L3533" s="736"/>
      <c r="M3533" s="736">
        <f t="shared" si="1109"/>
        <v>0</v>
      </c>
      <c r="N3533" s="736"/>
      <c r="O3533" s="736"/>
      <c r="P3533" s="738">
        <f t="shared" si="1110"/>
        <v>0</v>
      </c>
      <c r="Q3533" s="738"/>
      <c r="R3533" s="738"/>
      <c r="S3533" s="738"/>
      <c r="T3533" s="739">
        <v>1100120</v>
      </c>
      <c r="U3533" s="745"/>
      <c r="V3533" s="739">
        <v>1100120</v>
      </c>
    </row>
    <row r="3534" spans="1:22" ht="15" x14ac:dyDescent="0.2">
      <c r="A3534" s="734">
        <v>5611</v>
      </c>
      <c r="B3534" s="735" t="s">
        <v>311</v>
      </c>
      <c r="C3534" s="736">
        <v>235254.36</v>
      </c>
      <c r="D3534" s="736">
        <v>100000</v>
      </c>
      <c r="E3534" s="749">
        <v>24569.279999999999</v>
      </c>
      <c r="F3534" s="736">
        <v>24569.279999999999</v>
      </c>
      <c r="G3534" s="736"/>
      <c r="H3534" s="789"/>
      <c r="I3534" s="736"/>
      <c r="J3534" s="736">
        <f t="shared" si="1108"/>
        <v>0</v>
      </c>
      <c r="K3534" s="789">
        <v>70000</v>
      </c>
      <c r="L3534" s="736"/>
      <c r="M3534" s="736">
        <f t="shared" si="1109"/>
        <v>70000</v>
      </c>
      <c r="N3534" s="736"/>
      <c r="O3534" s="736"/>
      <c r="P3534" s="736">
        <f t="shared" si="1110"/>
        <v>70000</v>
      </c>
      <c r="Q3534" s="738">
        <v>68882.990000000005</v>
      </c>
      <c r="R3534" s="738"/>
      <c r="S3534" s="738">
        <v>100000</v>
      </c>
      <c r="T3534" s="739">
        <v>1100121</v>
      </c>
      <c r="U3534" s="746">
        <v>100000</v>
      </c>
      <c r="V3534" s="741">
        <v>1100122</v>
      </c>
    </row>
    <row r="3535" spans="1:22" ht="15" x14ac:dyDescent="0.2">
      <c r="A3535" s="739">
        <v>5611</v>
      </c>
      <c r="B3535" s="743" t="s">
        <v>311</v>
      </c>
      <c r="C3535" s="736"/>
      <c r="D3535" s="736"/>
      <c r="E3535" s="749"/>
      <c r="F3535" s="736"/>
      <c r="G3535" s="736"/>
      <c r="H3535" s="789"/>
      <c r="I3535" s="736"/>
      <c r="J3535" s="736"/>
      <c r="K3535" s="789"/>
      <c r="L3535" s="736"/>
      <c r="M3535" s="736"/>
      <c r="N3535" s="736"/>
      <c r="O3535" s="736"/>
      <c r="P3535" s="738">
        <f t="shared" si="1110"/>
        <v>0</v>
      </c>
      <c r="Q3535" s="738"/>
      <c r="R3535" s="738"/>
      <c r="S3535" s="738"/>
      <c r="T3535" s="739">
        <v>1100121</v>
      </c>
      <c r="U3535" s="745"/>
      <c r="V3535" s="739">
        <v>1100122</v>
      </c>
    </row>
    <row r="3536" spans="1:22" ht="15" x14ac:dyDescent="0.2">
      <c r="A3536" s="739">
        <v>5641</v>
      </c>
      <c r="B3536" s="743" t="s">
        <v>124</v>
      </c>
      <c r="C3536" s="736">
        <v>17980</v>
      </c>
      <c r="D3536" s="736"/>
      <c r="E3536" s="736"/>
      <c r="F3536" s="736"/>
      <c r="G3536" s="736"/>
      <c r="H3536" s="736"/>
      <c r="I3536" s="736"/>
      <c r="J3536" s="736">
        <f>G3536+H3536-I3536</f>
        <v>0</v>
      </c>
      <c r="K3536" s="736"/>
      <c r="L3536" s="736"/>
      <c r="M3536" s="736">
        <f>J3536+K3536-L3536</f>
        <v>0</v>
      </c>
      <c r="N3536" s="736"/>
      <c r="O3536" s="736"/>
      <c r="P3536" s="738">
        <f t="shared" si="1110"/>
        <v>0</v>
      </c>
      <c r="Q3536" s="738"/>
      <c r="R3536" s="738"/>
      <c r="S3536" s="738"/>
      <c r="T3536" s="739"/>
      <c r="U3536" s="745"/>
      <c r="V3536" s="739"/>
    </row>
    <row r="3537" spans="1:22" ht="15" x14ac:dyDescent="0.2">
      <c r="A3537" s="728" t="s">
        <v>367</v>
      </c>
      <c r="B3537" s="729" t="s">
        <v>1595</v>
      </c>
      <c r="C3537" s="730">
        <f>SUM(C3538:C3584)</f>
        <v>3320243.0899999994</v>
      </c>
      <c r="D3537" s="730">
        <f t="shared" ref="D3537:I3537" si="1111">SUM(D3538:D3583)</f>
        <v>3126426.92</v>
      </c>
      <c r="E3537" s="730">
        <f t="shared" si="1111"/>
        <v>3440618.9799999995</v>
      </c>
      <c r="F3537" s="730">
        <f t="shared" si="1111"/>
        <v>3094285.1099999989</v>
      </c>
      <c r="G3537" s="730">
        <f t="shared" si="1111"/>
        <v>2806083.4000000004</v>
      </c>
      <c r="H3537" s="730">
        <f t="shared" si="1111"/>
        <v>196156.4</v>
      </c>
      <c r="I3537" s="730">
        <f t="shared" si="1111"/>
        <v>0</v>
      </c>
      <c r="J3537" s="730">
        <f>SUM(J3538:J3584)</f>
        <v>3002239.8000000003</v>
      </c>
      <c r="K3537" s="730">
        <f t="shared" ref="K3537:L3537" si="1112">SUM(K3538:K3583)</f>
        <v>230781.75</v>
      </c>
      <c r="L3537" s="730">
        <f t="shared" si="1112"/>
        <v>54272.24</v>
      </c>
      <c r="M3537" s="730">
        <f t="shared" ref="M3537:P3537" si="1113">SUM(M3538:M3584)</f>
        <v>3178749.3099999996</v>
      </c>
      <c r="N3537" s="730">
        <f t="shared" si="1113"/>
        <v>144000</v>
      </c>
      <c r="O3537" s="730">
        <f t="shared" si="1113"/>
        <v>159000</v>
      </c>
      <c r="P3537" s="730">
        <f t="shared" si="1113"/>
        <v>3163749.3099999996</v>
      </c>
      <c r="Q3537" s="748">
        <f t="shared" ref="Q3537:S3537" si="1114">SUM(Q3538:Q3583)</f>
        <v>3218820.13</v>
      </c>
      <c r="R3537" s="748">
        <f t="shared" si="1114"/>
        <v>2141112.7600000007</v>
      </c>
      <c r="S3537" s="748">
        <f t="shared" si="1114"/>
        <v>3396634.55</v>
      </c>
      <c r="T3537" s="731"/>
      <c r="U3537" s="732">
        <f>SUM(U3538:U3584)</f>
        <v>3353141.51</v>
      </c>
      <c r="V3537" s="733"/>
    </row>
    <row r="3538" spans="1:22" ht="15" x14ac:dyDescent="0.25">
      <c r="A3538" s="734">
        <v>1132</v>
      </c>
      <c r="B3538" s="735" t="s">
        <v>8</v>
      </c>
      <c r="C3538" s="736">
        <v>1203650.6399999999</v>
      </c>
      <c r="D3538" s="736">
        <v>1273432.1599999999</v>
      </c>
      <c r="E3538" s="749">
        <v>1164500.1599999999</v>
      </c>
      <c r="F3538" s="736">
        <v>1199850.56</v>
      </c>
      <c r="G3538" s="736">
        <v>1066363.5</v>
      </c>
      <c r="H3538" s="736"/>
      <c r="I3538" s="736"/>
      <c r="J3538" s="736">
        <f>G3538+H3538-I3538</f>
        <v>1066363.5</v>
      </c>
      <c r="K3538" s="736">
        <v>31989.58</v>
      </c>
      <c r="L3538" s="736"/>
      <c r="M3538" s="736">
        <f t="shared" ref="M3538:M3570" si="1115">J3538+K3538-L3538</f>
        <v>1098353.08</v>
      </c>
      <c r="N3538" s="736"/>
      <c r="O3538" s="736"/>
      <c r="P3538" s="736">
        <f t="shared" ref="P3538:P3584" si="1116">M3538+N3538-O3538</f>
        <v>1098353.08</v>
      </c>
      <c r="Q3538" s="738">
        <v>1098353.08</v>
      </c>
      <c r="R3538" s="738">
        <v>790244.5</v>
      </c>
      <c r="S3538" s="751">
        <v>1358266</v>
      </c>
      <c r="T3538" s="739">
        <v>1500521</v>
      </c>
      <c r="U3538" s="779">
        <v>1152314.6299999999</v>
      </c>
      <c r="V3538" s="741">
        <v>1500522</v>
      </c>
    </row>
    <row r="3539" spans="1:22" ht="15" x14ac:dyDescent="0.25">
      <c r="A3539" s="739">
        <v>1212</v>
      </c>
      <c r="B3539" s="743" t="s">
        <v>53</v>
      </c>
      <c r="C3539" s="736"/>
      <c r="D3539" s="736"/>
      <c r="E3539" s="749"/>
      <c r="F3539" s="736"/>
      <c r="G3539" s="736"/>
      <c r="H3539" s="736"/>
      <c r="I3539" s="736"/>
      <c r="J3539" s="736"/>
      <c r="K3539" s="736"/>
      <c r="L3539" s="736"/>
      <c r="M3539" s="736">
        <f t="shared" si="1115"/>
        <v>0</v>
      </c>
      <c r="N3539" s="736"/>
      <c r="O3539" s="736"/>
      <c r="P3539" s="738">
        <f t="shared" si="1116"/>
        <v>0</v>
      </c>
      <c r="Q3539" s="738"/>
      <c r="R3539" s="738"/>
      <c r="S3539" s="751"/>
      <c r="T3539" s="739"/>
      <c r="U3539" s="780"/>
      <c r="V3539" s="739"/>
    </row>
    <row r="3540" spans="1:22" ht="15" x14ac:dyDescent="0.25">
      <c r="A3540" s="734">
        <v>1321</v>
      </c>
      <c r="B3540" s="735" t="s">
        <v>9</v>
      </c>
      <c r="C3540" s="736">
        <v>57923.01</v>
      </c>
      <c r="D3540" s="736">
        <v>66701.759999999995</v>
      </c>
      <c r="E3540" s="749">
        <v>53821.760000000002</v>
      </c>
      <c r="F3540" s="736">
        <v>53669.61</v>
      </c>
      <c r="G3540" s="736">
        <v>54383.5</v>
      </c>
      <c r="H3540" s="736"/>
      <c r="I3540" s="736"/>
      <c r="J3540" s="736">
        <f t="shared" ref="J3540:J3557" si="1117">G3540+H3540-I3540</f>
        <v>54383.5</v>
      </c>
      <c r="K3540" s="737">
        <v>1088.22</v>
      </c>
      <c r="L3540" s="736"/>
      <c r="M3540" s="736">
        <f t="shared" si="1115"/>
        <v>55471.72</v>
      </c>
      <c r="N3540" s="736"/>
      <c r="O3540" s="736"/>
      <c r="P3540" s="736">
        <f t="shared" si="1116"/>
        <v>55471.72</v>
      </c>
      <c r="Q3540" s="738">
        <v>55471.72</v>
      </c>
      <c r="R3540" s="738">
        <v>25789.51</v>
      </c>
      <c r="S3540" s="751">
        <v>72639.86</v>
      </c>
      <c r="T3540" s="739">
        <v>1500521</v>
      </c>
      <c r="U3540" s="779">
        <v>61610.11</v>
      </c>
      <c r="V3540" s="741">
        <v>1500522</v>
      </c>
    </row>
    <row r="3541" spans="1:22" ht="15" x14ac:dyDescent="0.25">
      <c r="A3541" s="734">
        <v>1322</v>
      </c>
      <c r="B3541" s="735" t="s">
        <v>182</v>
      </c>
      <c r="C3541" s="736">
        <v>4547.38</v>
      </c>
      <c r="D3541" s="736">
        <v>8000</v>
      </c>
      <c r="E3541" s="749">
        <v>90908.64</v>
      </c>
      <c r="F3541" s="736">
        <v>1330.74</v>
      </c>
      <c r="G3541" s="736">
        <v>90908.700000000012</v>
      </c>
      <c r="H3541" s="736"/>
      <c r="I3541" s="736"/>
      <c r="J3541" s="736">
        <f t="shared" si="1117"/>
        <v>90908.700000000012</v>
      </c>
      <c r="K3541" s="736"/>
      <c r="L3541" s="736">
        <v>0.06</v>
      </c>
      <c r="M3541" s="736">
        <f t="shared" si="1115"/>
        <v>90908.640000000014</v>
      </c>
      <c r="N3541" s="736"/>
      <c r="O3541" s="736"/>
      <c r="P3541" s="736">
        <f t="shared" si="1116"/>
        <v>90908.640000000014</v>
      </c>
      <c r="Q3541" s="738">
        <v>90908.64</v>
      </c>
      <c r="R3541" s="738"/>
      <c r="S3541" s="751">
        <v>90908.64</v>
      </c>
      <c r="T3541" s="739">
        <v>1500521</v>
      </c>
      <c r="U3541" s="779">
        <v>90908.64</v>
      </c>
      <c r="V3541" s="741">
        <v>1500522</v>
      </c>
    </row>
    <row r="3542" spans="1:22" ht="15" x14ac:dyDescent="0.25">
      <c r="A3542" s="734">
        <v>1323</v>
      </c>
      <c r="B3542" s="735" t="s">
        <v>11</v>
      </c>
      <c r="C3542" s="736">
        <v>217260</v>
      </c>
      <c r="D3542" s="736">
        <v>222572</v>
      </c>
      <c r="E3542" s="749">
        <v>204420.04</v>
      </c>
      <c r="F3542" s="736">
        <v>196633.9</v>
      </c>
      <c r="G3542" s="736">
        <v>184299.5</v>
      </c>
      <c r="H3542" s="736"/>
      <c r="I3542" s="736"/>
      <c r="J3542" s="736">
        <f t="shared" si="1117"/>
        <v>184299.5</v>
      </c>
      <c r="K3542" s="736">
        <v>3553.41</v>
      </c>
      <c r="L3542" s="736"/>
      <c r="M3542" s="736">
        <f t="shared" si="1115"/>
        <v>187852.91</v>
      </c>
      <c r="N3542" s="736"/>
      <c r="O3542" s="736"/>
      <c r="P3542" s="736">
        <f t="shared" si="1116"/>
        <v>187852.91</v>
      </c>
      <c r="Q3542" s="738">
        <v>187852.91</v>
      </c>
      <c r="R3542" s="738">
        <v>140406</v>
      </c>
      <c r="S3542" s="751">
        <v>240978</v>
      </c>
      <c r="T3542" s="739">
        <v>1500521</v>
      </c>
      <c r="U3542" s="779">
        <v>190075.27</v>
      </c>
      <c r="V3542" s="741">
        <v>1500522</v>
      </c>
    </row>
    <row r="3543" spans="1:22" ht="15" x14ac:dyDescent="0.25">
      <c r="A3543" s="734">
        <v>1331</v>
      </c>
      <c r="B3543" s="735" t="s">
        <v>183</v>
      </c>
      <c r="C3543" s="736">
        <v>13979.46</v>
      </c>
      <c r="D3543" s="736">
        <v>25000</v>
      </c>
      <c r="E3543" s="749">
        <v>21246.93</v>
      </c>
      <c r="F3543" s="736">
        <v>5369.05</v>
      </c>
      <c r="G3543" s="736">
        <v>21247</v>
      </c>
      <c r="H3543" s="736"/>
      <c r="I3543" s="736"/>
      <c r="J3543" s="736">
        <f t="shared" si="1117"/>
        <v>21247</v>
      </c>
      <c r="K3543" s="736"/>
      <c r="L3543" s="736">
        <v>7.0000000000000007E-2</v>
      </c>
      <c r="M3543" s="736">
        <f t="shared" si="1115"/>
        <v>21246.93</v>
      </c>
      <c r="N3543" s="736"/>
      <c r="O3543" s="736"/>
      <c r="P3543" s="736">
        <f t="shared" si="1116"/>
        <v>21246.93</v>
      </c>
      <c r="Q3543" s="738">
        <v>21246.93</v>
      </c>
      <c r="R3543" s="738"/>
      <c r="S3543" s="751">
        <v>21246.93</v>
      </c>
      <c r="T3543" s="739">
        <v>1500521</v>
      </c>
      <c r="U3543" s="779">
        <v>21246.93</v>
      </c>
      <c r="V3543" s="741">
        <v>1500522</v>
      </c>
    </row>
    <row r="3544" spans="1:22" ht="15" x14ac:dyDescent="0.25">
      <c r="A3544" s="734">
        <v>1413</v>
      </c>
      <c r="B3544" s="735" t="s">
        <v>13</v>
      </c>
      <c r="C3544" s="736">
        <v>243225.89</v>
      </c>
      <c r="D3544" s="736">
        <v>270939.52000000002</v>
      </c>
      <c r="E3544" s="749">
        <v>264442.52</v>
      </c>
      <c r="F3544" s="736">
        <v>227434.02</v>
      </c>
      <c r="G3544" s="736">
        <v>244067.1</v>
      </c>
      <c r="H3544" s="736"/>
      <c r="I3544" s="736"/>
      <c r="J3544" s="736">
        <f t="shared" si="1117"/>
        <v>244067.1</v>
      </c>
      <c r="K3544" s="736">
        <v>5409.99</v>
      </c>
      <c r="L3544" s="736"/>
      <c r="M3544" s="736">
        <f t="shared" si="1115"/>
        <v>249477.09</v>
      </c>
      <c r="N3544" s="736"/>
      <c r="O3544" s="736"/>
      <c r="P3544" s="736">
        <f t="shared" si="1116"/>
        <v>249477.09</v>
      </c>
      <c r="Q3544" s="738">
        <v>249477.09</v>
      </c>
      <c r="R3544" s="738">
        <v>176811.11</v>
      </c>
      <c r="S3544" s="751">
        <v>358964.28</v>
      </c>
      <c r="T3544" s="739">
        <v>1500521</v>
      </c>
      <c r="U3544" s="779">
        <v>297006.39</v>
      </c>
      <c r="V3544" s="741">
        <v>1500522</v>
      </c>
    </row>
    <row r="3545" spans="1:22" ht="15" x14ac:dyDescent="0.25">
      <c r="A3545" s="734">
        <v>1421</v>
      </c>
      <c r="B3545" s="735" t="s">
        <v>15</v>
      </c>
      <c r="C3545" s="736">
        <v>79674.259999999995</v>
      </c>
      <c r="D3545" s="736">
        <v>86138.92</v>
      </c>
      <c r="E3545" s="749">
        <v>68167.92</v>
      </c>
      <c r="F3545" s="736">
        <v>72664.45</v>
      </c>
      <c r="G3545" s="736">
        <v>73595.100000000006</v>
      </c>
      <c r="H3545" s="736"/>
      <c r="I3545" s="736"/>
      <c r="J3545" s="736">
        <f t="shared" si="1117"/>
        <v>73595.100000000006</v>
      </c>
      <c r="K3545" s="736">
        <v>1471.65</v>
      </c>
      <c r="L3545" s="736"/>
      <c r="M3545" s="736">
        <f t="shared" si="1115"/>
        <v>75066.75</v>
      </c>
      <c r="N3545" s="736"/>
      <c r="O3545" s="736"/>
      <c r="P3545" s="736">
        <f t="shared" si="1116"/>
        <v>75066.75</v>
      </c>
      <c r="Q3545" s="738">
        <v>75066.75</v>
      </c>
      <c r="R3545" s="738">
        <v>48978.28</v>
      </c>
      <c r="S3545" s="751">
        <v>100220.16</v>
      </c>
      <c r="T3545" s="739">
        <v>1500521</v>
      </c>
      <c r="U3545" s="779">
        <v>89831.94</v>
      </c>
      <c r="V3545" s="741">
        <v>1500522</v>
      </c>
    </row>
    <row r="3546" spans="1:22" ht="15" x14ac:dyDescent="0.25">
      <c r="A3546" s="734">
        <v>1431</v>
      </c>
      <c r="B3546" s="735" t="s">
        <v>16</v>
      </c>
      <c r="C3546" s="736">
        <v>85071.22</v>
      </c>
      <c r="D3546" s="736">
        <v>88723</v>
      </c>
      <c r="E3546" s="749">
        <v>71289</v>
      </c>
      <c r="F3546" s="736">
        <v>76568.160000000003</v>
      </c>
      <c r="G3546" s="736">
        <v>75802.8</v>
      </c>
      <c r="H3546" s="736"/>
      <c r="I3546" s="736"/>
      <c r="J3546" s="736">
        <f t="shared" si="1117"/>
        <v>75802.8</v>
      </c>
      <c r="K3546" s="736">
        <v>1500.67</v>
      </c>
      <c r="L3546" s="736"/>
      <c r="M3546" s="736">
        <f t="shared" si="1115"/>
        <v>77303.47</v>
      </c>
      <c r="N3546" s="736"/>
      <c r="O3546" s="736"/>
      <c r="P3546" s="736">
        <f t="shared" si="1116"/>
        <v>77303.47</v>
      </c>
      <c r="Q3546" s="738">
        <v>77303.47</v>
      </c>
      <c r="R3546" s="738">
        <v>50664.37</v>
      </c>
      <c r="S3546" s="751">
        <v>103226.88</v>
      </c>
      <c r="T3546" s="739">
        <v>1500521</v>
      </c>
      <c r="U3546" s="779">
        <v>90996.89</v>
      </c>
      <c r="V3546" s="741">
        <v>1500522</v>
      </c>
    </row>
    <row r="3547" spans="1:22" ht="15" x14ac:dyDescent="0.25">
      <c r="A3547" s="734">
        <v>1511</v>
      </c>
      <c r="B3547" s="735" t="s">
        <v>18</v>
      </c>
      <c r="C3547" s="736">
        <v>30447.34</v>
      </c>
      <c r="D3547" s="736">
        <v>36498.28</v>
      </c>
      <c r="E3547" s="749">
        <v>28716.28</v>
      </c>
      <c r="F3547" s="736">
        <v>29596.73</v>
      </c>
      <c r="G3547" s="736">
        <v>26834.1</v>
      </c>
      <c r="H3547" s="736"/>
      <c r="I3547" s="736"/>
      <c r="J3547" s="736">
        <f t="shared" si="1117"/>
        <v>26834.1</v>
      </c>
      <c r="K3547" s="736">
        <v>515.4</v>
      </c>
      <c r="L3547" s="736"/>
      <c r="M3547" s="736">
        <f t="shared" si="1115"/>
        <v>27349.5</v>
      </c>
      <c r="N3547" s="736"/>
      <c r="O3547" s="736"/>
      <c r="P3547" s="736">
        <f t="shared" si="1116"/>
        <v>27349.5</v>
      </c>
      <c r="Q3547" s="738">
        <v>27349.5</v>
      </c>
      <c r="R3547" s="738">
        <v>19704.27</v>
      </c>
      <c r="S3547" s="751">
        <v>35085.96</v>
      </c>
      <c r="T3547" s="739">
        <v>1500521</v>
      </c>
      <c r="U3547" s="779">
        <v>28604.66</v>
      </c>
      <c r="V3547" s="741">
        <v>1500522</v>
      </c>
    </row>
    <row r="3548" spans="1:22" ht="15" x14ac:dyDescent="0.25">
      <c r="A3548" s="734">
        <v>1541</v>
      </c>
      <c r="B3548" s="735" t="s">
        <v>19</v>
      </c>
      <c r="C3548" s="736">
        <v>24722.03</v>
      </c>
      <c r="D3548" s="736">
        <v>25929.279999999999</v>
      </c>
      <c r="E3548" s="749">
        <v>14642.28</v>
      </c>
      <c r="F3548" s="736">
        <v>14735.48</v>
      </c>
      <c r="G3548" s="736">
        <v>6645.2000000000007</v>
      </c>
      <c r="H3548" s="736"/>
      <c r="I3548" s="736"/>
      <c r="J3548" s="736">
        <f t="shared" si="1117"/>
        <v>6645.2000000000007</v>
      </c>
      <c r="K3548" s="736">
        <v>252.83</v>
      </c>
      <c r="L3548" s="736"/>
      <c r="M3548" s="736">
        <f t="shared" si="1115"/>
        <v>6898.0300000000007</v>
      </c>
      <c r="N3548" s="736"/>
      <c r="O3548" s="736"/>
      <c r="P3548" s="736">
        <f t="shared" si="1116"/>
        <v>6898.0300000000007</v>
      </c>
      <c r="Q3548" s="738">
        <v>6898.03</v>
      </c>
      <c r="R3548" s="738">
        <v>3947.8</v>
      </c>
      <c r="S3548" s="751">
        <v>5382</v>
      </c>
      <c r="T3548" s="739">
        <v>1500521</v>
      </c>
      <c r="U3548" s="779">
        <v>6740.06</v>
      </c>
      <c r="V3548" s="741">
        <v>1500522</v>
      </c>
    </row>
    <row r="3549" spans="1:22" ht="15" x14ac:dyDescent="0.25">
      <c r="A3549" s="734">
        <v>1592</v>
      </c>
      <c r="B3549" s="735" t="s">
        <v>20</v>
      </c>
      <c r="C3549" s="736">
        <v>324460.92</v>
      </c>
      <c r="D3549" s="736">
        <v>346892</v>
      </c>
      <c r="E3549" s="749">
        <v>299474</v>
      </c>
      <c r="F3549" s="736">
        <v>308594.65999999997</v>
      </c>
      <c r="G3549" s="736">
        <v>275336.89999999997</v>
      </c>
      <c r="H3549" s="736"/>
      <c r="I3549" s="736"/>
      <c r="J3549" s="736">
        <f t="shared" si="1117"/>
        <v>275336.89999999997</v>
      </c>
      <c r="K3549" s="737"/>
      <c r="L3549" s="737">
        <v>4272.1099999999997</v>
      </c>
      <c r="M3549" s="736">
        <f t="shared" si="1115"/>
        <v>271064.78999999998</v>
      </c>
      <c r="N3549" s="736"/>
      <c r="O3549" s="736"/>
      <c r="P3549" s="736">
        <f t="shared" si="1116"/>
        <v>271064.78999999998</v>
      </c>
      <c r="Q3549" s="738">
        <v>292357.90999999997</v>
      </c>
      <c r="R3549" s="738">
        <v>197187.12</v>
      </c>
      <c r="S3549" s="751">
        <v>396053.84</v>
      </c>
      <c r="T3549" s="739">
        <v>1500521</v>
      </c>
      <c r="U3549" s="779">
        <v>289805.99</v>
      </c>
      <c r="V3549" s="741">
        <v>1500522</v>
      </c>
    </row>
    <row r="3550" spans="1:22" ht="15" x14ac:dyDescent="0.2">
      <c r="A3550" s="734">
        <v>2111</v>
      </c>
      <c r="B3550" s="735" t="s">
        <v>22</v>
      </c>
      <c r="C3550" s="736">
        <v>21390</v>
      </c>
      <c r="D3550" s="736">
        <v>15000</v>
      </c>
      <c r="E3550" s="749">
        <v>10500</v>
      </c>
      <c r="F3550" s="736">
        <v>8783.25</v>
      </c>
      <c r="G3550" s="752">
        <v>10500</v>
      </c>
      <c r="H3550" s="752"/>
      <c r="I3550" s="752"/>
      <c r="J3550" s="736">
        <f t="shared" si="1117"/>
        <v>10500</v>
      </c>
      <c r="K3550" s="752"/>
      <c r="L3550" s="752"/>
      <c r="M3550" s="736">
        <f t="shared" si="1115"/>
        <v>10500</v>
      </c>
      <c r="N3550" s="736"/>
      <c r="O3550" s="736"/>
      <c r="P3550" s="736">
        <f t="shared" si="1116"/>
        <v>10500</v>
      </c>
      <c r="Q3550" s="753">
        <v>8457.7000000000007</v>
      </c>
      <c r="R3550" s="738">
        <v>7579.82</v>
      </c>
      <c r="S3550" s="753">
        <v>11000</v>
      </c>
      <c r="T3550" s="739">
        <v>1100121</v>
      </c>
      <c r="U3550" s="740">
        <v>11000</v>
      </c>
      <c r="V3550" s="741">
        <v>1100122</v>
      </c>
    </row>
    <row r="3551" spans="1:22" ht="15" x14ac:dyDescent="0.2">
      <c r="A3551" s="739">
        <v>2112</v>
      </c>
      <c r="B3551" s="743" t="s">
        <v>39</v>
      </c>
      <c r="C3551" s="736">
        <v>99692.82</v>
      </c>
      <c r="D3551" s="736">
        <v>0</v>
      </c>
      <c r="E3551" s="749">
        <v>6356.8</v>
      </c>
      <c r="F3551" s="736">
        <v>6356.8</v>
      </c>
      <c r="G3551" s="736"/>
      <c r="H3551" s="736"/>
      <c r="I3551" s="736"/>
      <c r="J3551" s="736">
        <f t="shared" si="1117"/>
        <v>0</v>
      </c>
      <c r="K3551" s="736"/>
      <c r="L3551" s="736"/>
      <c r="M3551" s="736">
        <f t="shared" si="1115"/>
        <v>0</v>
      </c>
      <c r="N3551" s="736"/>
      <c r="O3551" s="736"/>
      <c r="P3551" s="738">
        <f t="shared" si="1116"/>
        <v>0</v>
      </c>
      <c r="Q3551" s="738"/>
      <c r="R3551" s="738"/>
      <c r="S3551" s="738"/>
      <c r="T3551" s="739">
        <v>1100119</v>
      </c>
      <c r="U3551" s="745"/>
      <c r="V3551" s="739">
        <v>1100119</v>
      </c>
    </row>
    <row r="3552" spans="1:22" ht="15" x14ac:dyDescent="0.2">
      <c r="A3552" s="739">
        <v>2112</v>
      </c>
      <c r="B3552" s="743" t="s">
        <v>39</v>
      </c>
      <c r="C3552" s="736"/>
      <c r="D3552" s="736">
        <v>40000</v>
      </c>
      <c r="E3552" s="749">
        <v>40000</v>
      </c>
      <c r="F3552" s="736">
        <v>30647.85</v>
      </c>
      <c r="G3552" s="736"/>
      <c r="H3552" s="736"/>
      <c r="I3552" s="736"/>
      <c r="J3552" s="736">
        <f t="shared" si="1117"/>
        <v>0</v>
      </c>
      <c r="K3552" s="736"/>
      <c r="L3552" s="736"/>
      <c r="M3552" s="736">
        <f t="shared" si="1115"/>
        <v>0</v>
      </c>
      <c r="N3552" s="736"/>
      <c r="O3552" s="736"/>
      <c r="P3552" s="738">
        <f t="shared" si="1116"/>
        <v>0</v>
      </c>
      <c r="Q3552" s="738"/>
      <c r="R3552" s="738"/>
      <c r="S3552" s="738"/>
      <c r="T3552" s="739">
        <v>1100121</v>
      </c>
      <c r="U3552" s="745"/>
      <c r="V3552" s="739">
        <v>1100122</v>
      </c>
    </row>
    <row r="3553" spans="1:22" ht="15" x14ac:dyDescent="0.2">
      <c r="A3553" s="734">
        <v>2121</v>
      </c>
      <c r="B3553" s="735" t="s">
        <v>24</v>
      </c>
      <c r="C3553" s="736">
        <v>3420</v>
      </c>
      <c r="D3553" s="736">
        <v>3600</v>
      </c>
      <c r="E3553" s="749">
        <v>3600</v>
      </c>
      <c r="F3553" s="736">
        <v>3074</v>
      </c>
      <c r="G3553" s="752">
        <v>3600</v>
      </c>
      <c r="H3553" s="752"/>
      <c r="I3553" s="752"/>
      <c r="J3553" s="736">
        <f t="shared" si="1117"/>
        <v>3600</v>
      </c>
      <c r="K3553" s="752"/>
      <c r="L3553" s="752"/>
      <c r="M3553" s="736">
        <f t="shared" si="1115"/>
        <v>3600</v>
      </c>
      <c r="N3553" s="736"/>
      <c r="O3553" s="736"/>
      <c r="P3553" s="736">
        <f t="shared" si="1116"/>
        <v>3600</v>
      </c>
      <c r="Q3553" s="753">
        <v>2758</v>
      </c>
      <c r="R3553" s="738">
        <v>2578</v>
      </c>
      <c r="S3553" s="753">
        <v>5000</v>
      </c>
      <c r="T3553" s="739">
        <v>1100121</v>
      </c>
      <c r="U3553" s="740">
        <v>5000</v>
      </c>
      <c r="V3553" s="741">
        <v>1100122</v>
      </c>
    </row>
    <row r="3554" spans="1:22" ht="15" x14ac:dyDescent="0.2">
      <c r="A3554" s="734">
        <v>2161</v>
      </c>
      <c r="B3554" s="735" t="s">
        <v>59</v>
      </c>
      <c r="C3554" s="736">
        <v>11435.82</v>
      </c>
      <c r="D3554" s="736">
        <v>10000</v>
      </c>
      <c r="E3554" s="749">
        <v>10000</v>
      </c>
      <c r="F3554" s="736">
        <v>9983.1200000000008</v>
      </c>
      <c r="G3554" s="752">
        <v>15000</v>
      </c>
      <c r="H3554" s="752"/>
      <c r="I3554" s="752"/>
      <c r="J3554" s="736">
        <f t="shared" si="1117"/>
        <v>15000</v>
      </c>
      <c r="K3554" s="752"/>
      <c r="L3554" s="752"/>
      <c r="M3554" s="736">
        <f t="shared" si="1115"/>
        <v>15000</v>
      </c>
      <c r="N3554" s="736"/>
      <c r="O3554" s="736"/>
      <c r="P3554" s="736">
        <f t="shared" si="1116"/>
        <v>15000</v>
      </c>
      <c r="Q3554" s="753">
        <v>15000</v>
      </c>
      <c r="R3554" s="738">
        <v>14571.27</v>
      </c>
      <c r="S3554" s="753">
        <v>20000</v>
      </c>
      <c r="T3554" s="739">
        <v>1100121</v>
      </c>
      <c r="U3554" s="740">
        <v>20000</v>
      </c>
      <c r="V3554" s="741">
        <v>1100122</v>
      </c>
    </row>
    <row r="3555" spans="1:22" ht="15" x14ac:dyDescent="0.2">
      <c r="A3555" s="734">
        <v>2212</v>
      </c>
      <c r="B3555" s="735" t="s">
        <v>40</v>
      </c>
      <c r="C3555" s="736">
        <v>6526.24</v>
      </c>
      <c r="D3555" s="736">
        <v>10000</v>
      </c>
      <c r="E3555" s="749">
        <v>10000</v>
      </c>
      <c r="F3555" s="736">
        <v>7437.54</v>
      </c>
      <c r="G3555" s="752">
        <v>5000</v>
      </c>
      <c r="H3555" s="752"/>
      <c r="I3555" s="752"/>
      <c r="J3555" s="736">
        <f t="shared" si="1117"/>
        <v>5000</v>
      </c>
      <c r="K3555" s="752"/>
      <c r="L3555" s="752"/>
      <c r="M3555" s="736">
        <f t="shared" si="1115"/>
        <v>5000</v>
      </c>
      <c r="N3555" s="736"/>
      <c r="O3555" s="736"/>
      <c r="P3555" s="736">
        <f t="shared" si="1116"/>
        <v>5000</v>
      </c>
      <c r="Q3555" s="753">
        <v>5000</v>
      </c>
      <c r="R3555" s="738">
        <v>3698.06</v>
      </c>
      <c r="S3555" s="753">
        <v>6000</v>
      </c>
      <c r="T3555" s="739">
        <v>1100121</v>
      </c>
      <c r="U3555" s="740">
        <v>5000</v>
      </c>
      <c r="V3555" s="741">
        <v>1100122</v>
      </c>
    </row>
    <row r="3556" spans="1:22" ht="15" x14ac:dyDescent="0.2">
      <c r="A3556" s="734">
        <v>2531</v>
      </c>
      <c r="B3556" s="735" t="s">
        <v>145</v>
      </c>
      <c r="C3556" s="736"/>
      <c r="D3556" s="736">
        <v>2000</v>
      </c>
      <c r="E3556" s="749">
        <v>2000</v>
      </c>
      <c r="F3556" s="736">
        <v>1598.32</v>
      </c>
      <c r="G3556" s="752">
        <v>2000</v>
      </c>
      <c r="H3556" s="752"/>
      <c r="I3556" s="752"/>
      <c r="J3556" s="736">
        <f t="shared" si="1117"/>
        <v>2000</v>
      </c>
      <c r="K3556" s="752"/>
      <c r="L3556" s="752"/>
      <c r="M3556" s="736">
        <f t="shared" si="1115"/>
        <v>2000</v>
      </c>
      <c r="N3556" s="736"/>
      <c r="O3556" s="736"/>
      <c r="P3556" s="736">
        <f t="shared" si="1116"/>
        <v>2000</v>
      </c>
      <c r="Q3556" s="753">
        <v>2000</v>
      </c>
      <c r="R3556" s="738">
        <v>141</v>
      </c>
      <c r="S3556" s="753">
        <v>3000</v>
      </c>
      <c r="T3556" s="739">
        <v>1100121</v>
      </c>
      <c r="U3556" s="740">
        <v>2000</v>
      </c>
      <c r="V3556" s="741">
        <v>1100122</v>
      </c>
    </row>
    <row r="3557" spans="1:22" ht="30" x14ac:dyDescent="0.2">
      <c r="A3557" s="734">
        <v>2612</v>
      </c>
      <c r="B3557" s="735" t="s">
        <v>26</v>
      </c>
      <c r="C3557" s="736">
        <v>349490.46</v>
      </c>
      <c r="D3557" s="736">
        <v>122000</v>
      </c>
      <c r="E3557" s="749">
        <v>100000</v>
      </c>
      <c r="F3557" s="736">
        <v>90222.88</v>
      </c>
      <c r="G3557" s="752">
        <v>130000</v>
      </c>
      <c r="H3557" s="752"/>
      <c r="I3557" s="752"/>
      <c r="J3557" s="736">
        <f t="shared" si="1117"/>
        <v>130000</v>
      </c>
      <c r="K3557" s="752"/>
      <c r="L3557" s="752">
        <v>50000</v>
      </c>
      <c r="M3557" s="736">
        <f t="shared" si="1115"/>
        <v>80000</v>
      </c>
      <c r="N3557" s="736">
        <v>10000</v>
      </c>
      <c r="O3557" s="736"/>
      <c r="P3557" s="736">
        <f t="shared" si="1116"/>
        <v>90000</v>
      </c>
      <c r="Q3557" s="753">
        <v>90000</v>
      </c>
      <c r="R3557" s="738">
        <v>88397.22</v>
      </c>
      <c r="S3557" s="738">
        <f>Q3557</f>
        <v>90000</v>
      </c>
      <c r="T3557" s="739">
        <v>1100121</v>
      </c>
      <c r="U3557" s="746">
        <v>130000</v>
      </c>
      <c r="V3557" s="741">
        <v>1100122</v>
      </c>
    </row>
    <row r="3558" spans="1:22" ht="15" x14ac:dyDescent="0.2">
      <c r="A3558" s="734">
        <v>2614</v>
      </c>
      <c r="B3558" s="735" t="s">
        <v>1763</v>
      </c>
      <c r="C3558" s="736"/>
      <c r="D3558" s="736"/>
      <c r="E3558" s="749"/>
      <c r="F3558" s="736"/>
      <c r="G3558" s="752"/>
      <c r="H3558" s="752"/>
      <c r="I3558" s="752"/>
      <c r="J3558" s="736"/>
      <c r="K3558" s="752">
        <v>95000</v>
      </c>
      <c r="L3558" s="752"/>
      <c r="M3558" s="736">
        <f t="shared" si="1115"/>
        <v>95000</v>
      </c>
      <c r="N3558" s="736">
        <v>5000</v>
      </c>
      <c r="O3558" s="736"/>
      <c r="P3558" s="736">
        <f t="shared" si="1116"/>
        <v>100000</v>
      </c>
      <c r="Q3558" s="753">
        <v>20000</v>
      </c>
      <c r="R3558" s="738"/>
      <c r="S3558" s="738">
        <f>Q3558</f>
        <v>20000</v>
      </c>
      <c r="T3558" s="739">
        <v>1100121</v>
      </c>
      <c r="U3558" s="746">
        <v>95000</v>
      </c>
      <c r="V3558" s="741">
        <v>1100122</v>
      </c>
    </row>
    <row r="3559" spans="1:22" ht="15" x14ac:dyDescent="0.2">
      <c r="A3559" s="739">
        <v>2711</v>
      </c>
      <c r="B3559" s="743" t="s">
        <v>27</v>
      </c>
      <c r="C3559" s="736">
        <v>9000</v>
      </c>
      <c r="D3559" s="736"/>
      <c r="E3559" s="736"/>
      <c r="F3559" s="736"/>
      <c r="G3559" s="752"/>
      <c r="H3559" s="752"/>
      <c r="I3559" s="752"/>
      <c r="J3559" s="736">
        <f t="shared" ref="J3559:J3570" si="1118">G3559+H3559-I3559</f>
        <v>0</v>
      </c>
      <c r="K3559" s="752"/>
      <c r="L3559" s="752"/>
      <c r="M3559" s="736">
        <f t="shared" si="1115"/>
        <v>0</v>
      </c>
      <c r="N3559" s="736"/>
      <c r="O3559" s="736"/>
      <c r="P3559" s="738">
        <f t="shared" si="1116"/>
        <v>0</v>
      </c>
      <c r="Q3559" s="753"/>
      <c r="R3559" s="738"/>
      <c r="S3559" s="753"/>
      <c r="T3559" s="739">
        <v>1100121</v>
      </c>
      <c r="U3559" s="745">
        <v>0</v>
      </c>
      <c r="V3559" s="739">
        <v>1100122</v>
      </c>
    </row>
    <row r="3560" spans="1:22" ht="15" x14ac:dyDescent="0.2">
      <c r="A3560" s="734">
        <v>2722</v>
      </c>
      <c r="B3560" s="735" t="s">
        <v>325</v>
      </c>
      <c r="C3560" s="736"/>
      <c r="D3560" s="736">
        <v>3000</v>
      </c>
      <c r="E3560" s="749">
        <v>10000</v>
      </c>
      <c r="F3560" s="736">
        <v>9097</v>
      </c>
      <c r="G3560" s="752">
        <v>10000</v>
      </c>
      <c r="H3560" s="752"/>
      <c r="I3560" s="752"/>
      <c r="J3560" s="736">
        <f t="shared" si="1118"/>
        <v>10000</v>
      </c>
      <c r="K3560" s="752"/>
      <c r="L3560" s="752"/>
      <c r="M3560" s="736">
        <f t="shared" si="1115"/>
        <v>10000</v>
      </c>
      <c r="N3560" s="736"/>
      <c r="O3560" s="736"/>
      <c r="P3560" s="736">
        <f t="shared" si="1116"/>
        <v>10000</v>
      </c>
      <c r="Q3560" s="753">
        <v>10000</v>
      </c>
      <c r="R3560" s="738">
        <v>9995.9500000000007</v>
      </c>
      <c r="S3560" s="753">
        <v>10000</v>
      </c>
      <c r="T3560" s="739">
        <v>1100121</v>
      </c>
      <c r="U3560" s="740">
        <v>10000</v>
      </c>
      <c r="V3560" s="741">
        <v>1100122</v>
      </c>
    </row>
    <row r="3561" spans="1:22" ht="15" x14ac:dyDescent="0.2">
      <c r="A3561" s="739">
        <v>2911</v>
      </c>
      <c r="B3561" s="743" t="s">
        <v>60</v>
      </c>
      <c r="C3561" s="736"/>
      <c r="D3561" s="736">
        <v>0</v>
      </c>
      <c r="E3561" s="749">
        <v>20000</v>
      </c>
      <c r="F3561" s="736">
        <v>11252</v>
      </c>
      <c r="G3561" s="736"/>
      <c r="H3561" s="736"/>
      <c r="I3561" s="736"/>
      <c r="J3561" s="736">
        <f t="shared" si="1118"/>
        <v>0</v>
      </c>
      <c r="K3561" s="736"/>
      <c r="L3561" s="736"/>
      <c r="M3561" s="736">
        <f t="shared" si="1115"/>
        <v>0</v>
      </c>
      <c r="N3561" s="736"/>
      <c r="O3561" s="736"/>
      <c r="P3561" s="738">
        <f t="shared" si="1116"/>
        <v>0</v>
      </c>
      <c r="Q3561" s="738"/>
      <c r="R3561" s="738"/>
      <c r="S3561" s="738"/>
      <c r="T3561" s="739">
        <v>1100121</v>
      </c>
      <c r="U3561" s="745"/>
      <c r="V3561" s="739">
        <v>1100122</v>
      </c>
    </row>
    <row r="3562" spans="1:22" ht="15" x14ac:dyDescent="0.2">
      <c r="A3562" s="734">
        <v>2941</v>
      </c>
      <c r="B3562" s="735" t="s">
        <v>79</v>
      </c>
      <c r="C3562" s="736"/>
      <c r="D3562" s="736">
        <v>2500</v>
      </c>
      <c r="E3562" s="749">
        <v>2500</v>
      </c>
      <c r="F3562" s="736">
        <v>2500</v>
      </c>
      <c r="G3562" s="752">
        <v>2500</v>
      </c>
      <c r="H3562" s="752"/>
      <c r="I3562" s="752"/>
      <c r="J3562" s="736">
        <f t="shared" si="1118"/>
        <v>2500</v>
      </c>
      <c r="K3562" s="752"/>
      <c r="L3562" s="752"/>
      <c r="M3562" s="736">
        <f t="shared" si="1115"/>
        <v>2500</v>
      </c>
      <c r="N3562" s="736"/>
      <c r="O3562" s="736"/>
      <c r="P3562" s="736">
        <f t="shared" si="1116"/>
        <v>2500</v>
      </c>
      <c r="Q3562" s="753">
        <v>2500</v>
      </c>
      <c r="R3562" s="738">
        <v>1460.01</v>
      </c>
      <c r="S3562" s="753">
        <v>3000</v>
      </c>
      <c r="T3562" s="739">
        <v>1100121</v>
      </c>
      <c r="U3562" s="740">
        <v>3000</v>
      </c>
      <c r="V3562" s="741">
        <v>1100122</v>
      </c>
    </row>
    <row r="3563" spans="1:22" ht="15" x14ac:dyDescent="0.2">
      <c r="A3563" s="734">
        <v>3111</v>
      </c>
      <c r="B3563" s="735" t="s">
        <v>47</v>
      </c>
      <c r="C3563" s="736">
        <v>118244.9</v>
      </c>
      <c r="D3563" s="736">
        <v>150000</v>
      </c>
      <c r="E3563" s="749">
        <v>150000</v>
      </c>
      <c r="F3563" s="736">
        <v>143128</v>
      </c>
      <c r="G3563" s="752">
        <v>200000</v>
      </c>
      <c r="H3563" s="752"/>
      <c r="I3563" s="752"/>
      <c r="J3563" s="736">
        <f t="shared" si="1118"/>
        <v>200000</v>
      </c>
      <c r="K3563" s="752"/>
      <c r="L3563" s="752"/>
      <c r="M3563" s="736">
        <f t="shared" si="1115"/>
        <v>200000</v>
      </c>
      <c r="N3563" s="736"/>
      <c r="O3563" s="736"/>
      <c r="P3563" s="736">
        <f t="shared" si="1116"/>
        <v>200000</v>
      </c>
      <c r="Q3563" s="753">
        <v>200000</v>
      </c>
      <c r="R3563" s="738">
        <v>102164</v>
      </c>
      <c r="S3563" s="753"/>
      <c r="T3563" s="739">
        <v>1100121</v>
      </c>
      <c r="U3563" s="746">
        <v>200000</v>
      </c>
      <c r="V3563" s="741">
        <v>1100122</v>
      </c>
    </row>
    <row r="3564" spans="1:22" ht="15" x14ac:dyDescent="0.2">
      <c r="A3564" s="734">
        <v>3141</v>
      </c>
      <c r="B3564" s="735" t="s">
        <v>48</v>
      </c>
      <c r="C3564" s="736">
        <v>14946.2</v>
      </c>
      <c r="D3564" s="736">
        <v>42000</v>
      </c>
      <c r="E3564" s="749">
        <v>29000</v>
      </c>
      <c r="F3564" s="736">
        <v>22347.49</v>
      </c>
      <c r="G3564" s="752">
        <v>40000</v>
      </c>
      <c r="H3564" s="752"/>
      <c r="I3564" s="752"/>
      <c r="J3564" s="736">
        <f t="shared" si="1118"/>
        <v>40000</v>
      </c>
      <c r="K3564" s="752"/>
      <c r="L3564" s="752"/>
      <c r="M3564" s="736">
        <f t="shared" si="1115"/>
        <v>40000</v>
      </c>
      <c r="N3564" s="736"/>
      <c r="O3564" s="736"/>
      <c r="P3564" s="736">
        <f t="shared" si="1116"/>
        <v>40000</v>
      </c>
      <c r="Q3564" s="753">
        <v>40000</v>
      </c>
      <c r="R3564" s="738">
        <v>18154.8</v>
      </c>
      <c r="S3564" s="753"/>
      <c r="T3564" s="739">
        <v>1100121</v>
      </c>
      <c r="U3564" s="746">
        <v>84000</v>
      </c>
      <c r="V3564" s="741">
        <v>1100122</v>
      </c>
    </row>
    <row r="3565" spans="1:22" ht="15" x14ac:dyDescent="0.2">
      <c r="A3565" s="734">
        <v>3151</v>
      </c>
      <c r="B3565" s="735" t="s">
        <v>28</v>
      </c>
      <c r="C3565" s="736">
        <v>19373.96</v>
      </c>
      <c r="D3565" s="736">
        <v>35000</v>
      </c>
      <c r="E3565" s="749">
        <v>25000</v>
      </c>
      <c r="F3565" s="736">
        <v>23455.3</v>
      </c>
      <c r="G3565" s="752">
        <v>27500</v>
      </c>
      <c r="H3565" s="752"/>
      <c r="I3565" s="752"/>
      <c r="J3565" s="736">
        <f t="shared" si="1118"/>
        <v>27500</v>
      </c>
      <c r="K3565" s="752"/>
      <c r="L3565" s="752"/>
      <c r="M3565" s="736">
        <f t="shared" si="1115"/>
        <v>27500</v>
      </c>
      <c r="N3565" s="736"/>
      <c r="O3565" s="736"/>
      <c r="P3565" s="736">
        <f t="shared" si="1116"/>
        <v>27500</v>
      </c>
      <c r="Q3565" s="753">
        <v>27500</v>
      </c>
      <c r="R3565" s="738">
        <v>20861.310000000001</v>
      </c>
      <c r="S3565" s="753"/>
      <c r="T3565" s="739">
        <v>1100121</v>
      </c>
      <c r="U3565" s="746">
        <v>36000</v>
      </c>
      <c r="V3565" s="741">
        <v>1100122</v>
      </c>
    </row>
    <row r="3566" spans="1:22" ht="15" x14ac:dyDescent="0.2">
      <c r="A3566" s="739">
        <v>3161</v>
      </c>
      <c r="B3566" s="743" t="s">
        <v>157</v>
      </c>
      <c r="C3566" s="736">
        <v>13896.8</v>
      </c>
      <c r="D3566" s="736">
        <v>15000</v>
      </c>
      <c r="E3566" s="749">
        <v>15000</v>
      </c>
      <c r="F3566" s="736">
        <v>0</v>
      </c>
      <c r="G3566" s="736"/>
      <c r="H3566" s="736"/>
      <c r="I3566" s="736"/>
      <c r="J3566" s="736">
        <f t="shared" si="1118"/>
        <v>0</v>
      </c>
      <c r="K3566" s="736"/>
      <c r="L3566" s="736"/>
      <c r="M3566" s="736">
        <f t="shared" si="1115"/>
        <v>0</v>
      </c>
      <c r="N3566" s="736"/>
      <c r="O3566" s="736"/>
      <c r="P3566" s="738">
        <f t="shared" si="1116"/>
        <v>0</v>
      </c>
      <c r="Q3566" s="738"/>
      <c r="R3566" s="738"/>
      <c r="S3566" s="738"/>
      <c r="T3566" s="739">
        <v>1100121</v>
      </c>
      <c r="U3566" s="744"/>
      <c r="V3566" s="739">
        <v>1100122</v>
      </c>
    </row>
    <row r="3567" spans="1:22" ht="15" x14ac:dyDescent="0.2">
      <c r="A3567" s="739">
        <v>3381</v>
      </c>
      <c r="B3567" s="743" t="s">
        <v>64</v>
      </c>
      <c r="C3567" s="736"/>
      <c r="D3567" s="736">
        <v>10000</v>
      </c>
      <c r="E3567" s="749">
        <v>10000</v>
      </c>
      <c r="F3567" s="736">
        <v>9662.7999999999993</v>
      </c>
      <c r="G3567" s="736"/>
      <c r="H3567" s="736"/>
      <c r="I3567" s="736"/>
      <c r="J3567" s="736">
        <f t="shared" si="1118"/>
        <v>0</v>
      </c>
      <c r="K3567" s="736"/>
      <c r="L3567" s="736"/>
      <c r="M3567" s="736">
        <f t="shared" si="1115"/>
        <v>0</v>
      </c>
      <c r="N3567" s="736"/>
      <c r="O3567" s="736"/>
      <c r="P3567" s="738">
        <f t="shared" si="1116"/>
        <v>0</v>
      </c>
      <c r="Q3567" s="738"/>
      <c r="R3567" s="738"/>
      <c r="S3567" s="738"/>
      <c r="T3567" s="739">
        <v>1100121</v>
      </c>
      <c r="U3567" s="744"/>
      <c r="V3567" s="739">
        <v>1100122</v>
      </c>
    </row>
    <row r="3568" spans="1:22" ht="15" x14ac:dyDescent="0.2">
      <c r="A3568" s="734">
        <v>3511</v>
      </c>
      <c r="B3568" s="735" t="s">
        <v>49</v>
      </c>
      <c r="C3568" s="736">
        <v>74527.56</v>
      </c>
      <c r="D3568" s="736">
        <v>90000</v>
      </c>
      <c r="E3568" s="749">
        <v>270000</v>
      </c>
      <c r="F3568" s="736">
        <v>172746.89</v>
      </c>
      <c r="G3568" s="736"/>
      <c r="H3568" s="736"/>
      <c r="I3568" s="736"/>
      <c r="J3568" s="736">
        <f t="shared" si="1118"/>
        <v>0</v>
      </c>
      <c r="K3568" s="736">
        <v>90000</v>
      </c>
      <c r="L3568" s="736"/>
      <c r="M3568" s="736">
        <f t="shared" si="1115"/>
        <v>90000</v>
      </c>
      <c r="N3568" s="736"/>
      <c r="O3568" s="736"/>
      <c r="P3568" s="736">
        <f t="shared" si="1116"/>
        <v>90000</v>
      </c>
      <c r="Q3568" s="738">
        <v>200000</v>
      </c>
      <c r="R3568" s="738">
        <v>186210.26</v>
      </c>
      <c r="S3568" s="738">
        <v>200000</v>
      </c>
      <c r="T3568" s="739">
        <v>1100121</v>
      </c>
      <c r="U3568" s="746">
        <v>50000</v>
      </c>
      <c r="V3568" s="741">
        <v>1100122</v>
      </c>
    </row>
    <row r="3569" spans="1:22" ht="15" x14ac:dyDescent="0.2">
      <c r="A3569" s="739">
        <v>3521</v>
      </c>
      <c r="B3569" s="743" t="s">
        <v>120</v>
      </c>
      <c r="C3569" s="736"/>
      <c r="D3569" s="736">
        <v>0</v>
      </c>
      <c r="E3569" s="749">
        <v>10000</v>
      </c>
      <c r="F3569" s="736">
        <v>9918</v>
      </c>
      <c r="G3569" s="752">
        <v>10000</v>
      </c>
      <c r="H3569" s="752"/>
      <c r="I3569" s="752"/>
      <c r="J3569" s="736">
        <f t="shared" si="1118"/>
        <v>10000</v>
      </c>
      <c r="K3569" s="752"/>
      <c r="L3569" s="752"/>
      <c r="M3569" s="736">
        <f t="shared" si="1115"/>
        <v>10000</v>
      </c>
      <c r="N3569" s="736"/>
      <c r="O3569" s="736"/>
      <c r="P3569" s="736">
        <f t="shared" si="1116"/>
        <v>10000</v>
      </c>
      <c r="Q3569" s="753">
        <v>10000</v>
      </c>
      <c r="R3569" s="738"/>
      <c r="S3569" s="753">
        <v>10000</v>
      </c>
      <c r="T3569" s="739">
        <v>1100121</v>
      </c>
      <c r="U3569" s="745"/>
      <c r="V3569" s="739">
        <v>1100122</v>
      </c>
    </row>
    <row r="3570" spans="1:22" ht="15" x14ac:dyDescent="0.2">
      <c r="A3570" s="734">
        <v>3551</v>
      </c>
      <c r="B3570" s="735" t="s">
        <v>30</v>
      </c>
      <c r="C3570" s="736"/>
      <c r="D3570" s="736"/>
      <c r="E3570" s="749"/>
      <c r="F3570" s="736"/>
      <c r="G3570" s="752"/>
      <c r="H3570" s="752">
        <v>129000</v>
      </c>
      <c r="I3570" s="752"/>
      <c r="J3570" s="736">
        <f t="shared" si="1118"/>
        <v>129000</v>
      </c>
      <c r="K3570" s="752"/>
      <c r="L3570" s="752"/>
      <c r="M3570" s="736">
        <f t="shared" si="1115"/>
        <v>129000</v>
      </c>
      <c r="N3570" s="736"/>
      <c r="O3570" s="736">
        <v>129000</v>
      </c>
      <c r="P3570" s="738">
        <f t="shared" si="1116"/>
        <v>0</v>
      </c>
      <c r="Q3570" s="753">
        <v>146662</v>
      </c>
      <c r="R3570" s="738">
        <v>123879.36</v>
      </c>
      <c r="S3570" s="738">
        <f>Q3570</f>
        <v>146662</v>
      </c>
      <c r="T3570" s="739">
        <v>1100120</v>
      </c>
      <c r="U3570" s="746">
        <v>160000</v>
      </c>
      <c r="V3570" s="741">
        <v>1100122</v>
      </c>
    </row>
    <row r="3571" spans="1:22" ht="15" x14ac:dyDescent="0.2">
      <c r="A3571" s="734">
        <v>3612</v>
      </c>
      <c r="B3571" s="735" t="s">
        <v>188</v>
      </c>
      <c r="C3571" s="736"/>
      <c r="D3571" s="736"/>
      <c r="E3571" s="749"/>
      <c r="F3571" s="736"/>
      <c r="G3571" s="752"/>
      <c r="H3571" s="752"/>
      <c r="I3571" s="752"/>
      <c r="J3571" s="736"/>
      <c r="K3571" s="752"/>
      <c r="L3571" s="752"/>
      <c r="M3571" s="736"/>
      <c r="N3571" s="736"/>
      <c r="O3571" s="736"/>
      <c r="P3571" s="738"/>
      <c r="Q3571" s="753"/>
      <c r="R3571" s="738"/>
      <c r="S3571" s="738"/>
      <c r="T3571" s="739"/>
      <c r="U3571" s="746">
        <v>10000</v>
      </c>
      <c r="V3571" s="741">
        <v>1100122</v>
      </c>
    </row>
    <row r="3572" spans="1:22" ht="15" x14ac:dyDescent="0.2">
      <c r="A3572" s="734">
        <v>5691</v>
      </c>
      <c r="B3572" s="735" t="s">
        <v>1713</v>
      </c>
      <c r="C3572" s="736"/>
      <c r="D3572" s="736"/>
      <c r="E3572" s="749"/>
      <c r="F3572" s="736"/>
      <c r="G3572" s="752"/>
      <c r="H3572" s="752"/>
      <c r="I3572" s="752"/>
      <c r="J3572" s="736"/>
      <c r="K3572" s="752"/>
      <c r="L3572" s="752"/>
      <c r="M3572" s="736"/>
      <c r="N3572" s="736">
        <v>129000</v>
      </c>
      <c r="O3572" s="736"/>
      <c r="P3572" s="736">
        <f t="shared" si="1116"/>
        <v>129000</v>
      </c>
      <c r="Q3572" s="753">
        <v>129000</v>
      </c>
      <c r="R3572" s="738"/>
      <c r="S3572" s="753">
        <v>20000</v>
      </c>
      <c r="T3572" s="739">
        <v>1100120</v>
      </c>
      <c r="U3572" s="746">
        <v>144000</v>
      </c>
      <c r="V3572" s="741">
        <v>1100121</v>
      </c>
    </row>
    <row r="3573" spans="1:22" ht="15" x14ac:dyDescent="0.2">
      <c r="A3573" s="739">
        <v>3551</v>
      </c>
      <c r="B3573" s="743" t="s">
        <v>30</v>
      </c>
      <c r="C3573" s="736">
        <v>73914.789999999994</v>
      </c>
      <c r="D3573" s="736">
        <v>80000</v>
      </c>
      <c r="E3573" s="749">
        <v>180000</v>
      </c>
      <c r="F3573" s="736">
        <v>179762.8</v>
      </c>
      <c r="G3573" s="752">
        <v>180000</v>
      </c>
      <c r="H3573" s="752"/>
      <c r="I3573" s="752"/>
      <c r="J3573" s="736">
        <f t="shared" ref="J3573:J3584" si="1119">G3573+H3573-I3573</f>
        <v>180000</v>
      </c>
      <c r="K3573" s="752"/>
      <c r="L3573" s="752"/>
      <c r="M3573" s="736">
        <f t="shared" ref="M3573:M3584" si="1120">J3573+K3573-L3573</f>
        <v>180000</v>
      </c>
      <c r="N3573" s="736"/>
      <c r="O3573" s="736">
        <v>30000</v>
      </c>
      <c r="P3573" s="736">
        <f t="shared" si="1116"/>
        <v>150000</v>
      </c>
      <c r="Q3573" s="753"/>
      <c r="R3573" s="738"/>
      <c r="S3573" s="738">
        <f>Q3573</f>
        <v>0</v>
      </c>
      <c r="T3573" s="739">
        <v>1100121</v>
      </c>
      <c r="U3573" s="744"/>
      <c r="V3573" s="739">
        <v>1100122</v>
      </c>
    </row>
    <row r="3574" spans="1:22" ht="15" x14ac:dyDescent="0.2">
      <c r="A3574" s="734">
        <v>3571</v>
      </c>
      <c r="B3574" s="735" t="s">
        <v>65</v>
      </c>
      <c r="C3574" s="736">
        <v>5000</v>
      </c>
      <c r="D3574" s="736">
        <v>5000</v>
      </c>
      <c r="E3574" s="749">
        <v>6113.6</v>
      </c>
      <c r="F3574" s="736">
        <v>4696.84</v>
      </c>
      <c r="G3574" s="752">
        <v>10000</v>
      </c>
      <c r="H3574" s="752"/>
      <c r="I3574" s="752"/>
      <c r="J3574" s="736">
        <f t="shared" si="1119"/>
        <v>10000</v>
      </c>
      <c r="K3574" s="752"/>
      <c r="L3574" s="752"/>
      <c r="M3574" s="736">
        <f t="shared" si="1120"/>
        <v>10000</v>
      </c>
      <c r="N3574" s="736"/>
      <c r="O3574" s="736"/>
      <c r="P3574" s="736">
        <f t="shared" si="1116"/>
        <v>10000</v>
      </c>
      <c r="Q3574" s="753">
        <v>20000</v>
      </c>
      <c r="R3574" s="738">
        <v>10311.02</v>
      </c>
      <c r="S3574" s="753">
        <v>25000</v>
      </c>
      <c r="T3574" s="739">
        <v>1100121</v>
      </c>
      <c r="U3574" s="746">
        <v>25000</v>
      </c>
      <c r="V3574" s="741">
        <v>1100122</v>
      </c>
    </row>
    <row r="3575" spans="1:22" ht="15" x14ac:dyDescent="0.2">
      <c r="A3575" s="734">
        <v>3751</v>
      </c>
      <c r="B3575" s="735" t="s">
        <v>44</v>
      </c>
      <c r="C3575" s="736">
        <v>275.89999999999998</v>
      </c>
      <c r="D3575" s="736">
        <v>2500</v>
      </c>
      <c r="E3575" s="749">
        <v>1989.59</v>
      </c>
      <c r="F3575" s="736">
        <v>76</v>
      </c>
      <c r="G3575" s="752">
        <v>2500</v>
      </c>
      <c r="H3575" s="752"/>
      <c r="I3575" s="752"/>
      <c r="J3575" s="736">
        <f t="shared" si="1119"/>
        <v>2500</v>
      </c>
      <c r="K3575" s="752"/>
      <c r="L3575" s="752"/>
      <c r="M3575" s="736">
        <f t="shared" si="1120"/>
        <v>2500</v>
      </c>
      <c r="N3575" s="736"/>
      <c r="O3575" s="736"/>
      <c r="P3575" s="736">
        <f t="shared" si="1116"/>
        <v>2500</v>
      </c>
      <c r="Q3575" s="753">
        <v>2500</v>
      </c>
      <c r="R3575" s="738">
        <v>2201</v>
      </c>
      <c r="S3575" s="753">
        <v>3000</v>
      </c>
      <c r="T3575" s="739">
        <v>1100121</v>
      </c>
      <c r="U3575" s="740">
        <v>3000</v>
      </c>
      <c r="V3575" s="741">
        <v>1100122</v>
      </c>
    </row>
    <row r="3576" spans="1:22" ht="15" x14ac:dyDescent="0.2">
      <c r="A3576" s="734">
        <v>3791</v>
      </c>
      <c r="B3576" s="735" t="s">
        <v>45</v>
      </c>
      <c r="C3576" s="736">
        <v>4981.05</v>
      </c>
      <c r="D3576" s="736">
        <v>5000</v>
      </c>
      <c r="E3576" s="749">
        <v>5000</v>
      </c>
      <c r="F3576" s="736">
        <v>3308</v>
      </c>
      <c r="G3576" s="752">
        <v>5000</v>
      </c>
      <c r="H3576" s="752"/>
      <c r="I3576" s="752"/>
      <c r="J3576" s="736">
        <f t="shared" si="1119"/>
        <v>5000</v>
      </c>
      <c r="K3576" s="752"/>
      <c r="L3576" s="752"/>
      <c r="M3576" s="736">
        <f t="shared" si="1120"/>
        <v>5000</v>
      </c>
      <c r="N3576" s="736"/>
      <c r="O3576" s="736"/>
      <c r="P3576" s="736">
        <f t="shared" si="1116"/>
        <v>5000</v>
      </c>
      <c r="Q3576" s="753">
        <v>5000</v>
      </c>
      <c r="R3576" s="738">
        <v>4687</v>
      </c>
      <c r="S3576" s="753">
        <v>6000</v>
      </c>
      <c r="T3576" s="739">
        <v>1100121</v>
      </c>
      <c r="U3576" s="740">
        <v>6000</v>
      </c>
      <c r="V3576" s="741">
        <v>1100122</v>
      </c>
    </row>
    <row r="3577" spans="1:22" ht="15" x14ac:dyDescent="0.2">
      <c r="A3577" s="734">
        <v>3852</v>
      </c>
      <c r="B3577" s="735" t="s">
        <v>32</v>
      </c>
      <c r="C3577" s="736">
        <v>32957.360000000001</v>
      </c>
      <c r="D3577" s="736">
        <v>33000</v>
      </c>
      <c r="E3577" s="749">
        <v>33000</v>
      </c>
      <c r="F3577" s="736">
        <v>26162.61</v>
      </c>
      <c r="G3577" s="752">
        <v>33000</v>
      </c>
      <c r="H3577" s="752"/>
      <c r="I3577" s="752"/>
      <c r="J3577" s="736">
        <f t="shared" si="1119"/>
        <v>33000</v>
      </c>
      <c r="K3577" s="752"/>
      <c r="L3577" s="752"/>
      <c r="M3577" s="736">
        <f t="shared" si="1120"/>
        <v>33000</v>
      </c>
      <c r="N3577" s="736"/>
      <c r="O3577" s="736"/>
      <c r="P3577" s="736">
        <f t="shared" si="1116"/>
        <v>33000</v>
      </c>
      <c r="Q3577" s="753">
        <v>33000</v>
      </c>
      <c r="R3577" s="738">
        <v>23333.32</v>
      </c>
      <c r="S3577" s="753">
        <v>35000</v>
      </c>
      <c r="T3577" s="739">
        <v>1100121</v>
      </c>
      <c r="U3577" s="740">
        <v>35000</v>
      </c>
      <c r="V3577" s="741">
        <v>1100122</v>
      </c>
    </row>
    <row r="3578" spans="1:22" ht="15" x14ac:dyDescent="0.2">
      <c r="A3578" s="739">
        <v>5151</v>
      </c>
      <c r="B3578" s="743" t="s">
        <v>36</v>
      </c>
      <c r="C3578" s="736"/>
      <c r="D3578" s="736">
        <v>0</v>
      </c>
      <c r="E3578" s="749">
        <v>13929.46</v>
      </c>
      <c r="F3578" s="736">
        <v>13929.46</v>
      </c>
      <c r="G3578" s="736"/>
      <c r="H3578" s="736"/>
      <c r="I3578" s="736"/>
      <c r="J3578" s="736">
        <f t="shared" si="1119"/>
        <v>0</v>
      </c>
      <c r="K3578" s="736"/>
      <c r="L3578" s="736"/>
      <c r="M3578" s="736">
        <f t="shared" si="1120"/>
        <v>0</v>
      </c>
      <c r="N3578" s="736"/>
      <c r="O3578" s="736"/>
      <c r="P3578" s="738">
        <f t="shared" si="1116"/>
        <v>0</v>
      </c>
      <c r="Q3578" s="738"/>
      <c r="R3578" s="738"/>
      <c r="S3578" s="738"/>
      <c r="T3578" s="739">
        <v>1100119</v>
      </c>
      <c r="U3578" s="745"/>
      <c r="V3578" s="739">
        <v>1100119</v>
      </c>
    </row>
    <row r="3579" spans="1:22" ht="15" x14ac:dyDescent="0.25">
      <c r="A3579" s="739">
        <v>5151</v>
      </c>
      <c r="B3579" s="743" t="s">
        <v>36</v>
      </c>
      <c r="C3579" s="736"/>
      <c r="D3579" s="736"/>
      <c r="E3579" s="749"/>
      <c r="F3579" s="736"/>
      <c r="G3579" s="736"/>
      <c r="H3579" s="759">
        <v>50000</v>
      </c>
      <c r="I3579" s="736"/>
      <c r="J3579" s="736">
        <f t="shared" si="1119"/>
        <v>50000</v>
      </c>
      <c r="K3579" s="759"/>
      <c r="L3579" s="736"/>
      <c r="M3579" s="736">
        <f t="shared" si="1120"/>
        <v>50000</v>
      </c>
      <c r="N3579" s="736"/>
      <c r="O3579" s="736"/>
      <c r="P3579" s="736">
        <f t="shared" si="1116"/>
        <v>50000</v>
      </c>
      <c r="Q3579" s="738">
        <v>50000</v>
      </c>
      <c r="R3579" s="738">
        <v>50000</v>
      </c>
      <c r="S3579" s="738"/>
      <c r="T3579" s="739">
        <v>1100120</v>
      </c>
      <c r="U3579" s="745"/>
      <c r="V3579" s="739">
        <v>1100120</v>
      </c>
    </row>
    <row r="3580" spans="1:22" ht="15" x14ac:dyDescent="0.2">
      <c r="A3580" s="739">
        <v>5151</v>
      </c>
      <c r="B3580" s="743" t="s">
        <v>36</v>
      </c>
      <c r="C3580" s="736"/>
      <c r="D3580" s="736">
        <v>0</v>
      </c>
      <c r="E3580" s="749">
        <v>50000</v>
      </c>
      <c r="F3580" s="736">
        <v>0</v>
      </c>
      <c r="G3580" s="736"/>
      <c r="H3580" s="736"/>
      <c r="I3580" s="736"/>
      <c r="J3580" s="736">
        <f t="shared" si="1119"/>
        <v>0</v>
      </c>
      <c r="K3580" s="736"/>
      <c r="L3580" s="736"/>
      <c r="M3580" s="736">
        <f t="shared" si="1120"/>
        <v>0</v>
      </c>
      <c r="N3580" s="736"/>
      <c r="O3580" s="736"/>
      <c r="P3580" s="738">
        <f t="shared" si="1116"/>
        <v>0</v>
      </c>
      <c r="Q3580" s="738"/>
      <c r="R3580" s="738"/>
      <c r="S3580" s="738"/>
      <c r="T3580" s="739">
        <v>1100121</v>
      </c>
      <c r="U3580" s="745"/>
      <c r="V3580" s="739">
        <v>1100122</v>
      </c>
    </row>
    <row r="3581" spans="1:22" ht="15" x14ac:dyDescent="0.25">
      <c r="A3581" s="739">
        <v>5211</v>
      </c>
      <c r="B3581" s="743" t="s">
        <v>71</v>
      </c>
      <c r="C3581" s="736"/>
      <c r="D3581" s="736"/>
      <c r="E3581" s="749"/>
      <c r="F3581" s="736"/>
      <c r="G3581" s="736"/>
      <c r="H3581" s="759">
        <v>17156.400000000001</v>
      </c>
      <c r="I3581" s="736"/>
      <c r="J3581" s="736">
        <f t="shared" si="1119"/>
        <v>17156.400000000001</v>
      </c>
      <c r="K3581" s="759"/>
      <c r="L3581" s="736"/>
      <c r="M3581" s="736">
        <f t="shared" si="1120"/>
        <v>17156.400000000001</v>
      </c>
      <c r="N3581" s="736"/>
      <c r="O3581" s="736"/>
      <c r="P3581" s="736">
        <f t="shared" si="1116"/>
        <v>17156.400000000001</v>
      </c>
      <c r="Q3581" s="738">
        <v>17156.400000000001</v>
      </c>
      <c r="R3581" s="738">
        <v>17156.400000000001</v>
      </c>
      <c r="S3581" s="738"/>
      <c r="T3581" s="739">
        <v>1100120</v>
      </c>
      <c r="U3581" s="745"/>
      <c r="V3581" s="739">
        <v>1100120</v>
      </c>
    </row>
    <row r="3582" spans="1:22" ht="15" x14ac:dyDescent="0.2">
      <c r="A3582" s="739">
        <v>5211</v>
      </c>
      <c r="B3582" s="743" t="s">
        <v>71</v>
      </c>
      <c r="C3582" s="736">
        <v>124400</v>
      </c>
      <c r="D3582" s="736">
        <v>0</v>
      </c>
      <c r="E3582" s="749">
        <v>105000</v>
      </c>
      <c r="F3582" s="736">
        <v>78390</v>
      </c>
      <c r="G3582" s="736"/>
      <c r="H3582" s="736"/>
      <c r="I3582" s="736"/>
      <c r="J3582" s="736">
        <f t="shared" si="1119"/>
        <v>0</v>
      </c>
      <c r="K3582" s="736"/>
      <c r="L3582" s="736"/>
      <c r="M3582" s="736">
        <f t="shared" si="1120"/>
        <v>0</v>
      </c>
      <c r="N3582" s="736"/>
      <c r="O3582" s="736"/>
      <c r="P3582" s="738">
        <f t="shared" si="1116"/>
        <v>0</v>
      </c>
      <c r="Q3582" s="738"/>
      <c r="R3582" s="738"/>
      <c r="S3582" s="738"/>
      <c r="T3582" s="739">
        <v>1100121</v>
      </c>
      <c r="U3582" s="745"/>
      <c r="V3582" s="739">
        <v>1100122</v>
      </c>
    </row>
    <row r="3583" spans="1:22" ht="15" x14ac:dyDescent="0.2">
      <c r="A3583" s="739">
        <v>5231</v>
      </c>
      <c r="B3583" s="743" t="s">
        <v>81</v>
      </c>
      <c r="C3583" s="736"/>
      <c r="D3583" s="736">
        <v>0</v>
      </c>
      <c r="E3583" s="749">
        <v>40000</v>
      </c>
      <c r="F3583" s="736">
        <v>39300.800000000003</v>
      </c>
      <c r="G3583" s="736"/>
      <c r="H3583" s="736"/>
      <c r="I3583" s="736"/>
      <c r="J3583" s="736">
        <f t="shared" si="1119"/>
        <v>0</v>
      </c>
      <c r="K3583" s="736"/>
      <c r="L3583" s="736"/>
      <c r="M3583" s="736">
        <f t="shared" si="1120"/>
        <v>0</v>
      </c>
      <c r="N3583" s="736"/>
      <c r="O3583" s="736"/>
      <c r="P3583" s="738">
        <f t="shared" si="1116"/>
        <v>0</v>
      </c>
      <c r="Q3583" s="738"/>
      <c r="R3583" s="738"/>
      <c r="S3583" s="738"/>
      <c r="T3583" s="739">
        <v>1100121</v>
      </c>
      <c r="U3583" s="745"/>
      <c r="V3583" s="739">
        <v>1100122</v>
      </c>
    </row>
    <row r="3584" spans="1:22" ht="15" x14ac:dyDescent="0.2">
      <c r="A3584" s="739">
        <v>5691</v>
      </c>
      <c r="B3584" s="743" t="s">
        <v>112</v>
      </c>
      <c r="C3584" s="736">
        <v>51807.08</v>
      </c>
      <c r="D3584" s="736"/>
      <c r="E3584" s="736"/>
      <c r="F3584" s="736"/>
      <c r="G3584" s="736"/>
      <c r="H3584" s="736"/>
      <c r="I3584" s="736"/>
      <c r="J3584" s="736">
        <f t="shared" si="1119"/>
        <v>0</v>
      </c>
      <c r="K3584" s="736"/>
      <c r="L3584" s="736"/>
      <c r="M3584" s="736">
        <f t="shared" si="1120"/>
        <v>0</v>
      </c>
      <c r="N3584" s="736"/>
      <c r="O3584" s="736"/>
      <c r="P3584" s="738">
        <f t="shared" si="1116"/>
        <v>0</v>
      </c>
      <c r="Q3584" s="738"/>
      <c r="R3584" s="738"/>
      <c r="S3584" s="738"/>
      <c r="T3584" s="739"/>
      <c r="U3584" s="745"/>
      <c r="V3584" s="739"/>
    </row>
    <row r="3585" spans="1:22" ht="15" x14ac:dyDescent="0.2">
      <c r="A3585" s="728" t="s">
        <v>368</v>
      </c>
      <c r="B3585" s="729" t="s">
        <v>1596</v>
      </c>
      <c r="C3585" s="730">
        <f>SUM(C3586:C3616)</f>
        <v>4663338.8900000006</v>
      </c>
      <c r="D3585" s="730">
        <f>SUM(D3586:D3612)</f>
        <v>5487652.419999999</v>
      </c>
      <c r="E3585" s="730">
        <f>SUM(E3586:E3612)</f>
        <v>5605820.6799999997</v>
      </c>
      <c r="F3585" s="730">
        <f>SUM(F3586:F3612)</f>
        <v>5604256.4900000002</v>
      </c>
      <c r="G3585" s="730">
        <f t="shared" ref="G3585:Q3585" si="1121">SUM(G3586:G3616)</f>
        <v>6058045.3999999994</v>
      </c>
      <c r="H3585" s="730">
        <f t="shared" si="1121"/>
        <v>0</v>
      </c>
      <c r="I3585" s="730">
        <f t="shared" si="1121"/>
        <v>0</v>
      </c>
      <c r="J3585" s="730">
        <f t="shared" si="1121"/>
        <v>6058045.3999999994</v>
      </c>
      <c r="K3585" s="730">
        <f t="shared" si="1121"/>
        <v>49125.13</v>
      </c>
      <c r="L3585" s="730">
        <f t="shared" si="1121"/>
        <v>312881.01</v>
      </c>
      <c r="M3585" s="730">
        <f t="shared" si="1121"/>
        <v>5794289.5199999996</v>
      </c>
      <c r="N3585" s="730">
        <f t="shared" si="1121"/>
        <v>0</v>
      </c>
      <c r="O3585" s="730">
        <f t="shared" si="1121"/>
        <v>134130</v>
      </c>
      <c r="P3585" s="730">
        <f t="shared" si="1121"/>
        <v>5660159.5199999996</v>
      </c>
      <c r="Q3585" s="748">
        <f t="shared" si="1121"/>
        <v>5778361.0299999993</v>
      </c>
      <c r="R3585" s="748">
        <f>SUM(R3586:R3617)</f>
        <v>4105141.4699999997</v>
      </c>
      <c r="S3585" s="748">
        <f>SUM(S3586:S3617)</f>
        <v>7341912.7299999986</v>
      </c>
      <c r="T3585" s="731"/>
      <c r="U3585" s="732">
        <f>SUM(U3586:U3617)</f>
        <v>6548368.7999999998</v>
      </c>
      <c r="V3585" s="733"/>
    </row>
    <row r="3586" spans="1:22" ht="15" x14ac:dyDescent="0.25">
      <c r="A3586" s="734">
        <v>1132</v>
      </c>
      <c r="B3586" s="735" t="s">
        <v>8</v>
      </c>
      <c r="C3586" s="736">
        <v>986462.03</v>
      </c>
      <c r="D3586" s="736">
        <v>1049044.3600000001</v>
      </c>
      <c r="E3586" s="749">
        <v>960942.36</v>
      </c>
      <c r="F3586" s="736">
        <v>995706.89</v>
      </c>
      <c r="G3586" s="736">
        <v>1002932.9</v>
      </c>
      <c r="H3586" s="736"/>
      <c r="I3586" s="736"/>
      <c r="J3586" s="736">
        <f t="shared" ref="J3586:J3597" si="1122">G3586+H3586-I3586</f>
        <v>1002932.9</v>
      </c>
      <c r="K3586" s="736">
        <v>35364.629999999997</v>
      </c>
      <c r="L3586" s="736"/>
      <c r="M3586" s="736">
        <f t="shared" ref="M3586:M3597" si="1123">J3586+K3586-L3586</f>
        <v>1038297.53</v>
      </c>
      <c r="N3586" s="736"/>
      <c r="O3586" s="736"/>
      <c r="P3586" s="736">
        <f t="shared" ref="P3586:P3597" si="1124">M3586+N3586-O3586</f>
        <v>1038297.53</v>
      </c>
      <c r="Q3586" s="738">
        <v>1038297.53</v>
      </c>
      <c r="R3586" s="738">
        <v>738180.4</v>
      </c>
      <c r="S3586" s="751">
        <v>1417390.52</v>
      </c>
      <c r="T3586" s="739">
        <v>1500521</v>
      </c>
      <c r="U3586" s="779">
        <v>1061773.17</v>
      </c>
      <c r="V3586" s="741">
        <v>1500522</v>
      </c>
    </row>
    <row r="3587" spans="1:22" ht="15" x14ac:dyDescent="0.25">
      <c r="A3587" s="734">
        <v>1212</v>
      </c>
      <c r="B3587" s="735" t="s">
        <v>53</v>
      </c>
      <c r="C3587" s="736">
        <v>1843258.77</v>
      </c>
      <c r="D3587" s="736">
        <v>2269670.3999999999</v>
      </c>
      <c r="E3587" s="749">
        <v>2534125.17</v>
      </c>
      <c r="F3587" s="736">
        <v>2496352.0099999998</v>
      </c>
      <c r="G3587" s="736">
        <v>2644300.7999999998</v>
      </c>
      <c r="H3587" s="736"/>
      <c r="I3587" s="736"/>
      <c r="J3587" s="736">
        <f t="shared" si="1122"/>
        <v>2644300.7999999998</v>
      </c>
      <c r="K3587" s="736"/>
      <c r="L3587" s="736">
        <v>247512.95999999999</v>
      </c>
      <c r="M3587" s="736">
        <f t="shared" si="1123"/>
        <v>2396787.84</v>
      </c>
      <c r="N3587" s="736"/>
      <c r="O3587" s="736"/>
      <c r="P3587" s="736">
        <f t="shared" si="1124"/>
        <v>2396787.84</v>
      </c>
      <c r="Q3587" s="738">
        <v>2396787.84</v>
      </c>
      <c r="R3587" s="738">
        <v>1831915.13</v>
      </c>
      <c r="S3587" s="751">
        <v>2835464.4</v>
      </c>
      <c r="T3587" s="739">
        <v>1500521</v>
      </c>
      <c r="U3587" s="779">
        <v>2700442.29</v>
      </c>
      <c r="V3587" s="741">
        <v>1500522</v>
      </c>
    </row>
    <row r="3588" spans="1:22" ht="15" x14ac:dyDescent="0.25">
      <c r="A3588" s="734">
        <v>1321</v>
      </c>
      <c r="B3588" s="735" t="s">
        <v>9</v>
      </c>
      <c r="C3588" s="736">
        <v>70931</v>
      </c>
      <c r="D3588" s="736">
        <v>79583.06</v>
      </c>
      <c r="E3588" s="749">
        <v>87585.06</v>
      </c>
      <c r="F3588" s="736">
        <v>78595.05</v>
      </c>
      <c r="G3588" s="736">
        <v>79504</v>
      </c>
      <c r="H3588" s="736"/>
      <c r="I3588" s="736"/>
      <c r="J3588" s="736">
        <f t="shared" si="1122"/>
        <v>79504</v>
      </c>
      <c r="K3588" s="736">
        <v>2951.56</v>
      </c>
      <c r="L3588" s="736"/>
      <c r="M3588" s="736">
        <f t="shared" si="1123"/>
        <v>82455.56</v>
      </c>
      <c r="N3588" s="736"/>
      <c r="O3588" s="736"/>
      <c r="P3588" s="736">
        <f t="shared" si="1124"/>
        <v>82455.56</v>
      </c>
      <c r="Q3588" s="738">
        <v>88541.57</v>
      </c>
      <c r="R3588" s="738">
        <v>45685.9</v>
      </c>
      <c r="S3588" s="751">
        <v>105871.02</v>
      </c>
      <c r="T3588" s="739">
        <v>1500521</v>
      </c>
      <c r="U3588" s="779">
        <v>101438.47</v>
      </c>
      <c r="V3588" s="741">
        <v>1500522</v>
      </c>
    </row>
    <row r="3589" spans="1:22" ht="15" x14ac:dyDescent="0.25">
      <c r="A3589" s="734">
        <v>1323</v>
      </c>
      <c r="B3589" s="735" t="s">
        <v>11</v>
      </c>
      <c r="C3589" s="736">
        <v>260955.37</v>
      </c>
      <c r="D3589" s="736">
        <v>280601.09999999998</v>
      </c>
      <c r="E3589" s="749">
        <v>260849.77</v>
      </c>
      <c r="F3589" s="736">
        <v>274131.20000000001</v>
      </c>
      <c r="G3589" s="736">
        <v>287102.2</v>
      </c>
      <c r="H3589" s="736"/>
      <c r="I3589" s="736"/>
      <c r="J3589" s="736">
        <f t="shared" si="1122"/>
        <v>287102.2</v>
      </c>
      <c r="K3589" s="736"/>
      <c r="L3589" s="736">
        <v>3552.29</v>
      </c>
      <c r="M3589" s="736">
        <f t="shared" si="1123"/>
        <v>283549.91000000003</v>
      </c>
      <c r="N3589" s="736"/>
      <c r="O3589" s="736"/>
      <c r="P3589" s="736">
        <f t="shared" si="1124"/>
        <v>283549.91000000003</v>
      </c>
      <c r="Q3589" s="738">
        <v>283549.90999999997</v>
      </c>
      <c r="R3589" s="738">
        <v>141809.19</v>
      </c>
      <c r="S3589" s="751">
        <v>376029.85</v>
      </c>
      <c r="T3589" s="739">
        <v>1500521</v>
      </c>
      <c r="U3589" s="779">
        <v>358123.67</v>
      </c>
      <c r="V3589" s="741">
        <v>1500522</v>
      </c>
    </row>
    <row r="3590" spans="1:22" ht="15" x14ac:dyDescent="0.25">
      <c r="A3590" s="734">
        <v>1413</v>
      </c>
      <c r="B3590" s="735" t="s">
        <v>13</v>
      </c>
      <c r="C3590" s="736">
        <v>519179.4</v>
      </c>
      <c r="D3590" s="736">
        <v>703732.22</v>
      </c>
      <c r="E3590" s="749">
        <v>701284.22</v>
      </c>
      <c r="F3590" s="736">
        <v>675251.29</v>
      </c>
      <c r="G3590" s="736">
        <v>809595.79999999993</v>
      </c>
      <c r="H3590" s="736"/>
      <c r="I3590" s="736"/>
      <c r="J3590" s="736">
        <f t="shared" si="1122"/>
        <v>809595.79999999993</v>
      </c>
      <c r="K3590" s="736"/>
      <c r="L3590" s="736">
        <v>38008.58</v>
      </c>
      <c r="M3590" s="736">
        <f t="shared" si="1123"/>
        <v>771587.22</v>
      </c>
      <c r="N3590" s="736"/>
      <c r="O3590" s="736"/>
      <c r="P3590" s="736">
        <f t="shared" si="1124"/>
        <v>771587.22</v>
      </c>
      <c r="Q3590" s="738">
        <v>771587.22</v>
      </c>
      <c r="R3590" s="738">
        <v>532583.74</v>
      </c>
      <c r="S3590" s="751">
        <v>1015478.28</v>
      </c>
      <c r="T3590" s="739">
        <v>1500521</v>
      </c>
      <c r="U3590" s="779">
        <v>967122.17</v>
      </c>
      <c r="V3590" s="741">
        <v>1500522</v>
      </c>
    </row>
    <row r="3591" spans="1:22" ht="15" x14ac:dyDescent="0.25">
      <c r="A3591" s="734">
        <v>1421</v>
      </c>
      <c r="B3591" s="735" t="s">
        <v>15</v>
      </c>
      <c r="C3591" s="736">
        <v>161034.56</v>
      </c>
      <c r="D3591" s="736">
        <v>203680.76</v>
      </c>
      <c r="E3591" s="749">
        <v>183465.76</v>
      </c>
      <c r="F3591" s="736">
        <v>194328.76</v>
      </c>
      <c r="G3591" s="736">
        <v>221588.30000000002</v>
      </c>
      <c r="H3591" s="736"/>
      <c r="I3591" s="736"/>
      <c r="J3591" s="736">
        <f t="shared" si="1122"/>
        <v>221588.30000000002</v>
      </c>
      <c r="K3591" s="736"/>
      <c r="L3591" s="736">
        <v>9242.8700000000008</v>
      </c>
      <c r="M3591" s="736">
        <f t="shared" si="1123"/>
        <v>212345.43000000002</v>
      </c>
      <c r="N3591" s="736"/>
      <c r="O3591" s="736"/>
      <c r="P3591" s="736">
        <f t="shared" si="1124"/>
        <v>212345.43000000002</v>
      </c>
      <c r="Q3591" s="738">
        <v>212345.43</v>
      </c>
      <c r="R3591" s="738">
        <v>132118.96</v>
      </c>
      <c r="S3591" s="751">
        <v>267016.68</v>
      </c>
      <c r="T3591" s="739">
        <v>1500521</v>
      </c>
      <c r="U3591" s="779">
        <v>254301.6</v>
      </c>
      <c r="V3591" s="741">
        <v>1500522</v>
      </c>
    </row>
    <row r="3592" spans="1:22" ht="15" x14ac:dyDescent="0.25">
      <c r="A3592" s="734">
        <v>1431</v>
      </c>
      <c r="B3592" s="735" t="s">
        <v>16</v>
      </c>
      <c r="C3592" s="736">
        <v>173557.16</v>
      </c>
      <c r="D3592" s="736">
        <v>209791.26</v>
      </c>
      <c r="E3592" s="749">
        <v>192319.26</v>
      </c>
      <c r="F3592" s="736">
        <v>205340.92</v>
      </c>
      <c r="G3592" s="736">
        <v>228236.6</v>
      </c>
      <c r="H3592" s="736"/>
      <c r="I3592" s="736"/>
      <c r="J3592" s="736">
        <f t="shared" si="1122"/>
        <v>228236.6</v>
      </c>
      <c r="K3592" s="736"/>
      <c r="L3592" s="736">
        <v>9564.31</v>
      </c>
      <c r="M3592" s="736">
        <f t="shared" si="1123"/>
        <v>218672.29</v>
      </c>
      <c r="N3592" s="736"/>
      <c r="O3592" s="736"/>
      <c r="P3592" s="736">
        <f t="shared" si="1124"/>
        <v>218672.29</v>
      </c>
      <c r="Q3592" s="738">
        <v>218672.29</v>
      </c>
      <c r="R3592" s="738">
        <v>136461.31</v>
      </c>
      <c r="S3592" s="751">
        <v>275027.76</v>
      </c>
      <c r="T3592" s="739">
        <v>1500521</v>
      </c>
      <c r="U3592" s="779">
        <v>261931.2</v>
      </c>
      <c r="V3592" s="741">
        <v>1500522</v>
      </c>
    </row>
    <row r="3593" spans="1:22" ht="15" x14ac:dyDescent="0.25">
      <c r="A3593" s="734">
        <v>1511</v>
      </c>
      <c r="B3593" s="735" t="s">
        <v>18</v>
      </c>
      <c r="C3593" s="736">
        <v>25125.64</v>
      </c>
      <c r="D3593" s="736">
        <v>27088.880000000001</v>
      </c>
      <c r="E3593" s="749">
        <v>24637.88</v>
      </c>
      <c r="F3593" s="736">
        <v>25512.99</v>
      </c>
      <c r="G3593" s="736">
        <v>25756.699999999997</v>
      </c>
      <c r="H3593" s="736"/>
      <c r="I3593" s="736"/>
      <c r="J3593" s="736">
        <f t="shared" si="1122"/>
        <v>25756.699999999997</v>
      </c>
      <c r="K3593" s="736">
        <v>862.98</v>
      </c>
      <c r="L3593" s="736"/>
      <c r="M3593" s="736">
        <f t="shared" si="1123"/>
        <v>26619.679999999997</v>
      </c>
      <c r="N3593" s="736"/>
      <c r="O3593" s="736"/>
      <c r="P3593" s="736">
        <f t="shared" si="1124"/>
        <v>26619.679999999997</v>
      </c>
      <c r="Q3593" s="738">
        <v>26619.68</v>
      </c>
      <c r="R3593" s="738">
        <v>18868.13</v>
      </c>
      <c r="S3593" s="751">
        <v>37550.239999999998</v>
      </c>
      <c r="T3593" s="739">
        <v>1500521</v>
      </c>
      <c r="U3593" s="779">
        <v>27107.02</v>
      </c>
      <c r="V3593" s="741">
        <v>1500522</v>
      </c>
    </row>
    <row r="3594" spans="1:22" ht="15" x14ac:dyDescent="0.25">
      <c r="A3594" s="734">
        <v>1541</v>
      </c>
      <c r="B3594" s="735" t="s">
        <v>19</v>
      </c>
      <c r="C3594" s="736">
        <v>8899.83</v>
      </c>
      <c r="D3594" s="736">
        <v>9195.42</v>
      </c>
      <c r="E3594" s="749">
        <v>8253.42</v>
      </c>
      <c r="F3594" s="736">
        <v>8392.58</v>
      </c>
      <c r="G3594" s="736">
        <v>9961.5</v>
      </c>
      <c r="H3594" s="736"/>
      <c r="I3594" s="736"/>
      <c r="J3594" s="736">
        <f t="shared" si="1122"/>
        <v>9961.5</v>
      </c>
      <c r="K3594" s="736">
        <v>379.04</v>
      </c>
      <c r="L3594" s="736"/>
      <c r="M3594" s="736">
        <f t="shared" si="1123"/>
        <v>10340.540000000001</v>
      </c>
      <c r="N3594" s="736"/>
      <c r="O3594" s="736"/>
      <c r="P3594" s="736">
        <f t="shared" si="1124"/>
        <v>10340.540000000001</v>
      </c>
      <c r="Q3594" s="738">
        <v>10340.540000000001</v>
      </c>
      <c r="R3594" s="738">
        <v>5918.08</v>
      </c>
      <c r="S3594" s="751">
        <v>8068.06</v>
      </c>
      <c r="T3594" s="739">
        <v>1500521</v>
      </c>
      <c r="U3594" s="779">
        <v>10103.9</v>
      </c>
      <c r="V3594" s="741">
        <v>1500522</v>
      </c>
    </row>
    <row r="3595" spans="1:22" ht="15" x14ac:dyDescent="0.25">
      <c r="A3595" s="734">
        <v>1592</v>
      </c>
      <c r="B3595" s="735" t="s">
        <v>20</v>
      </c>
      <c r="C3595" s="736">
        <v>286347.46000000002</v>
      </c>
      <c r="D3595" s="736">
        <v>305264.96000000002</v>
      </c>
      <c r="E3595" s="749">
        <v>272857.78000000003</v>
      </c>
      <c r="F3595" s="736">
        <v>282539.17</v>
      </c>
      <c r="G3595" s="736">
        <v>285066.59999999998</v>
      </c>
      <c r="H3595" s="736"/>
      <c r="I3595" s="736"/>
      <c r="J3595" s="736">
        <f t="shared" si="1122"/>
        <v>285066.59999999998</v>
      </c>
      <c r="K3595" s="736">
        <v>9566.92</v>
      </c>
      <c r="L3595" s="736"/>
      <c r="M3595" s="736">
        <f t="shared" si="1123"/>
        <v>294633.51999999996</v>
      </c>
      <c r="N3595" s="736"/>
      <c r="O3595" s="736"/>
      <c r="P3595" s="736">
        <f t="shared" si="1124"/>
        <v>294633.51999999996</v>
      </c>
      <c r="Q3595" s="738">
        <v>316749.02</v>
      </c>
      <c r="R3595" s="738">
        <v>208836.05</v>
      </c>
      <c r="S3595" s="751">
        <v>460015.92</v>
      </c>
      <c r="T3595" s="739">
        <v>1500521</v>
      </c>
      <c r="U3595" s="779">
        <v>300025.31</v>
      </c>
      <c r="V3595" s="741">
        <v>1500522</v>
      </c>
    </row>
    <row r="3596" spans="1:22" ht="15" x14ac:dyDescent="0.2">
      <c r="A3596" s="734">
        <v>2111</v>
      </c>
      <c r="B3596" s="735" t="s">
        <v>22</v>
      </c>
      <c r="C3596" s="736">
        <v>5327</v>
      </c>
      <c r="D3596" s="736">
        <v>5000</v>
      </c>
      <c r="E3596" s="749">
        <v>3500</v>
      </c>
      <c r="F3596" s="736">
        <v>3250</v>
      </c>
      <c r="G3596" s="752">
        <v>2000</v>
      </c>
      <c r="H3596" s="752"/>
      <c r="I3596" s="752"/>
      <c r="J3596" s="736">
        <f t="shared" si="1122"/>
        <v>2000</v>
      </c>
      <c r="K3596" s="736"/>
      <c r="L3596" s="752"/>
      <c r="M3596" s="736">
        <f t="shared" si="1123"/>
        <v>2000</v>
      </c>
      <c r="N3596" s="736"/>
      <c r="O3596" s="736"/>
      <c r="P3596" s="736">
        <f t="shared" si="1124"/>
        <v>2000</v>
      </c>
      <c r="Q3596" s="753">
        <v>2000</v>
      </c>
      <c r="R3596" s="738">
        <v>1125.45</v>
      </c>
      <c r="S3596" s="753">
        <v>6000</v>
      </c>
      <c r="T3596" s="739">
        <v>1100121</v>
      </c>
      <c r="U3596" s="746">
        <v>6000</v>
      </c>
      <c r="V3596" s="741">
        <v>1100122</v>
      </c>
    </row>
    <row r="3597" spans="1:22" ht="15" x14ac:dyDescent="0.2">
      <c r="A3597" s="739">
        <v>2212</v>
      </c>
      <c r="B3597" s="743" t="s">
        <v>40</v>
      </c>
      <c r="C3597" s="736">
        <v>4711.09</v>
      </c>
      <c r="D3597" s="736">
        <v>10000</v>
      </c>
      <c r="E3597" s="749">
        <v>10000</v>
      </c>
      <c r="F3597" s="736">
        <v>9118.0400000000009</v>
      </c>
      <c r="G3597" s="752">
        <v>7000</v>
      </c>
      <c r="H3597" s="752"/>
      <c r="I3597" s="752"/>
      <c r="J3597" s="736">
        <f t="shared" si="1122"/>
        <v>7000</v>
      </c>
      <c r="K3597" s="736"/>
      <c r="L3597" s="752"/>
      <c r="M3597" s="736">
        <f t="shared" si="1123"/>
        <v>7000</v>
      </c>
      <c r="N3597" s="736"/>
      <c r="O3597" s="736"/>
      <c r="P3597" s="736">
        <f t="shared" si="1124"/>
        <v>7000</v>
      </c>
      <c r="Q3597" s="753">
        <v>7000</v>
      </c>
      <c r="R3597" s="738">
        <v>6747.54</v>
      </c>
      <c r="S3597" s="753"/>
      <c r="T3597" s="739">
        <v>1100121</v>
      </c>
      <c r="U3597" s="745"/>
      <c r="V3597" s="739">
        <v>1100122</v>
      </c>
    </row>
    <row r="3598" spans="1:22" ht="15" x14ac:dyDescent="0.2">
      <c r="A3598" s="739">
        <v>2112</v>
      </c>
      <c r="B3598" s="743" t="s">
        <v>39</v>
      </c>
      <c r="C3598" s="736"/>
      <c r="D3598" s="736"/>
      <c r="E3598" s="749"/>
      <c r="F3598" s="736"/>
      <c r="G3598" s="752"/>
      <c r="H3598" s="752"/>
      <c r="I3598" s="752"/>
      <c r="J3598" s="736"/>
      <c r="K3598" s="736"/>
      <c r="L3598" s="752"/>
      <c r="M3598" s="736"/>
      <c r="N3598" s="736"/>
      <c r="O3598" s="736"/>
      <c r="P3598" s="736"/>
      <c r="Q3598" s="753"/>
      <c r="R3598" s="738"/>
      <c r="S3598" s="753">
        <v>5000</v>
      </c>
      <c r="T3598" s="739"/>
      <c r="U3598" s="744"/>
      <c r="V3598" s="739"/>
    </row>
    <row r="3599" spans="1:22" ht="15" x14ac:dyDescent="0.2">
      <c r="A3599" s="734">
        <v>2212</v>
      </c>
      <c r="B3599" s="735" t="s">
        <v>40</v>
      </c>
      <c r="C3599" s="736"/>
      <c r="D3599" s="736"/>
      <c r="E3599" s="749"/>
      <c r="F3599" s="736"/>
      <c r="G3599" s="752"/>
      <c r="H3599" s="752"/>
      <c r="I3599" s="752"/>
      <c r="J3599" s="736"/>
      <c r="K3599" s="736"/>
      <c r="L3599" s="752"/>
      <c r="M3599" s="736"/>
      <c r="N3599" s="736"/>
      <c r="O3599" s="736"/>
      <c r="P3599" s="736"/>
      <c r="Q3599" s="753"/>
      <c r="R3599" s="738"/>
      <c r="S3599" s="753">
        <v>15000</v>
      </c>
      <c r="T3599" s="739"/>
      <c r="U3599" s="746">
        <v>15000</v>
      </c>
      <c r="V3599" s="741">
        <v>1100122</v>
      </c>
    </row>
    <row r="3600" spans="1:22" ht="15" x14ac:dyDescent="0.2">
      <c r="A3600" s="734">
        <v>2491</v>
      </c>
      <c r="B3600" s="735" t="s">
        <v>41</v>
      </c>
      <c r="C3600" s="736"/>
      <c r="D3600" s="736">
        <v>5000</v>
      </c>
      <c r="E3600" s="749">
        <v>5000</v>
      </c>
      <c r="F3600" s="736">
        <v>4817.4399999999996</v>
      </c>
      <c r="G3600" s="752">
        <v>5000</v>
      </c>
      <c r="H3600" s="752"/>
      <c r="I3600" s="752"/>
      <c r="J3600" s="736">
        <f t="shared" ref="J3600:J3606" si="1125">G3600+H3600-I3600</f>
        <v>5000</v>
      </c>
      <c r="K3600" s="736"/>
      <c r="L3600" s="752"/>
      <c r="M3600" s="736">
        <f t="shared" ref="M3600:M3606" si="1126">J3600+K3600-L3600</f>
        <v>5000</v>
      </c>
      <c r="N3600" s="736"/>
      <c r="O3600" s="736"/>
      <c r="P3600" s="736">
        <f t="shared" ref="P3600:P3606" si="1127">M3600+N3600-O3600</f>
        <v>5000</v>
      </c>
      <c r="Q3600" s="753">
        <v>5000</v>
      </c>
      <c r="R3600" s="738">
        <v>4987.3500000000004</v>
      </c>
      <c r="S3600" s="753">
        <v>5000</v>
      </c>
      <c r="T3600" s="739">
        <v>1100121</v>
      </c>
      <c r="U3600" s="740">
        <v>5000</v>
      </c>
      <c r="V3600" s="741">
        <v>1100122</v>
      </c>
    </row>
    <row r="3601" spans="1:22" ht="15" x14ac:dyDescent="0.2">
      <c r="A3601" s="734">
        <v>2551</v>
      </c>
      <c r="B3601" s="735" t="s">
        <v>369</v>
      </c>
      <c r="C3601" s="736">
        <v>34486.44</v>
      </c>
      <c r="D3601" s="736">
        <v>20000</v>
      </c>
      <c r="E3601" s="749">
        <v>20000</v>
      </c>
      <c r="F3601" s="736">
        <v>19280.36</v>
      </c>
      <c r="G3601" s="752">
        <v>35000</v>
      </c>
      <c r="H3601" s="752"/>
      <c r="I3601" s="752"/>
      <c r="J3601" s="736">
        <f t="shared" si="1125"/>
        <v>35000</v>
      </c>
      <c r="K3601" s="736"/>
      <c r="L3601" s="752"/>
      <c r="M3601" s="736">
        <f t="shared" si="1126"/>
        <v>35000</v>
      </c>
      <c r="N3601" s="736"/>
      <c r="O3601" s="736"/>
      <c r="P3601" s="736">
        <f t="shared" si="1127"/>
        <v>35000</v>
      </c>
      <c r="Q3601" s="753">
        <v>35000</v>
      </c>
      <c r="R3601" s="738">
        <v>27568.560000000001</v>
      </c>
      <c r="S3601" s="753">
        <v>35000</v>
      </c>
      <c r="T3601" s="739">
        <v>1100121</v>
      </c>
      <c r="U3601" s="740">
        <v>35000</v>
      </c>
      <c r="V3601" s="741">
        <v>1100122</v>
      </c>
    </row>
    <row r="3602" spans="1:22" ht="30" x14ac:dyDescent="0.2">
      <c r="A3602" s="734">
        <v>2612</v>
      </c>
      <c r="B3602" s="735" t="s">
        <v>26</v>
      </c>
      <c r="C3602" s="736"/>
      <c r="D3602" s="736">
        <v>210000</v>
      </c>
      <c r="E3602" s="749">
        <v>100000</v>
      </c>
      <c r="F3602" s="736">
        <v>99641.19</v>
      </c>
      <c r="G3602" s="752">
        <v>150000</v>
      </c>
      <c r="H3602" s="752"/>
      <c r="I3602" s="752"/>
      <c r="J3602" s="736">
        <f t="shared" si="1125"/>
        <v>150000</v>
      </c>
      <c r="K3602" s="736"/>
      <c r="L3602" s="752"/>
      <c r="M3602" s="736">
        <f t="shared" si="1126"/>
        <v>150000</v>
      </c>
      <c r="N3602" s="736"/>
      <c r="O3602" s="736">
        <v>50000</v>
      </c>
      <c r="P3602" s="736">
        <f t="shared" si="1127"/>
        <v>100000</v>
      </c>
      <c r="Q3602" s="753">
        <v>140000</v>
      </c>
      <c r="R3602" s="738">
        <v>109275.85</v>
      </c>
      <c r="S3602" s="738">
        <f>Q3602</f>
        <v>140000</v>
      </c>
      <c r="T3602" s="739">
        <v>1100121</v>
      </c>
      <c r="U3602" s="746">
        <v>150000</v>
      </c>
      <c r="V3602" s="741">
        <v>1100122</v>
      </c>
    </row>
    <row r="3603" spans="1:22" ht="15" x14ac:dyDescent="0.2">
      <c r="A3603" s="734">
        <v>2722</v>
      </c>
      <c r="B3603" s="735" t="s">
        <v>1808</v>
      </c>
      <c r="C3603" s="736">
        <v>11887.92</v>
      </c>
      <c r="D3603" s="736"/>
      <c r="E3603" s="736"/>
      <c r="F3603" s="736"/>
      <c r="G3603" s="752">
        <v>10000</v>
      </c>
      <c r="H3603" s="752"/>
      <c r="I3603" s="752"/>
      <c r="J3603" s="736">
        <f t="shared" si="1125"/>
        <v>10000</v>
      </c>
      <c r="K3603" s="752"/>
      <c r="L3603" s="752"/>
      <c r="M3603" s="736">
        <f t="shared" si="1126"/>
        <v>10000</v>
      </c>
      <c r="N3603" s="736"/>
      <c r="O3603" s="736"/>
      <c r="P3603" s="736">
        <f t="shared" si="1127"/>
        <v>10000</v>
      </c>
      <c r="Q3603" s="753">
        <v>10000</v>
      </c>
      <c r="R3603" s="738">
        <v>9327.3700000000008</v>
      </c>
      <c r="S3603" s="753">
        <v>13000</v>
      </c>
      <c r="T3603" s="739">
        <v>1100121</v>
      </c>
      <c r="U3603" s="746">
        <v>10000</v>
      </c>
      <c r="V3603" s="741">
        <v>1100122</v>
      </c>
    </row>
    <row r="3604" spans="1:22" ht="15" x14ac:dyDescent="0.2">
      <c r="A3604" s="734">
        <v>2911</v>
      </c>
      <c r="B3604" s="735" t="s">
        <v>60</v>
      </c>
      <c r="C3604" s="736">
        <v>5555.75</v>
      </c>
      <c r="D3604" s="736"/>
      <c r="E3604" s="736"/>
      <c r="F3604" s="736"/>
      <c r="G3604" s="736"/>
      <c r="H3604" s="736"/>
      <c r="I3604" s="736"/>
      <c r="J3604" s="736">
        <f t="shared" si="1125"/>
        <v>0</v>
      </c>
      <c r="K3604" s="736"/>
      <c r="L3604" s="736"/>
      <c r="M3604" s="736">
        <f t="shared" si="1126"/>
        <v>0</v>
      </c>
      <c r="N3604" s="736"/>
      <c r="O3604" s="736"/>
      <c r="P3604" s="738">
        <f t="shared" si="1127"/>
        <v>0</v>
      </c>
      <c r="Q3604" s="738"/>
      <c r="R3604" s="738"/>
      <c r="S3604" s="738">
        <v>5000</v>
      </c>
      <c r="T3604" s="739"/>
      <c r="U3604" s="740">
        <v>5000</v>
      </c>
      <c r="V3604" s="741">
        <v>1100122</v>
      </c>
    </row>
    <row r="3605" spans="1:22" ht="15" x14ac:dyDescent="0.2">
      <c r="A3605" s="739">
        <v>3141</v>
      </c>
      <c r="B3605" s="822" t="s">
        <v>48</v>
      </c>
      <c r="C3605" s="736">
        <v>9138.75</v>
      </c>
      <c r="D3605" s="736"/>
      <c r="E3605" s="736"/>
      <c r="F3605" s="736"/>
      <c r="G3605" s="736"/>
      <c r="H3605" s="736"/>
      <c r="I3605" s="736"/>
      <c r="J3605" s="736">
        <f t="shared" si="1125"/>
        <v>0</v>
      </c>
      <c r="K3605" s="736"/>
      <c r="L3605" s="736"/>
      <c r="M3605" s="736">
        <f t="shared" si="1126"/>
        <v>0</v>
      </c>
      <c r="N3605" s="736"/>
      <c r="O3605" s="736"/>
      <c r="P3605" s="738">
        <f t="shared" si="1127"/>
        <v>0</v>
      </c>
      <c r="Q3605" s="738"/>
      <c r="R3605" s="738"/>
      <c r="S3605" s="738"/>
      <c r="T3605" s="739"/>
      <c r="U3605" s="745"/>
      <c r="V3605" s="739"/>
    </row>
    <row r="3606" spans="1:22" ht="30" x14ac:dyDescent="0.2">
      <c r="A3606" s="734">
        <v>3361</v>
      </c>
      <c r="B3606" s="735" t="s">
        <v>29</v>
      </c>
      <c r="C3606" s="736">
        <v>23749</v>
      </c>
      <c r="D3606" s="736">
        <v>0</v>
      </c>
      <c r="E3606" s="749">
        <v>20000</v>
      </c>
      <c r="F3606" s="736">
        <v>0</v>
      </c>
      <c r="G3606" s="752">
        <v>15000</v>
      </c>
      <c r="H3606" s="752"/>
      <c r="I3606" s="752"/>
      <c r="J3606" s="736">
        <f t="shared" si="1125"/>
        <v>15000</v>
      </c>
      <c r="K3606" s="752"/>
      <c r="L3606" s="752"/>
      <c r="M3606" s="736">
        <f t="shared" si="1126"/>
        <v>15000</v>
      </c>
      <c r="N3606" s="736"/>
      <c r="O3606" s="736"/>
      <c r="P3606" s="736">
        <f t="shared" si="1127"/>
        <v>15000</v>
      </c>
      <c r="Q3606" s="753">
        <v>15000</v>
      </c>
      <c r="R3606" s="738">
        <v>1682</v>
      </c>
      <c r="S3606" s="753">
        <v>25000</v>
      </c>
      <c r="T3606" s="739">
        <v>1100121</v>
      </c>
      <c r="U3606" s="740">
        <v>10000</v>
      </c>
      <c r="V3606" s="741">
        <v>1100122</v>
      </c>
    </row>
    <row r="3607" spans="1:22" ht="15" x14ac:dyDescent="0.2">
      <c r="A3607" s="739">
        <v>3341</v>
      </c>
      <c r="B3607" s="743" t="s">
        <v>1885</v>
      </c>
      <c r="C3607" s="736"/>
      <c r="D3607" s="736"/>
      <c r="E3607" s="749"/>
      <c r="F3607" s="736"/>
      <c r="G3607" s="752"/>
      <c r="H3607" s="752"/>
      <c r="I3607" s="752"/>
      <c r="J3607" s="736"/>
      <c r="K3607" s="752"/>
      <c r="L3607" s="752"/>
      <c r="M3607" s="736"/>
      <c r="N3607" s="736"/>
      <c r="O3607" s="736"/>
      <c r="P3607" s="736"/>
      <c r="Q3607" s="753"/>
      <c r="R3607" s="738"/>
      <c r="S3607" s="753">
        <v>30000</v>
      </c>
      <c r="T3607" s="739"/>
      <c r="U3607" s="744"/>
      <c r="V3607" s="739"/>
    </row>
    <row r="3608" spans="1:22" ht="15" x14ac:dyDescent="0.2">
      <c r="A3608" s="739">
        <v>3391</v>
      </c>
      <c r="B3608" s="743" t="s">
        <v>118</v>
      </c>
      <c r="C3608" s="736"/>
      <c r="D3608" s="736"/>
      <c r="E3608" s="749"/>
      <c r="F3608" s="736"/>
      <c r="G3608" s="752"/>
      <c r="H3608" s="752"/>
      <c r="I3608" s="752"/>
      <c r="J3608" s="736"/>
      <c r="K3608" s="752"/>
      <c r="L3608" s="752"/>
      <c r="M3608" s="736"/>
      <c r="N3608" s="736"/>
      <c r="O3608" s="736"/>
      <c r="P3608" s="736"/>
      <c r="Q3608" s="753"/>
      <c r="R3608" s="738"/>
      <c r="S3608" s="753">
        <v>40000</v>
      </c>
      <c r="T3608" s="739"/>
      <c r="U3608" s="744">
        <v>0</v>
      </c>
      <c r="V3608" s="739">
        <v>1100122</v>
      </c>
    </row>
    <row r="3609" spans="1:22" ht="15" x14ac:dyDescent="0.2">
      <c r="A3609" s="734">
        <v>3331</v>
      </c>
      <c r="B3609" s="762" t="s">
        <v>171</v>
      </c>
      <c r="C3609" s="736"/>
      <c r="D3609" s="736"/>
      <c r="E3609" s="749"/>
      <c r="F3609" s="736"/>
      <c r="G3609" s="752"/>
      <c r="H3609" s="752"/>
      <c r="I3609" s="752"/>
      <c r="J3609" s="736"/>
      <c r="K3609" s="752"/>
      <c r="L3609" s="752"/>
      <c r="M3609" s="736"/>
      <c r="N3609" s="736"/>
      <c r="O3609" s="736"/>
      <c r="P3609" s="736"/>
      <c r="Q3609" s="753"/>
      <c r="R3609" s="738"/>
      <c r="S3609" s="753"/>
      <c r="T3609" s="739"/>
      <c r="U3609" s="746">
        <v>40000</v>
      </c>
      <c r="V3609" s="741">
        <v>1100122</v>
      </c>
    </row>
    <row r="3610" spans="1:22" ht="15" x14ac:dyDescent="0.2">
      <c r="A3610" s="734">
        <v>3471</v>
      </c>
      <c r="B3610" s="735" t="s">
        <v>100</v>
      </c>
      <c r="C3610" s="736">
        <v>114157.92</v>
      </c>
      <c r="D3610" s="736">
        <v>0</v>
      </c>
      <c r="E3610" s="749">
        <v>21000</v>
      </c>
      <c r="F3610" s="736">
        <v>20880</v>
      </c>
      <c r="G3610" s="752">
        <v>50000</v>
      </c>
      <c r="H3610" s="752"/>
      <c r="I3610" s="752"/>
      <c r="J3610" s="736">
        <f t="shared" ref="J3610:J3616" si="1128">G3610+H3610-I3610</f>
        <v>50000</v>
      </c>
      <c r="K3610" s="752"/>
      <c r="L3610" s="752"/>
      <c r="M3610" s="736">
        <f t="shared" ref="M3610:M3616" si="1129">J3610+K3610-L3610</f>
        <v>50000</v>
      </c>
      <c r="N3610" s="736"/>
      <c r="O3610" s="736"/>
      <c r="P3610" s="736">
        <f t="shared" ref="P3610:P3616" si="1130">M3610+N3610-O3610</f>
        <v>50000</v>
      </c>
      <c r="Q3610" s="753">
        <v>100000</v>
      </c>
      <c r="R3610" s="738">
        <v>55738</v>
      </c>
      <c r="S3610" s="753">
        <v>100000</v>
      </c>
      <c r="T3610" s="739">
        <v>1100121</v>
      </c>
      <c r="U3610" s="740">
        <v>100000</v>
      </c>
      <c r="V3610" s="741">
        <v>1100122</v>
      </c>
    </row>
    <row r="3611" spans="1:22" ht="15" x14ac:dyDescent="0.2">
      <c r="A3611" s="739">
        <v>3521</v>
      </c>
      <c r="B3611" s="822" t="s">
        <v>120</v>
      </c>
      <c r="C3611" s="736">
        <v>2610</v>
      </c>
      <c r="D3611" s="736"/>
      <c r="E3611" s="900"/>
      <c r="F3611" s="736"/>
      <c r="G3611" s="736"/>
      <c r="H3611" s="736"/>
      <c r="I3611" s="736"/>
      <c r="J3611" s="736">
        <f t="shared" si="1128"/>
        <v>0</v>
      </c>
      <c r="K3611" s="736"/>
      <c r="L3611" s="736"/>
      <c r="M3611" s="736">
        <f t="shared" si="1129"/>
        <v>0</v>
      </c>
      <c r="N3611" s="736"/>
      <c r="O3611" s="736"/>
      <c r="P3611" s="738">
        <f t="shared" si="1130"/>
        <v>0</v>
      </c>
      <c r="Q3611" s="738"/>
      <c r="R3611" s="738"/>
      <c r="S3611" s="738"/>
      <c r="T3611" s="739"/>
      <c r="U3611" s="745"/>
      <c r="V3611" s="739"/>
    </row>
    <row r="3612" spans="1:22" ht="15" x14ac:dyDescent="0.2">
      <c r="A3612" s="734">
        <v>3551</v>
      </c>
      <c r="B3612" s="735" t="s">
        <v>30</v>
      </c>
      <c r="C3612" s="736">
        <v>105061.02</v>
      </c>
      <c r="D3612" s="736">
        <v>100000</v>
      </c>
      <c r="E3612" s="749">
        <v>200000</v>
      </c>
      <c r="F3612" s="736">
        <v>211118.6</v>
      </c>
      <c r="G3612" s="752">
        <v>180000</v>
      </c>
      <c r="H3612" s="752"/>
      <c r="I3612" s="752"/>
      <c r="J3612" s="736">
        <f t="shared" si="1128"/>
        <v>180000</v>
      </c>
      <c r="K3612" s="752"/>
      <c r="L3612" s="752"/>
      <c r="M3612" s="736">
        <f t="shared" si="1129"/>
        <v>180000</v>
      </c>
      <c r="N3612" s="736"/>
      <c r="O3612" s="736">
        <v>80000</v>
      </c>
      <c r="P3612" s="736">
        <f t="shared" si="1130"/>
        <v>100000</v>
      </c>
      <c r="Q3612" s="753">
        <v>100000</v>
      </c>
      <c r="R3612" s="738">
        <v>95442.46</v>
      </c>
      <c r="S3612" s="738">
        <f>Q3612</f>
        <v>100000</v>
      </c>
      <c r="T3612" s="739">
        <v>1100121</v>
      </c>
      <c r="U3612" s="746">
        <v>120000</v>
      </c>
      <c r="V3612" s="741">
        <v>1100122</v>
      </c>
    </row>
    <row r="3613" spans="1:22" ht="15" x14ac:dyDescent="0.2">
      <c r="A3613" s="734">
        <v>3571</v>
      </c>
      <c r="B3613" s="762" t="s">
        <v>1886</v>
      </c>
      <c r="C3613" s="736"/>
      <c r="D3613" s="736"/>
      <c r="E3613" s="749"/>
      <c r="F3613" s="736"/>
      <c r="G3613" s="752">
        <v>10000</v>
      </c>
      <c r="H3613" s="752"/>
      <c r="I3613" s="752"/>
      <c r="J3613" s="736">
        <f t="shared" si="1128"/>
        <v>10000</v>
      </c>
      <c r="K3613" s="752"/>
      <c r="L3613" s="752">
        <v>5000</v>
      </c>
      <c r="M3613" s="736">
        <f t="shared" si="1129"/>
        <v>5000</v>
      </c>
      <c r="N3613" s="736"/>
      <c r="O3613" s="736">
        <v>4130</v>
      </c>
      <c r="P3613" s="736">
        <f t="shared" si="1130"/>
        <v>870</v>
      </c>
      <c r="Q3613" s="753">
        <v>870</v>
      </c>
      <c r="R3613" s="738">
        <v>870</v>
      </c>
      <c r="S3613" s="753">
        <v>10000</v>
      </c>
      <c r="T3613" s="739">
        <v>1100121</v>
      </c>
      <c r="U3613" s="740">
        <v>10000</v>
      </c>
      <c r="V3613" s="741">
        <v>1100122</v>
      </c>
    </row>
    <row r="3614" spans="1:22" ht="15" x14ac:dyDescent="0.2">
      <c r="A3614" s="739">
        <v>3611</v>
      </c>
      <c r="B3614" s="822" t="s">
        <v>66</v>
      </c>
      <c r="C3614" s="736">
        <v>2610</v>
      </c>
      <c r="D3614" s="736"/>
      <c r="E3614" s="736"/>
      <c r="F3614" s="736"/>
      <c r="G3614" s="736"/>
      <c r="H3614" s="736"/>
      <c r="I3614" s="736"/>
      <c r="J3614" s="736">
        <f t="shared" si="1128"/>
        <v>0</v>
      </c>
      <c r="K3614" s="736"/>
      <c r="L3614" s="736"/>
      <c r="M3614" s="736">
        <f t="shared" si="1129"/>
        <v>0</v>
      </c>
      <c r="N3614" s="736"/>
      <c r="O3614" s="736"/>
      <c r="P3614" s="738">
        <f t="shared" si="1130"/>
        <v>0</v>
      </c>
      <c r="Q3614" s="738"/>
      <c r="R3614" s="738"/>
      <c r="S3614" s="738">
        <v>10000</v>
      </c>
      <c r="T3614" s="739"/>
      <c r="U3614" s="745"/>
      <c r="V3614" s="739"/>
    </row>
    <row r="3615" spans="1:22" ht="15" x14ac:dyDescent="0.2">
      <c r="A3615" s="739">
        <v>3612</v>
      </c>
      <c r="B3615" s="822" t="s">
        <v>188</v>
      </c>
      <c r="C3615" s="736">
        <v>7389.78</v>
      </c>
      <c r="D3615" s="736"/>
      <c r="E3615" s="736"/>
      <c r="F3615" s="736"/>
      <c r="G3615" s="736"/>
      <c r="H3615" s="736"/>
      <c r="I3615" s="736"/>
      <c r="J3615" s="736">
        <f t="shared" si="1128"/>
        <v>0</v>
      </c>
      <c r="K3615" s="736"/>
      <c r="L3615" s="736"/>
      <c r="M3615" s="736">
        <f t="shared" si="1129"/>
        <v>0</v>
      </c>
      <c r="N3615" s="736"/>
      <c r="O3615" s="736"/>
      <c r="P3615" s="738">
        <f t="shared" si="1130"/>
        <v>0</v>
      </c>
      <c r="Q3615" s="738"/>
      <c r="R3615" s="738"/>
      <c r="S3615" s="738"/>
      <c r="T3615" s="739"/>
      <c r="U3615" s="745"/>
      <c r="V3615" s="739"/>
    </row>
    <row r="3616" spans="1:22" ht="15" x14ac:dyDescent="0.2">
      <c r="A3616" s="739">
        <v>3721</v>
      </c>
      <c r="B3616" s="822" t="s">
        <v>50</v>
      </c>
      <c r="C3616" s="736">
        <v>903</v>
      </c>
      <c r="D3616" s="736"/>
      <c r="E3616" s="736"/>
      <c r="F3616" s="736"/>
      <c r="G3616" s="736"/>
      <c r="H3616" s="736"/>
      <c r="I3616" s="736"/>
      <c r="J3616" s="736">
        <f t="shared" si="1128"/>
        <v>0</v>
      </c>
      <c r="K3616" s="736"/>
      <c r="L3616" s="736"/>
      <c r="M3616" s="736">
        <f t="shared" si="1129"/>
        <v>0</v>
      </c>
      <c r="N3616" s="736"/>
      <c r="O3616" s="736"/>
      <c r="P3616" s="738">
        <f t="shared" si="1130"/>
        <v>0</v>
      </c>
      <c r="Q3616" s="738"/>
      <c r="R3616" s="738"/>
      <c r="S3616" s="738"/>
      <c r="T3616" s="739"/>
      <c r="U3616" s="745"/>
      <c r="V3616" s="739"/>
    </row>
    <row r="3617" spans="1:22" ht="15" x14ac:dyDescent="0.2">
      <c r="A3617" s="739">
        <v>3751</v>
      </c>
      <c r="B3617" s="822" t="s">
        <v>1887</v>
      </c>
      <c r="C3617" s="736"/>
      <c r="D3617" s="736"/>
      <c r="E3617" s="736"/>
      <c r="F3617" s="736"/>
      <c r="G3617" s="736"/>
      <c r="H3617" s="736"/>
      <c r="I3617" s="736"/>
      <c r="J3617" s="736"/>
      <c r="K3617" s="736"/>
      <c r="L3617" s="736"/>
      <c r="M3617" s="736"/>
      <c r="N3617" s="736"/>
      <c r="O3617" s="736"/>
      <c r="P3617" s="738"/>
      <c r="Q3617" s="738"/>
      <c r="R3617" s="738"/>
      <c r="S3617" s="738">
        <v>5000</v>
      </c>
      <c r="T3617" s="739"/>
      <c r="U3617" s="745"/>
      <c r="V3617" s="739"/>
    </row>
    <row r="3618" spans="1:22" ht="15" x14ac:dyDescent="0.2">
      <c r="A3618" s="728" t="s">
        <v>1888</v>
      </c>
      <c r="B3618" s="729" t="s">
        <v>1889</v>
      </c>
      <c r="C3618" s="730">
        <f t="shared" ref="C3618:S3618" si="1131">SUM(C3619:C3625)</f>
        <v>23480.65</v>
      </c>
      <c r="D3618" s="730">
        <f t="shared" si="1131"/>
        <v>21000</v>
      </c>
      <c r="E3618" s="730">
        <f t="shared" si="1131"/>
        <v>21250</v>
      </c>
      <c r="F3618" s="730">
        <f t="shared" si="1131"/>
        <v>16124.84</v>
      </c>
      <c r="G3618" s="730">
        <f t="shared" si="1131"/>
        <v>25250</v>
      </c>
      <c r="H3618" s="730">
        <f t="shared" si="1131"/>
        <v>0</v>
      </c>
      <c r="I3618" s="730">
        <f t="shared" si="1131"/>
        <v>0</v>
      </c>
      <c r="J3618" s="730">
        <f t="shared" si="1131"/>
        <v>25250</v>
      </c>
      <c r="K3618" s="730">
        <f t="shared" si="1131"/>
        <v>0</v>
      </c>
      <c r="L3618" s="730">
        <f t="shared" si="1131"/>
        <v>0</v>
      </c>
      <c r="M3618" s="730">
        <f t="shared" si="1131"/>
        <v>25250</v>
      </c>
      <c r="N3618" s="730">
        <f t="shared" si="1131"/>
        <v>0</v>
      </c>
      <c r="O3618" s="730">
        <f t="shared" si="1131"/>
        <v>15000</v>
      </c>
      <c r="P3618" s="730">
        <f t="shared" si="1131"/>
        <v>10250</v>
      </c>
      <c r="Q3618" s="748">
        <f t="shared" si="1131"/>
        <v>10250</v>
      </c>
      <c r="R3618" s="748">
        <f>SUM(R3619:R3625)</f>
        <v>808.7</v>
      </c>
      <c r="S3618" s="748">
        <f t="shared" si="1131"/>
        <v>11000</v>
      </c>
      <c r="T3618" s="731"/>
      <c r="U3618" s="732">
        <f t="shared" ref="U3618" si="1132">SUM(U3619:U3625)</f>
        <v>0</v>
      </c>
      <c r="V3618" s="728"/>
    </row>
    <row r="3619" spans="1:22" ht="15" x14ac:dyDescent="0.2">
      <c r="A3619" s="739">
        <v>2111</v>
      </c>
      <c r="B3619" s="743" t="s">
        <v>22</v>
      </c>
      <c r="C3619" s="736">
        <v>1716.95</v>
      </c>
      <c r="D3619" s="736">
        <v>2500</v>
      </c>
      <c r="E3619" s="749">
        <v>1750</v>
      </c>
      <c r="F3619" s="736">
        <v>1486.92</v>
      </c>
      <c r="G3619" s="752">
        <v>1750</v>
      </c>
      <c r="H3619" s="752"/>
      <c r="I3619" s="752"/>
      <c r="J3619" s="736">
        <f t="shared" ref="J3619:J3625" si="1133">G3619+H3619-I3619</f>
        <v>1750</v>
      </c>
      <c r="K3619" s="752"/>
      <c r="L3619" s="752"/>
      <c r="M3619" s="736">
        <f t="shared" ref="M3619:M3625" si="1134">J3619+K3619-L3619</f>
        <v>1750</v>
      </c>
      <c r="N3619" s="736"/>
      <c r="O3619" s="736"/>
      <c r="P3619" s="736">
        <f t="shared" ref="P3619:P3625" si="1135">M3619+N3619-O3619</f>
        <v>1750</v>
      </c>
      <c r="Q3619" s="753">
        <v>1750</v>
      </c>
      <c r="R3619" s="738">
        <v>808.7</v>
      </c>
      <c r="S3619" s="753">
        <v>2000</v>
      </c>
      <c r="T3619" s="739">
        <v>1100121</v>
      </c>
      <c r="U3619" s="745">
        <v>0</v>
      </c>
      <c r="V3619" s="739">
        <v>1100122</v>
      </c>
    </row>
    <row r="3620" spans="1:22" ht="15" x14ac:dyDescent="0.2">
      <c r="A3620" s="739">
        <v>2112</v>
      </c>
      <c r="B3620" s="743" t="s">
        <v>39</v>
      </c>
      <c r="C3620" s="736">
        <v>1500</v>
      </c>
      <c r="D3620" s="736">
        <v>3000</v>
      </c>
      <c r="E3620" s="749">
        <v>3000</v>
      </c>
      <c r="F3620" s="736">
        <v>0</v>
      </c>
      <c r="G3620" s="752">
        <v>3000</v>
      </c>
      <c r="H3620" s="752"/>
      <c r="I3620" s="752"/>
      <c r="J3620" s="736">
        <f t="shared" si="1133"/>
        <v>3000</v>
      </c>
      <c r="K3620" s="752"/>
      <c r="L3620" s="752"/>
      <c r="M3620" s="736">
        <f t="shared" si="1134"/>
        <v>3000</v>
      </c>
      <c r="N3620" s="736"/>
      <c r="O3620" s="736"/>
      <c r="P3620" s="736">
        <f t="shared" si="1135"/>
        <v>3000</v>
      </c>
      <c r="Q3620" s="753">
        <v>3000</v>
      </c>
      <c r="R3620" s="738"/>
      <c r="S3620" s="753">
        <v>3000</v>
      </c>
      <c r="T3620" s="739">
        <v>1100121</v>
      </c>
      <c r="U3620" s="745"/>
      <c r="V3620" s="739">
        <v>1100122</v>
      </c>
    </row>
    <row r="3621" spans="1:22" ht="15" x14ac:dyDescent="0.2">
      <c r="A3621" s="739">
        <v>2212</v>
      </c>
      <c r="B3621" s="743" t="s">
        <v>40</v>
      </c>
      <c r="C3621" s="736"/>
      <c r="D3621" s="736">
        <v>2500</v>
      </c>
      <c r="E3621" s="749">
        <v>1500</v>
      </c>
      <c r="F3621" s="736">
        <v>0</v>
      </c>
      <c r="G3621" s="752">
        <v>2500</v>
      </c>
      <c r="H3621" s="752"/>
      <c r="I3621" s="752"/>
      <c r="J3621" s="736">
        <f t="shared" si="1133"/>
        <v>2500</v>
      </c>
      <c r="K3621" s="752"/>
      <c r="L3621" s="752"/>
      <c r="M3621" s="736">
        <f t="shared" si="1134"/>
        <v>2500</v>
      </c>
      <c r="N3621" s="736"/>
      <c r="O3621" s="736"/>
      <c r="P3621" s="736">
        <f t="shared" si="1135"/>
        <v>2500</v>
      </c>
      <c r="Q3621" s="753">
        <v>2500</v>
      </c>
      <c r="R3621" s="738"/>
      <c r="S3621" s="753">
        <v>3000</v>
      </c>
      <c r="T3621" s="739">
        <v>1100121</v>
      </c>
      <c r="U3621" s="745"/>
      <c r="V3621" s="739">
        <v>1100122</v>
      </c>
    </row>
    <row r="3622" spans="1:22" ht="15" x14ac:dyDescent="0.2">
      <c r="A3622" s="739">
        <v>2711</v>
      </c>
      <c r="B3622" s="743" t="s">
        <v>27</v>
      </c>
      <c r="C3622" s="736">
        <v>4200</v>
      </c>
      <c r="D3622" s="736"/>
      <c r="E3622" s="749"/>
      <c r="F3622" s="736"/>
      <c r="G3622" s="736"/>
      <c r="H3622" s="736"/>
      <c r="I3622" s="736"/>
      <c r="J3622" s="736">
        <f t="shared" si="1133"/>
        <v>0</v>
      </c>
      <c r="K3622" s="736"/>
      <c r="L3622" s="736"/>
      <c r="M3622" s="736">
        <f t="shared" si="1134"/>
        <v>0</v>
      </c>
      <c r="N3622" s="736"/>
      <c r="O3622" s="736"/>
      <c r="P3622" s="738">
        <f t="shared" si="1135"/>
        <v>0</v>
      </c>
      <c r="Q3622" s="738"/>
      <c r="R3622" s="738"/>
      <c r="S3622" s="738"/>
      <c r="T3622" s="739"/>
      <c r="U3622" s="745"/>
      <c r="V3622" s="739"/>
    </row>
    <row r="3623" spans="1:22" ht="15" x14ac:dyDescent="0.2">
      <c r="A3623" s="739">
        <v>3141</v>
      </c>
      <c r="B3623" s="822" t="s">
        <v>48</v>
      </c>
      <c r="C3623" s="736">
        <v>6242.71</v>
      </c>
      <c r="D3623" s="736"/>
      <c r="E3623" s="736"/>
      <c r="F3623" s="736"/>
      <c r="G3623" s="736"/>
      <c r="H3623" s="736"/>
      <c r="I3623" s="736"/>
      <c r="J3623" s="736">
        <f t="shared" si="1133"/>
        <v>0</v>
      </c>
      <c r="K3623" s="736"/>
      <c r="L3623" s="736"/>
      <c r="M3623" s="736">
        <f t="shared" si="1134"/>
        <v>0</v>
      </c>
      <c r="N3623" s="736"/>
      <c r="O3623" s="736"/>
      <c r="P3623" s="738">
        <f t="shared" si="1135"/>
        <v>0</v>
      </c>
      <c r="Q3623" s="738"/>
      <c r="R3623" s="738"/>
      <c r="S3623" s="738"/>
      <c r="T3623" s="739"/>
      <c r="U3623" s="745"/>
      <c r="V3623" s="739"/>
    </row>
    <row r="3624" spans="1:22" ht="15" x14ac:dyDescent="0.2">
      <c r="A3624" s="739">
        <v>3551</v>
      </c>
      <c r="B3624" s="743" t="s">
        <v>30</v>
      </c>
      <c r="C3624" s="736">
        <v>9820.99</v>
      </c>
      <c r="D3624" s="736">
        <v>10000</v>
      </c>
      <c r="E3624" s="749">
        <v>15000</v>
      </c>
      <c r="F3624" s="736">
        <v>14637.92</v>
      </c>
      <c r="G3624" s="752">
        <v>15000</v>
      </c>
      <c r="H3624" s="752"/>
      <c r="I3624" s="752"/>
      <c r="J3624" s="736">
        <f t="shared" si="1133"/>
        <v>15000</v>
      </c>
      <c r="K3624" s="752"/>
      <c r="L3624" s="752"/>
      <c r="M3624" s="736">
        <f t="shared" si="1134"/>
        <v>15000</v>
      </c>
      <c r="N3624" s="736"/>
      <c r="O3624" s="736">
        <v>15000</v>
      </c>
      <c r="P3624" s="738">
        <f t="shared" si="1135"/>
        <v>0</v>
      </c>
      <c r="Q3624" s="753"/>
      <c r="R3624" s="738"/>
      <c r="S3624" s="738">
        <f>Q3624</f>
        <v>0</v>
      </c>
      <c r="T3624" s="739">
        <v>1100121</v>
      </c>
      <c r="U3624" s="745"/>
      <c r="V3624" s="739">
        <v>1100122</v>
      </c>
    </row>
    <row r="3625" spans="1:22" ht="15" x14ac:dyDescent="0.2">
      <c r="A3625" s="739">
        <v>3751</v>
      </c>
      <c r="B3625" s="743" t="s">
        <v>44</v>
      </c>
      <c r="C3625" s="736"/>
      <c r="D3625" s="736">
        <v>3000</v>
      </c>
      <c r="E3625" s="736"/>
      <c r="F3625" s="736">
        <v>0</v>
      </c>
      <c r="G3625" s="752">
        <v>3000</v>
      </c>
      <c r="H3625" s="752"/>
      <c r="I3625" s="752"/>
      <c r="J3625" s="736">
        <f t="shared" si="1133"/>
        <v>3000</v>
      </c>
      <c r="K3625" s="752"/>
      <c r="L3625" s="752"/>
      <c r="M3625" s="736">
        <f t="shared" si="1134"/>
        <v>3000</v>
      </c>
      <c r="N3625" s="736"/>
      <c r="O3625" s="736"/>
      <c r="P3625" s="736">
        <f t="shared" si="1135"/>
        <v>3000</v>
      </c>
      <c r="Q3625" s="753">
        <v>3000</v>
      </c>
      <c r="R3625" s="738"/>
      <c r="S3625" s="753">
        <v>3000</v>
      </c>
      <c r="T3625" s="739">
        <v>1100121</v>
      </c>
      <c r="U3625" s="745"/>
      <c r="V3625" s="739">
        <v>1100122</v>
      </c>
    </row>
    <row r="3626" spans="1:22" ht="15" x14ac:dyDescent="0.2">
      <c r="A3626" s="728" t="s">
        <v>370</v>
      </c>
      <c r="B3626" s="729" t="s">
        <v>1597</v>
      </c>
      <c r="C3626" s="730">
        <f t="shared" ref="C3626:S3626" si="1136">SUM(C3627:C3655)</f>
        <v>985810.4</v>
      </c>
      <c r="D3626" s="730">
        <f t="shared" si="1136"/>
        <v>1318624.58</v>
      </c>
      <c r="E3626" s="730">
        <f t="shared" si="1136"/>
        <v>1445502.2799999998</v>
      </c>
      <c r="F3626" s="730">
        <f t="shared" si="1136"/>
        <v>1378771.7999999998</v>
      </c>
      <c r="G3626" s="730">
        <f t="shared" si="1136"/>
        <v>1390943.6999999997</v>
      </c>
      <c r="H3626" s="730">
        <f t="shared" si="1136"/>
        <v>0</v>
      </c>
      <c r="I3626" s="730">
        <f t="shared" si="1136"/>
        <v>0</v>
      </c>
      <c r="J3626" s="730">
        <f t="shared" si="1136"/>
        <v>1390943.6999999997</v>
      </c>
      <c r="K3626" s="730">
        <f t="shared" si="1136"/>
        <v>90341.239999999991</v>
      </c>
      <c r="L3626" s="730">
        <f t="shared" si="1136"/>
        <v>80000</v>
      </c>
      <c r="M3626" s="730">
        <f t="shared" si="1136"/>
        <v>1401284.94</v>
      </c>
      <c r="N3626" s="730">
        <f t="shared" si="1136"/>
        <v>34130</v>
      </c>
      <c r="O3626" s="730">
        <f t="shared" si="1136"/>
        <v>50000</v>
      </c>
      <c r="P3626" s="730">
        <f t="shared" si="1136"/>
        <v>1385414.94</v>
      </c>
      <c r="Q3626" s="748">
        <f t="shared" si="1136"/>
        <v>1381510.2800000003</v>
      </c>
      <c r="R3626" s="748">
        <f>SUM(R3627:R3655)</f>
        <v>869397.36</v>
      </c>
      <c r="S3626" s="748">
        <f t="shared" si="1136"/>
        <v>1666820.26</v>
      </c>
      <c r="T3626" s="731"/>
      <c r="U3626" s="732">
        <f>SUM(U3627:U3655)</f>
        <v>1344311.11</v>
      </c>
      <c r="V3626" s="733"/>
    </row>
    <row r="3627" spans="1:22" ht="15" x14ac:dyDescent="0.25">
      <c r="A3627" s="734">
        <v>1132</v>
      </c>
      <c r="B3627" s="735" t="s">
        <v>8</v>
      </c>
      <c r="C3627" s="736">
        <v>381597.6</v>
      </c>
      <c r="D3627" s="736">
        <v>406628.04</v>
      </c>
      <c r="E3627" s="749">
        <v>407806.04</v>
      </c>
      <c r="F3627" s="736">
        <v>422613.55</v>
      </c>
      <c r="G3627" s="736">
        <v>427183.19999999995</v>
      </c>
      <c r="H3627" s="736"/>
      <c r="I3627" s="736"/>
      <c r="J3627" s="736">
        <f t="shared" ref="J3627:J3655" si="1137">G3627+H3627-I3627</f>
        <v>427183.19999999995</v>
      </c>
      <c r="K3627" s="736">
        <v>15065.66</v>
      </c>
      <c r="L3627" s="736"/>
      <c r="M3627" s="736">
        <f t="shared" ref="M3627:M3655" si="1138">J3627+K3627-L3627</f>
        <v>442248.85999999993</v>
      </c>
      <c r="N3627" s="736"/>
      <c r="O3627" s="736"/>
      <c r="P3627" s="736">
        <f t="shared" ref="P3627:P3655" si="1139">M3627+N3627-O3627</f>
        <v>442248.85999999993</v>
      </c>
      <c r="Q3627" s="738">
        <v>431872.75</v>
      </c>
      <c r="R3627" s="738">
        <v>314422.13</v>
      </c>
      <c r="S3627" s="751">
        <v>533438.36</v>
      </c>
      <c r="T3627" s="739">
        <v>1500521</v>
      </c>
      <c r="U3627" s="779">
        <v>451425.2</v>
      </c>
      <c r="V3627" s="741">
        <v>1500522</v>
      </c>
    </row>
    <row r="3628" spans="1:22" ht="15" x14ac:dyDescent="0.25">
      <c r="A3628" s="734">
        <v>1321</v>
      </c>
      <c r="B3628" s="735" t="s">
        <v>9</v>
      </c>
      <c r="C3628" s="736">
        <v>29087.53</v>
      </c>
      <c r="D3628" s="736">
        <v>30407.599999999999</v>
      </c>
      <c r="E3628" s="749">
        <v>30590.6</v>
      </c>
      <c r="F3628" s="736">
        <v>30589.81</v>
      </c>
      <c r="G3628" s="736">
        <v>32040.5</v>
      </c>
      <c r="H3628" s="736"/>
      <c r="I3628" s="736"/>
      <c r="J3628" s="736">
        <f t="shared" si="1137"/>
        <v>32040.5</v>
      </c>
      <c r="K3628" s="736">
        <v>1074.57</v>
      </c>
      <c r="L3628" s="736"/>
      <c r="M3628" s="736">
        <f t="shared" si="1138"/>
        <v>33115.07</v>
      </c>
      <c r="N3628" s="736"/>
      <c r="O3628" s="736"/>
      <c r="P3628" s="736">
        <f t="shared" si="1139"/>
        <v>33115.07</v>
      </c>
      <c r="Q3628" s="738">
        <v>33115.07</v>
      </c>
      <c r="R3628" s="738">
        <v>15972.52</v>
      </c>
      <c r="S3628" s="751">
        <v>40511.08</v>
      </c>
      <c r="T3628" s="739">
        <v>1500521</v>
      </c>
      <c r="U3628" s="779">
        <v>34283.660000000003</v>
      </c>
      <c r="V3628" s="741">
        <v>1500522</v>
      </c>
    </row>
    <row r="3629" spans="1:22" ht="15" x14ac:dyDescent="0.25">
      <c r="A3629" s="734">
        <v>1323</v>
      </c>
      <c r="B3629" s="735" t="s">
        <v>11</v>
      </c>
      <c r="C3629" s="736">
        <v>69492</v>
      </c>
      <c r="D3629" s="736">
        <v>71918</v>
      </c>
      <c r="E3629" s="749">
        <v>71918</v>
      </c>
      <c r="F3629" s="736">
        <v>72996</v>
      </c>
      <c r="G3629" s="736">
        <v>75552</v>
      </c>
      <c r="H3629" s="736"/>
      <c r="I3629" s="736"/>
      <c r="J3629" s="736">
        <f t="shared" si="1137"/>
        <v>75552</v>
      </c>
      <c r="K3629" s="736">
        <v>2533.63</v>
      </c>
      <c r="L3629" s="736"/>
      <c r="M3629" s="736">
        <f t="shared" si="1138"/>
        <v>78085.63</v>
      </c>
      <c r="N3629" s="736"/>
      <c r="O3629" s="736"/>
      <c r="P3629" s="736">
        <f t="shared" si="1139"/>
        <v>78085.63</v>
      </c>
      <c r="Q3629" s="738">
        <v>76687.5</v>
      </c>
      <c r="R3629" s="738">
        <v>57510</v>
      </c>
      <c r="S3629" s="751">
        <v>96693</v>
      </c>
      <c r="T3629" s="739">
        <v>1500521</v>
      </c>
      <c r="U3629" s="779">
        <v>77319</v>
      </c>
      <c r="V3629" s="741">
        <v>1500522</v>
      </c>
    </row>
    <row r="3630" spans="1:22" ht="15" x14ac:dyDescent="0.25">
      <c r="A3630" s="734">
        <v>1413</v>
      </c>
      <c r="B3630" s="735" t="s">
        <v>13</v>
      </c>
      <c r="C3630" s="736">
        <v>86711.28</v>
      </c>
      <c r="D3630" s="736">
        <v>100206.96</v>
      </c>
      <c r="E3630" s="749">
        <v>98527.96</v>
      </c>
      <c r="F3630" s="736">
        <v>97354.42</v>
      </c>
      <c r="G3630" s="736">
        <v>112878.40000000001</v>
      </c>
      <c r="H3630" s="736"/>
      <c r="I3630" s="736"/>
      <c r="J3630" s="736">
        <f t="shared" si="1137"/>
        <v>112878.40000000001</v>
      </c>
      <c r="K3630" s="736">
        <v>4353.84</v>
      </c>
      <c r="L3630" s="736"/>
      <c r="M3630" s="736">
        <f t="shared" si="1138"/>
        <v>117232.24</v>
      </c>
      <c r="N3630" s="736"/>
      <c r="O3630" s="736"/>
      <c r="P3630" s="736">
        <f t="shared" si="1139"/>
        <v>117232.24</v>
      </c>
      <c r="Q3630" s="738">
        <v>117232.24</v>
      </c>
      <c r="R3630" s="738">
        <v>80625.649999999994</v>
      </c>
      <c r="S3630" s="751">
        <v>154240.32000000001</v>
      </c>
      <c r="T3630" s="739">
        <v>1500521</v>
      </c>
      <c r="U3630" s="779">
        <v>108817.55</v>
      </c>
      <c r="V3630" s="741">
        <v>1500522</v>
      </c>
    </row>
    <row r="3631" spans="1:22" ht="15" x14ac:dyDescent="0.25">
      <c r="A3631" s="734">
        <v>1421</v>
      </c>
      <c r="B3631" s="735" t="s">
        <v>15</v>
      </c>
      <c r="C3631" s="736">
        <v>30864.44</v>
      </c>
      <c r="D3631" s="736">
        <v>31787.94</v>
      </c>
      <c r="E3631" s="749">
        <v>28648.94</v>
      </c>
      <c r="F3631" s="736">
        <v>30780.31</v>
      </c>
      <c r="G3631" s="736">
        <v>33588.6</v>
      </c>
      <c r="H3631" s="736"/>
      <c r="I3631" s="736"/>
      <c r="J3631" s="736">
        <f t="shared" si="1137"/>
        <v>33588.6</v>
      </c>
      <c r="K3631" s="736">
        <v>1313.46</v>
      </c>
      <c r="L3631" s="736"/>
      <c r="M3631" s="736">
        <f t="shared" si="1138"/>
        <v>34902.06</v>
      </c>
      <c r="N3631" s="736"/>
      <c r="O3631" s="736"/>
      <c r="P3631" s="736">
        <f t="shared" si="1139"/>
        <v>34902.06</v>
      </c>
      <c r="Q3631" s="738">
        <v>34902.06</v>
      </c>
      <c r="R3631" s="738">
        <v>22103.96</v>
      </c>
      <c r="S3631" s="751">
        <v>42816.36</v>
      </c>
      <c r="T3631" s="739">
        <v>1500521</v>
      </c>
      <c r="U3631" s="779">
        <v>39904.019999999997</v>
      </c>
      <c r="V3631" s="741">
        <v>1500522</v>
      </c>
    </row>
    <row r="3632" spans="1:22" ht="15" x14ac:dyDescent="0.25">
      <c r="A3632" s="734">
        <v>1431</v>
      </c>
      <c r="B3632" s="735" t="s">
        <v>16</v>
      </c>
      <c r="C3632" s="736">
        <v>32136.48</v>
      </c>
      <c r="D3632" s="736">
        <v>32741.599999999999</v>
      </c>
      <c r="E3632" s="749">
        <v>30054.6</v>
      </c>
      <c r="F3632" s="736">
        <v>32562.7</v>
      </c>
      <c r="G3632" s="736">
        <v>34596.199999999997</v>
      </c>
      <c r="H3632" s="736"/>
      <c r="I3632" s="736"/>
      <c r="J3632" s="736">
        <f t="shared" si="1137"/>
        <v>34596.199999999997</v>
      </c>
      <c r="K3632" s="736">
        <v>1345.68</v>
      </c>
      <c r="L3632" s="736"/>
      <c r="M3632" s="736">
        <f t="shared" si="1138"/>
        <v>35941.879999999997</v>
      </c>
      <c r="N3632" s="736"/>
      <c r="O3632" s="736"/>
      <c r="P3632" s="736">
        <f t="shared" si="1139"/>
        <v>35941.879999999997</v>
      </c>
      <c r="Q3632" s="738">
        <v>35941.879999999997</v>
      </c>
      <c r="R3632" s="738">
        <v>22812.17</v>
      </c>
      <c r="S3632" s="751">
        <v>44100.84</v>
      </c>
      <c r="T3632" s="739">
        <v>1500521</v>
      </c>
      <c r="U3632" s="779">
        <v>40372.69</v>
      </c>
      <c r="V3632" s="741">
        <v>1500522</v>
      </c>
    </row>
    <row r="3633" spans="1:22" ht="15" x14ac:dyDescent="0.25">
      <c r="A3633" s="734">
        <v>1511</v>
      </c>
      <c r="B3633" s="735" t="s">
        <v>18</v>
      </c>
      <c r="C3633" s="736">
        <v>9721.44</v>
      </c>
      <c r="D3633" s="736">
        <v>10472.280000000001</v>
      </c>
      <c r="E3633" s="749">
        <v>10472.280000000001</v>
      </c>
      <c r="F3633" s="736">
        <v>10854.82</v>
      </c>
      <c r="G3633" s="736">
        <v>11000.1</v>
      </c>
      <c r="H3633" s="736"/>
      <c r="I3633" s="736"/>
      <c r="J3633" s="736">
        <f t="shared" si="1137"/>
        <v>11000.1</v>
      </c>
      <c r="K3633" s="736">
        <v>368.57</v>
      </c>
      <c r="L3633" s="736"/>
      <c r="M3633" s="736">
        <f t="shared" si="1138"/>
        <v>11368.67</v>
      </c>
      <c r="N3633" s="736"/>
      <c r="O3633" s="736"/>
      <c r="P3633" s="736">
        <f t="shared" si="1139"/>
        <v>11368.67</v>
      </c>
      <c r="Q3633" s="738">
        <v>11368.67</v>
      </c>
      <c r="R3633" s="738">
        <v>8058.06</v>
      </c>
      <c r="S3633" s="751">
        <v>14075.88</v>
      </c>
      <c r="T3633" s="739">
        <v>1500521</v>
      </c>
      <c r="U3633" s="779">
        <v>11576.54</v>
      </c>
      <c r="V3633" s="741">
        <v>1500522</v>
      </c>
    </row>
    <row r="3634" spans="1:22" ht="15" x14ac:dyDescent="0.25">
      <c r="A3634" s="734">
        <v>1541</v>
      </c>
      <c r="B3634" s="735" t="s">
        <v>19</v>
      </c>
      <c r="C3634" s="736">
        <v>3362.76</v>
      </c>
      <c r="D3634" s="736">
        <v>3527.16</v>
      </c>
      <c r="E3634" s="749">
        <v>3527.16</v>
      </c>
      <c r="F3634" s="736">
        <v>3581.22</v>
      </c>
      <c r="G3634" s="736">
        <v>4269.2000000000007</v>
      </c>
      <c r="H3634" s="736"/>
      <c r="I3634" s="736"/>
      <c r="J3634" s="736">
        <f t="shared" si="1137"/>
        <v>4269.2000000000007</v>
      </c>
      <c r="K3634" s="736">
        <v>162.46</v>
      </c>
      <c r="L3634" s="736"/>
      <c r="M3634" s="736">
        <f t="shared" si="1138"/>
        <v>4431.6600000000008</v>
      </c>
      <c r="N3634" s="736"/>
      <c r="O3634" s="736"/>
      <c r="P3634" s="736">
        <f t="shared" si="1139"/>
        <v>4431.6600000000008</v>
      </c>
      <c r="Q3634" s="738">
        <v>4431.66</v>
      </c>
      <c r="R3634" s="738">
        <v>2536.3200000000002</v>
      </c>
      <c r="S3634" s="751">
        <v>3457.74</v>
      </c>
      <c r="T3634" s="739">
        <v>1500521</v>
      </c>
      <c r="U3634" s="779">
        <v>4330.24</v>
      </c>
      <c r="V3634" s="741">
        <v>1500522</v>
      </c>
    </row>
    <row r="3635" spans="1:22" ht="15" x14ac:dyDescent="0.25">
      <c r="A3635" s="734">
        <v>1592</v>
      </c>
      <c r="B3635" s="735" t="s">
        <v>20</v>
      </c>
      <c r="C3635" s="736">
        <v>108548.88</v>
      </c>
      <c r="D3635" s="736">
        <v>116935</v>
      </c>
      <c r="E3635" s="749">
        <v>116935</v>
      </c>
      <c r="F3635" s="736">
        <v>121206.39</v>
      </c>
      <c r="G3635" s="736">
        <v>122835.5</v>
      </c>
      <c r="H3635" s="736"/>
      <c r="I3635" s="736"/>
      <c r="J3635" s="736">
        <f t="shared" si="1137"/>
        <v>122835.5</v>
      </c>
      <c r="K3635" s="736">
        <v>4123.37</v>
      </c>
      <c r="L3635" s="736"/>
      <c r="M3635" s="736">
        <f t="shared" si="1138"/>
        <v>126958.87</v>
      </c>
      <c r="N3635" s="736"/>
      <c r="O3635" s="736"/>
      <c r="P3635" s="736">
        <f t="shared" si="1139"/>
        <v>126958.87</v>
      </c>
      <c r="Q3635" s="738">
        <v>136488.51999999999</v>
      </c>
      <c r="R3635" s="738">
        <v>89988.37</v>
      </c>
      <c r="S3635" s="751">
        <v>170486.68</v>
      </c>
      <c r="T3635" s="739">
        <v>1500521</v>
      </c>
      <c r="U3635" s="779">
        <v>129282.21</v>
      </c>
      <c r="V3635" s="741">
        <v>1500522</v>
      </c>
    </row>
    <row r="3636" spans="1:22" ht="15" x14ac:dyDescent="0.2">
      <c r="A3636" s="734">
        <v>2111</v>
      </c>
      <c r="B3636" s="735" t="s">
        <v>22</v>
      </c>
      <c r="C3636" s="736">
        <v>7820</v>
      </c>
      <c r="D3636" s="736">
        <v>10000</v>
      </c>
      <c r="E3636" s="749">
        <v>7000</v>
      </c>
      <c r="F3636" s="736">
        <v>6500</v>
      </c>
      <c r="G3636" s="752">
        <v>7000</v>
      </c>
      <c r="H3636" s="752"/>
      <c r="I3636" s="752"/>
      <c r="J3636" s="736">
        <f t="shared" si="1137"/>
        <v>7000</v>
      </c>
      <c r="K3636" s="752"/>
      <c r="L3636" s="752"/>
      <c r="M3636" s="736">
        <f t="shared" si="1138"/>
        <v>7000</v>
      </c>
      <c r="N3636" s="736"/>
      <c r="O3636" s="736"/>
      <c r="P3636" s="736">
        <f t="shared" si="1139"/>
        <v>7000</v>
      </c>
      <c r="Q3636" s="753">
        <v>5339.93</v>
      </c>
      <c r="R3636" s="738">
        <v>4034.2</v>
      </c>
      <c r="S3636" s="753">
        <v>7000</v>
      </c>
      <c r="T3636" s="739">
        <v>1100121</v>
      </c>
      <c r="U3636" s="740">
        <v>7000</v>
      </c>
      <c r="V3636" s="741">
        <v>1100122</v>
      </c>
    </row>
    <row r="3637" spans="1:22" ht="15" x14ac:dyDescent="0.2">
      <c r="A3637" s="734">
        <v>2161</v>
      </c>
      <c r="B3637" s="735" t="s">
        <v>59</v>
      </c>
      <c r="C3637" s="736"/>
      <c r="D3637" s="736">
        <v>10000</v>
      </c>
      <c r="E3637" s="749">
        <v>2206</v>
      </c>
      <c r="F3637" s="736">
        <v>2204.36</v>
      </c>
      <c r="G3637" s="752">
        <v>10000</v>
      </c>
      <c r="H3637" s="752"/>
      <c r="I3637" s="752"/>
      <c r="J3637" s="736">
        <f t="shared" si="1137"/>
        <v>10000</v>
      </c>
      <c r="K3637" s="752"/>
      <c r="L3637" s="752"/>
      <c r="M3637" s="736">
        <f t="shared" si="1138"/>
        <v>10000</v>
      </c>
      <c r="N3637" s="736"/>
      <c r="O3637" s="736">
        <v>5000</v>
      </c>
      <c r="P3637" s="736">
        <f t="shared" si="1139"/>
        <v>5000</v>
      </c>
      <c r="Q3637" s="753">
        <v>5000</v>
      </c>
      <c r="R3637" s="738">
        <v>4946.08</v>
      </c>
      <c r="S3637" s="753">
        <v>10000</v>
      </c>
      <c r="T3637" s="739">
        <v>1100121</v>
      </c>
      <c r="U3637" s="740">
        <v>10000</v>
      </c>
      <c r="V3637" s="741">
        <v>1100122</v>
      </c>
    </row>
    <row r="3638" spans="1:22" ht="15" x14ac:dyDescent="0.2">
      <c r="A3638" s="734">
        <v>2312</v>
      </c>
      <c r="B3638" s="735" t="s">
        <v>371</v>
      </c>
      <c r="C3638" s="736">
        <v>49808.37</v>
      </c>
      <c r="D3638" s="736">
        <v>60000</v>
      </c>
      <c r="E3638" s="749">
        <v>89740</v>
      </c>
      <c r="F3638" s="736">
        <v>82795.03</v>
      </c>
      <c r="G3638" s="752">
        <v>90000</v>
      </c>
      <c r="H3638" s="752"/>
      <c r="I3638" s="752"/>
      <c r="J3638" s="736">
        <f t="shared" si="1137"/>
        <v>90000</v>
      </c>
      <c r="K3638" s="752"/>
      <c r="L3638" s="752">
        <v>20000</v>
      </c>
      <c r="M3638" s="736">
        <f t="shared" si="1138"/>
        <v>70000</v>
      </c>
      <c r="N3638" s="736"/>
      <c r="O3638" s="736"/>
      <c r="P3638" s="736">
        <f t="shared" si="1139"/>
        <v>70000</v>
      </c>
      <c r="Q3638" s="753">
        <v>70000</v>
      </c>
      <c r="R3638" s="738">
        <v>10303</v>
      </c>
      <c r="S3638" s="753">
        <v>90000</v>
      </c>
      <c r="T3638" s="739">
        <v>1100121</v>
      </c>
      <c r="U3638" s="740">
        <v>70000</v>
      </c>
      <c r="V3638" s="741">
        <v>1100122</v>
      </c>
    </row>
    <row r="3639" spans="1:22" ht="15" x14ac:dyDescent="0.2">
      <c r="A3639" s="734">
        <v>2411</v>
      </c>
      <c r="B3639" s="735" t="s">
        <v>130</v>
      </c>
      <c r="C3639" s="736">
        <v>19272.09</v>
      </c>
      <c r="D3639" s="736">
        <v>50000</v>
      </c>
      <c r="E3639" s="749">
        <v>39500</v>
      </c>
      <c r="F3639" s="736">
        <v>31966.89</v>
      </c>
      <c r="G3639" s="752">
        <v>20000</v>
      </c>
      <c r="H3639" s="752"/>
      <c r="I3639" s="752"/>
      <c r="J3639" s="736">
        <f t="shared" si="1137"/>
        <v>20000</v>
      </c>
      <c r="K3639" s="752"/>
      <c r="L3639" s="752">
        <v>10000</v>
      </c>
      <c r="M3639" s="736">
        <f t="shared" si="1138"/>
        <v>10000</v>
      </c>
      <c r="N3639" s="736"/>
      <c r="O3639" s="736"/>
      <c r="P3639" s="736">
        <f t="shared" si="1139"/>
        <v>10000</v>
      </c>
      <c r="Q3639" s="753">
        <v>10000</v>
      </c>
      <c r="R3639" s="738">
        <v>6423</v>
      </c>
      <c r="S3639" s="753">
        <v>20000</v>
      </c>
      <c r="T3639" s="739">
        <v>1100121</v>
      </c>
      <c r="U3639" s="740">
        <v>10000</v>
      </c>
      <c r="V3639" s="741">
        <v>1100122</v>
      </c>
    </row>
    <row r="3640" spans="1:22" ht="15" x14ac:dyDescent="0.2">
      <c r="A3640" s="734">
        <v>2491</v>
      </c>
      <c r="B3640" s="735" t="s">
        <v>41</v>
      </c>
      <c r="C3640" s="736">
        <v>28297.65</v>
      </c>
      <c r="D3640" s="736">
        <v>30000</v>
      </c>
      <c r="E3640" s="749">
        <v>58575.7</v>
      </c>
      <c r="F3640" s="736">
        <v>56448.82</v>
      </c>
      <c r="G3640" s="752">
        <v>50000</v>
      </c>
      <c r="H3640" s="752"/>
      <c r="I3640" s="752"/>
      <c r="J3640" s="736">
        <f t="shared" si="1137"/>
        <v>50000</v>
      </c>
      <c r="K3640" s="752"/>
      <c r="L3640" s="752">
        <v>20000</v>
      </c>
      <c r="M3640" s="736">
        <f t="shared" si="1138"/>
        <v>30000</v>
      </c>
      <c r="N3640" s="736">
        <v>34130</v>
      </c>
      <c r="O3640" s="736"/>
      <c r="P3640" s="736">
        <f t="shared" si="1139"/>
        <v>64130</v>
      </c>
      <c r="Q3640" s="753">
        <v>64130</v>
      </c>
      <c r="R3640" s="738">
        <v>63740.83</v>
      </c>
      <c r="S3640" s="753">
        <v>50000</v>
      </c>
      <c r="T3640" s="739">
        <v>1100121</v>
      </c>
      <c r="U3640" s="740">
        <v>50000</v>
      </c>
      <c r="V3640" s="741">
        <v>1100122</v>
      </c>
    </row>
    <row r="3641" spans="1:22" ht="15" x14ac:dyDescent="0.2">
      <c r="A3641" s="734">
        <v>2521</v>
      </c>
      <c r="B3641" s="735" t="s">
        <v>310</v>
      </c>
      <c r="C3641" s="736"/>
      <c r="D3641" s="736">
        <v>5000</v>
      </c>
      <c r="E3641" s="749">
        <v>0</v>
      </c>
      <c r="F3641" s="736">
        <v>0</v>
      </c>
      <c r="G3641" s="752">
        <v>20000</v>
      </c>
      <c r="H3641" s="752"/>
      <c r="I3641" s="752"/>
      <c r="J3641" s="736">
        <f t="shared" si="1137"/>
        <v>20000</v>
      </c>
      <c r="K3641" s="752"/>
      <c r="L3641" s="752">
        <v>10000</v>
      </c>
      <c r="M3641" s="736">
        <f t="shared" si="1138"/>
        <v>10000</v>
      </c>
      <c r="N3641" s="736"/>
      <c r="O3641" s="736">
        <v>5000</v>
      </c>
      <c r="P3641" s="736">
        <f t="shared" si="1139"/>
        <v>5000</v>
      </c>
      <c r="Q3641" s="753">
        <v>5000</v>
      </c>
      <c r="R3641" s="738"/>
      <c r="S3641" s="753">
        <v>20000</v>
      </c>
      <c r="T3641" s="739">
        <v>1100121</v>
      </c>
      <c r="U3641" s="740">
        <v>10000</v>
      </c>
      <c r="V3641" s="741">
        <v>1100122</v>
      </c>
    </row>
    <row r="3642" spans="1:22" ht="15" x14ac:dyDescent="0.2">
      <c r="A3642" s="734">
        <v>2522</v>
      </c>
      <c r="B3642" s="735" t="s">
        <v>147</v>
      </c>
      <c r="C3642" s="736">
        <v>1887.78</v>
      </c>
      <c r="D3642" s="736">
        <v>2000</v>
      </c>
      <c r="E3642" s="749">
        <v>2000</v>
      </c>
      <c r="F3642" s="736">
        <v>1935.98</v>
      </c>
      <c r="G3642" s="752">
        <v>5000</v>
      </c>
      <c r="H3642" s="752"/>
      <c r="I3642" s="752"/>
      <c r="J3642" s="736">
        <f t="shared" si="1137"/>
        <v>5000</v>
      </c>
      <c r="K3642" s="752"/>
      <c r="L3642" s="752"/>
      <c r="M3642" s="736">
        <f t="shared" si="1138"/>
        <v>5000</v>
      </c>
      <c r="N3642" s="736"/>
      <c r="O3642" s="736"/>
      <c r="P3642" s="736">
        <f t="shared" si="1139"/>
        <v>5000</v>
      </c>
      <c r="Q3642" s="753">
        <v>5000</v>
      </c>
      <c r="R3642" s="738">
        <v>4370.01</v>
      </c>
      <c r="S3642" s="753">
        <v>5000</v>
      </c>
      <c r="T3642" s="739">
        <v>1100121</v>
      </c>
      <c r="U3642" s="740">
        <v>5000</v>
      </c>
      <c r="V3642" s="741">
        <v>1100122</v>
      </c>
    </row>
    <row r="3643" spans="1:22" ht="30" x14ac:dyDescent="0.2">
      <c r="A3643" s="734">
        <v>2612</v>
      </c>
      <c r="B3643" s="735" t="s">
        <v>26</v>
      </c>
      <c r="C3643" s="736"/>
      <c r="D3643" s="736">
        <v>158000</v>
      </c>
      <c r="E3643" s="749">
        <v>80000</v>
      </c>
      <c r="F3643" s="736">
        <v>25425.07</v>
      </c>
      <c r="G3643" s="752">
        <v>50000</v>
      </c>
      <c r="H3643" s="752"/>
      <c r="I3643" s="752"/>
      <c r="J3643" s="736">
        <f t="shared" si="1137"/>
        <v>50000</v>
      </c>
      <c r="K3643" s="752"/>
      <c r="L3643" s="752"/>
      <c r="M3643" s="736">
        <f t="shared" si="1138"/>
        <v>50000</v>
      </c>
      <c r="N3643" s="736"/>
      <c r="O3643" s="736">
        <v>10000</v>
      </c>
      <c r="P3643" s="736">
        <f t="shared" si="1139"/>
        <v>40000</v>
      </c>
      <c r="Q3643" s="753">
        <v>40000</v>
      </c>
      <c r="R3643" s="738">
        <v>10286.049999999999</v>
      </c>
      <c r="S3643" s="738">
        <f>Q3643</f>
        <v>40000</v>
      </c>
      <c r="T3643" s="739">
        <v>1100121</v>
      </c>
      <c r="U3643" s="746">
        <v>20000</v>
      </c>
      <c r="V3643" s="741">
        <v>1100122</v>
      </c>
    </row>
    <row r="3644" spans="1:22" ht="15" x14ac:dyDescent="0.2">
      <c r="A3644" s="739">
        <v>2711</v>
      </c>
      <c r="B3644" s="822" t="s">
        <v>27</v>
      </c>
      <c r="C3644" s="736">
        <v>3000</v>
      </c>
      <c r="D3644" s="736"/>
      <c r="E3644" s="736"/>
      <c r="F3644" s="736"/>
      <c r="G3644" s="736"/>
      <c r="H3644" s="736"/>
      <c r="I3644" s="736"/>
      <c r="J3644" s="736">
        <f t="shared" si="1137"/>
        <v>0</v>
      </c>
      <c r="K3644" s="736"/>
      <c r="L3644" s="736"/>
      <c r="M3644" s="736">
        <f t="shared" si="1138"/>
        <v>0</v>
      </c>
      <c r="N3644" s="736"/>
      <c r="O3644" s="736"/>
      <c r="P3644" s="738">
        <f t="shared" si="1139"/>
        <v>0</v>
      </c>
      <c r="Q3644" s="738"/>
      <c r="R3644" s="738"/>
      <c r="S3644" s="738"/>
      <c r="T3644" s="739"/>
      <c r="U3644" s="745"/>
      <c r="V3644" s="739"/>
    </row>
    <row r="3645" spans="1:22" ht="15" x14ac:dyDescent="0.2">
      <c r="A3645" s="739">
        <v>2722</v>
      </c>
      <c r="B3645" s="743" t="s">
        <v>325</v>
      </c>
      <c r="C3645" s="736"/>
      <c r="D3645" s="736">
        <v>10000</v>
      </c>
      <c r="E3645" s="749">
        <v>10000</v>
      </c>
      <c r="F3645" s="736">
        <v>2301.14</v>
      </c>
      <c r="G3645" s="736"/>
      <c r="H3645" s="736"/>
      <c r="I3645" s="736"/>
      <c r="J3645" s="736">
        <f t="shared" si="1137"/>
        <v>0</v>
      </c>
      <c r="K3645" s="736"/>
      <c r="L3645" s="736"/>
      <c r="M3645" s="736">
        <f t="shared" si="1138"/>
        <v>0</v>
      </c>
      <c r="N3645" s="736"/>
      <c r="O3645" s="736"/>
      <c r="P3645" s="738">
        <f t="shared" si="1139"/>
        <v>0</v>
      </c>
      <c r="Q3645" s="738"/>
      <c r="R3645" s="738"/>
      <c r="S3645" s="738"/>
      <c r="T3645" s="739">
        <v>1100121</v>
      </c>
      <c r="U3645" s="745"/>
      <c r="V3645" s="739">
        <v>1100122</v>
      </c>
    </row>
    <row r="3646" spans="1:22" ht="15" x14ac:dyDescent="0.2">
      <c r="A3646" s="734">
        <v>2911</v>
      </c>
      <c r="B3646" s="735" t="s">
        <v>60</v>
      </c>
      <c r="C3646" s="736">
        <v>8425.5400000000009</v>
      </c>
      <c r="D3646" s="736">
        <v>9000</v>
      </c>
      <c r="E3646" s="749">
        <v>9000</v>
      </c>
      <c r="F3646" s="736">
        <v>6814.42</v>
      </c>
      <c r="G3646" s="752">
        <v>5000</v>
      </c>
      <c r="H3646" s="752"/>
      <c r="I3646" s="752"/>
      <c r="J3646" s="736">
        <f t="shared" si="1137"/>
        <v>5000</v>
      </c>
      <c r="K3646" s="752"/>
      <c r="L3646" s="752"/>
      <c r="M3646" s="736">
        <f t="shared" si="1138"/>
        <v>5000</v>
      </c>
      <c r="N3646" s="736"/>
      <c r="O3646" s="736"/>
      <c r="P3646" s="736">
        <f t="shared" si="1139"/>
        <v>5000</v>
      </c>
      <c r="Q3646" s="753">
        <v>5000</v>
      </c>
      <c r="R3646" s="738">
        <v>4578</v>
      </c>
      <c r="S3646" s="753">
        <v>15000</v>
      </c>
      <c r="T3646" s="739">
        <v>1100121</v>
      </c>
      <c r="U3646" s="740">
        <v>15000</v>
      </c>
      <c r="V3646" s="741">
        <v>1100122</v>
      </c>
    </row>
    <row r="3647" spans="1:22" ht="15" x14ac:dyDescent="0.2">
      <c r="A3647" s="739">
        <v>3141</v>
      </c>
      <c r="B3647" s="822" t="s">
        <v>48</v>
      </c>
      <c r="C3647" s="736">
        <v>6126.41</v>
      </c>
      <c r="D3647" s="736"/>
      <c r="E3647" s="736"/>
      <c r="F3647" s="736"/>
      <c r="G3647" s="736"/>
      <c r="H3647" s="736"/>
      <c r="I3647" s="736"/>
      <c r="J3647" s="736">
        <f t="shared" si="1137"/>
        <v>0</v>
      </c>
      <c r="K3647" s="736"/>
      <c r="L3647" s="736"/>
      <c r="M3647" s="736">
        <f t="shared" si="1138"/>
        <v>0</v>
      </c>
      <c r="N3647" s="736"/>
      <c r="O3647" s="736"/>
      <c r="P3647" s="738">
        <f t="shared" si="1139"/>
        <v>0</v>
      </c>
      <c r="Q3647" s="738"/>
      <c r="R3647" s="738"/>
      <c r="S3647" s="738"/>
      <c r="T3647" s="739"/>
      <c r="U3647" s="745"/>
      <c r="V3647" s="739"/>
    </row>
    <row r="3648" spans="1:22" ht="15" x14ac:dyDescent="0.2">
      <c r="A3648" s="739">
        <v>3151</v>
      </c>
      <c r="B3648" s="822" t="s">
        <v>28</v>
      </c>
      <c r="C3648" s="736">
        <v>517</v>
      </c>
      <c r="D3648" s="736"/>
      <c r="E3648" s="736"/>
      <c r="F3648" s="736"/>
      <c r="G3648" s="736"/>
      <c r="H3648" s="736"/>
      <c r="I3648" s="736"/>
      <c r="J3648" s="736">
        <f t="shared" si="1137"/>
        <v>0</v>
      </c>
      <c r="K3648" s="736"/>
      <c r="L3648" s="736"/>
      <c r="M3648" s="736">
        <f t="shared" si="1138"/>
        <v>0</v>
      </c>
      <c r="N3648" s="736"/>
      <c r="O3648" s="736"/>
      <c r="P3648" s="738">
        <f t="shared" si="1139"/>
        <v>0</v>
      </c>
      <c r="Q3648" s="738"/>
      <c r="R3648" s="738"/>
      <c r="S3648" s="738"/>
      <c r="T3648" s="739"/>
      <c r="U3648" s="745"/>
      <c r="V3648" s="739"/>
    </row>
    <row r="3649" spans="1:22" ht="15" x14ac:dyDescent="0.2">
      <c r="A3649" s="734">
        <v>3331</v>
      </c>
      <c r="B3649" s="762" t="s">
        <v>171</v>
      </c>
      <c r="C3649" s="752"/>
      <c r="D3649" s="736"/>
      <c r="E3649" s="736"/>
      <c r="F3649" s="736"/>
      <c r="G3649" s="736">
        <v>15000</v>
      </c>
      <c r="H3649" s="736"/>
      <c r="I3649" s="736"/>
      <c r="J3649" s="736">
        <f t="shared" si="1137"/>
        <v>15000</v>
      </c>
      <c r="K3649" s="736"/>
      <c r="L3649" s="736">
        <v>15000</v>
      </c>
      <c r="M3649" s="736">
        <f t="shared" si="1138"/>
        <v>0</v>
      </c>
      <c r="N3649" s="736"/>
      <c r="O3649" s="736"/>
      <c r="P3649" s="738">
        <f t="shared" si="1139"/>
        <v>0</v>
      </c>
      <c r="Q3649" s="738"/>
      <c r="R3649" s="738"/>
      <c r="S3649" s="738">
        <v>15000</v>
      </c>
      <c r="T3649" s="739">
        <v>1100121</v>
      </c>
      <c r="U3649" s="740">
        <v>15000</v>
      </c>
      <c r="V3649" s="741">
        <v>1100122</v>
      </c>
    </row>
    <row r="3650" spans="1:22" ht="15" x14ac:dyDescent="0.2">
      <c r="A3650" s="739">
        <v>3471</v>
      </c>
      <c r="B3650" s="743" t="s">
        <v>100</v>
      </c>
      <c r="C3650" s="736"/>
      <c r="D3650" s="736">
        <v>0</v>
      </c>
      <c r="E3650" s="749">
        <v>109000</v>
      </c>
      <c r="F3650" s="736">
        <v>102485.3</v>
      </c>
      <c r="G3650" s="736"/>
      <c r="H3650" s="736"/>
      <c r="I3650" s="736"/>
      <c r="J3650" s="736">
        <f t="shared" si="1137"/>
        <v>0</v>
      </c>
      <c r="K3650" s="736"/>
      <c r="L3650" s="736"/>
      <c r="M3650" s="736">
        <f t="shared" si="1138"/>
        <v>0</v>
      </c>
      <c r="N3650" s="736"/>
      <c r="O3650" s="736"/>
      <c r="P3650" s="738">
        <f t="shared" si="1139"/>
        <v>0</v>
      </c>
      <c r="Q3650" s="738"/>
      <c r="R3650" s="738"/>
      <c r="S3650" s="738"/>
      <c r="T3650" s="739">
        <v>1100121</v>
      </c>
      <c r="U3650" s="745"/>
      <c r="V3650" s="739">
        <v>1100122</v>
      </c>
    </row>
    <row r="3651" spans="1:22" ht="15" x14ac:dyDescent="0.2">
      <c r="A3651" s="734">
        <v>3551</v>
      </c>
      <c r="B3651" s="735" t="s">
        <v>30</v>
      </c>
      <c r="C3651" s="736">
        <v>34716.53</v>
      </c>
      <c r="D3651" s="736">
        <v>70000</v>
      </c>
      <c r="E3651" s="749">
        <v>140000</v>
      </c>
      <c r="F3651" s="736">
        <v>140000</v>
      </c>
      <c r="G3651" s="752">
        <v>150000</v>
      </c>
      <c r="H3651" s="752"/>
      <c r="I3651" s="752"/>
      <c r="J3651" s="736">
        <f t="shared" si="1137"/>
        <v>150000</v>
      </c>
      <c r="K3651" s="752"/>
      <c r="L3651" s="752"/>
      <c r="M3651" s="736">
        <f t="shared" si="1138"/>
        <v>150000</v>
      </c>
      <c r="N3651" s="736"/>
      <c r="O3651" s="736">
        <v>30000</v>
      </c>
      <c r="P3651" s="736">
        <f t="shared" si="1139"/>
        <v>120000</v>
      </c>
      <c r="Q3651" s="753">
        <v>120000</v>
      </c>
      <c r="R3651" s="738">
        <v>96168.42</v>
      </c>
      <c r="S3651" s="738">
        <f>Q3651</f>
        <v>120000</v>
      </c>
      <c r="T3651" s="739">
        <v>1100121</v>
      </c>
      <c r="U3651" s="746">
        <v>130000</v>
      </c>
      <c r="V3651" s="741">
        <v>1100122</v>
      </c>
    </row>
    <row r="3652" spans="1:22" ht="15" x14ac:dyDescent="0.2">
      <c r="A3652" s="739">
        <v>3612</v>
      </c>
      <c r="B3652" s="743" t="s">
        <v>188</v>
      </c>
      <c r="C3652" s="736">
        <v>14416.7</v>
      </c>
      <c r="D3652" s="736">
        <v>10000</v>
      </c>
      <c r="E3652" s="749">
        <v>10000</v>
      </c>
      <c r="F3652" s="736">
        <v>7441.4</v>
      </c>
      <c r="G3652" s="752">
        <v>10000</v>
      </c>
      <c r="H3652" s="752"/>
      <c r="I3652" s="752"/>
      <c r="J3652" s="736">
        <f t="shared" si="1137"/>
        <v>10000</v>
      </c>
      <c r="K3652" s="752"/>
      <c r="L3652" s="752"/>
      <c r="M3652" s="736">
        <f t="shared" si="1138"/>
        <v>10000</v>
      </c>
      <c r="N3652" s="736"/>
      <c r="O3652" s="736"/>
      <c r="P3652" s="736">
        <f t="shared" si="1139"/>
        <v>10000</v>
      </c>
      <c r="Q3652" s="753">
        <v>10000</v>
      </c>
      <c r="R3652" s="738">
        <v>7319.6</v>
      </c>
      <c r="S3652" s="753">
        <v>20000</v>
      </c>
      <c r="T3652" s="739">
        <v>1100121</v>
      </c>
      <c r="U3652" s="744">
        <v>0</v>
      </c>
      <c r="V3652" s="739">
        <v>1100122</v>
      </c>
    </row>
    <row r="3653" spans="1:22" ht="15" x14ac:dyDescent="0.2">
      <c r="A3653" s="912">
        <v>3751</v>
      </c>
      <c r="B3653" s="762" t="s">
        <v>1887</v>
      </c>
      <c r="C3653" s="736"/>
      <c r="D3653" s="736"/>
      <c r="E3653" s="749"/>
      <c r="F3653" s="736"/>
      <c r="G3653" s="752">
        <v>5000</v>
      </c>
      <c r="H3653" s="752"/>
      <c r="I3653" s="752"/>
      <c r="J3653" s="736">
        <f t="shared" si="1137"/>
        <v>5000</v>
      </c>
      <c r="K3653" s="752"/>
      <c r="L3653" s="752">
        <v>5000</v>
      </c>
      <c r="M3653" s="736">
        <f t="shared" si="1138"/>
        <v>0</v>
      </c>
      <c r="N3653" s="736"/>
      <c r="O3653" s="736"/>
      <c r="P3653" s="738">
        <f t="shared" si="1139"/>
        <v>0</v>
      </c>
      <c r="Q3653" s="753"/>
      <c r="R3653" s="738"/>
      <c r="S3653" s="753">
        <v>5000</v>
      </c>
      <c r="T3653" s="739">
        <v>1100121</v>
      </c>
      <c r="U3653" s="746">
        <v>5000</v>
      </c>
      <c r="V3653" s="741">
        <v>1100122</v>
      </c>
    </row>
    <row r="3654" spans="1:22" ht="15" x14ac:dyDescent="0.2">
      <c r="A3654" s="734">
        <v>3821</v>
      </c>
      <c r="B3654" s="735" t="s">
        <v>31</v>
      </c>
      <c r="C3654" s="736">
        <v>59999.92</v>
      </c>
      <c r="D3654" s="736">
        <v>90000</v>
      </c>
      <c r="E3654" s="749">
        <v>90000</v>
      </c>
      <c r="F3654" s="736">
        <v>89914.17</v>
      </c>
      <c r="G3654" s="752">
        <v>100000</v>
      </c>
      <c r="H3654" s="752"/>
      <c r="I3654" s="752"/>
      <c r="J3654" s="736">
        <f t="shared" si="1137"/>
        <v>100000</v>
      </c>
      <c r="K3654" s="752"/>
      <c r="L3654" s="752"/>
      <c r="M3654" s="736">
        <f t="shared" si="1138"/>
        <v>100000</v>
      </c>
      <c r="N3654" s="736"/>
      <c r="O3654" s="736"/>
      <c r="P3654" s="736">
        <f t="shared" si="1139"/>
        <v>100000</v>
      </c>
      <c r="Q3654" s="753">
        <v>100000</v>
      </c>
      <c r="R3654" s="738">
        <v>25863</v>
      </c>
      <c r="S3654" s="753">
        <v>150000</v>
      </c>
      <c r="T3654" s="739">
        <v>1100121</v>
      </c>
      <c r="U3654" s="740">
        <v>100000</v>
      </c>
      <c r="V3654" s="741">
        <v>1100122</v>
      </c>
    </row>
    <row r="3655" spans="1:22" ht="15" x14ac:dyDescent="0.2">
      <c r="A3655" s="739">
        <v>5691</v>
      </c>
      <c r="B3655" s="743" t="s">
        <v>1890</v>
      </c>
      <c r="C3655" s="736"/>
      <c r="D3655" s="736"/>
      <c r="E3655" s="749"/>
      <c r="F3655" s="736"/>
      <c r="G3655" s="752"/>
      <c r="H3655" s="752"/>
      <c r="I3655" s="752"/>
      <c r="J3655" s="736">
        <f t="shared" si="1137"/>
        <v>0</v>
      </c>
      <c r="K3655" s="752">
        <v>60000</v>
      </c>
      <c r="L3655" s="752"/>
      <c r="M3655" s="736">
        <f t="shared" si="1138"/>
        <v>60000</v>
      </c>
      <c r="N3655" s="736"/>
      <c r="O3655" s="736"/>
      <c r="P3655" s="736">
        <f t="shared" si="1139"/>
        <v>60000</v>
      </c>
      <c r="Q3655" s="753">
        <v>60000</v>
      </c>
      <c r="R3655" s="738">
        <v>17335.990000000002</v>
      </c>
      <c r="S3655" s="753"/>
      <c r="T3655" s="739">
        <v>1100121</v>
      </c>
      <c r="U3655" s="745"/>
      <c r="V3655" s="739">
        <v>1100122</v>
      </c>
    </row>
    <row r="3656" spans="1:22" ht="15" x14ac:dyDescent="0.2">
      <c r="A3656" s="728" t="s">
        <v>372</v>
      </c>
      <c r="B3656" s="729" t="s">
        <v>1598</v>
      </c>
      <c r="C3656" s="730">
        <f t="shared" ref="C3656:S3656" si="1140">SUM(C3657:C3698)</f>
        <v>460500</v>
      </c>
      <c r="D3656" s="730">
        <f t="shared" si="1140"/>
        <v>8000000</v>
      </c>
      <c r="E3656" s="730">
        <f t="shared" si="1140"/>
        <v>7750257.5000000009</v>
      </c>
      <c r="F3656" s="730">
        <f t="shared" si="1140"/>
        <v>0</v>
      </c>
      <c r="G3656" s="730">
        <f t="shared" si="1140"/>
        <v>15080255.229999999</v>
      </c>
      <c r="H3656" s="730">
        <f t="shared" si="1140"/>
        <v>2934708.18</v>
      </c>
      <c r="I3656" s="730">
        <f t="shared" si="1140"/>
        <v>2934708.1900000004</v>
      </c>
      <c r="J3656" s="730">
        <f t="shared" si="1140"/>
        <v>15080255.219999999</v>
      </c>
      <c r="K3656" s="730">
        <f t="shared" si="1140"/>
        <v>31000</v>
      </c>
      <c r="L3656" s="730">
        <f t="shared" si="1140"/>
        <v>31000</v>
      </c>
      <c r="M3656" s="730">
        <f t="shared" si="1140"/>
        <v>15080255.219999999</v>
      </c>
      <c r="N3656" s="730">
        <f t="shared" si="1140"/>
        <v>0</v>
      </c>
      <c r="O3656" s="730">
        <f t="shared" si="1140"/>
        <v>0</v>
      </c>
      <c r="P3656" s="730">
        <f t="shared" si="1140"/>
        <v>15080255.219999999</v>
      </c>
      <c r="Q3656" s="748">
        <f t="shared" si="1140"/>
        <v>15080255.219999999</v>
      </c>
      <c r="R3656" s="748">
        <f>SUM(R3657:R3698)</f>
        <v>3945786.73</v>
      </c>
      <c r="S3656" s="748">
        <f t="shared" si="1140"/>
        <v>8000000</v>
      </c>
      <c r="T3656" s="731"/>
      <c r="U3656" s="732">
        <f>SUM(U3657:U3698)</f>
        <v>13882946.929999998</v>
      </c>
      <c r="V3656" s="733"/>
    </row>
    <row r="3657" spans="1:22" ht="15" x14ac:dyDescent="0.2">
      <c r="A3657" s="739">
        <v>2321</v>
      </c>
      <c r="B3657" s="743" t="s">
        <v>1891</v>
      </c>
      <c r="C3657" s="736"/>
      <c r="D3657" s="736">
        <v>0</v>
      </c>
      <c r="E3657" s="749">
        <v>79230.320000000007</v>
      </c>
      <c r="F3657" s="736">
        <v>0</v>
      </c>
      <c r="G3657" s="752">
        <v>85000</v>
      </c>
      <c r="H3657" s="752"/>
      <c r="I3657" s="752">
        <v>85000</v>
      </c>
      <c r="J3657" s="736">
        <f t="shared" ref="J3657:J3698" si="1141">G3657+H3657-I3657</f>
        <v>0</v>
      </c>
      <c r="K3657" s="752"/>
      <c r="L3657" s="752"/>
      <c r="M3657" s="736">
        <f t="shared" ref="M3657:M3698" si="1142">J3657+K3657-L3657</f>
        <v>0</v>
      </c>
      <c r="N3657" s="736"/>
      <c r="O3657" s="736"/>
      <c r="P3657" s="738">
        <f t="shared" ref="P3657:P3698" si="1143">M3657+N3657-O3657</f>
        <v>0</v>
      </c>
      <c r="Q3657" s="753">
        <v>85000</v>
      </c>
      <c r="R3657" s="738">
        <v>83789.61</v>
      </c>
      <c r="S3657" s="753"/>
      <c r="T3657" s="739">
        <v>1100120</v>
      </c>
      <c r="U3657" s="745"/>
      <c r="V3657" s="739">
        <v>1100120</v>
      </c>
    </row>
    <row r="3658" spans="1:22" ht="15" x14ac:dyDescent="0.25">
      <c r="A3658" s="739">
        <v>2321</v>
      </c>
      <c r="B3658" s="743" t="s">
        <v>1891</v>
      </c>
      <c r="C3658" s="736"/>
      <c r="D3658" s="736"/>
      <c r="E3658" s="749"/>
      <c r="F3658" s="736"/>
      <c r="G3658" s="752"/>
      <c r="H3658" s="757">
        <v>85000</v>
      </c>
      <c r="I3658" s="752"/>
      <c r="J3658" s="736">
        <f t="shared" si="1141"/>
        <v>85000</v>
      </c>
      <c r="K3658" s="757"/>
      <c r="L3658" s="752"/>
      <c r="M3658" s="736">
        <f t="shared" si="1142"/>
        <v>85000</v>
      </c>
      <c r="N3658" s="736"/>
      <c r="O3658" s="736"/>
      <c r="P3658" s="736">
        <f t="shared" si="1143"/>
        <v>85000</v>
      </c>
      <c r="Q3658" s="753"/>
      <c r="R3658" s="738"/>
      <c r="S3658" s="753"/>
      <c r="T3658" s="739">
        <v>1100120</v>
      </c>
      <c r="U3658" s="745"/>
      <c r="V3658" s="739">
        <v>1100120</v>
      </c>
    </row>
    <row r="3659" spans="1:22" ht="15" x14ac:dyDescent="0.2">
      <c r="A3659" s="739">
        <v>2321</v>
      </c>
      <c r="B3659" s="743" t="s">
        <v>1891</v>
      </c>
      <c r="C3659" s="736"/>
      <c r="D3659" s="736">
        <v>0</v>
      </c>
      <c r="E3659" s="749">
        <v>85000</v>
      </c>
      <c r="F3659" s="736">
        <v>0</v>
      </c>
      <c r="G3659" s="752">
        <v>79230.320000000007</v>
      </c>
      <c r="H3659" s="752"/>
      <c r="I3659" s="752"/>
      <c r="J3659" s="736">
        <f t="shared" si="1141"/>
        <v>79230.320000000007</v>
      </c>
      <c r="K3659" s="752"/>
      <c r="L3659" s="752"/>
      <c r="M3659" s="736">
        <f t="shared" si="1142"/>
        <v>79230.320000000007</v>
      </c>
      <c r="N3659" s="738"/>
      <c r="O3659" s="738"/>
      <c r="P3659" s="736">
        <f t="shared" si="1143"/>
        <v>79230.320000000007</v>
      </c>
      <c r="Q3659" s="753">
        <v>79230.320000000007</v>
      </c>
      <c r="R3659" s="738"/>
      <c r="S3659" s="753"/>
      <c r="T3659" s="808">
        <v>2610121</v>
      </c>
      <c r="U3659" s="745"/>
      <c r="V3659" s="808">
        <v>2610122</v>
      </c>
    </row>
    <row r="3660" spans="1:22" ht="15" x14ac:dyDescent="0.2">
      <c r="A3660" s="734">
        <v>2461</v>
      </c>
      <c r="B3660" s="735" t="s">
        <v>115</v>
      </c>
      <c r="C3660" s="736"/>
      <c r="D3660" s="736">
        <v>0</v>
      </c>
      <c r="E3660" s="749">
        <v>1176572.6100000001</v>
      </c>
      <c r="F3660" s="736">
        <v>0</v>
      </c>
      <c r="G3660" s="752">
        <v>26000</v>
      </c>
      <c r="H3660" s="752"/>
      <c r="I3660" s="752"/>
      <c r="J3660" s="736">
        <f t="shared" si="1141"/>
        <v>26000</v>
      </c>
      <c r="K3660" s="752"/>
      <c r="L3660" s="752"/>
      <c r="M3660" s="736">
        <f t="shared" si="1142"/>
        <v>26000</v>
      </c>
      <c r="N3660" s="738"/>
      <c r="O3660" s="738"/>
      <c r="P3660" s="736">
        <f t="shared" si="1143"/>
        <v>26000</v>
      </c>
      <c r="Q3660" s="753">
        <v>26000</v>
      </c>
      <c r="R3660" s="738"/>
      <c r="S3660" s="753"/>
      <c r="T3660" s="808">
        <v>2610121</v>
      </c>
      <c r="U3660" s="740">
        <v>980405.78</v>
      </c>
      <c r="V3660" s="870">
        <v>2610122</v>
      </c>
    </row>
    <row r="3661" spans="1:22" ht="15" x14ac:dyDescent="0.2">
      <c r="A3661" s="734">
        <v>2461</v>
      </c>
      <c r="B3661" s="735" t="s">
        <v>115</v>
      </c>
      <c r="C3661" s="736"/>
      <c r="D3661" s="736"/>
      <c r="E3661" s="749"/>
      <c r="F3661" s="736"/>
      <c r="G3661" s="752">
        <v>1176572.6100000001</v>
      </c>
      <c r="H3661" s="752"/>
      <c r="I3661" s="752">
        <v>1176572.6100000001</v>
      </c>
      <c r="J3661" s="736">
        <f t="shared" si="1141"/>
        <v>0</v>
      </c>
      <c r="K3661" s="752"/>
      <c r="L3661" s="752"/>
      <c r="M3661" s="736">
        <f t="shared" si="1142"/>
        <v>0</v>
      </c>
      <c r="N3661" s="736"/>
      <c r="O3661" s="736"/>
      <c r="P3661" s="738">
        <f t="shared" si="1143"/>
        <v>0</v>
      </c>
      <c r="Q3661" s="753">
        <v>1145572.6100000001</v>
      </c>
      <c r="R3661" s="738">
        <v>505637.76</v>
      </c>
      <c r="S3661" s="753"/>
      <c r="T3661" s="739">
        <v>1100120</v>
      </c>
      <c r="U3661" s="740">
        <v>508410.43</v>
      </c>
      <c r="V3661" s="741">
        <v>1100121</v>
      </c>
    </row>
    <row r="3662" spans="1:22" ht="15" x14ac:dyDescent="0.25">
      <c r="A3662" s="739">
        <v>2461</v>
      </c>
      <c r="B3662" s="743" t="s">
        <v>115</v>
      </c>
      <c r="C3662" s="736"/>
      <c r="D3662" s="736"/>
      <c r="E3662" s="749"/>
      <c r="F3662" s="736"/>
      <c r="G3662" s="752"/>
      <c r="H3662" s="757">
        <v>1176572.6100000001</v>
      </c>
      <c r="I3662" s="752"/>
      <c r="J3662" s="736">
        <f t="shared" si="1141"/>
        <v>1176572.6100000001</v>
      </c>
      <c r="K3662" s="757"/>
      <c r="L3662" s="752">
        <v>31000</v>
      </c>
      <c r="M3662" s="736">
        <f t="shared" si="1142"/>
        <v>1145572.6100000001</v>
      </c>
      <c r="N3662" s="736"/>
      <c r="O3662" s="736"/>
      <c r="P3662" s="736">
        <f t="shared" si="1143"/>
        <v>1145572.6100000001</v>
      </c>
      <c r="Q3662" s="753"/>
      <c r="R3662" s="738"/>
      <c r="S3662" s="753"/>
      <c r="T3662" s="739">
        <v>1100121</v>
      </c>
      <c r="U3662" s="745"/>
      <c r="V3662" s="739">
        <v>1100122</v>
      </c>
    </row>
    <row r="3663" spans="1:22" ht="15" x14ac:dyDescent="0.2">
      <c r="A3663" s="739">
        <v>2461</v>
      </c>
      <c r="B3663" s="743" t="s">
        <v>115</v>
      </c>
      <c r="C3663" s="736"/>
      <c r="D3663" s="736">
        <v>0</v>
      </c>
      <c r="E3663" s="749">
        <v>2206481.29</v>
      </c>
      <c r="F3663" s="736">
        <v>0</v>
      </c>
      <c r="G3663" s="752">
        <v>2180481.29</v>
      </c>
      <c r="H3663" s="752"/>
      <c r="I3663" s="752"/>
      <c r="J3663" s="736">
        <f t="shared" si="1141"/>
        <v>2180481.29</v>
      </c>
      <c r="K3663" s="752"/>
      <c r="L3663" s="752"/>
      <c r="M3663" s="736">
        <f t="shared" si="1142"/>
        <v>2180481.29</v>
      </c>
      <c r="N3663" s="738"/>
      <c r="O3663" s="738"/>
      <c r="P3663" s="736">
        <f t="shared" si="1143"/>
        <v>2180481.29</v>
      </c>
      <c r="Q3663" s="753">
        <v>2180481.29</v>
      </c>
      <c r="R3663" s="738">
        <v>1113022.3400000001</v>
      </c>
      <c r="S3663" s="753"/>
      <c r="T3663" s="808">
        <v>2610121</v>
      </c>
      <c r="U3663" s="745"/>
      <c r="V3663" s="808">
        <v>2610122</v>
      </c>
    </row>
    <row r="3664" spans="1:22" ht="15" x14ac:dyDescent="0.2">
      <c r="A3664" s="739">
        <v>2471</v>
      </c>
      <c r="B3664" s="743" t="s">
        <v>1892</v>
      </c>
      <c r="C3664" s="736"/>
      <c r="D3664" s="736">
        <v>0</v>
      </c>
      <c r="E3664" s="749">
        <v>55000</v>
      </c>
      <c r="F3664" s="736">
        <v>0</v>
      </c>
      <c r="G3664" s="752">
        <v>55000</v>
      </c>
      <c r="H3664" s="752"/>
      <c r="I3664" s="752"/>
      <c r="J3664" s="736">
        <f t="shared" si="1141"/>
        <v>55000</v>
      </c>
      <c r="K3664" s="752"/>
      <c r="L3664" s="752"/>
      <c r="M3664" s="736">
        <f t="shared" si="1142"/>
        <v>55000</v>
      </c>
      <c r="N3664" s="738"/>
      <c r="O3664" s="738"/>
      <c r="P3664" s="736">
        <f t="shared" si="1143"/>
        <v>55000</v>
      </c>
      <c r="Q3664" s="753">
        <v>55000</v>
      </c>
      <c r="R3664" s="738"/>
      <c r="S3664" s="753"/>
      <c r="T3664" s="739">
        <v>2610121</v>
      </c>
      <c r="U3664" s="745"/>
      <c r="V3664" s="739">
        <v>2610122</v>
      </c>
    </row>
    <row r="3665" spans="1:22" ht="15" x14ac:dyDescent="0.2">
      <c r="A3665" s="739">
        <v>2711</v>
      </c>
      <c r="B3665" s="743" t="s">
        <v>27</v>
      </c>
      <c r="C3665" s="736"/>
      <c r="D3665" s="736">
        <v>0</v>
      </c>
      <c r="E3665" s="749">
        <v>229992.17</v>
      </c>
      <c r="F3665" s="736">
        <v>0</v>
      </c>
      <c r="G3665" s="752">
        <v>240000</v>
      </c>
      <c r="H3665" s="752"/>
      <c r="I3665" s="752">
        <v>240000</v>
      </c>
      <c r="J3665" s="736">
        <f t="shared" si="1141"/>
        <v>0</v>
      </c>
      <c r="K3665" s="752"/>
      <c r="L3665" s="752"/>
      <c r="M3665" s="736">
        <f t="shared" si="1142"/>
        <v>0</v>
      </c>
      <c r="N3665" s="736"/>
      <c r="O3665" s="736"/>
      <c r="P3665" s="738">
        <f t="shared" si="1143"/>
        <v>0</v>
      </c>
      <c r="Q3665" s="753">
        <v>240000</v>
      </c>
      <c r="R3665" s="738">
        <v>216548.8</v>
      </c>
      <c r="S3665" s="753"/>
      <c r="T3665" s="739">
        <v>1100120</v>
      </c>
      <c r="U3665" s="745"/>
      <c r="V3665" s="739">
        <v>1100120</v>
      </c>
    </row>
    <row r="3666" spans="1:22" ht="15" x14ac:dyDescent="0.25">
      <c r="A3666" s="739">
        <v>2711</v>
      </c>
      <c r="B3666" s="743" t="s">
        <v>27</v>
      </c>
      <c r="C3666" s="736"/>
      <c r="D3666" s="736"/>
      <c r="E3666" s="749"/>
      <c r="F3666" s="736"/>
      <c r="G3666" s="752"/>
      <c r="H3666" s="757">
        <v>240000</v>
      </c>
      <c r="I3666" s="752"/>
      <c r="J3666" s="736">
        <f t="shared" si="1141"/>
        <v>240000</v>
      </c>
      <c r="K3666" s="757"/>
      <c r="L3666" s="752"/>
      <c r="M3666" s="736">
        <f t="shared" si="1142"/>
        <v>240000</v>
      </c>
      <c r="N3666" s="736"/>
      <c r="O3666" s="736"/>
      <c r="P3666" s="736">
        <f t="shared" si="1143"/>
        <v>240000</v>
      </c>
      <c r="Q3666" s="753"/>
      <c r="R3666" s="738"/>
      <c r="S3666" s="753"/>
      <c r="T3666" s="739">
        <v>1100120</v>
      </c>
      <c r="U3666" s="745"/>
      <c r="V3666" s="739">
        <v>1100120</v>
      </c>
    </row>
    <row r="3667" spans="1:22" ht="15" x14ac:dyDescent="0.2">
      <c r="A3667" s="739">
        <v>2711</v>
      </c>
      <c r="B3667" s="743" t="s">
        <v>27</v>
      </c>
      <c r="C3667" s="736"/>
      <c r="D3667" s="736">
        <v>0</v>
      </c>
      <c r="E3667" s="749">
        <v>240000</v>
      </c>
      <c r="F3667" s="736">
        <v>0</v>
      </c>
      <c r="G3667" s="752">
        <v>229992.17</v>
      </c>
      <c r="H3667" s="752"/>
      <c r="I3667" s="752"/>
      <c r="J3667" s="736">
        <f t="shared" si="1141"/>
        <v>229992.17</v>
      </c>
      <c r="K3667" s="752"/>
      <c r="L3667" s="752"/>
      <c r="M3667" s="736">
        <f t="shared" si="1142"/>
        <v>229992.17</v>
      </c>
      <c r="N3667" s="738"/>
      <c r="O3667" s="738"/>
      <c r="P3667" s="736">
        <f t="shared" si="1143"/>
        <v>229992.17</v>
      </c>
      <c r="Q3667" s="753">
        <v>229992.17</v>
      </c>
      <c r="R3667" s="738"/>
      <c r="S3667" s="753"/>
      <c r="T3667" s="808">
        <v>2610121</v>
      </c>
      <c r="U3667" s="745"/>
      <c r="V3667" s="808">
        <v>2610122</v>
      </c>
    </row>
    <row r="3668" spans="1:22" ht="15" x14ac:dyDescent="0.25">
      <c r="A3668" s="739">
        <v>2722</v>
      </c>
      <c r="B3668" s="743" t="s">
        <v>325</v>
      </c>
      <c r="C3668" s="736"/>
      <c r="D3668" s="736">
        <v>0</v>
      </c>
      <c r="E3668" s="749">
        <v>120000</v>
      </c>
      <c r="F3668" s="736">
        <v>0</v>
      </c>
      <c r="G3668" s="971">
        <v>120000</v>
      </c>
      <c r="H3668" s="971"/>
      <c r="I3668" s="971">
        <v>120000</v>
      </c>
      <c r="J3668" s="736">
        <f t="shared" si="1141"/>
        <v>0</v>
      </c>
      <c r="K3668" s="971"/>
      <c r="L3668" s="971"/>
      <c r="M3668" s="736">
        <f t="shared" si="1142"/>
        <v>0</v>
      </c>
      <c r="N3668" s="736"/>
      <c r="O3668" s="736"/>
      <c r="P3668" s="738">
        <f t="shared" si="1143"/>
        <v>0</v>
      </c>
      <c r="Q3668" s="972">
        <v>120000</v>
      </c>
      <c r="R3668" s="738">
        <v>83579.12</v>
      </c>
      <c r="S3668" s="972"/>
      <c r="T3668" s="864">
        <v>1100120</v>
      </c>
      <c r="U3668" s="745"/>
      <c r="V3668" s="864">
        <v>1100120</v>
      </c>
    </row>
    <row r="3669" spans="1:22" ht="15" x14ac:dyDescent="0.25">
      <c r="A3669" s="739">
        <v>2722</v>
      </c>
      <c r="B3669" s="743" t="s">
        <v>325</v>
      </c>
      <c r="C3669" s="736"/>
      <c r="D3669" s="736"/>
      <c r="E3669" s="749"/>
      <c r="F3669" s="736"/>
      <c r="G3669" s="971"/>
      <c r="H3669" s="757">
        <v>120000</v>
      </c>
      <c r="I3669" s="971"/>
      <c r="J3669" s="736">
        <f t="shared" si="1141"/>
        <v>120000</v>
      </c>
      <c r="K3669" s="757"/>
      <c r="L3669" s="971"/>
      <c r="M3669" s="736">
        <f t="shared" si="1142"/>
        <v>120000</v>
      </c>
      <c r="N3669" s="736"/>
      <c r="O3669" s="736"/>
      <c r="P3669" s="736">
        <f t="shared" si="1143"/>
        <v>120000</v>
      </c>
      <c r="Q3669" s="972"/>
      <c r="R3669" s="738"/>
      <c r="S3669" s="972"/>
      <c r="T3669" s="864">
        <v>1100120</v>
      </c>
      <c r="U3669" s="745"/>
      <c r="V3669" s="864">
        <v>1100120</v>
      </c>
    </row>
    <row r="3670" spans="1:22" ht="15" x14ac:dyDescent="0.2">
      <c r="A3670" s="739">
        <v>2722</v>
      </c>
      <c r="B3670" s="743" t="s">
        <v>325</v>
      </c>
      <c r="C3670" s="736"/>
      <c r="D3670" s="736">
        <v>0</v>
      </c>
      <c r="E3670" s="749">
        <v>106776.2</v>
      </c>
      <c r="F3670" s="736">
        <v>0</v>
      </c>
      <c r="G3670" s="752">
        <v>106776.2</v>
      </c>
      <c r="H3670" s="752"/>
      <c r="I3670" s="752"/>
      <c r="J3670" s="736">
        <f t="shared" si="1141"/>
        <v>106776.2</v>
      </c>
      <c r="K3670" s="752"/>
      <c r="L3670" s="752"/>
      <c r="M3670" s="736">
        <f t="shared" si="1142"/>
        <v>106776.2</v>
      </c>
      <c r="N3670" s="738"/>
      <c r="O3670" s="738"/>
      <c r="P3670" s="736">
        <f t="shared" si="1143"/>
        <v>106776.2</v>
      </c>
      <c r="Q3670" s="753">
        <v>106776.2</v>
      </c>
      <c r="R3670" s="738"/>
      <c r="S3670" s="753"/>
      <c r="T3670" s="808">
        <v>2610121</v>
      </c>
      <c r="U3670" s="745"/>
      <c r="V3670" s="808">
        <v>2610122</v>
      </c>
    </row>
    <row r="3671" spans="1:22" ht="15" x14ac:dyDescent="0.2">
      <c r="A3671" s="739">
        <v>3191</v>
      </c>
      <c r="B3671" s="743" t="s">
        <v>1893</v>
      </c>
      <c r="C3671" s="736"/>
      <c r="D3671" s="736">
        <v>0</v>
      </c>
      <c r="E3671" s="749"/>
      <c r="F3671" s="736">
        <v>0</v>
      </c>
      <c r="G3671" s="752"/>
      <c r="H3671" s="752"/>
      <c r="I3671" s="752"/>
      <c r="J3671" s="736">
        <f t="shared" si="1141"/>
        <v>0</v>
      </c>
      <c r="K3671" s="752"/>
      <c r="L3671" s="752"/>
      <c r="M3671" s="736">
        <f t="shared" si="1142"/>
        <v>0</v>
      </c>
      <c r="N3671" s="738"/>
      <c r="O3671" s="738"/>
      <c r="P3671" s="738">
        <f t="shared" si="1143"/>
        <v>0</v>
      </c>
      <c r="Q3671" s="753"/>
      <c r="R3671" s="738"/>
      <c r="S3671" s="753"/>
      <c r="T3671" s="739">
        <v>2610121</v>
      </c>
      <c r="U3671" s="745"/>
      <c r="V3671" s="739">
        <v>2610122</v>
      </c>
    </row>
    <row r="3672" spans="1:22" ht="15" x14ac:dyDescent="0.2">
      <c r="A3672" s="739">
        <v>3192</v>
      </c>
      <c r="B3672" s="743" t="s">
        <v>1817</v>
      </c>
      <c r="C3672" s="736"/>
      <c r="D3672" s="736"/>
      <c r="E3672" s="749"/>
      <c r="F3672" s="736"/>
      <c r="G3672" s="752">
        <v>2500</v>
      </c>
      <c r="H3672" s="752"/>
      <c r="I3672" s="752">
        <v>2500</v>
      </c>
      <c r="J3672" s="736">
        <f t="shared" si="1141"/>
        <v>0</v>
      </c>
      <c r="K3672" s="752"/>
      <c r="L3672" s="752"/>
      <c r="M3672" s="736">
        <f t="shared" si="1142"/>
        <v>0</v>
      </c>
      <c r="N3672" s="736"/>
      <c r="O3672" s="736"/>
      <c r="P3672" s="738">
        <f t="shared" si="1143"/>
        <v>0</v>
      </c>
      <c r="Q3672" s="753">
        <v>2500</v>
      </c>
      <c r="R3672" s="738">
        <v>870</v>
      </c>
      <c r="S3672" s="753"/>
      <c r="T3672" s="739">
        <v>1100120</v>
      </c>
      <c r="U3672" s="745"/>
      <c r="V3672" s="739">
        <v>1100120</v>
      </c>
    </row>
    <row r="3673" spans="1:22" ht="15" x14ac:dyDescent="0.2">
      <c r="A3673" s="739">
        <v>3192</v>
      </c>
      <c r="B3673" s="743" t="s">
        <v>1817</v>
      </c>
      <c r="C3673" s="736"/>
      <c r="D3673" s="736"/>
      <c r="E3673" s="749"/>
      <c r="F3673" s="736"/>
      <c r="G3673" s="752">
        <v>276.83999999999997</v>
      </c>
      <c r="H3673" s="752"/>
      <c r="I3673" s="752"/>
      <c r="J3673" s="736">
        <f t="shared" si="1141"/>
        <v>276.83999999999997</v>
      </c>
      <c r="K3673" s="752"/>
      <c r="L3673" s="752"/>
      <c r="M3673" s="736">
        <f t="shared" si="1142"/>
        <v>276.83999999999997</v>
      </c>
      <c r="N3673" s="738"/>
      <c r="O3673" s="738"/>
      <c r="P3673" s="736">
        <f t="shared" si="1143"/>
        <v>276.83999999999997</v>
      </c>
      <c r="Q3673" s="753">
        <v>276.83999999999997</v>
      </c>
      <c r="R3673" s="738">
        <v>870</v>
      </c>
      <c r="S3673" s="753"/>
      <c r="T3673" s="808">
        <v>2610121</v>
      </c>
      <c r="U3673" s="745"/>
      <c r="V3673" s="808">
        <v>2610122</v>
      </c>
    </row>
    <row r="3674" spans="1:22" ht="15" x14ac:dyDescent="0.25">
      <c r="A3674" s="739">
        <v>3192</v>
      </c>
      <c r="B3674" s="743" t="s">
        <v>1817</v>
      </c>
      <c r="C3674" s="736"/>
      <c r="D3674" s="736"/>
      <c r="E3674" s="749"/>
      <c r="F3674" s="736"/>
      <c r="G3674" s="752"/>
      <c r="H3674" s="757">
        <v>2500</v>
      </c>
      <c r="I3674" s="752"/>
      <c r="J3674" s="736">
        <f t="shared" si="1141"/>
        <v>2500</v>
      </c>
      <c r="K3674" s="757"/>
      <c r="L3674" s="752"/>
      <c r="M3674" s="736">
        <f t="shared" si="1142"/>
        <v>2500</v>
      </c>
      <c r="N3674" s="736"/>
      <c r="O3674" s="736"/>
      <c r="P3674" s="736">
        <f t="shared" si="1143"/>
        <v>2500</v>
      </c>
      <c r="Q3674" s="753"/>
      <c r="R3674" s="738"/>
      <c r="S3674" s="753"/>
      <c r="T3674" s="808">
        <v>1100120</v>
      </c>
      <c r="U3674" s="745"/>
      <c r="V3674" s="808">
        <v>1100120</v>
      </c>
    </row>
    <row r="3675" spans="1:22" ht="15" x14ac:dyDescent="0.2">
      <c r="A3675" s="739">
        <v>3192</v>
      </c>
      <c r="B3675" s="743" t="s">
        <v>1817</v>
      </c>
      <c r="C3675" s="736"/>
      <c r="D3675" s="736">
        <v>0</v>
      </c>
      <c r="E3675" s="749">
        <v>3820.84</v>
      </c>
      <c r="F3675" s="736">
        <v>0</v>
      </c>
      <c r="G3675" s="752">
        <v>1044</v>
      </c>
      <c r="H3675" s="752"/>
      <c r="I3675" s="752"/>
      <c r="J3675" s="736">
        <f t="shared" si="1141"/>
        <v>1044</v>
      </c>
      <c r="K3675" s="752"/>
      <c r="L3675" s="752"/>
      <c r="M3675" s="736">
        <f t="shared" si="1142"/>
        <v>1044</v>
      </c>
      <c r="N3675" s="738"/>
      <c r="O3675" s="738"/>
      <c r="P3675" s="736">
        <f t="shared" si="1143"/>
        <v>1044</v>
      </c>
      <c r="Q3675" s="753">
        <v>1044</v>
      </c>
      <c r="R3675" s="738"/>
      <c r="S3675" s="753"/>
      <c r="T3675" s="808">
        <v>2610121</v>
      </c>
      <c r="U3675" s="745"/>
      <c r="V3675" s="808">
        <v>2610122</v>
      </c>
    </row>
    <row r="3676" spans="1:22" ht="15" x14ac:dyDescent="0.2">
      <c r="A3676" s="739">
        <v>3391</v>
      </c>
      <c r="B3676" s="743" t="s">
        <v>118</v>
      </c>
      <c r="C3676" s="736"/>
      <c r="D3676" s="736">
        <v>0</v>
      </c>
      <c r="E3676" s="749">
        <v>591707.62</v>
      </c>
      <c r="F3676" s="736">
        <v>0</v>
      </c>
      <c r="G3676" s="752">
        <v>223707.62</v>
      </c>
      <c r="H3676" s="752"/>
      <c r="I3676" s="752">
        <v>223707.62</v>
      </c>
      <c r="J3676" s="736">
        <f t="shared" si="1141"/>
        <v>0</v>
      </c>
      <c r="K3676" s="752"/>
      <c r="L3676" s="752"/>
      <c r="M3676" s="736">
        <f t="shared" si="1142"/>
        <v>0</v>
      </c>
      <c r="N3676" s="736"/>
      <c r="O3676" s="736"/>
      <c r="P3676" s="738">
        <f t="shared" si="1143"/>
        <v>0</v>
      </c>
      <c r="Q3676" s="753">
        <v>223707.62</v>
      </c>
      <c r="R3676" s="738">
        <v>223707.62</v>
      </c>
      <c r="S3676" s="753"/>
      <c r="T3676" s="739">
        <v>1100120</v>
      </c>
      <c r="U3676" s="745"/>
      <c r="V3676" s="739">
        <v>1100120</v>
      </c>
    </row>
    <row r="3677" spans="1:22" ht="15" x14ac:dyDescent="0.25">
      <c r="A3677" s="734">
        <v>3391</v>
      </c>
      <c r="B3677" s="735" t="s">
        <v>118</v>
      </c>
      <c r="C3677" s="736"/>
      <c r="D3677" s="736"/>
      <c r="E3677" s="749"/>
      <c r="F3677" s="736"/>
      <c r="G3677" s="752"/>
      <c r="H3677" s="757">
        <v>223707.62</v>
      </c>
      <c r="I3677" s="752"/>
      <c r="J3677" s="736">
        <f t="shared" si="1141"/>
        <v>223707.62</v>
      </c>
      <c r="K3677" s="757"/>
      <c r="L3677" s="752"/>
      <c r="M3677" s="736">
        <f t="shared" si="1142"/>
        <v>223707.62</v>
      </c>
      <c r="N3677" s="736"/>
      <c r="O3677" s="736"/>
      <c r="P3677" s="736">
        <f t="shared" si="1143"/>
        <v>223707.62</v>
      </c>
      <c r="Q3677" s="753"/>
      <c r="R3677" s="738"/>
      <c r="S3677" s="753"/>
      <c r="T3677" s="739">
        <v>1100120</v>
      </c>
      <c r="U3677" s="740">
        <f>25555.22+600613.34+98712.21</f>
        <v>724880.7699999999</v>
      </c>
      <c r="V3677" s="741">
        <v>1100121</v>
      </c>
    </row>
    <row r="3678" spans="1:22" ht="15" x14ac:dyDescent="0.2">
      <c r="A3678" s="734">
        <v>3391</v>
      </c>
      <c r="B3678" s="735" t="s">
        <v>118</v>
      </c>
      <c r="C3678" s="736"/>
      <c r="D3678" s="736">
        <v>0</v>
      </c>
      <c r="E3678" s="749">
        <v>223707.62</v>
      </c>
      <c r="F3678" s="736">
        <v>0</v>
      </c>
      <c r="G3678" s="752">
        <v>591707.62</v>
      </c>
      <c r="H3678" s="752"/>
      <c r="I3678" s="752"/>
      <c r="J3678" s="736">
        <f t="shared" si="1141"/>
        <v>591707.62</v>
      </c>
      <c r="K3678" s="752"/>
      <c r="L3678" s="752"/>
      <c r="M3678" s="736">
        <f t="shared" si="1142"/>
        <v>591707.62</v>
      </c>
      <c r="N3678" s="738"/>
      <c r="O3678" s="738"/>
      <c r="P3678" s="736">
        <f t="shared" si="1143"/>
        <v>591707.62</v>
      </c>
      <c r="Q3678" s="753">
        <v>591707.62</v>
      </c>
      <c r="R3678" s="738">
        <v>521984.46</v>
      </c>
      <c r="S3678" s="753"/>
      <c r="T3678" s="808">
        <v>2610121</v>
      </c>
      <c r="U3678" s="740">
        <f>49280.03+1158207.57+81580.34-0.04</f>
        <v>1289067.9000000001</v>
      </c>
      <c r="V3678" s="870">
        <v>2610122</v>
      </c>
    </row>
    <row r="3679" spans="1:22" ht="15" x14ac:dyDescent="0.2">
      <c r="A3679" s="739">
        <v>3311</v>
      </c>
      <c r="B3679" s="806" t="s">
        <v>117</v>
      </c>
      <c r="C3679" s="736"/>
      <c r="D3679" s="736"/>
      <c r="E3679" s="749"/>
      <c r="F3679" s="736"/>
      <c r="G3679" s="752"/>
      <c r="H3679" s="752"/>
      <c r="I3679" s="752"/>
      <c r="J3679" s="736">
        <f t="shared" si="1141"/>
        <v>0</v>
      </c>
      <c r="K3679" s="752"/>
      <c r="L3679" s="752"/>
      <c r="M3679" s="736">
        <f t="shared" si="1142"/>
        <v>0</v>
      </c>
      <c r="N3679" s="736"/>
      <c r="O3679" s="736"/>
      <c r="P3679" s="738">
        <f t="shared" si="1143"/>
        <v>0</v>
      </c>
      <c r="Q3679" s="753"/>
      <c r="R3679" s="738"/>
      <c r="S3679" s="753"/>
      <c r="T3679" s="739">
        <v>1100121</v>
      </c>
      <c r="U3679" s="745"/>
      <c r="V3679" s="739">
        <v>1100122</v>
      </c>
    </row>
    <row r="3680" spans="1:22" ht="15" x14ac:dyDescent="0.2">
      <c r="A3680" s="734">
        <v>3511</v>
      </c>
      <c r="B3680" s="735" t="s">
        <v>49</v>
      </c>
      <c r="C3680" s="736"/>
      <c r="D3680" s="736">
        <v>3000000</v>
      </c>
      <c r="E3680" s="749">
        <v>690563.81</v>
      </c>
      <c r="F3680" s="736">
        <v>0</v>
      </c>
      <c r="G3680" s="752">
        <v>2500000</v>
      </c>
      <c r="H3680" s="752"/>
      <c r="I3680" s="752"/>
      <c r="J3680" s="736">
        <f t="shared" si="1141"/>
        <v>2500000</v>
      </c>
      <c r="K3680" s="752"/>
      <c r="L3680" s="752"/>
      <c r="M3680" s="736">
        <f t="shared" si="1142"/>
        <v>2500000</v>
      </c>
      <c r="N3680" s="736"/>
      <c r="O3680" s="736"/>
      <c r="P3680" s="736">
        <f t="shared" si="1143"/>
        <v>2500000</v>
      </c>
      <c r="Q3680" s="753">
        <v>2500000</v>
      </c>
      <c r="R3680" s="738"/>
      <c r="S3680" s="753">
        <v>3000000</v>
      </c>
      <c r="T3680" s="808">
        <v>1100121</v>
      </c>
      <c r="U3680" s="740">
        <v>3000000</v>
      </c>
      <c r="V3680" s="870">
        <v>1100122</v>
      </c>
    </row>
    <row r="3681" spans="1:22" ht="15" x14ac:dyDescent="0.2">
      <c r="A3681" s="734">
        <v>3511</v>
      </c>
      <c r="B3681" s="735" t="s">
        <v>49</v>
      </c>
      <c r="C3681" s="736"/>
      <c r="D3681" s="736">
        <v>5000000</v>
      </c>
      <c r="E3681" s="749">
        <v>1082699.9900000002</v>
      </c>
      <c r="F3681" s="736">
        <v>0</v>
      </c>
      <c r="G3681" s="752">
        <v>5000000</v>
      </c>
      <c r="H3681" s="752"/>
      <c r="I3681" s="752"/>
      <c r="J3681" s="736">
        <f t="shared" si="1141"/>
        <v>5000000</v>
      </c>
      <c r="K3681" s="752"/>
      <c r="L3681" s="752"/>
      <c r="M3681" s="736">
        <f t="shared" si="1142"/>
        <v>5000000</v>
      </c>
      <c r="N3681" s="738"/>
      <c r="O3681" s="738"/>
      <c r="P3681" s="736">
        <f t="shared" si="1143"/>
        <v>5000000</v>
      </c>
      <c r="Q3681" s="753">
        <v>5000000</v>
      </c>
      <c r="R3681" s="738"/>
      <c r="S3681" s="738">
        <v>5000000</v>
      </c>
      <c r="T3681" s="808">
        <v>2610121</v>
      </c>
      <c r="U3681" s="746">
        <v>5000000</v>
      </c>
      <c r="V3681" s="870">
        <v>2610122</v>
      </c>
    </row>
    <row r="3682" spans="1:22" ht="15" x14ac:dyDescent="0.2">
      <c r="A3682" s="739">
        <v>3522</v>
      </c>
      <c r="B3682" s="822" t="s">
        <v>1894</v>
      </c>
      <c r="C3682" s="736">
        <v>200000</v>
      </c>
      <c r="D3682" s="736"/>
      <c r="E3682" s="736"/>
      <c r="F3682" s="736"/>
      <c r="G3682" s="736"/>
      <c r="H3682" s="736"/>
      <c r="I3682" s="736"/>
      <c r="J3682" s="736">
        <f t="shared" si="1141"/>
        <v>0</v>
      </c>
      <c r="K3682" s="736"/>
      <c r="L3682" s="736"/>
      <c r="M3682" s="736">
        <f t="shared" si="1142"/>
        <v>0</v>
      </c>
      <c r="N3682" s="736"/>
      <c r="O3682" s="736"/>
      <c r="P3682" s="738">
        <f t="shared" si="1143"/>
        <v>0</v>
      </c>
      <c r="Q3682" s="738"/>
      <c r="R3682" s="738"/>
      <c r="T3682" s="739"/>
      <c r="U3682" s="745"/>
      <c r="V3682" s="739"/>
    </row>
    <row r="3683" spans="1:22" ht="15" x14ac:dyDescent="0.2">
      <c r="A3683" s="739">
        <v>3611</v>
      </c>
      <c r="B3683" s="743" t="s">
        <v>66</v>
      </c>
      <c r="C3683" s="736"/>
      <c r="D3683" s="736">
        <v>0</v>
      </c>
      <c r="E3683" s="749">
        <v>45054.400000000001</v>
      </c>
      <c r="F3683" s="736">
        <v>0</v>
      </c>
      <c r="G3683" s="752">
        <v>48744.09</v>
      </c>
      <c r="H3683" s="752"/>
      <c r="I3683" s="752">
        <v>48744.09</v>
      </c>
      <c r="J3683" s="736">
        <f t="shared" si="1141"/>
        <v>0</v>
      </c>
      <c r="K3683" s="752">
        <v>31000</v>
      </c>
      <c r="L3683" s="752"/>
      <c r="M3683" s="736">
        <f t="shared" si="1142"/>
        <v>31000</v>
      </c>
      <c r="N3683" s="736"/>
      <c r="O3683" s="736"/>
      <c r="P3683" s="736">
        <f t="shared" si="1143"/>
        <v>31000</v>
      </c>
      <c r="Q3683" s="753">
        <v>48744.09</v>
      </c>
      <c r="R3683" s="738">
        <v>76167</v>
      </c>
      <c r="S3683" s="753"/>
      <c r="T3683" s="739">
        <v>1100120</v>
      </c>
      <c r="U3683" s="745"/>
      <c r="V3683" s="739">
        <v>1100120</v>
      </c>
    </row>
    <row r="3684" spans="1:22" ht="15" x14ac:dyDescent="0.25">
      <c r="A3684" s="739">
        <v>3611</v>
      </c>
      <c r="B3684" s="743" t="s">
        <v>66</v>
      </c>
      <c r="C3684" s="736"/>
      <c r="D3684" s="736"/>
      <c r="E3684" s="749"/>
      <c r="F3684" s="736"/>
      <c r="G3684" s="752"/>
      <c r="H3684" s="757">
        <v>48744.09</v>
      </c>
      <c r="I3684" s="752"/>
      <c r="J3684" s="736">
        <f t="shared" si="1141"/>
        <v>48744.09</v>
      </c>
      <c r="K3684" s="757"/>
      <c r="L3684" s="752"/>
      <c r="M3684" s="736">
        <f t="shared" si="1142"/>
        <v>48744.09</v>
      </c>
      <c r="N3684" s="736"/>
      <c r="O3684" s="736"/>
      <c r="P3684" s="736">
        <f t="shared" si="1143"/>
        <v>48744.09</v>
      </c>
      <c r="Q3684" s="753">
        <v>31000</v>
      </c>
      <c r="R3684" s="738"/>
      <c r="S3684" s="753"/>
      <c r="T3684" s="739">
        <v>1100120</v>
      </c>
      <c r="U3684" s="745"/>
      <c r="V3684" s="739">
        <v>1100120</v>
      </c>
    </row>
    <row r="3685" spans="1:22" ht="15" x14ac:dyDescent="0.2">
      <c r="A3685" s="739">
        <v>3611</v>
      </c>
      <c r="B3685" s="743" t="s">
        <v>66</v>
      </c>
      <c r="C3685" s="736"/>
      <c r="D3685" s="736">
        <v>0</v>
      </c>
      <c r="E3685" s="749">
        <v>48744.09</v>
      </c>
      <c r="F3685" s="736">
        <v>0</v>
      </c>
      <c r="G3685" s="752">
        <v>45054.400000000001</v>
      </c>
      <c r="H3685" s="752"/>
      <c r="I3685" s="752"/>
      <c r="J3685" s="736">
        <f t="shared" si="1141"/>
        <v>45054.400000000001</v>
      </c>
      <c r="K3685" s="752"/>
      <c r="L3685" s="752"/>
      <c r="M3685" s="736">
        <f t="shared" si="1142"/>
        <v>45054.400000000001</v>
      </c>
      <c r="N3685" s="738"/>
      <c r="O3685" s="738"/>
      <c r="P3685" s="736">
        <f t="shared" si="1143"/>
        <v>45054.400000000001</v>
      </c>
      <c r="Q3685" s="753">
        <v>45054.400000000001</v>
      </c>
      <c r="R3685" s="738">
        <v>45054.400000000001</v>
      </c>
      <c r="S3685" s="753"/>
      <c r="T3685" s="808">
        <v>2610121</v>
      </c>
      <c r="U3685" s="745"/>
      <c r="V3685" s="808">
        <v>2610122</v>
      </c>
    </row>
    <row r="3686" spans="1:22" ht="15" x14ac:dyDescent="0.2">
      <c r="A3686" s="739">
        <v>3661</v>
      </c>
      <c r="B3686" s="743" t="s">
        <v>178</v>
      </c>
      <c r="C3686" s="736"/>
      <c r="D3686" s="736">
        <v>0</v>
      </c>
      <c r="E3686" s="749">
        <v>14500</v>
      </c>
      <c r="F3686" s="736">
        <v>0</v>
      </c>
      <c r="G3686" s="752">
        <v>14500</v>
      </c>
      <c r="H3686" s="752"/>
      <c r="I3686" s="752">
        <v>14500</v>
      </c>
      <c r="J3686" s="736">
        <f t="shared" si="1141"/>
        <v>0</v>
      </c>
      <c r="K3686" s="752"/>
      <c r="L3686" s="752"/>
      <c r="M3686" s="736">
        <f t="shared" si="1142"/>
        <v>0</v>
      </c>
      <c r="N3686" s="736"/>
      <c r="O3686" s="736"/>
      <c r="P3686" s="738">
        <f t="shared" si="1143"/>
        <v>0</v>
      </c>
      <c r="Q3686" s="753">
        <v>14500</v>
      </c>
      <c r="R3686" s="738">
        <v>13101.6</v>
      </c>
      <c r="S3686" s="753"/>
      <c r="T3686" s="739">
        <v>1100120</v>
      </c>
      <c r="U3686" s="745"/>
      <c r="V3686" s="739">
        <v>1100120</v>
      </c>
    </row>
    <row r="3687" spans="1:22" ht="15" x14ac:dyDescent="0.25">
      <c r="A3687" s="739">
        <v>3661</v>
      </c>
      <c r="B3687" s="743" t="s">
        <v>178</v>
      </c>
      <c r="C3687" s="736"/>
      <c r="D3687" s="736"/>
      <c r="E3687" s="749"/>
      <c r="F3687" s="736"/>
      <c r="G3687" s="752"/>
      <c r="H3687" s="757">
        <v>14500</v>
      </c>
      <c r="I3687" s="752"/>
      <c r="J3687" s="736">
        <f t="shared" si="1141"/>
        <v>14500</v>
      </c>
      <c r="K3687" s="757"/>
      <c r="L3687" s="752"/>
      <c r="M3687" s="736">
        <f t="shared" si="1142"/>
        <v>14500</v>
      </c>
      <c r="N3687" s="736"/>
      <c r="O3687" s="736"/>
      <c r="P3687" s="736">
        <f t="shared" si="1143"/>
        <v>14500</v>
      </c>
      <c r="Q3687" s="753"/>
      <c r="R3687" s="738"/>
      <c r="S3687" s="753"/>
      <c r="T3687" s="739">
        <v>1100120</v>
      </c>
      <c r="U3687" s="745"/>
      <c r="V3687" s="739">
        <v>1100120</v>
      </c>
    </row>
    <row r="3688" spans="1:22" ht="15" x14ac:dyDescent="0.2">
      <c r="A3688" s="739">
        <v>3661</v>
      </c>
      <c r="B3688" s="743" t="s">
        <v>178</v>
      </c>
      <c r="C3688" s="736"/>
      <c r="D3688" s="736">
        <v>0</v>
      </c>
      <c r="E3688" s="749">
        <v>14500</v>
      </c>
      <c r="F3688" s="736">
        <v>0</v>
      </c>
      <c r="G3688" s="752">
        <v>14500</v>
      </c>
      <c r="H3688" s="752"/>
      <c r="I3688" s="752"/>
      <c r="J3688" s="736">
        <f t="shared" si="1141"/>
        <v>14500</v>
      </c>
      <c r="K3688" s="752"/>
      <c r="L3688" s="752"/>
      <c r="M3688" s="736">
        <f t="shared" si="1142"/>
        <v>14500</v>
      </c>
      <c r="N3688" s="738"/>
      <c r="O3688" s="738"/>
      <c r="P3688" s="736">
        <f t="shared" si="1143"/>
        <v>14500</v>
      </c>
      <c r="Q3688" s="753">
        <v>14500</v>
      </c>
      <c r="R3688" s="738">
        <v>13101.6</v>
      </c>
      <c r="S3688" s="753"/>
      <c r="T3688" s="808">
        <v>2610121</v>
      </c>
      <c r="U3688" s="745"/>
      <c r="V3688" s="808">
        <v>2610122</v>
      </c>
    </row>
    <row r="3689" spans="1:22" ht="15" x14ac:dyDescent="0.2">
      <c r="A3689" s="739">
        <v>3821</v>
      </c>
      <c r="B3689" s="822" t="s">
        <v>31</v>
      </c>
      <c r="C3689" s="736">
        <v>50000</v>
      </c>
      <c r="D3689" s="736"/>
      <c r="E3689" s="736"/>
      <c r="F3689" s="736"/>
      <c r="G3689" s="736"/>
      <c r="H3689" s="736"/>
      <c r="I3689" s="736"/>
      <c r="J3689" s="736">
        <f t="shared" si="1141"/>
        <v>0</v>
      </c>
      <c r="K3689" s="736"/>
      <c r="L3689" s="736"/>
      <c r="M3689" s="736">
        <f t="shared" si="1142"/>
        <v>0</v>
      </c>
      <c r="N3689" s="736"/>
      <c r="O3689" s="736"/>
      <c r="P3689" s="738">
        <f t="shared" si="1143"/>
        <v>0</v>
      </c>
      <c r="Q3689" s="738"/>
      <c r="R3689" s="738"/>
      <c r="S3689" s="738"/>
      <c r="T3689" s="739"/>
      <c r="U3689" s="745"/>
      <c r="V3689" s="739"/>
    </row>
    <row r="3690" spans="1:22" ht="15" x14ac:dyDescent="0.2">
      <c r="A3690" s="739">
        <v>4411</v>
      </c>
      <c r="B3690" s="806" t="s">
        <v>34</v>
      </c>
      <c r="C3690" s="736"/>
      <c r="D3690" s="736"/>
      <c r="E3690" s="736"/>
      <c r="F3690" s="736"/>
      <c r="G3690" s="752">
        <v>625272</v>
      </c>
      <c r="H3690" s="752"/>
      <c r="I3690" s="752">
        <v>625272</v>
      </c>
      <c r="J3690" s="736">
        <f t="shared" si="1141"/>
        <v>0</v>
      </c>
      <c r="K3690" s="752"/>
      <c r="L3690" s="752"/>
      <c r="M3690" s="736">
        <f t="shared" si="1142"/>
        <v>0</v>
      </c>
      <c r="N3690" s="736"/>
      <c r="O3690" s="736"/>
      <c r="P3690" s="738">
        <f t="shared" si="1143"/>
        <v>0</v>
      </c>
      <c r="Q3690" s="753">
        <v>625271.99</v>
      </c>
      <c r="R3690" s="738">
        <v>615052.42000000004</v>
      </c>
      <c r="S3690" s="753"/>
      <c r="T3690" s="739">
        <v>1100120</v>
      </c>
      <c r="U3690" s="745"/>
      <c r="V3690" s="739">
        <v>1100120</v>
      </c>
    </row>
    <row r="3691" spans="1:22" ht="15" x14ac:dyDescent="0.25">
      <c r="A3691" s="734">
        <v>4411</v>
      </c>
      <c r="B3691" s="762" t="s">
        <v>34</v>
      </c>
      <c r="C3691" s="736"/>
      <c r="D3691" s="736"/>
      <c r="E3691" s="736"/>
      <c r="F3691" s="736"/>
      <c r="G3691" s="752"/>
      <c r="H3691" s="757">
        <v>625271.99</v>
      </c>
      <c r="I3691" s="752"/>
      <c r="J3691" s="736">
        <f t="shared" si="1141"/>
        <v>625271.99</v>
      </c>
      <c r="K3691" s="757"/>
      <c r="L3691" s="752"/>
      <c r="M3691" s="736">
        <f t="shared" si="1142"/>
        <v>625271.99</v>
      </c>
      <c r="N3691" s="736"/>
      <c r="O3691" s="736"/>
      <c r="P3691" s="736">
        <f t="shared" si="1143"/>
        <v>625271.99</v>
      </c>
      <c r="Q3691" s="753"/>
      <c r="R3691" s="738"/>
      <c r="S3691" s="753"/>
      <c r="T3691" s="739">
        <v>1100120</v>
      </c>
      <c r="U3691" s="740">
        <v>784114.85</v>
      </c>
      <c r="V3691" s="741">
        <v>1100121</v>
      </c>
    </row>
    <row r="3692" spans="1:22" ht="15" x14ac:dyDescent="0.2">
      <c r="A3692" s="734">
        <v>4411</v>
      </c>
      <c r="B3692" s="762" t="s">
        <v>34</v>
      </c>
      <c r="C3692" s="736"/>
      <c r="D3692" s="736"/>
      <c r="E3692" s="736"/>
      <c r="F3692" s="736"/>
      <c r="G3692" s="752">
        <v>977989.53</v>
      </c>
      <c r="H3692" s="752"/>
      <c r="I3692" s="752"/>
      <c r="J3692" s="736">
        <f t="shared" si="1141"/>
        <v>977989.53</v>
      </c>
      <c r="K3692" s="752"/>
      <c r="L3692" s="752"/>
      <c r="M3692" s="736">
        <f t="shared" si="1142"/>
        <v>977989.53</v>
      </c>
      <c r="N3692" s="738"/>
      <c r="O3692" s="738"/>
      <c r="P3692" s="736">
        <f t="shared" si="1143"/>
        <v>977989.53</v>
      </c>
      <c r="Q3692" s="753">
        <v>977989.53</v>
      </c>
      <c r="R3692" s="738"/>
      <c r="S3692" s="753"/>
      <c r="T3692" s="808">
        <v>2610121</v>
      </c>
      <c r="U3692" s="740">
        <v>1596067.2</v>
      </c>
      <c r="V3692" s="870">
        <v>2610122</v>
      </c>
    </row>
    <row r="3693" spans="1:22" ht="15" x14ac:dyDescent="0.2">
      <c r="A3693" s="739">
        <v>5411</v>
      </c>
      <c r="B3693" s="743" t="s">
        <v>123</v>
      </c>
      <c r="C3693" s="736">
        <v>210500</v>
      </c>
      <c r="D3693" s="736">
        <v>0</v>
      </c>
      <c r="E3693" s="749">
        <v>240950</v>
      </c>
      <c r="F3693" s="736">
        <v>0</v>
      </c>
      <c r="G3693" s="752">
        <v>240950</v>
      </c>
      <c r="H3693" s="752"/>
      <c r="I3693" s="752">
        <v>240950</v>
      </c>
      <c r="J3693" s="736">
        <f t="shared" si="1141"/>
        <v>0</v>
      </c>
      <c r="K3693" s="752"/>
      <c r="L3693" s="752"/>
      <c r="M3693" s="736">
        <f t="shared" si="1142"/>
        <v>0</v>
      </c>
      <c r="N3693" s="736"/>
      <c r="O3693" s="736"/>
      <c r="P3693" s="738">
        <f t="shared" si="1143"/>
        <v>0</v>
      </c>
      <c r="Q3693" s="753">
        <v>240950</v>
      </c>
      <c r="R3693" s="738">
        <v>216650</v>
      </c>
      <c r="S3693" s="753"/>
      <c r="T3693" s="739">
        <v>1100120</v>
      </c>
      <c r="U3693" s="745"/>
      <c r="V3693" s="739">
        <v>1100120</v>
      </c>
    </row>
    <row r="3694" spans="1:22" ht="15" x14ac:dyDescent="0.25">
      <c r="A3694" s="739">
        <v>5411</v>
      </c>
      <c r="B3694" s="743" t="s">
        <v>123</v>
      </c>
      <c r="C3694" s="736"/>
      <c r="D3694" s="736"/>
      <c r="E3694" s="749"/>
      <c r="F3694" s="736"/>
      <c r="G3694" s="752"/>
      <c r="H3694" s="757">
        <v>240950</v>
      </c>
      <c r="I3694" s="752"/>
      <c r="J3694" s="736">
        <f t="shared" si="1141"/>
        <v>240950</v>
      </c>
      <c r="K3694" s="757"/>
      <c r="L3694" s="752"/>
      <c r="M3694" s="736">
        <f t="shared" si="1142"/>
        <v>240950</v>
      </c>
      <c r="N3694" s="736"/>
      <c r="O3694" s="736"/>
      <c r="P3694" s="736">
        <f t="shared" si="1143"/>
        <v>240950</v>
      </c>
      <c r="Q3694" s="753"/>
      <c r="R3694" s="738"/>
      <c r="S3694" s="753"/>
      <c r="T3694" s="739">
        <v>1100120</v>
      </c>
      <c r="U3694" s="745"/>
      <c r="V3694" s="739">
        <v>1100120</v>
      </c>
    </row>
    <row r="3695" spans="1:22" ht="15" x14ac:dyDescent="0.2">
      <c r="A3695" s="739">
        <v>5411</v>
      </c>
      <c r="B3695" s="743" t="s">
        <v>123</v>
      </c>
      <c r="C3695" s="736"/>
      <c r="D3695" s="736">
        <v>0</v>
      </c>
      <c r="E3695" s="749">
        <v>220950</v>
      </c>
      <c r="F3695" s="736">
        <v>0</v>
      </c>
      <c r="G3695" s="752">
        <v>220950</v>
      </c>
      <c r="H3695" s="752"/>
      <c r="I3695" s="752"/>
      <c r="J3695" s="736">
        <f t="shared" si="1141"/>
        <v>220950</v>
      </c>
      <c r="K3695" s="752"/>
      <c r="L3695" s="752"/>
      <c r="M3695" s="736">
        <f t="shared" si="1142"/>
        <v>220950</v>
      </c>
      <c r="N3695" s="738"/>
      <c r="O3695" s="738"/>
      <c r="P3695" s="736">
        <f t="shared" si="1143"/>
        <v>220950</v>
      </c>
      <c r="Q3695" s="753">
        <v>220950</v>
      </c>
      <c r="R3695" s="738">
        <v>216650</v>
      </c>
      <c r="S3695" s="753"/>
      <c r="T3695" s="808">
        <v>2610121</v>
      </c>
      <c r="U3695" s="745"/>
      <c r="V3695" s="808">
        <v>2610122</v>
      </c>
    </row>
    <row r="3696" spans="1:22" ht="15" x14ac:dyDescent="0.2">
      <c r="A3696" s="739">
        <v>5663</v>
      </c>
      <c r="B3696" s="743" t="s">
        <v>279</v>
      </c>
      <c r="C3696" s="736"/>
      <c r="D3696" s="736">
        <v>0</v>
      </c>
      <c r="E3696" s="749">
        <v>157461.87</v>
      </c>
      <c r="F3696" s="736">
        <v>0</v>
      </c>
      <c r="G3696" s="752">
        <v>157461.87</v>
      </c>
      <c r="H3696" s="752"/>
      <c r="I3696" s="752">
        <v>157461.87</v>
      </c>
      <c r="J3696" s="736">
        <f t="shared" si="1141"/>
        <v>0</v>
      </c>
      <c r="K3696" s="752"/>
      <c r="L3696" s="752"/>
      <c r="M3696" s="736">
        <f t="shared" si="1142"/>
        <v>0</v>
      </c>
      <c r="N3696" s="736"/>
      <c r="O3696" s="736"/>
      <c r="P3696" s="738">
        <f t="shared" si="1143"/>
        <v>0</v>
      </c>
      <c r="Q3696" s="753">
        <v>157461.87</v>
      </c>
      <c r="R3696" s="738"/>
      <c r="S3696" s="753"/>
      <c r="T3696" s="739">
        <v>1100120</v>
      </c>
      <c r="U3696" s="745"/>
      <c r="V3696" s="739">
        <v>1100120</v>
      </c>
    </row>
    <row r="3697" spans="1:22" ht="15" x14ac:dyDescent="0.25">
      <c r="A3697" s="739">
        <v>5663</v>
      </c>
      <c r="B3697" s="743" t="s">
        <v>279</v>
      </c>
      <c r="C3697" s="736"/>
      <c r="D3697" s="736"/>
      <c r="E3697" s="749"/>
      <c r="F3697" s="736"/>
      <c r="G3697" s="752"/>
      <c r="H3697" s="757">
        <v>157461.87</v>
      </c>
      <c r="I3697" s="752"/>
      <c r="J3697" s="736">
        <f t="shared" si="1141"/>
        <v>157461.87</v>
      </c>
      <c r="K3697" s="757"/>
      <c r="L3697" s="752"/>
      <c r="M3697" s="736">
        <f t="shared" si="1142"/>
        <v>157461.87</v>
      </c>
      <c r="N3697" s="736"/>
      <c r="O3697" s="736"/>
      <c r="P3697" s="736">
        <f t="shared" si="1143"/>
        <v>157461.87</v>
      </c>
      <c r="Q3697" s="753"/>
      <c r="R3697" s="738"/>
      <c r="S3697" s="753"/>
      <c r="T3697" s="739">
        <v>1100120</v>
      </c>
      <c r="U3697" s="745"/>
      <c r="V3697" s="739">
        <v>1100120</v>
      </c>
    </row>
    <row r="3698" spans="1:22" ht="15" x14ac:dyDescent="0.2">
      <c r="A3698" s="739">
        <v>5663</v>
      </c>
      <c r="B3698" s="743" t="s">
        <v>279</v>
      </c>
      <c r="C3698" s="736"/>
      <c r="D3698" s="736">
        <v>0</v>
      </c>
      <c r="E3698" s="749">
        <v>116544.67</v>
      </c>
      <c r="F3698" s="736">
        <v>0</v>
      </c>
      <c r="G3698" s="752">
        <v>116544.67</v>
      </c>
      <c r="H3698" s="752"/>
      <c r="I3698" s="752"/>
      <c r="J3698" s="736">
        <f t="shared" si="1141"/>
        <v>116544.67</v>
      </c>
      <c r="K3698" s="752"/>
      <c r="L3698" s="752"/>
      <c r="M3698" s="736">
        <f t="shared" si="1142"/>
        <v>116544.67</v>
      </c>
      <c r="N3698" s="738"/>
      <c r="O3698" s="738"/>
      <c r="P3698" s="736">
        <f t="shared" si="1143"/>
        <v>116544.67</v>
      </c>
      <c r="Q3698" s="753">
        <v>116544.67</v>
      </c>
      <c r="R3698" s="738"/>
      <c r="S3698" s="753"/>
      <c r="T3698" s="808">
        <v>2610121</v>
      </c>
      <c r="U3698" s="745"/>
      <c r="V3698" s="808">
        <v>2610122</v>
      </c>
    </row>
    <row r="3699" spans="1:22" ht="15" x14ac:dyDescent="0.2">
      <c r="A3699" s="728" t="s">
        <v>373</v>
      </c>
      <c r="B3699" s="729" t="s">
        <v>1599</v>
      </c>
      <c r="C3699" s="730">
        <f t="shared" ref="C3699:Q3699" si="1144">SUM(C3701:C3713)</f>
        <v>131728.15</v>
      </c>
      <c r="D3699" s="730">
        <f t="shared" si="1144"/>
        <v>140000</v>
      </c>
      <c r="E3699" s="730">
        <f t="shared" si="1144"/>
        <v>144510.41</v>
      </c>
      <c r="F3699" s="730">
        <f t="shared" si="1144"/>
        <v>137083.87</v>
      </c>
      <c r="G3699" s="730">
        <f t="shared" si="1144"/>
        <v>147000</v>
      </c>
      <c r="H3699" s="730">
        <f t="shared" si="1144"/>
        <v>0</v>
      </c>
      <c r="I3699" s="730">
        <f t="shared" si="1144"/>
        <v>0</v>
      </c>
      <c r="J3699" s="730">
        <f t="shared" si="1144"/>
        <v>147000</v>
      </c>
      <c r="K3699" s="730">
        <f t="shared" si="1144"/>
        <v>0</v>
      </c>
      <c r="L3699" s="730">
        <f t="shared" si="1144"/>
        <v>0</v>
      </c>
      <c r="M3699" s="730">
        <f t="shared" si="1144"/>
        <v>147000</v>
      </c>
      <c r="N3699" s="730">
        <f t="shared" si="1144"/>
        <v>13353.63</v>
      </c>
      <c r="O3699" s="730">
        <f t="shared" si="1144"/>
        <v>18353.63</v>
      </c>
      <c r="P3699" s="730">
        <f t="shared" si="1144"/>
        <v>142000</v>
      </c>
      <c r="Q3699" s="748">
        <f t="shared" si="1144"/>
        <v>209117.01</v>
      </c>
      <c r="R3699" s="748">
        <f>SUM(R3700:R3713)</f>
        <v>141509.22</v>
      </c>
      <c r="S3699" s="748">
        <f>SUM(S3700:S3713)</f>
        <v>315000</v>
      </c>
      <c r="T3699" s="731"/>
      <c r="U3699" s="732">
        <f>SUM(U3700:U3713)</f>
        <v>320000</v>
      </c>
      <c r="V3699" s="733"/>
    </row>
    <row r="3700" spans="1:22" ht="15" x14ac:dyDescent="0.2">
      <c r="A3700" s="739">
        <v>2112</v>
      </c>
      <c r="B3700" s="743" t="s">
        <v>39</v>
      </c>
      <c r="C3700" s="736"/>
      <c r="D3700" s="736"/>
      <c r="E3700" s="749"/>
      <c r="F3700" s="736"/>
      <c r="G3700" s="752"/>
      <c r="H3700" s="752"/>
      <c r="I3700" s="752"/>
      <c r="J3700" s="736"/>
      <c r="K3700" s="752"/>
      <c r="L3700" s="752"/>
      <c r="M3700" s="736"/>
      <c r="N3700" s="736"/>
      <c r="O3700" s="736"/>
      <c r="P3700" s="736"/>
      <c r="Q3700" s="753"/>
      <c r="R3700" s="738"/>
      <c r="S3700" s="753">
        <v>5000</v>
      </c>
      <c r="T3700" s="739"/>
      <c r="U3700" s="744"/>
      <c r="V3700" s="739"/>
    </row>
    <row r="3701" spans="1:22" ht="15" x14ac:dyDescent="0.2">
      <c r="A3701" s="734">
        <v>2161</v>
      </c>
      <c r="B3701" s="735" t="s">
        <v>59</v>
      </c>
      <c r="C3701" s="736">
        <v>9962.75</v>
      </c>
      <c r="D3701" s="736">
        <v>10000</v>
      </c>
      <c r="E3701" s="749">
        <v>10000</v>
      </c>
      <c r="F3701" s="736">
        <v>8691.52</v>
      </c>
      <c r="G3701" s="752">
        <v>12000</v>
      </c>
      <c r="H3701" s="752"/>
      <c r="I3701" s="752"/>
      <c r="J3701" s="736">
        <f t="shared" ref="J3701:J3706" si="1145">G3701+H3701-I3701</f>
        <v>12000</v>
      </c>
      <c r="K3701" s="752"/>
      <c r="L3701" s="752"/>
      <c r="M3701" s="736">
        <f t="shared" ref="M3701:M3706" si="1146">J3701+K3701-L3701</f>
        <v>12000</v>
      </c>
      <c r="N3701" s="736"/>
      <c r="O3701" s="736"/>
      <c r="P3701" s="736">
        <f t="shared" ref="P3701:P3706" si="1147">M3701+N3701-O3701</f>
        <v>12000</v>
      </c>
      <c r="Q3701" s="753">
        <v>12000</v>
      </c>
      <c r="R3701" s="738">
        <v>11997.16</v>
      </c>
      <c r="S3701" s="753">
        <v>15000</v>
      </c>
      <c r="T3701" s="739">
        <v>1100121</v>
      </c>
      <c r="U3701" s="740">
        <v>15000</v>
      </c>
      <c r="V3701" s="741">
        <v>1100122</v>
      </c>
    </row>
    <row r="3702" spans="1:22" ht="15" x14ac:dyDescent="0.2">
      <c r="A3702" s="734">
        <v>2221</v>
      </c>
      <c r="B3702" s="735" t="s">
        <v>152</v>
      </c>
      <c r="C3702" s="736">
        <v>30379.55</v>
      </c>
      <c r="D3702" s="736">
        <v>30000</v>
      </c>
      <c r="E3702" s="749">
        <v>36000</v>
      </c>
      <c r="F3702" s="736">
        <v>36391.060000000005</v>
      </c>
      <c r="G3702" s="752">
        <v>40000</v>
      </c>
      <c r="H3702" s="752"/>
      <c r="I3702" s="752"/>
      <c r="J3702" s="736">
        <f t="shared" si="1145"/>
        <v>40000</v>
      </c>
      <c r="K3702" s="752"/>
      <c r="L3702" s="752"/>
      <c r="M3702" s="736">
        <f t="shared" si="1146"/>
        <v>40000</v>
      </c>
      <c r="N3702" s="738">
        <v>13353.63</v>
      </c>
      <c r="O3702" s="736"/>
      <c r="P3702" s="736">
        <f t="shared" si="1147"/>
        <v>53353.63</v>
      </c>
      <c r="Q3702" s="753">
        <v>119353.63</v>
      </c>
      <c r="R3702" s="738">
        <v>87005.86</v>
      </c>
      <c r="S3702" s="753">
        <v>100000</v>
      </c>
      <c r="T3702" s="739">
        <v>1100121</v>
      </c>
      <c r="U3702" s="740">
        <v>100000</v>
      </c>
      <c r="V3702" s="741">
        <v>1100122</v>
      </c>
    </row>
    <row r="3703" spans="1:22" ht="15" x14ac:dyDescent="0.2">
      <c r="A3703" s="734">
        <v>2491</v>
      </c>
      <c r="B3703" s="735" t="s">
        <v>41</v>
      </c>
      <c r="C3703" s="736">
        <v>19861.39</v>
      </c>
      <c r="D3703" s="736">
        <v>10000</v>
      </c>
      <c r="E3703" s="749">
        <v>10000</v>
      </c>
      <c r="F3703" s="736">
        <v>9978.35</v>
      </c>
      <c r="G3703" s="752">
        <v>15000</v>
      </c>
      <c r="H3703" s="752"/>
      <c r="I3703" s="752"/>
      <c r="J3703" s="736">
        <f t="shared" si="1145"/>
        <v>15000</v>
      </c>
      <c r="K3703" s="752"/>
      <c r="L3703" s="752"/>
      <c r="M3703" s="736">
        <f t="shared" si="1146"/>
        <v>15000</v>
      </c>
      <c r="N3703" s="736"/>
      <c r="O3703" s="736"/>
      <c r="P3703" s="736">
        <f t="shared" si="1147"/>
        <v>15000</v>
      </c>
      <c r="Q3703" s="753">
        <v>16117.01</v>
      </c>
      <c r="R3703" s="738">
        <v>14702.42</v>
      </c>
      <c r="S3703" s="753">
        <v>15000</v>
      </c>
      <c r="T3703" s="739">
        <v>1100121</v>
      </c>
      <c r="U3703" s="740">
        <v>15000</v>
      </c>
      <c r="V3703" s="741">
        <v>1100122</v>
      </c>
    </row>
    <row r="3704" spans="1:22" ht="15" x14ac:dyDescent="0.2">
      <c r="A3704" s="734">
        <v>2531</v>
      </c>
      <c r="B3704" s="735" t="s">
        <v>145</v>
      </c>
      <c r="C3704" s="736">
        <v>28948.97</v>
      </c>
      <c r="D3704" s="736">
        <v>30000</v>
      </c>
      <c r="E3704" s="749">
        <v>24000</v>
      </c>
      <c r="F3704" s="736">
        <v>21839.77</v>
      </c>
      <c r="G3704" s="752">
        <v>20000</v>
      </c>
      <c r="H3704" s="752"/>
      <c r="I3704" s="752"/>
      <c r="J3704" s="736">
        <f t="shared" si="1145"/>
        <v>20000</v>
      </c>
      <c r="K3704" s="752"/>
      <c r="L3704" s="752"/>
      <c r="M3704" s="736">
        <f t="shared" si="1146"/>
        <v>20000</v>
      </c>
      <c r="N3704" s="736"/>
      <c r="O3704" s="736"/>
      <c r="P3704" s="736">
        <f t="shared" si="1147"/>
        <v>20000</v>
      </c>
      <c r="Q3704" s="753">
        <v>20000</v>
      </c>
      <c r="R3704" s="738">
        <v>12365.44</v>
      </c>
      <c r="S3704" s="753">
        <v>50000</v>
      </c>
      <c r="T3704" s="739">
        <v>1100121</v>
      </c>
      <c r="U3704" s="740">
        <v>30000</v>
      </c>
      <c r="V3704" s="741">
        <v>1100122</v>
      </c>
    </row>
    <row r="3705" spans="1:22" ht="15" x14ac:dyDescent="0.2">
      <c r="A3705" s="734">
        <v>2541</v>
      </c>
      <c r="B3705" s="735" t="s">
        <v>148</v>
      </c>
      <c r="C3705" s="736"/>
      <c r="D3705" s="736">
        <v>40000</v>
      </c>
      <c r="E3705" s="749">
        <v>40000</v>
      </c>
      <c r="F3705" s="736">
        <v>39980.76</v>
      </c>
      <c r="G3705" s="752">
        <v>40000</v>
      </c>
      <c r="H3705" s="752"/>
      <c r="I3705" s="752"/>
      <c r="J3705" s="736">
        <f t="shared" si="1145"/>
        <v>40000</v>
      </c>
      <c r="K3705" s="752"/>
      <c r="L3705" s="752"/>
      <c r="M3705" s="736">
        <f t="shared" si="1146"/>
        <v>40000</v>
      </c>
      <c r="N3705" s="736"/>
      <c r="O3705" s="738">
        <v>18353.63</v>
      </c>
      <c r="P3705" s="736">
        <f t="shared" si="1147"/>
        <v>21646.37</v>
      </c>
      <c r="Q3705" s="753">
        <v>21646.37</v>
      </c>
      <c r="R3705" s="738">
        <v>8292.74</v>
      </c>
      <c r="S3705" s="753">
        <v>20000</v>
      </c>
      <c r="T3705" s="739">
        <v>1100121</v>
      </c>
      <c r="U3705" s="740">
        <v>20000</v>
      </c>
      <c r="V3705" s="741">
        <v>1100122</v>
      </c>
    </row>
    <row r="3706" spans="1:22" ht="15" x14ac:dyDescent="0.2">
      <c r="A3706" s="734">
        <v>2721</v>
      </c>
      <c r="B3706" s="735" t="s">
        <v>149</v>
      </c>
      <c r="C3706" s="736">
        <v>9978.23</v>
      </c>
      <c r="D3706" s="736">
        <v>10000</v>
      </c>
      <c r="E3706" s="749">
        <v>10000</v>
      </c>
      <c r="F3706" s="736">
        <v>6322</v>
      </c>
      <c r="G3706" s="736"/>
      <c r="H3706" s="736"/>
      <c r="I3706" s="736"/>
      <c r="J3706" s="736">
        <f t="shared" si="1145"/>
        <v>0</v>
      </c>
      <c r="K3706" s="736"/>
      <c r="L3706" s="736"/>
      <c r="M3706" s="736">
        <f t="shared" si="1146"/>
        <v>0</v>
      </c>
      <c r="N3706" s="736"/>
      <c r="O3706" s="736"/>
      <c r="P3706" s="738">
        <f t="shared" si="1147"/>
        <v>0</v>
      </c>
      <c r="Q3706" s="738"/>
      <c r="R3706" s="738"/>
      <c r="S3706" s="738">
        <v>10000</v>
      </c>
      <c r="T3706" s="739">
        <v>1100121</v>
      </c>
      <c r="U3706" s="740">
        <v>10000</v>
      </c>
      <c r="V3706" s="741">
        <v>1100122</v>
      </c>
    </row>
    <row r="3707" spans="1:22" ht="15" x14ac:dyDescent="0.2">
      <c r="A3707" s="734">
        <v>2911</v>
      </c>
      <c r="B3707" s="735" t="s">
        <v>60</v>
      </c>
      <c r="C3707" s="736"/>
      <c r="D3707" s="736"/>
      <c r="E3707" s="749"/>
      <c r="F3707" s="736"/>
      <c r="G3707" s="752"/>
      <c r="H3707" s="752"/>
      <c r="I3707" s="752"/>
      <c r="J3707" s="736"/>
      <c r="K3707" s="752"/>
      <c r="L3707" s="752"/>
      <c r="M3707" s="736"/>
      <c r="N3707" s="736"/>
      <c r="O3707" s="736"/>
      <c r="P3707" s="736"/>
      <c r="Q3707" s="753"/>
      <c r="R3707" s="738"/>
      <c r="S3707" s="753">
        <v>15000</v>
      </c>
      <c r="T3707" s="739"/>
      <c r="U3707" s="740">
        <v>15000</v>
      </c>
      <c r="V3707" s="741">
        <v>1100122</v>
      </c>
    </row>
    <row r="3708" spans="1:22" ht="15" x14ac:dyDescent="0.2">
      <c r="A3708" s="734">
        <v>3381</v>
      </c>
      <c r="B3708" s="735" t="s">
        <v>64</v>
      </c>
      <c r="C3708" s="736">
        <v>25180.400000000001</v>
      </c>
      <c r="D3708" s="736"/>
      <c r="E3708" s="749"/>
      <c r="F3708" s="736"/>
      <c r="G3708" s="752">
        <v>10000</v>
      </c>
      <c r="H3708" s="752"/>
      <c r="I3708" s="752"/>
      <c r="J3708" s="736">
        <f>G3708+H3708-I3708</f>
        <v>10000</v>
      </c>
      <c r="K3708" s="752"/>
      <c r="L3708" s="752"/>
      <c r="M3708" s="736">
        <f>J3708+K3708-L3708</f>
        <v>10000</v>
      </c>
      <c r="N3708" s="736"/>
      <c r="O3708" s="736"/>
      <c r="P3708" s="736">
        <f>M3708+N3708-O3708</f>
        <v>10000</v>
      </c>
      <c r="Q3708" s="753">
        <v>10000</v>
      </c>
      <c r="R3708" s="738">
        <v>7145.6</v>
      </c>
      <c r="S3708" s="753">
        <v>10000</v>
      </c>
      <c r="T3708" s="739">
        <v>1100121</v>
      </c>
      <c r="U3708" s="740">
        <v>10000</v>
      </c>
      <c r="V3708" s="741">
        <v>1100122</v>
      </c>
    </row>
    <row r="3709" spans="1:22" ht="15" x14ac:dyDescent="0.2">
      <c r="A3709" s="734">
        <v>3511</v>
      </c>
      <c r="B3709" s="735" t="s">
        <v>49</v>
      </c>
      <c r="C3709" s="736"/>
      <c r="D3709" s="736"/>
      <c r="E3709" s="749"/>
      <c r="F3709" s="736"/>
      <c r="G3709" s="752"/>
      <c r="H3709" s="752"/>
      <c r="I3709" s="752"/>
      <c r="J3709" s="736"/>
      <c r="K3709" s="752"/>
      <c r="L3709" s="752"/>
      <c r="M3709" s="736"/>
      <c r="N3709" s="736"/>
      <c r="O3709" s="736"/>
      <c r="P3709" s="736"/>
      <c r="Q3709" s="753"/>
      <c r="R3709" s="738"/>
      <c r="S3709" s="753">
        <v>10000</v>
      </c>
      <c r="T3709" s="739"/>
      <c r="U3709" s="754">
        <v>10000</v>
      </c>
      <c r="V3709" s="741">
        <v>1100122</v>
      </c>
    </row>
    <row r="3710" spans="1:22" ht="15" x14ac:dyDescent="0.2">
      <c r="A3710" s="734">
        <v>3571</v>
      </c>
      <c r="B3710" s="735" t="s">
        <v>65</v>
      </c>
      <c r="C3710" s="736"/>
      <c r="D3710" s="736"/>
      <c r="E3710" s="749"/>
      <c r="F3710" s="736"/>
      <c r="G3710" s="752"/>
      <c r="H3710" s="752"/>
      <c r="I3710" s="752"/>
      <c r="J3710" s="736"/>
      <c r="K3710" s="752"/>
      <c r="L3710" s="752"/>
      <c r="M3710" s="736"/>
      <c r="N3710" s="736"/>
      <c r="O3710" s="736"/>
      <c r="P3710" s="736"/>
      <c r="Q3710" s="753"/>
      <c r="R3710" s="738"/>
      <c r="S3710" s="753">
        <v>10000</v>
      </c>
      <c r="T3710" s="739"/>
      <c r="U3710" s="754">
        <v>10000</v>
      </c>
      <c r="V3710" s="741">
        <v>1100122</v>
      </c>
    </row>
    <row r="3711" spans="1:22" ht="15" x14ac:dyDescent="0.2">
      <c r="A3711" s="734">
        <v>3721</v>
      </c>
      <c r="B3711" s="735" t="s">
        <v>50</v>
      </c>
      <c r="C3711" s="736"/>
      <c r="D3711" s="736"/>
      <c r="E3711" s="749"/>
      <c r="F3711" s="736"/>
      <c r="G3711" s="752"/>
      <c r="H3711" s="752"/>
      <c r="I3711" s="752"/>
      <c r="J3711" s="736"/>
      <c r="K3711" s="752"/>
      <c r="L3711" s="752"/>
      <c r="M3711" s="736"/>
      <c r="N3711" s="736"/>
      <c r="O3711" s="736"/>
      <c r="P3711" s="736"/>
      <c r="Q3711" s="753"/>
      <c r="R3711" s="738"/>
      <c r="S3711" s="753">
        <v>5000</v>
      </c>
      <c r="T3711" s="739"/>
      <c r="U3711" s="754">
        <v>5000</v>
      </c>
      <c r="V3711" s="741">
        <v>1100122</v>
      </c>
    </row>
    <row r="3712" spans="1:22" ht="15" x14ac:dyDescent="0.2">
      <c r="A3712" s="734">
        <v>5691</v>
      </c>
      <c r="B3712" s="735" t="s">
        <v>1890</v>
      </c>
      <c r="C3712" s="736"/>
      <c r="D3712" s="736"/>
      <c r="E3712" s="749"/>
      <c r="F3712" s="736"/>
      <c r="G3712" s="752"/>
      <c r="H3712" s="752"/>
      <c r="I3712" s="752"/>
      <c r="J3712" s="736"/>
      <c r="K3712" s="752"/>
      <c r="L3712" s="752"/>
      <c r="M3712" s="736"/>
      <c r="N3712" s="736"/>
      <c r="O3712" s="736"/>
      <c r="P3712" s="736"/>
      <c r="Q3712" s="753"/>
      <c r="R3712" s="738"/>
      <c r="S3712" s="753">
        <v>30000</v>
      </c>
      <c r="T3712" s="739"/>
      <c r="U3712" s="746">
        <v>30000</v>
      </c>
      <c r="V3712" s="741">
        <v>1100122</v>
      </c>
    </row>
    <row r="3713" spans="1:22" ht="15" x14ac:dyDescent="0.2">
      <c r="A3713" s="734">
        <v>3391</v>
      </c>
      <c r="B3713" s="735" t="s">
        <v>118</v>
      </c>
      <c r="C3713" s="736">
        <v>7416.86</v>
      </c>
      <c r="D3713" s="736">
        <v>10000</v>
      </c>
      <c r="E3713" s="749">
        <v>14510.41</v>
      </c>
      <c r="F3713" s="736">
        <v>13880.41</v>
      </c>
      <c r="G3713" s="752">
        <v>10000</v>
      </c>
      <c r="H3713" s="752"/>
      <c r="I3713" s="752"/>
      <c r="J3713" s="736">
        <f>G3713+H3713-I3713</f>
        <v>10000</v>
      </c>
      <c r="K3713" s="752"/>
      <c r="L3713" s="752"/>
      <c r="M3713" s="736">
        <f>J3713+K3713-L3713</f>
        <v>10000</v>
      </c>
      <c r="N3713" s="736"/>
      <c r="O3713" s="736"/>
      <c r="P3713" s="736">
        <f>M3713+N3713-O3713</f>
        <v>10000</v>
      </c>
      <c r="Q3713" s="753">
        <v>10000</v>
      </c>
      <c r="R3713" s="738"/>
      <c r="S3713" s="753">
        <v>20000</v>
      </c>
      <c r="T3713" s="739">
        <v>1100121</v>
      </c>
      <c r="U3713" s="740">
        <v>50000</v>
      </c>
      <c r="V3713" s="741">
        <v>1100122</v>
      </c>
    </row>
    <row r="3714" spans="1:22" ht="15" x14ac:dyDescent="0.2">
      <c r="A3714" s="724" t="s">
        <v>374</v>
      </c>
      <c r="B3714" s="725" t="s">
        <v>375</v>
      </c>
      <c r="C3714" s="721">
        <f t="shared" ref="C3714:S3714" si="1148">SUM(C3715+C3717)</f>
        <v>37369943.840000004</v>
      </c>
      <c r="D3714" s="721">
        <f t="shared" si="1148"/>
        <v>37202336</v>
      </c>
      <c r="E3714" s="721">
        <f t="shared" si="1148"/>
        <v>37202336</v>
      </c>
      <c r="F3714" s="721">
        <f t="shared" si="1148"/>
        <v>33313752.799999997</v>
      </c>
      <c r="G3714" s="721">
        <f t="shared" si="1148"/>
        <v>34869943.840000004</v>
      </c>
      <c r="H3714" s="721">
        <f t="shared" si="1148"/>
        <v>0</v>
      </c>
      <c r="I3714" s="721">
        <f t="shared" si="1148"/>
        <v>0</v>
      </c>
      <c r="J3714" s="721">
        <f t="shared" si="1148"/>
        <v>34869943.840000004</v>
      </c>
      <c r="K3714" s="721">
        <f t="shared" si="1148"/>
        <v>0</v>
      </c>
      <c r="L3714" s="721">
        <f t="shared" si="1148"/>
        <v>0</v>
      </c>
      <c r="M3714" s="721">
        <f t="shared" si="1148"/>
        <v>34869943.840000004</v>
      </c>
      <c r="N3714" s="721">
        <f t="shared" si="1148"/>
        <v>150000</v>
      </c>
      <c r="O3714" s="721">
        <f t="shared" si="1148"/>
        <v>0</v>
      </c>
      <c r="P3714" s="721">
        <f t="shared" si="1148"/>
        <v>35019943.840000004</v>
      </c>
      <c r="Q3714" s="756">
        <f t="shared" si="1148"/>
        <v>35019943.840000004</v>
      </c>
      <c r="R3714" s="756"/>
      <c r="S3714" s="756">
        <f t="shared" si="1148"/>
        <v>37994696</v>
      </c>
      <c r="T3714" s="724"/>
      <c r="U3714" s="726">
        <f t="shared" ref="U3714" si="1149">SUM(U3715+U3717)</f>
        <v>37329871.64976</v>
      </c>
      <c r="V3714" s="727"/>
    </row>
    <row r="3715" spans="1:22" ht="15" x14ac:dyDescent="0.2">
      <c r="A3715" s="728" t="s">
        <v>376</v>
      </c>
      <c r="B3715" s="729" t="s">
        <v>1546</v>
      </c>
      <c r="C3715" s="730">
        <f t="shared" ref="C3715:S3715" si="1150">SUM(C3716)</f>
        <v>0</v>
      </c>
      <c r="D3715" s="730">
        <f t="shared" si="1150"/>
        <v>0</v>
      </c>
      <c r="E3715" s="730">
        <f t="shared" si="1150"/>
        <v>0</v>
      </c>
      <c r="F3715" s="730">
        <f t="shared" si="1150"/>
        <v>0</v>
      </c>
      <c r="G3715" s="730">
        <f t="shared" si="1150"/>
        <v>0</v>
      </c>
      <c r="H3715" s="730">
        <f t="shared" si="1150"/>
        <v>0</v>
      </c>
      <c r="I3715" s="730">
        <f t="shared" si="1150"/>
        <v>0</v>
      </c>
      <c r="J3715" s="730">
        <f t="shared" si="1150"/>
        <v>0</v>
      </c>
      <c r="K3715" s="730">
        <f t="shared" si="1150"/>
        <v>0</v>
      </c>
      <c r="L3715" s="730">
        <f t="shared" si="1150"/>
        <v>0</v>
      </c>
      <c r="M3715" s="730">
        <f t="shared" si="1150"/>
        <v>0</v>
      </c>
      <c r="N3715" s="730">
        <f t="shared" si="1150"/>
        <v>0</v>
      </c>
      <c r="O3715" s="730">
        <f t="shared" si="1150"/>
        <v>0</v>
      </c>
      <c r="P3715" s="748">
        <f t="shared" si="1150"/>
        <v>0</v>
      </c>
      <c r="Q3715" s="748">
        <f t="shared" si="1150"/>
        <v>0</v>
      </c>
      <c r="R3715" s="748">
        <f t="shared" si="1150"/>
        <v>0</v>
      </c>
      <c r="S3715" s="748">
        <f t="shared" si="1150"/>
        <v>0</v>
      </c>
      <c r="T3715" s="731"/>
      <c r="U3715" s="732">
        <f t="shared" ref="U3715" si="1151">SUM(U3716)</f>
        <v>0</v>
      </c>
      <c r="V3715" s="728"/>
    </row>
    <row r="3716" spans="1:22" ht="15" x14ac:dyDescent="0.2">
      <c r="A3716" s="739">
        <v>4151</v>
      </c>
      <c r="B3716" s="743" t="s">
        <v>377</v>
      </c>
      <c r="C3716" s="736"/>
      <c r="D3716" s="736">
        <v>0</v>
      </c>
      <c r="E3716" s="736"/>
      <c r="F3716" s="736">
        <v>0</v>
      </c>
      <c r="G3716" s="736"/>
      <c r="H3716" s="736"/>
      <c r="I3716" s="736"/>
      <c r="J3716" s="736">
        <f>G3716+H3716-I3716</f>
        <v>0</v>
      </c>
      <c r="K3716" s="736"/>
      <c r="L3716" s="736"/>
      <c r="M3716" s="736">
        <f>J3716+K3716-L3716</f>
        <v>0</v>
      </c>
      <c r="N3716" s="736"/>
      <c r="O3716" s="736"/>
      <c r="P3716" s="738">
        <f>M3716+N3716-O3716</f>
        <v>0</v>
      </c>
      <c r="Q3716" s="738"/>
      <c r="R3716" s="738"/>
      <c r="S3716" s="738">
        <v>0</v>
      </c>
      <c r="T3716" s="739">
        <v>1500521</v>
      </c>
      <c r="U3716" s="745">
        <v>0</v>
      </c>
      <c r="V3716" s="739">
        <v>1500522</v>
      </c>
    </row>
    <row r="3717" spans="1:22" ht="15" x14ac:dyDescent="0.2">
      <c r="A3717" s="728" t="s">
        <v>376</v>
      </c>
      <c r="B3717" s="729" t="s">
        <v>1546</v>
      </c>
      <c r="C3717" s="730">
        <f t="shared" ref="C3717:S3717" si="1152">SUM(C3718:C3722)</f>
        <v>37369943.840000004</v>
      </c>
      <c r="D3717" s="730">
        <f t="shared" si="1152"/>
        <v>37202336</v>
      </c>
      <c r="E3717" s="730">
        <f t="shared" si="1152"/>
        <v>37202336</v>
      </c>
      <c r="F3717" s="730">
        <f t="shared" si="1152"/>
        <v>33313752.799999997</v>
      </c>
      <c r="G3717" s="730">
        <f t="shared" si="1152"/>
        <v>34869943.840000004</v>
      </c>
      <c r="H3717" s="730">
        <f t="shared" si="1152"/>
        <v>0</v>
      </c>
      <c r="I3717" s="730">
        <f t="shared" si="1152"/>
        <v>0</v>
      </c>
      <c r="J3717" s="730">
        <f t="shared" si="1152"/>
        <v>34869943.840000004</v>
      </c>
      <c r="K3717" s="730">
        <f t="shared" si="1152"/>
        <v>0</v>
      </c>
      <c r="L3717" s="730">
        <f t="shared" si="1152"/>
        <v>0</v>
      </c>
      <c r="M3717" s="730">
        <f t="shared" si="1152"/>
        <v>34869943.840000004</v>
      </c>
      <c r="N3717" s="730">
        <f t="shared" si="1152"/>
        <v>150000</v>
      </c>
      <c r="O3717" s="730">
        <f t="shared" si="1152"/>
        <v>0</v>
      </c>
      <c r="P3717" s="730">
        <f t="shared" si="1152"/>
        <v>35019943.840000004</v>
      </c>
      <c r="Q3717" s="748">
        <f t="shared" si="1152"/>
        <v>35019943.840000004</v>
      </c>
      <c r="R3717" s="748">
        <f t="shared" si="1152"/>
        <v>0</v>
      </c>
      <c r="S3717" s="748">
        <f t="shared" si="1152"/>
        <v>37994696</v>
      </c>
      <c r="T3717" s="731"/>
      <c r="U3717" s="732">
        <f>SUM(U3718:U3722)</f>
        <v>37329871.64976</v>
      </c>
      <c r="V3717" s="733"/>
    </row>
    <row r="3718" spans="1:22" ht="15" x14ac:dyDescent="0.2">
      <c r="A3718" s="734">
        <v>4151</v>
      </c>
      <c r="B3718" s="735" t="s">
        <v>377</v>
      </c>
      <c r="C3718" s="736">
        <v>10809748.65</v>
      </c>
      <c r="D3718" s="736">
        <v>37202336</v>
      </c>
      <c r="E3718" s="736"/>
      <c r="F3718" s="736">
        <v>1342077.74</v>
      </c>
      <c r="G3718" s="736"/>
      <c r="H3718" s="736"/>
      <c r="I3718" s="736"/>
      <c r="J3718" s="736">
        <f t="shared" ref="J3718:J3719" si="1153">G3718+H3718-I3718</f>
        <v>0</v>
      </c>
      <c r="K3718" s="736"/>
      <c r="L3718" s="736"/>
      <c r="M3718" s="736">
        <f t="shared" ref="M3718:M3719" si="1154">J3718+K3718-L3718</f>
        <v>0</v>
      </c>
      <c r="N3718" s="736"/>
      <c r="O3718" s="736"/>
      <c r="P3718" s="738">
        <f t="shared" ref="P3718:P3719" si="1155">M3718+N3718-O3718</f>
        <v>0</v>
      </c>
      <c r="Q3718" s="738">
        <v>34869943.840000004</v>
      </c>
      <c r="R3718" s="738"/>
      <c r="S3718" s="753">
        <f>31452487.95+1749054</f>
        <v>33201541.949999999</v>
      </c>
      <c r="T3718" s="739">
        <v>1100121</v>
      </c>
      <c r="U3718" s="740">
        <v>36229871.64976</v>
      </c>
      <c r="V3718" s="741">
        <v>1500522</v>
      </c>
    </row>
    <row r="3719" spans="1:22" ht="15" x14ac:dyDescent="0.2">
      <c r="A3719" s="739">
        <v>4152</v>
      </c>
      <c r="B3719" s="822" t="s">
        <v>378</v>
      </c>
      <c r="C3719" s="736">
        <v>26560195.190000001</v>
      </c>
      <c r="D3719" s="736">
        <v>0</v>
      </c>
      <c r="E3719" s="749">
        <v>37202336</v>
      </c>
      <c r="F3719" s="736">
        <v>31971675.059999999</v>
      </c>
      <c r="G3719" s="752">
        <v>34869943.840000004</v>
      </c>
      <c r="H3719" s="752"/>
      <c r="I3719" s="752"/>
      <c r="J3719" s="736">
        <f t="shared" si="1153"/>
        <v>34869943.840000004</v>
      </c>
      <c r="K3719" s="752"/>
      <c r="L3719" s="752"/>
      <c r="M3719" s="736">
        <f t="shared" si="1154"/>
        <v>34869943.840000004</v>
      </c>
      <c r="N3719" s="736"/>
      <c r="O3719" s="736"/>
      <c r="P3719" s="736">
        <f t="shared" si="1155"/>
        <v>34869943.840000004</v>
      </c>
      <c r="Q3719" s="753">
        <v>150000</v>
      </c>
      <c r="R3719" s="738"/>
      <c r="S3719" s="738">
        <v>1044000</v>
      </c>
      <c r="T3719" s="739">
        <v>1500521</v>
      </c>
      <c r="U3719" s="745"/>
      <c r="V3719" s="739">
        <v>1500522</v>
      </c>
    </row>
    <row r="3720" spans="1:22" ht="15" x14ac:dyDescent="0.2">
      <c r="A3720" s="739">
        <v>4153</v>
      </c>
      <c r="B3720" s="822" t="s">
        <v>379</v>
      </c>
      <c r="C3720" s="736"/>
      <c r="D3720" s="736"/>
      <c r="E3720" s="749"/>
      <c r="F3720" s="736"/>
      <c r="G3720" s="752"/>
      <c r="H3720" s="752"/>
      <c r="I3720" s="752"/>
      <c r="J3720" s="736"/>
      <c r="K3720" s="752"/>
      <c r="L3720" s="752"/>
      <c r="M3720" s="736"/>
      <c r="N3720" s="736"/>
      <c r="O3720" s="736"/>
      <c r="P3720" s="736"/>
      <c r="Q3720" s="753"/>
      <c r="R3720" s="738"/>
      <c r="S3720" s="738">
        <v>1532600</v>
      </c>
      <c r="T3720" s="739">
        <v>1500521</v>
      </c>
      <c r="U3720" s="745"/>
      <c r="V3720" s="739">
        <v>1500522</v>
      </c>
    </row>
    <row r="3721" spans="1:22" ht="15" x14ac:dyDescent="0.2">
      <c r="A3721" s="739">
        <v>4154</v>
      </c>
      <c r="B3721" s="743" t="s">
        <v>126</v>
      </c>
      <c r="C3721" s="736"/>
      <c r="D3721" s="736"/>
      <c r="E3721" s="749"/>
      <c r="F3721" s="736"/>
      <c r="G3721" s="752"/>
      <c r="H3721" s="752"/>
      <c r="I3721" s="752"/>
      <c r="J3721" s="736"/>
      <c r="K3721" s="752"/>
      <c r="L3721" s="752"/>
      <c r="M3721" s="736"/>
      <c r="N3721" s="736"/>
      <c r="O3721" s="736"/>
      <c r="P3721" s="736"/>
      <c r="Q3721" s="753"/>
      <c r="R3721" s="738"/>
      <c r="S3721" s="738">
        <v>2128554.0499999998</v>
      </c>
      <c r="T3721" s="739">
        <v>1500521</v>
      </c>
      <c r="U3721" s="745"/>
      <c r="V3721" s="739">
        <v>1500522</v>
      </c>
    </row>
    <row r="3722" spans="1:22" ht="15" x14ac:dyDescent="0.2">
      <c r="A3722" s="734">
        <v>4155</v>
      </c>
      <c r="B3722" s="755" t="s">
        <v>344</v>
      </c>
      <c r="C3722" s="736"/>
      <c r="D3722" s="736"/>
      <c r="E3722" s="749"/>
      <c r="F3722" s="736"/>
      <c r="G3722" s="752"/>
      <c r="H3722" s="752"/>
      <c r="I3722" s="752"/>
      <c r="J3722" s="736"/>
      <c r="K3722" s="752"/>
      <c r="L3722" s="752"/>
      <c r="M3722" s="736"/>
      <c r="N3722" s="736">
        <v>150000</v>
      </c>
      <c r="O3722" s="736"/>
      <c r="P3722" s="736">
        <f>M3722+N3722-O3722</f>
        <v>150000</v>
      </c>
      <c r="Q3722" s="753"/>
      <c r="R3722" s="738"/>
      <c r="S3722" s="738">
        <v>88000</v>
      </c>
      <c r="T3722" s="739">
        <v>1500521</v>
      </c>
      <c r="U3722" s="740">
        <v>1100000</v>
      </c>
      <c r="V3722" s="741">
        <v>1500522</v>
      </c>
    </row>
    <row r="3723" spans="1:22" ht="15" x14ac:dyDescent="0.2">
      <c r="A3723" s="724" t="s">
        <v>380</v>
      </c>
      <c r="B3723" s="725" t="s">
        <v>1127</v>
      </c>
      <c r="C3723" s="721">
        <f t="shared" ref="C3723:S3723" si="1156">SUM(C3724)</f>
        <v>17030962.100000001</v>
      </c>
      <c r="D3723" s="721">
        <f t="shared" si="1156"/>
        <v>17692000</v>
      </c>
      <c r="E3723" s="721">
        <f t="shared" si="1156"/>
        <v>17254900</v>
      </c>
      <c r="F3723" s="721">
        <f t="shared" si="1156"/>
        <v>18075900</v>
      </c>
      <c r="G3723" s="721">
        <f t="shared" si="1156"/>
        <v>18311220</v>
      </c>
      <c r="H3723" s="721">
        <f t="shared" si="1156"/>
        <v>0</v>
      </c>
      <c r="I3723" s="721">
        <f t="shared" si="1156"/>
        <v>0</v>
      </c>
      <c r="J3723" s="721">
        <f t="shared" si="1156"/>
        <v>18311220</v>
      </c>
      <c r="K3723" s="721">
        <f t="shared" si="1156"/>
        <v>359000</v>
      </c>
      <c r="L3723" s="721">
        <f t="shared" si="1156"/>
        <v>0</v>
      </c>
      <c r="M3723" s="721">
        <f t="shared" si="1156"/>
        <v>18670220</v>
      </c>
      <c r="N3723" s="721">
        <f t="shared" si="1156"/>
        <v>487000</v>
      </c>
      <c r="O3723" s="721">
        <f t="shared" si="1156"/>
        <v>0</v>
      </c>
      <c r="P3723" s="721">
        <f t="shared" si="1156"/>
        <v>19157220</v>
      </c>
      <c r="Q3723" s="756">
        <f t="shared" si="1156"/>
        <v>19307220</v>
      </c>
      <c r="R3723" s="756"/>
      <c r="S3723" s="756">
        <f t="shared" si="1156"/>
        <v>19681906.710000001</v>
      </c>
      <c r="T3723" s="724"/>
      <c r="U3723" s="726">
        <f t="shared" ref="U3723" si="1157">SUM(U3724)</f>
        <v>19025357.579999998</v>
      </c>
      <c r="V3723" s="727"/>
    </row>
    <row r="3724" spans="1:22" ht="15" x14ac:dyDescent="0.2">
      <c r="A3724" s="728" t="s">
        <v>381</v>
      </c>
      <c r="B3724" s="729" t="s">
        <v>1547</v>
      </c>
      <c r="C3724" s="730">
        <f>SUM(C3725:C3729)</f>
        <v>17030962.100000001</v>
      </c>
      <c r="D3724" s="730">
        <f t="shared" ref="D3724:P3724" si="1158">SUM(D3725:D3728)</f>
        <v>17692000</v>
      </c>
      <c r="E3724" s="730">
        <f t="shared" si="1158"/>
        <v>17254900</v>
      </c>
      <c r="F3724" s="730">
        <f t="shared" si="1158"/>
        <v>18075900</v>
      </c>
      <c r="G3724" s="730">
        <f t="shared" si="1158"/>
        <v>18311220</v>
      </c>
      <c r="H3724" s="730">
        <f t="shared" si="1158"/>
        <v>0</v>
      </c>
      <c r="I3724" s="730">
        <f t="shared" si="1158"/>
        <v>0</v>
      </c>
      <c r="J3724" s="730">
        <f t="shared" si="1158"/>
        <v>18311220</v>
      </c>
      <c r="K3724" s="730">
        <f t="shared" si="1158"/>
        <v>359000</v>
      </c>
      <c r="L3724" s="730">
        <f t="shared" si="1158"/>
        <v>0</v>
      </c>
      <c r="M3724" s="730">
        <f t="shared" si="1158"/>
        <v>18670220</v>
      </c>
      <c r="N3724" s="730">
        <f t="shared" si="1158"/>
        <v>487000</v>
      </c>
      <c r="O3724" s="730">
        <f t="shared" si="1158"/>
        <v>0</v>
      </c>
      <c r="P3724" s="730">
        <f t="shared" si="1158"/>
        <v>19157220</v>
      </c>
      <c r="Q3724" s="748">
        <f>SUM(Q3725:Q3730)</f>
        <v>19307220</v>
      </c>
      <c r="R3724" s="748">
        <f t="shared" ref="R3724:S3724" si="1159">SUM(R3725:R3729)</f>
        <v>0</v>
      </c>
      <c r="S3724" s="748">
        <f t="shared" si="1159"/>
        <v>19681906.710000001</v>
      </c>
      <c r="T3724" s="731"/>
      <c r="U3724" s="732">
        <f t="shared" ref="U3724" si="1160">SUM(U3725:U3729)</f>
        <v>19025357.579999998</v>
      </c>
      <c r="V3724" s="733"/>
    </row>
    <row r="3725" spans="1:22" ht="15" x14ac:dyDescent="0.25">
      <c r="A3725" s="734">
        <v>4151</v>
      </c>
      <c r="B3725" s="735" t="s">
        <v>377</v>
      </c>
      <c r="C3725" s="736">
        <v>12614092.01</v>
      </c>
      <c r="D3725" s="736">
        <v>17692000</v>
      </c>
      <c r="E3725" s="749">
        <v>17254900</v>
      </c>
      <c r="F3725" s="736">
        <v>17994900</v>
      </c>
      <c r="G3725" s="752">
        <v>18311220</v>
      </c>
      <c r="H3725" s="752"/>
      <c r="I3725" s="752"/>
      <c r="J3725" s="736">
        <f t="shared" ref="J3725:J3729" si="1161">G3725+H3725-I3725</f>
        <v>18311220</v>
      </c>
      <c r="K3725" s="752"/>
      <c r="L3725" s="752"/>
      <c r="M3725" s="736">
        <f t="shared" ref="M3725:M3729" si="1162">J3725+K3725-L3725</f>
        <v>18311220</v>
      </c>
      <c r="N3725" s="736"/>
      <c r="O3725" s="736"/>
      <c r="P3725" s="736">
        <f t="shared" ref="P3725:P3729" si="1163">M3725+N3725-O3725</f>
        <v>18311220</v>
      </c>
      <c r="Q3725" s="753">
        <v>18311220</v>
      </c>
      <c r="R3725" s="738"/>
      <c r="S3725" s="911">
        <v>14731711</v>
      </c>
      <c r="T3725" s="739">
        <v>1500521</v>
      </c>
      <c r="U3725" s="740">
        <v>19025357.579999998</v>
      </c>
      <c r="V3725" s="741">
        <v>1500522</v>
      </c>
    </row>
    <row r="3726" spans="1:22" ht="15" x14ac:dyDescent="0.25">
      <c r="A3726" s="739">
        <v>4152</v>
      </c>
      <c r="B3726" s="822" t="s">
        <v>378</v>
      </c>
      <c r="C3726" s="736">
        <v>1203108.97</v>
      </c>
      <c r="D3726" s="736"/>
      <c r="E3726" s="736"/>
      <c r="F3726" s="736"/>
      <c r="G3726" s="736"/>
      <c r="H3726" s="736"/>
      <c r="I3726" s="736"/>
      <c r="J3726" s="736">
        <f t="shared" si="1161"/>
        <v>0</v>
      </c>
      <c r="K3726" s="736"/>
      <c r="L3726" s="736"/>
      <c r="M3726" s="736">
        <f t="shared" si="1162"/>
        <v>0</v>
      </c>
      <c r="N3726" s="736">
        <v>400000</v>
      </c>
      <c r="O3726" s="736"/>
      <c r="P3726" s="736">
        <f t="shared" si="1163"/>
        <v>400000</v>
      </c>
      <c r="Q3726" s="738">
        <v>400000</v>
      </c>
      <c r="R3726" s="738"/>
      <c r="S3726" s="911">
        <v>1485349</v>
      </c>
      <c r="T3726" s="739">
        <v>1500521</v>
      </c>
      <c r="U3726" s="745">
        <v>0</v>
      </c>
      <c r="V3726" s="739">
        <v>1100121</v>
      </c>
    </row>
    <row r="3727" spans="1:22" ht="15" x14ac:dyDescent="0.25">
      <c r="A3727" s="739">
        <v>4153</v>
      </c>
      <c r="B3727" s="822" t="s">
        <v>379</v>
      </c>
      <c r="C3727" s="736">
        <v>1725422.14</v>
      </c>
      <c r="D3727" s="736"/>
      <c r="E3727" s="736"/>
      <c r="F3727" s="736"/>
      <c r="G3727" s="736"/>
      <c r="H3727" s="736"/>
      <c r="I3727" s="736"/>
      <c r="J3727" s="736">
        <f t="shared" si="1161"/>
        <v>0</v>
      </c>
      <c r="K3727" s="736">
        <v>359000</v>
      </c>
      <c r="L3727" s="736"/>
      <c r="M3727" s="736">
        <f t="shared" si="1162"/>
        <v>359000</v>
      </c>
      <c r="N3727" s="736">
        <v>50000</v>
      </c>
      <c r="O3727" s="736"/>
      <c r="P3727" s="736">
        <f t="shared" si="1163"/>
        <v>409000</v>
      </c>
      <c r="Q3727" s="738">
        <v>409000</v>
      </c>
      <c r="R3727" s="738"/>
      <c r="S3727" s="911">
        <v>1811346</v>
      </c>
      <c r="T3727" s="739">
        <v>1100120</v>
      </c>
      <c r="U3727" s="745" t="s">
        <v>695</v>
      </c>
      <c r="V3727" s="739">
        <v>1100120</v>
      </c>
    </row>
    <row r="3728" spans="1:22" ht="15" x14ac:dyDescent="0.25">
      <c r="A3728" s="739">
        <v>4154</v>
      </c>
      <c r="B3728" s="743" t="s">
        <v>126</v>
      </c>
      <c r="C3728" s="736">
        <v>1390000</v>
      </c>
      <c r="D3728" s="736">
        <v>0</v>
      </c>
      <c r="E3728" s="736"/>
      <c r="F3728" s="736">
        <v>81000</v>
      </c>
      <c r="G3728" s="736"/>
      <c r="H3728" s="736"/>
      <c r="I3728" s="736"/>
      <c r="J3728" s="736">
        <f t="shared" si="1161"/>
        <v>0</v>
      </c>
      <c r="K3728" s="736"/>
      <c r="L3728" s="736"/>
      <c r="M3728" s="736">
        <f t="shared" si="1162"/>
        <v>0</v>
      </c>
      <c r="N3728" s="736">
        <v>37000</v>
      </c>
      <c r="O3728" s="736"/>
      <c r="P3728" s="736">
        <f t="shared" si="1163"/>
        <v>37000</v>
      </c>
      <c r="Q3728" s="738">
        <v>37000</v>
      </c>
      <c r="R3728" s="738"/>
      <c r="S3728" s="911">
        <v>1466993.71</v>
      </c>
      <c r="T3728" s="739">
        <v>1500521</v>
      </c>
      <c r="U3728" s="745"/>
      <c r="V3728" s="739">
        <v>1500522</v>
      </c>
    </row>
    <row r="3729" spans="1:22" ht="15" x14ac:dyDescent="0.25">
      <c r="A3729" s="739">
        <v>4155</v>
      </c>
      <c r="B3729" s="822" t="s">
        <v>344</v>
      </c>
      <c r="C3729" s="736">
        <v>98338.98</v>
      </c>
      <c r="D3729" s="736"/>
      <c r="E3729" s="736"/>
      <c r="F3729" s="736"/>
      <c r="G3729" s="736"/>
      <c r="H3729" s="736"/>
      <c r="I3729" s="736"/>
      <c r="J3729" s="736">
        <f t="shared" si="1161"/>
        <v>0</v>
      </c>
      <c r="K3729" s="736"/>
      <c r="L3729" s="736"/>
      <c r="M3729" s="736">
        <f t="shared" si="1162"/>
        <v>0</v>
      </c>
      <c r="N3729" s="736"/>
      <c r="O3729" s="736"/>
      <c r="P3729" s="738">
        <f t="shared" si="1163"/>
        <v>0</v>
      </c>
      <c r="Q3729" s="738"/>
      <c r="R3729" s="738"/>
      <c r="S3729" s="911">
        <v>186507</v>
      </c>
      <c r="T3729" s="739"/>
      <c r="U3729" s="745"/>
      <c r="V3729" s="739"/>
    </row>
    <row r="3730" spans="1:22" ht="15" x14ac:dyDescent="0.25">
      <c r="A3730" s="739">
        <v>4153</v>
      </c>
      <c r="B3730" s="822"/>
      <c r="C3730" s="736"/>
      <c r="D3730" s="736"/>
      <c r="E3730" s="736"/>
      <c r="F3730" s="736"/>
      <c r="G3730" s="736"/>
      <c r="H3730" s="736"/>
      <c r="I3730" s="736"/>
      <c r="J3730" s="736"/>
      <c r="K3730" s="736"/>
      <c r="L3730" s="736"/>
      <c r="M3730" s="736"/>
      <c r="N3730" s="736"/>
      <c r="O3730" s="736"/>
      <c r="P3730" s="738"/>
      <c r="Q3730" s="738">
        <v>150000</v>
      </c>
      <c r="R3730" s="738"/>
      <c r="S3730" s="911"/>
      <c r="T3730" s="739"/>
      <c r="U3730" s="745"/>
      <c r="V3730" s="739"/>
    </row>
    <row r="3731" spans="1:22" ht="15" x14ac:dyDescent="0.2">
      <c r="A3731" s="724" t="s">
        <v>382</v>
      </c>
      <c r="B3731" s="725" t="s">
        <v>384</v>
      </c>
      <c r="C3731" s="721">
        <f t="shared" ref="C3731:Q3731" si="1164">SUM(C3732)</f>
        <v>29998322.600000001</v>
      </c>
      <c r="D3731" s="721">
        <f t="shared" si="1164"/>
        <v>29858000</v>
      </c>
      <c r="E3731" s="721">
        <f t="shared" si="1164"/>
        <v>31142600</v>
      </c>
      <c r="F3731" s="721">
        <f t="shared" si="1164"/>
        <v>31142600</v>
      </c>
      <c r="G3731" s="721">
        <f t="shared" si="1164"/>
        <v>30903029.999999996</v>
      </c>
      <c r="H3731" s="721">
        <f t="shared" si="1164"/>
        <v>0</v>
      </c>
      <c r="I3731" s="721">
        <f t="shared" si="1164"/>
        <v>0</v>
      </c>
      <c r="J3731" s="721">
        <f t="shared" si="1164"/>
        <v>30903029.999999996</v>
      </c>
      <c r="K3731" s="721">
        <f t="shared" si="1164"/>
        <v>215000</v>
      </c>
      <c r="L3731" s="721">
        <f t="shared" si="1164"/>
        <v>0</v>
      </c>
      <c r="M3731" s="721">
        <f t="shared" si="1164"/>
        <v>31118029.999999996</v>
      </c>
      <c r="N3731" s="721">
        <f t="shared" si="1164"/>
        <v>400000</v>
      </c>
      <c r="O3731" s="721">
        <f t="shared" si="1164"/>
        <v>0</v>
      </c>
      <c r="P3731" s="721">
        <f t="shared" si="1164"/>
        <v>31518029.999999996</v>
      </c>
      <c r="Q3731" s="756">
        <f t="shared" si="1164"/>
        <v>31518029.999999996</v>
      </c>
      <c r="R3731" s="756"/>
      <c r="S3731" s="756">
        <f t="shared" ref="S3731" si="1165">SUM(S3732)</f>
        <v>32412966</v>
      </c>
      <c r="T3731" s="724"/>
      <c r="U3731" s="726">
        <f t="shared" ref="U3731" si="1166">SUM(U3732)</f>
        <v>32108248</v>
      </c>
      <c r="V3731" s="727"/>
    </row>
    <row r="3732" spans="1:22" ht="15" x14ac:dyDescent="0.2">
      <c r="A3732" s="728" t="s">
        <v>383</v>
      </c>
      <c r="B3732" s="729" t="s">
        <v>384</v>
      </c>
      <c r="C3732" s="730">
        <f>SUM(C3733:C3739)</f>
        <v>29998322.600000001</v>
      </c>
      <c r="D3732" s="730">
        <f t="shared" ref="D3732:R3732" si="1167">SUM(D3733:D3737)</f>
        <v>29858000</v>
      </c>
      <c r="E3732" s="730">
        <f t="shared" si="1167"/>
        <v>31142600</v>
      </c>
      <c r="F3732" s="730">
        <f t="shared" si="1167"/>
        <v>31142600</v>
      </c>
      <c r="G3732" s="730">
        <f t="shared" si="1167"/>
        <v>30903029.999999996</v>
      </c>
      <c r="H3732" s="730">
        <f t="shared" si="1167"/>
        <v>0</v>
      </c>
      <c r="I3732" s="730">
        <f t="shared" si="1167"/>
        <v>0</v>
      </c>
      <c r="J3732" s="730">
        <f t="shared" si="1167"/>
        <v>30903029.999999996</v>
      </c>
      <c r="K3732" s="730">
        <f t="shared" si="1167"/>
        <v>215000</v>
      </c>
      <c r="L3732" s="730">
        <f t="shared" si="1167"/>
        <v>0</v>
      </c>
      <c r="M3732" s="730">
        <f t="shared" si="1167"/>
        <v>31118029.999999996</v>
      </c>
      <c r="N3732" s="730">
        <f t="shared" si="1167"/>
        <v>400000</v>
      </c>
      <c r="O3732" s="730">
        <f t="shared" si="1167"/>
        <v>0</v>
      </c>
      <c r="P3732" s="730">
        <f t="shared" si="1167"/>
        <v>31518029.999999996</v>
      </c>
      <c r="Q3732" s="748">
        <f t="shared" si="1167"/>
        <v>31518029.999999996</v>
      </c>
      <c r="R3732" s="748">
        <f t="shared" si="1167"/>
        <v>0</v>
      </c>
      <c r="S3732" s="748">
        <f>SUM(S3733:S3740)</f>
        <v>32412966</v>
      </c>
      <c r="T3732" s="731"/>
      <c r="U3732" s="732">
        <f>SUM(U3733:U3740)</f>
        <v>32108248</v>
      </c>
      <c r="V3732" s="733"/>
    </row>
    <row r="3733" spans="1:22" ht="15" x14ac:dyDescent="0.2">
      <c r="A3733" s="734">
        <v>4151</v>
      </c>
      <c r="B3733" s="735" t="s">
        <v>377</v>
      </c>
      <c r="C3733" s="736">
        <v>17943428.600000001</v>
      </c>
      <c r="D3733" s="736">
        <v>29858000</v>
      </c>
      <c r="E3733" s="749">
        <v>29142600</v>
      </c>
      <c r="F3733" s="736">
        <v>0</v>
      </c>
      <c r="G3733" s="736"/>
      <c r="H3733" s="736"/>
      <c r="I3733" s="736"/>
      <c r="J3733" s="736">
        <f t="shared" ref="J3733:J3736" si="1168">G3733+H3733-I3733</f>
        <v>0</v>
      </c>
      <c r="K3733" s="736"/>
      <c r="L3733" s="736"/>
      <c r="M3733" s="736">
        <f t="shared" ref="M3733:M3736" si="1169">J3733+K3733-L3733</f>
        <v>0</v>
      </c>
      <c r="N3733" s="736"/>
      <c r="O3733" s="736"/>
      <c r="P3733" s="738">
        <f t="shared" ref="P3733:P3739" si="1170">M3733+N3733-O3733</f>
        <v>0</v>
      </c>
      <c r="Q3733" s="738"/>
      <c r="R3733" s="738"/>
      <c r="S3733" s="738">
        <v>21654330</v>
      </c>
      <c r="T3733" s="739">
        <v>1100121</v>
      </c>
      <c r="U3733" s="740">
        <v>32108248</v>
      </c>
      <c r="V3733" s="741">
        <v>1100122</v>
      </c>
    </row>
    <row r="3734" spans="1:22" ht="15" x14ac:dyDescent="0.2">
      <c r="A3734" s="739">
        <v>4151</v>
      </c>
      <c r="B3734" s="743" t="s">
        <v>377</v>
      </c>
      <c r="C3734" s="736"/>
      <c r="D3734" s="736">
        <v>0</v>
      </c>
      <c r="E3734" s="736"/>
      <c r="F3734" s="736">
        <v>29142600</v>
      </c>
      <c r="G3734" s="752">
        <v>30903029.999999996</v>
      </c>
      <c r="H3734" s="752"/>
      <c r="I3734" s="752"/>
      <c r="J3734" s="736">
        <f t="shared" si="1168"/>
        <v>30903029.999999996</v>
      </c>
      <c r="K3734" s="752"/>
      <c r="L3734" s="752"/>
      <c r="M3734" s="736">
        <f t="shared" si="1169"/>
        <v>30903029.999999996</v>
      </c>
      <c r="N3734" s="736"/>
      <c r="O3734" s="736"/>
      <c r="P3734" s="736">
        <f t="shared" si="1170"/>
        <v>30903029.999999996</v>
      </c>
      <c r="Q3734" s="753">
        <v>30903029.999999996</v>
      </c>
      <c r="R3734" s="738"/>
      <c r="S3734" s="753"/>
      <c r="T3734" s="739">
        <v>1500521</v>
      </c>
      <c r="U3734" s="745"/>
      <c r="V3734" s="739">
        <v>1500522</v>
      </c>
    </row>
    <row r="3735" spans="1:22" ht="15" x14ac:dyDescent="0.2">
      <c r="A3735" s="739">
        <v>4152</v>
      </c>
      <c r="B3735" s="822" t="s">
        <v>378</v>
      </c>
      <c r="C3735" s="736">
        <v>1025193.48</v>
      </c>
      <c r="D3735" s="736"/>
      <c r="E3735" s="736"/>
      <c r="F3735" s="736"/>
      <c r="G3735" s="736"/>
      <c r="H3735" s="736"/>
      <c r="I3735" s="736"/>
      <c r="J3735" s="736">
        <f t="shared" si="1168"/>
        <v>0</v>
      </c>
      <c r="K3735" s="736"/>
      <c r="L3735" s="736"/>
      <c r="M3735" s="736">
        <f t="shared" si="1169"/>
        <v>0</v>
      </c>
      <c r="N3735" s="736"/>
      <c r="O3735" s="736"/>
      <c r="P3735" s="738">
        <f t="shared" si="1170"/>
        <v>0</v>
      </c>
      <c r="Q3735" s="738"/>
      <c r="R3735" s="738"/>
      <c r="S3735" s="738">
        <v>873000</v>
      </c>
      <c r="T3735" s="739">
        <v>1500521</v>
      </c>
      <c r="U3735" s="745" t="s">
        <v>695</v>
      </c>
      <c r="V3735" s="739">
        <v>1500522</v>
      </c>
    </row>
    <row r="3736" spans="1:22" ht="15" x14ac:dyDescent="0.2">
      <c r="A3736" s="739">
        <v>4153</v>
      </c>
      <c r="B3736" s="743" t="s">
        <v>379</v>
      </c>
      <c r="C3736" s="736">
        <v>10744969.640000001</v>
      </c>
      <c r="D3736" s="736">
        <v>0</v>
      </c>
      <c r="E3736" s="749">
        <v>2000000</v>
      </c>
      <c r="F3736" s="736">
        <v>2000000</v>
      </c>
      <c r="G3736" s="736"/>
      <c r="H3736" s="736"/>
      <c r="I3736" s="736"/>
      <c r="J3736" s="736">
        <f t="shared" si="1168"/>
        <v>0</v>
      </c>
      <c r="K3736" s="736">
        <v>215000</v>
      </c>
      <c r="L3736" s="736"/>
      <c r="M3736" s="736">
        <f t="shared" si="1169"/>
        <v>215000</v>
      </c>
      <c r="N3736" s="736"/>
      <c r="O3736" s="736"/>
      <c r="P3736" s="736">
        <f t="shared" si="1170"/>
        <v>215000</v>
      </c>
      <c r="Q3736" s="738">
        <v>400000</v>
      </c>
      <c r="R3736" s="738"/>
      <c r="S3736" s="738">
        <v>9740636</v>
      </c>
      <c r="T3736" s="739">
        <v>1100120</v>
      </c>
      <c r="U3736" s="745"/>
      <c r="V3736" s="739">
        <v>1100120</v>
      </c>
    </row>
    <row r="3737" spans="1:22" ht="15" x14ac:dyDescent="0.2">
      <c r="A3737" s="739">
        <v>4153</v>
      </c>
      <c r="B3737" s="743" t="s">
        <v>379</v>
      </c>
      <c r="C3737" s="736"/>
      <c r="D3737" s="736"/>
      <c r="E3737" s="749"/>
      <c r="F3737" s="736"/>
      <c r="G3737" s="736"/>
      <c r="H3737" s="736"/>
      <c r="I3737" s="736"/>
      <c r="J3737" s="736"/>
      <c r="K3737" s="736"/>
      <c r="L3737" s="736"/>
      <c r="M3737" s="736"/>
      <c r="N3737" s="736">
        <v>400000</v>
      </c>
      <c r="O3737" s="736"/>
      <c r="P3737" s="736">
        <f t="shared" si="1170"/>
        <v>400000</v>
      </c>
      <c r="Q3737" s="738">
        <v>215000</v>
      </c>
      <c r="R3737" s="738"/>
      <c r="S3737" s="738"/>
      <c r="T3737" s="739">
        <v>1500521</v>
      </c>
      <c r="U3737" s="745"/>
      <c r="V3737" s="739">
        <v>1500522</v>
      </c>
    </row>
    <row r="3738" spans="1:22" ht="15" x14ac:dyDescent="0.2">
      <c r="A3738" s="739">
        <v>4154</v>
      </c>
      <c r="B3738" s="822" t="s">
        <v>126</v>
      </c>
      <c r="C3738" s="736">
        <v>186400</v>
      </c>
      <c r="D3738" s="736"/>
      <c r="E3738" s="736"/>
      <c r="F3738" s="736"/>
      <c r="G3738" s="736"/>
      <c r="H3738" s="736"/>
      <c r="I3738" s="736"/>
      <c r="J3738" s="736">
        <f t="shared" ref="J3738:J3739" si="1171">G3738+H3738-I3738</f>
        <v>0</v>
      </c>
      <c r="K3738" s="736"/>
      <c r="L3738" s="736"/>
      <c r="M3738" s="736">
        <f t="shared" ref="M3738:M3739" si="1172">J3738+K3738-L3738</f>
        <v>0</v>
      </c>
      <c r="N3738" s="736"/>
      <c r="O3738" s="736"/>
      <c r="P3738" s="738">
        <f t="shared" si="1170"/>
        <v>0</v>
      </c>
      <c r="Q3738" s="738"/>
      <c r="R3738" s="738"/>
      <c r="S3738" s="738">
        <v>120000</v>
      </c>
      <c r="T3738" s="739">
        <v>1500521</v>
      </c>
      <c r="U3738" s="745"/>
      <c r="V3738" s="739">
        <v>1500522</v>
      </c>
    </row>
    <row r="3739" spans="1:22" ht="15" x14ac:dyDescent="0.2">
      <c r="A3739" s="739">
        <v>4155</v>
      </c>
      <c r="B3739" s="822" t="s">
        <v>344</v>
      </c>
      <c r="C3739" s="736">
        <v>98330.880000000005</v>
      </c>
      <c r="D3739" s="736"/>
      <c r="E3739" s="736"/>
      <c r="F3739" s="736"/>
      <c r="G3739" s="736"/>
      <c r="H3739" s="736"/>
      <c r="I3739" s="736"/>
      <c r="J3739" s="736">
        <f t="shared" si="1171"/>
        <v>0</v>
      </c>
      <c r="K3739" s="736"/>
      <c r="L3739" s="736"/>
      <c r="M3739" s="736">
        <f t="shared" si="1172"/>
        <v>0</v>
      </c>
      <c r="N3739" s="736"/>
      <c r="O3739" s="736"/>
      <c r="P3739" s="738">
        <f t="shared" si="1170"/>
        <v>0</v>
      </c>
      <c r="Q3739" s="738"/>
      <c r="R3739" s="738"/>
      <c r="S3739" s="738">
        <v>25000</v>
      </c>
      <c r="T3739" s="739">
        <v>1500521</v>
      </c>
      <c r="U3739" s="745"/>
      <c r="V3739" s="739">
        <v>1500522</v>
      </c>
    </row>
    <row r="3740" spans="1:22" ht="15" x14ac:dyDescent="0.2">
      <c r="A3740" s="739"/>
      <c r="B3740" s="822"/>
      <c r="C3740" s="736"/>
      <c r="D3740" s="736"/>
      <c r="E3740" s="736"/>
      <c r="F3740" s="736"/>
      <c r="G3740" s="736"/>
      <c r="H3740" s="736"/>
      <c r="I3740" s="736"/>
      <c r="J3740" s="736"/>
      <c r="K3740" s="736"/>
      <c r="L3740" s="736"/>
      <c r="M3740" s="736"/>
      <c r="N3740" s="736"/>
      <c r="O3740" s="736"/>
      <c r="P3740" s="738"/>
      <c r="Q3740" s="738"/>
      <c r="R3740" s="738"/>
      <c r="S3740" s="738"/>
      <c r="T3740" s="739"/>
      <c r="U3740" s="745"/>
      <c r="V3740" s="739"/>
    </row>
    <row r="3741" spans="1:22" ht="15" x14ac:dyDescent="0.2">
      <c r="A3741" s="724" t="s">
        <v>385</v>
      </c>
      <c r="B3741" s="725" t="s">
        <v>386</v>
      </c>
      <c r="C3741" s="721">
        <f t="shared" ref="C3741:S3741" si="1173">SUM(C3742)</f>
        <v>11357356</v>
      </c>
      <c r="D3741" s="721">
        <f t="shared" si="1173"/>
        <v>6760615</v>
      </c>
      <c r="E3741" s="721">
        <f t="shared" si="1173"/>
        <v>6497135</v>
      </c>
      <c r="F3741" s="721">
        <f t="shared" si="1173"/>
        <v>5208089</v>
      </c>
      <c r="G3741" s="721">
        <f t="shared" si="1173"/>
        <v>4280000</v>
      </c>
      <c r="H3741" s="721">
        <f t="shared" si="1173"/>
        <v>0</v>
      </c>
      <c r="I3741" s="721">
        <f t="shared" si="1173"/>
        <v>0</v>
      </c>
      <c r="J3741" s="721">
        <f t="shared" si="1173"/>
        <v>4280000</v>
      </c>
      <c r="K3741" s="721">
        <f t="shared" si="1173"/>
        <v>0</v>
      </c>
      <c r="L3741" s="721">
        <f t="shared" si="1173"/>
        <v>0</v>
      </c>
      <c r="M3741" s="721">
        <f t="shared" si="1173"/>
        <v>4280000</v>
      </c>
      <c r="N3741" s="721">
        <f t="shared" si="1173"/>
        <v>0</v>
      </c>
      <c r="O3741" s="721">
        <f t="shared" si="1173"/>
        <v>0</v>
      </c>
      <c r="P3741" s="721">
        <f t="shared" si="1173"/>
        <v>4280000</v>
      </c>
      <c r="Q3741" s="756">
        <f t="shared" si="1173"/>
        <v>3880000</v>
      </c>
      <c r="R3741" s="756"/>
      <c r="S3741" s="756">
        <f t="shared" si="1173"/>
        <v>3273845.73</v>
      </c>
      <c r="T3741" s="724"/>
      <c r="U3741" s="726">
        <f t="shared" ref="U3741" si="1174">SUM(U3742)</f>
        <v>5473846</v>
      </c>
      <c r="V3741" s="727"/>
    </row>
    <row r="3742" spans="1:22" ht="15" x14ac:dyDescent="0.2">
      <c r="A3742" s="728" t="s">
        <v>387</v>
      </c>
      <c r="B3742" s="729" t="s">
        <v>386</v>
      </c>
      <c r="C3742" s="730">
        <f t="shared" ref="C3742:S3742" si="1175">SUM(C3743:C3749)</f>
        <v>11357356</v>
      </c>
      <c r="D3742" s="730">
        <f t="shared" si="1175"/>
        <v>6760615</v>
      </c>
      <c r="E3742" s="730">
        <f t="shared" si="1175"/>
        <v>6497135</v>
      </c>
      <c r="F3742" s="730">
        <f t="shared" si="1175"/>
        <v>5208089</v>
      </c>
      <c r="G3742" s="730">
        <f t="shared" si="1175"/>
        <v>4280000</v>
      </c>
      <c r="H3742" s="730">
        <f t="shared" si="1175"/>
        <v>0</v>
      </c>
      <c r="I3742" s="730">
        <f t="shared" si="1175"/>
        <v>0</v>
      </c>
      <c r="J3742" s="730">
        <f t="shared" si="1175"/>
        <v>4280000</v>
      </c>
      <c r="K3742" s="730">
        <f t="shared" si="1175"/>
        <v>0</v>
      </c>
      <c r="L3742" s="730">
        <f t="shared" si="1175"/>
        <v>0</v>
      </c>
      <c r="M3742" s="730">
        <f t="shared" si="1175"/>
        <v>4280000</v>
      </c>
      <c r="N3742" s="730">
        <f t="shared" si="1175"/>
        <v>0</v>
      </c>
      <c r="O3742" s="730">
        <f t="shared" si="1175"/>
        <v>0</v>
      </c>
      <c r="P3742" s="730">
        <f t="shared" si="1175"/>
        <v>4280000</v>
      </c>
      <c r="Q3742" s="748">
        <f t="shared" si="1175"/>
        <v>3880000</v>
      </c>
      <c r="R3742" s="748">
        <f t="shared" si="1175"/>
        <v>0</v>
      </c>
      <c r="S3742" s="748">
        <f t="shared" si="1175"/>
        <v>3273845.73</v>
      </c>
      <c r="T3742" s="731"/>
      <c r="U3742" s="732">
        <f>SUM(U3743:U3749)</f>
        <v>5473846</v>
      </c>
      <c r="V3742" s="733"/>
    </row>
    <row r="3743" spans="1:22" ht="15" x14ac:dyDescent="0.2">
      <c r="A3743" s="739">
        <v>3511</v>
      </c>
      <c r="B3743" s="743" t="s">
        <v>49</v>
      </c>
      <c r="C3743" s="736"/>
      <c r="D3743" s="736">
        <v>0</v>
      </c>
      <c r="E3743" s="749">
        <v>344520</v>
      </c>
      <c r="F3743" s="736">
        <v>344520</v>
      </c>
      <c r="G3743" s="736"/>
      <c r="H3743" s="736"/>
      <c r="I3743" s="736"/>
      <c r="J3743" s="736">
        <f t="shared" ref="J3743:J3745" si="1176">G3743+H3743-I3743</f>
        <v>0</v>
      </c>
      <c r="K3743" s="736"/>
      <c r="L3743" s="736"/>
      <c r="M3743" s="736">
        <f t="shared" ref="M3743:M3745" si="1177">J3743+K3743-L3743</f>
        <v>0</v>
      </c>
      <c r="N3743" s="736"/>
      <c r="O3743" s="736"/>
      <c r="P3743" s="738">
        <f t="shared" ref="P3743:P3745" si="1178">M3743+N3743-O3743</f>
        <v>0</v>
      </c>
      <c r="Q3743" s="738"/>
      <c r="R3743" s="738"/>
      <c r="S3743" s="738"/>
      <c r="T3743" s="739">
        <v>1100119</v>
      </c>
      <c r="U3743" s="745"/>
      <c r="V3743" s="739">
        <v>1100119</v>
      </c>
    </row>
    <row r="3744" spans="1:22" ht="15" x14ac:dyDescent="0.2">
      <c r="A3744" s="739">
        <v>3821</v>
      </c>
      <c r="B3744" s="743" t="s">
        <v>31</v>
      </c>
      <c r="C3744" s="736">
        <v>6613000</v>
      </c>
      <c r="D3744" s="736">
        <v>1750000</v>
      </c>
      <c r="E3744" s="749">
        <v>1750000</v>
      </c>
      <c r="F3744" s="736">
        <v>1750000</v>
      </c>
      <c r="G3744" s="736"/>
      <c r="H3744" s="736"/>
      <c r="I3744" s="736"/>
      <c r="J3744" s="736">
        <f t="shared" si="1176"/>
        <v>0</v>
      </c>
      <c r="K3744" s="736"/>
      <c r="L3744" s="736"/>
      <c r="M3744" s="736">
        <f t="shared" si="1177"/>
        <v>0</v>
      </c>
      <c r="N3744" s="736"/>
      <c r="O3744" s="736"/>
      <c r="P3744" s="738">
        <f t="shared" si="1178"/>
        <v>0</v>
      </c>
      <c r="Q3744" s="738"/>
      <c r="R3744" s="738"/>
      <c r="S3744" s="738"/>
      <c r="T3744" s="739">
        <v>1100119</v>
      </c>
      <c r="U3744" s="745" t="s">
        <v>695</v>
      </c>
      <c r="V3744" s="739">
        <v>1100119</v>
      </c>
    </row>
    <row r="3745" spans="1:22" ht="15" x14ac:dyDescent="0.2">
      <c r="A3745" s="734">
        <v>4151</v>
      </c>
      <c r="B3745" s="735" t="s">
        <v>377</v>
      </c>
      <c r="C3745" s="736">
        <v>4025000</v>
      </c>
      <c r="D3745" s="736">
        <v>4230615</v>
      </c>
      <c r="E3745" s="749">
        <v>3622615</v>
      </c>
      <c r="F3745" s="736">
        <v>2383000</v>
      </c>
      <c r="G3745" s="752">
        <v>3500000</v>
      </c>
      <c r="H3745" s="752"/>
      <c r="I3745" s="752"/>
      <c r="J3745" s="736">
        <f t="shared" si="1176"/>
        <v>3500000</v>
      </c>
      <c r="K3745" s="752"/>
      <c r="L3745" s="752"/>
      <c r="M3745" s="736">
        <f t="shared" si="1177"/>
        <v>3500000</v>
      </c>
      <c r="N3745" s="736"/>
      <c r="O3745" s="736"/>
      <c r="P3745" s="736">
        <f t="shared" si="1178"/>
        <v>3500000</v>
      </c>
      <c r="Q3745" s="753">
        <v>3100000</v>
      </c>
      <c r="R3745" s="738"/>
      <c r="S3745" s="753">
        <v>2079733.57</v>
      </c>
      <c r="T3745" s="739">
        <v>1100121</v>
      </c>
      <c r="U3745" s="754">
        <v>2079733.84</v>
      </c>
      <c r="V3745" s="741">
        <v>1100122</v>
      </c>
    </row>
    <row r="3746" spans="1:22" ht="15" x14ac:dyDescent="0.25">
      <c r="A3746" s="734">
        <v>4152</v>
      </c>
      <c r="B3746" s="973" t="s">
        <v>378</v>
      </c>
      <c r="C3746" s="736"/>
      <c r="D3746" s="736"/>
      <c r="E3746" s="749"/>
      <c r="F3746" s="736"/>
      <c r="G3746" s="752"/>
      <c r="H3746" s="752"/>
      <c r="I3746" s="752"/>
      <c r="J3746" s="736"/>
      <c r="K3746" s="752"/>
      <c r="L3746" s="752"/>
      <c r="M3746" s="736"/>
      <c r="N3746" s="736"/>
      <c r="O3746" s="736"/>
      <c r="P3746" s="736"/>
      <c r="Q3746" s="753"/>
      <c r="R3746" s="738"/>
      <c r="S3746" s="753">
        <v>212445.6</v>
      </c>
      <c r="T3746" s="739">
        <v>1100121</v>
      </c>
      <c r="U3746" s="754">
        <v>212445.6</v>
      </c>
      <c r="V3746" s="741">
        <v>1100122</v>
      </c>
    </row>
    <row r="3747" spans="1:22" ht="15" x14ac:dyDescent="0.2">
      <c r="A3747" s="734">
        <v>4153</v>
      </c>
      <c r="B3747" s="735" t="s">
        <v>379</v>
      </c>
      <c r="C3747" s="736"/>
      <c r="D3747" s="736"/>
      <c r="E3747" s="749"/>
      <c r="F3747" s="736"/>
      <c r="G3747" s="752"/>
      <c r="H3747" s="752"/>
      <c r="I3747" s="752"/>
      <c r="J3747" s="736"/>
      <c r="K3747" s="752"/>
      <c r="L3747" s="752"/>
      <c r="M3747" s="736"/>
      <c r="N3747" s="736"/>
      <c r="O3747" s="736"/>
      <c r="P3747" s="736"/>
      <c r="Q3747" s="753"/>
      <c r="R3747" s="738"/>
      <c r="S3747" s="753"/>
      <c r="T3747" s="739">
        <v>1100121</v>
      </c>
      <c r="U3747" s="740">
        <v>981666.56</v>
      </c>
      <c r="V3747" s="741">
        <v>1100122</v>
      </c>
    </row>
    <row r="3748" spans="1:22" ht="15" x14ac:dyDescent="0.2">
      <c r="A3748" s="734">
        <v>4153</v>
      </c>
      <c r="B3748" s="735" t="s">
        <v>379</v>
      </c>
      <c r="C3748" s="736"/>
      <c r="D3748" s="736"/>
      <c r="E3748" s="749"/>
      <c r="F3748" s="736"/>
      <c r="G3748" s="752"/>
      <c r="H3748" s="752"/>
      <c r="I3748" s="752"/>
      <c r="J3748" s="736"/>
      <c r="K3748" s="752"/>
      <c r="L3748" s="752"/>
      <c r="M3748" s="736"/>
      <c r="N3748" s="736"/>
      <c r="O3748" s="736"/>
      <c r="P3748" s="736"/>
      <c r="Q3748" s="753"/>
      <c r="R3748" s="738"/>
      <c r="S3748" s="753"/>
      <c r="T3748" s="739"/>
      <c r="U3748" s="740">
        <v>1500000</v>
      </c>
      <c r="V3748" s="741">
        <v>1100121</v>
      </c>
    </row>
    <row r="3749" spans="1:22" ht="15" x14ac:dyDescent="0.2">
      <c r="A3749" s="734">
        <v>4153</v>
      </c>
      <c r="B3749" s="735" t="s">
        <v>379</v>
      </c>
      <c r="C3749" s="736">
        <v>719356</v>
      </c>
      <c r="D3749" s="736">
        <v>780000</v>
      </c>
      <c r="E3749" s="749">
        <v>780000</v>
      </c>
      <c r="F3749" s="736">
        <v>730569</v>
      </c>
      <c r="G3749" s="752">
        <v>780000</v>
      </c>
      <c r="H3749" s="752"/>
      <c r="I3749" s="752"/>
      <c r="J3749" s="736">
        <f>G3749+H3749-I3749</f>
        <v>780000</v>
      </c>
      <c r="K3749" s="752"/>
      <c r="L3749" s="752"/>
      <c r="M3749" s="736">
        <f>J3749+K3749-L3749</f>
        <v>780000</v>
      </c>
      <c r="N3749" s="736"/>
      <c r="O3749" s="736"/>
      <c r="P3749" s="736">
        <f>M3749+N3749-O3749</f>
        <v>780000</v>
      </c>
      <c r="Q3749" s="753">
        <v>780000</v>
      </c>
      <c r="R3749" s="738"/>
      <c r="S3749" s="753">
        <v>981666.56</v>
      </c>
      <c r="T3749" s="739">
        <v>1100121</v>
      </c>
      <c r="U3749" s="746">
        <v>700000</v>
      </c>
      <c r="V3749" s="741">
        <v>1100122</v>
      </c>
    </row>
    <row r="3750" spans="1:22" ht="15" x14ac:dyDescent="0.2">
      <c r="A3750" s="724" t="s">
        <v>388</v>
      </c>
      <c r="B3750" s="725" t="s">
        <v>1329</v>
      </c>
      <c r="C3750" s="721">
        <f t="shared" ref="C3750:S3750" si="1179">SUM(C3751)</f>
        <v>3299168.58</v>
      </c>
      <c r="D3750" s="721">
        <f t="shared" si="1179"/>
        <v>3464127</v>
      </c>
      <c r="E3750" s="721">
        <f t="shared" si="1179"/>
        <v>3290921</v>
      </c>
      <c r="F3750" s="721">
        <f t="shared" si="1179"/>
        <v>3290921</v>
      </c>
      <c r="G3750" s="721">
        <f t="shared" si="1179"/>
        <v>3290921</v>
      </c>
      <c r="H3750" s="721">
        <f t="shared" si="1179"/>
        <v>0</v>
      </c>
      <c r="I3750" s="721">
        <f t="shared" si="1179"/>
        <v>0</v>
      </c>
      <c r="J3750" s="721">
        <f t="shared" si="1179"/>
        <v>3290921</v>
      </c>
      <c r="K3750" s="721">
        <f t="shared" si="1179"/>
        <v>0</v>
      </c>
      <c r="L3750" s="721">
        <f t="shared" si="1179"/>
        <v>0</v>
      </c>
      <c r="M3750" s="721">
        <f t="shared" si="1179"/>
        <v>3290921</v>
      </c>
      <c r="N3750" s="721">
        <f t="shared" si="1179"/>
        <v>0</v>
      </c>
      <c r="O3750" s="721">
        <f t="shared" si="1179"/>
        <v>0</v>
      </c>
      <c r="P3750" s="721">
        <f t="shared" si="1179"/>
        <v>3290921</v>
      </c>
      <c r="Q3750" s="756">
        <f t="shared" si="1179"/>
        <v>3290921</v>
      </c>
      <c r="R3750" s="756"/>
      <c r="S3750" s="756">
        <f t="shared" si="1179"/>
        <v>3494188.21</v>
      </c>
      <c r="T3750" s="724"/>
      <c r="U3750" s="726">
        <f t="shared" ref="U3750" si="1180">SUM(U3751)</f>
        <v>3290921</v>
      </c>
      <c r="V3750" s="727"/>
    </row>
    <row r="3751" spans="1:22" ht="15" x14ac:dyDescent="0.2">
      <c r="A3751" s="728" t="s">
        <v>389</v>
      </c>
      <c r="B3751" s="729" t="s">
        <v>1548</v>
      </c>
      <c r="C3751" s="730">
        <f>SUM(C3752:C3754)</f>
        <v>3299168.58</v>
      </c>
      <c r="D3751" s="730">
        <f t="shared" ref="D3751:S3751" si="1181">SUM(D3752)</f>
        <v>3464127</v>
      </c>
      <c r="E3751" s="730">
        <f t="shared" si="1181"/>
        <v>3290921</v>
      </c>
      <c r="F3751" s="730">
        <f t="shared" si="1181"/>
        <v>3290921</v>
      </c>
      <c r="G3751" s="730">
        <f t="shared" si="1181"/>
        <v>3290921</v>
      </c>
      <c r="H3751" s="730">
        <f t="shared" si="1181"/>
        <v>0</v>
      </c>
      <c r="I3751" s="730">
        <f t="shared" si="1181"/>
        <v>0</v>
      </c>
      <c r="J3751" s="730">
        <f t="shared" si="1181"/>
        <v>3290921</v>
      </c>
      <c r="K3751" s="730">
        <f t="shared" si="1181"/>
        <v>0</v>
      </c>
      <c r="L3751" s="730">
        <f t="shared" si="1181"/>
        <v>0</v>
      </c>
      <c r="M3751" s="730">
        <f t="shared" si="1181"/>
        <v>3290921</v>
      </c>
      <c r="N3751" s="730">
        <f t="shared" si="1181"/>
        <v>0</v>
      </c>
      <c r="O3751" s="730">
        <f t="shared" si="1181"/>
        <v>0</v>
      </c>
      <c r="P3751" s="730">
        <f t="shared" si="1181"/>
        <v>3290921</v>
      </c>
      <c r="Q3751" s="748">
        <f t="shared" si="1181"/>
        <v>3290921</v>
      </c>
      <c r="R3751" s="748">
        <f t="shared" si="1181"/>
        <v>0</v>
      </c>
      <c r="S3751" s="748">
        <f t="shared" si="1181"/>
        <v>3494188.21</v>
      </c>
      <c r="T3751" s="731"/>
      <c r="U3751" s="732">
        <f>SUM(U3752)</f>
        <v>3290921</v>
      </c>
      <c r="V3751" s="733"/>
    </row>
    <row r="3752" spans="1:22" ht="15" x14ac:dyDescent="0.2">
      <c r="A3752" s="734">
        <v>4151</v>
      </c>
      <c r="B3752" s="735" t="s">
        <v>377</v>
      </c>
      <c r="C3752" s="736">
        <v>2931351.94</v>
      </c>
      <c r="D3752" s="736">
        <v>3464127</v>
      </c>
      <c r="E3752" s="749">
        <v>3290921</v>
      </c>
      <c r="F3752" s="736">
        <v>3290921</v>
      </c>
      <c r="G3752" s="752">
        <v>3290921</v>
      </c>
      <c r="H3752" s="752"/>
      <c r="I3752" s="752"/>
      <c r="J3752" s="736">
        <f t="shared" ref="J3752:J3754" si="1182">G3752+H3752-I3752</f>
        <v>3290921</v>
      </c>
      <c r="K3752" s="752"/>
      <c r="L3752" s="752"/>
      <c r="M3752" s="736">
        <f t="shared" ref="M3752:M3754" si="1183">J3752+K3752-L3752</f>
        <v>3290921</v>
      </c>
      <c r="N3752" s="736"/>
      <c r="O3752" s="736"/>
      <c r="P3752" s="736">
        <f t="shared" ref="P3752:P3754" si="1184">M3752+N3752-O3752</f>
        <v>3290921</v>
      </c>
      <c r="Q3752" s="753">
        <v>3290921</v>
      </c>
      <c r="R3752" s="738"/>
      <c r="S3752" s="753">
        <v>3494188.21</v>
      </c>
      <c r="T3752" s="739">
        <v>1100121</v>
      </c>
      <c r="U3752" s="740">
        <v>3290921</v>
      </c>
      <c r="V3752" s="741">
        <v>1100122</v>
      </c>
    </row>
    <row r="3753" spans="1:22" ht="15" x14ac:dyDescent="0.2">
      <c r="A3753" s="739">
        <v>4152</v>
      </c>
      <c r="B3753" s="822" t="s">
        <v>378</v>
      </c>
      <c r="C3753" s="736">
        <v>233017.85</v>
      </c>
      <c r="D3753" s="736"/>
      <c r="E3753" s="736"/>
      <c r="F3753" s="736"/>
      <c r="G3753" s="736"/>
      <c r="H3753" s="736"/>
      <c r="I3753" s="736"/>
      <c r="J3753" s="736">
        <f t="shared" si="1182"/>
        <v>0</v>
      </c>
      <c r="K3753" s="736"/>
      <c r="L3753" s="736"/>
      <c r="M3753" s="736">
        <f t="shared" si="1183"/>
        <v>0</v>
      </c>
      <c r="N3753" s="736"/>
      <c r="O3753" s="736"/>
      <c r="P3753" s="738">
        <f t="shared" si="1184"/>
        <v>0</v>
      </c>
      <c r="Q3753" s="738"/>
      <c r="R3753" s="738"/>
      <c r="S3753" s="738"/>
      <c r="T3753" s="739"/>
      <c r="U3753" s="745"/>
      <c r="V3753" s="739"/>
    </row>
    <row r="3754" spans="1:22" ht="15" x14ac:dyDescent="0.2">
      <c r="A3754" s="739">
        <v>4153</v>
      </c>
      <c r="B3754" s="822" t="s">
        <v>379</v>
      </c>
      <c r="C3754" s="736">
        <v>134798.79</v>
      </c>
      <c r="D3754" s="736"/>
      <c r="E3754" s="736"/>
      <c r="F3754" s="736"/>
      <c r="G3754" s="736"/>
      <c r="H3754" s="736"/>
      <c r="I3754" s="736"/>
      <c r="J3754" s="736">
        <f t="shared" si="1182"/>
        <v>0</v>
      </c>
      <c r="K3754" s="736"/>
      <c r="L3754" s="736"/>
      <c r="M3754" s="736">
        <f t="shared" si="1183"/>
        <v>0</v>
      </c>
      <c r="N3754" s="736"/>
      <c r="O3754" s="736"/>
      <c r="P3754" s="738">
        <f t="shared" si="1184"/>
        <v>0</v>
      </c>
      <c r="Q3754" s="738"/>
      <c r="R3754" s="738"/>
      <c r="S3754" s="738"/>
      <c r="T3754" s="739"/>
      <c r="U3754" s="745"/>
      <c r="V3754" s="739"/>
    </row>
    <row r="3755" spans="1:22" ht="15" x14ac:dyDescent="0.2">
      <c r="A3755" s="724" t="s">
        <v>390</v>
      </c>
      <c r="B3755" s="725" t="s">
        <v>1129</v>
      </c>
      <c r="C3755" s="721">
        <f t="shared" ref="C3755:S3755" si="1185">SUM(C3756)</f>
        <v>13950158.950000001</v>
      </c>
      <c r="D3755" s="721">
        <f t="shared" si="1185"/>
        <v>13954441.119999999</v>
      </c>
      <c r="E3755" s="721">
        <f t="shared" si="1185"/>
        <v>13378202.84</v>
      </c>
      <c r="F3755" s="721">
        <f t="shared" si="1185"/>
        <v>13450704.119999999</v>
      </c>
      <c r="G3755" s="721">
        <f t="shared" si="1185"/>
        <v>14224381.859999999</v>
      </c>
      <c r="H3755" s="721">
        <f t="shared" si="1185"/>
        <v>0</v>
      </c>
      <c r="I3755" s="721">
        <f t="shared" si="1185"/>
        <v>0</v>
      </c>
      <c r="J3755" s="721">
        <f t="shared" si="1185"/>
        <v>14224381.859999999</v>
      </c>
      <c r="K3755" s="721">
        <f t="shared" si="1185"/>
        <v>0</v>
      </c>
      <c r="L3755" s="721">
        <f t="shared" si="1185"/>
        <v>0</v>
      </c>
      <c r="M3755" s="721">
        <f t="shared" si="1185"/>
        <v>14224381.859999999</v>
      </c>
      <c r="N3755" s="721">
        <f t="shared" si="1185"/>
        <v>1377960.99</v>
      </c>
      <c r="O3755" s="721">
        <f t="shared" si="1185"/>
        <v>1388960.99</v>
      </c>
      <c r="P3755" s="721">
        <f t="shared" si="1185"/>
        <v>14213381.859999999</v>
      </c>
      <c r="Q3755" s="756">
        <f t="shared" si="1185"/>
        <v>14213381.859999999</v>
      </c>
      <c r="R3755" s="756"/>
      <c r="S3755" s="756">
        <f t="shared" si="1185"/>
        <v>14593152.359999999</v>
      </c>
      <c r="T3755" s="724"/>
      <c r="U3755" s="726">
        <f t="shared" ref="U3755" si="1186">SUM(U3756)</f>
        <v>15309132</v>
      </c>
      <c r="V3755" s="727"/>
    </row>
    <row r="3756" spans="1:22" ht="15" x14ac:dyDescent="0.2">
      <c r="A3756" s="728" t="s">
        <v>391</v>
      </c>
      <c r="B3756" s="729" t="s">
        <v>1549</v>
      </c>
      <c r="C3756" s="730">
        <f t="shared" ref="C3756:S3756" si="1187">SUM(C3757:C3762)</f>
        <v>13950158.950000001</v>
      </c>
      <c r="D3756" s="730">
        <f t="shared" si="1187"/>
        <v>13954441.119999999</v>
      </c>
      <c r="E3756" s="730">
        <f t="shared" si="1187"/>
        <v>13378202.84</v>
      </c>
      <c r="F3756" s="730">
        <f t="shared" si="1187"/>
        <v>13450704.119999999</v>
      </c>
      <c r="G3756" s="730">
        <f t="shared" si="1187"/>
        <v>14224381.859999999</v>
      </c>
      <c r="H3756" s="730">
        <f t="shared" si="1187"/>
        <v>0</v>
      </c>
      <c r="I3756" s="730">
        <f t="shared" si="1187"/>
        <v>0</v>
      </c>
      <c r="J3756" s="730">
        <f t="shared" si="1187"/>
        <v>14224381.859999999</v>
      </c>
      <c r="K3756" s="730">
        <f t="shared" si="1187"/>
        <v>0</v>
      </c>
      <c r="L3756" s="730">
        <f t="shared" si="1187"/>
        <v>0</v>
      </c>
      <c r="M3756" s="730">
        <f t="shared" si="1187"/>
        <v>14224381.859999999</v>
      </c>
      <c r="N3756" s="730">
        <f t="shared" si="1187"/>
        <v>1377960.99</v>
      </c>
      <c r="O3756" s="730">
        <f t="shared" si="1187"/>
        <v>1388960.99</v>
      </c>
      <c r="P3756" s="730">
        <f t="shared" si="1187"/>
        <v>14213381.859999999</v>
      </c>
      <c r="Q3756" s="748">
        <f t="shared" si="1187"/>
        <v>14213381.859999999</v>
      </c>
      <c r="R3756" s="748">
        <f t="shared" si="1187"/>
        <v>0</v>
      </c>
      <c r="S3756" s="748">
        <f t="shared" si="1187"/>
        <v>14593152.359999999</v>
      </c>
      <c r="T3756" s="731"/>
      <c r="U3756" s="732">
        <f>SUM(U3757:U3762)</f>
        <v>15309132</v>
      </c>
      <c r="V3756" s="733"/>
    </row>
    <row r="3757" spans="1:22" ht="15" x14ac:dyDescent="0.2">
      <c r="A3757" s="734">
        <v>4151</v>
      </c>
      <c r="B3757" s="735" t="s">
        <v>377</v>
      </c>
      <c r="C3757" s="736">
        <v>10680284.890000001</v>
      </c>
      <c r="D3757" s="736">
        <v>13643364.119999999</v>
      </c>
      <c r="E3757" s="749">
        <v>6020098.7999999998</v>
      </c>
      <c r="F3757" s="736">
        <v>7347917.3700000001</v>
      </c>
      <c r="G3757" s="752">
        <v>14224381.859999999</v>
      </c>
      <c r="H3757" s="752"/>
      <c r="I3757" s="752"/>
      <c r="J3757" s="736">
        <f t="shared" ref="J3757:J3760" si="1188">G3757+H3757-I3757</f>
        <v>14224381.859999999</v>
      </c>
      <c r="K3757" s="752"/>
      <c r="L3757" s="752"/>
      <c r="M3757" s="736">
        <f t="shared" ref="M3757:M3760" si="1189">J3757+K3757-L3757</f>
        <v>14224381.859999999</v>
      </c>
      <c r="N3757" s="736"/>
      <c r="O3757" s="736">
        <v>1388960.99</v>
      </c>
      <c r="P3757" s="736">
        <f t="shared" ref="P3757:P3760" si="1190">M3757+N3757-O3757</f>
        <v>12835420.869999999</v>
      </c>
      <c r="Q3757" s="753">
        <v>12835420.869999999</v>
      </c>
      <c r="R3757" s="738"/>
      <c r="S3757" s="753">
        <v>12997202.5</v>
      </c>
      <c r="T3757" s="739">
        <v>1500521</v>
      </c>
      <c r="U3757" s="754">
        <f>12997202.5-56019.5</f>
        <v>12941183</v>
      </c>
      <c r="V3757" s="741">
        <v>1100122</v>
      </c>
    </row>
    <row r="3758" spans="1:22" ht="15" x14ac:dyDescent="0.2">
      <c r="A3758" s="739">
        <v>4151</v>
      </c>
      <c r="B3758" s="743" t="s">
        <v>377</v>
      </c>
      <c r="C3758" s="736"/>
      <c r="D3758" s="736">
        <v>0</v>
      </c>
      <c r="E3758" s="749">
        <v>5887407.4699999997</v>
      </c>
      <c r="F3758" s="736">
        <v>5792431.71</v>
      </c>
      <c r="G3758" s="736"/>
      <c r="H3758" s="736"/>
      <c r="I3758" s="736"/>
      <c r="J3758" s="736">
        <f t="shared" si="1188"/>
        <v>0</v>
      </c>
      <c r="K3758" s="736"/>
      <c r="L3758" s="736"/>
      <c r="M3758" s="736">
        <f t="shared" si="1189"/>
        <v>0</v>
      </c>
      <c r="N3758" s="736"/>
      <c r="O3758" s="736"/>
      <c r="P3758" s="738">
        <f t="shared" si="1190"/>
        <v>0</v>
      </c>
      <c r="Q3758" s="738"/>
      <c r="R3758" s="738"/>
      <c r="S3758" s="738"/>
      <c r="T3758" s="739">
        <v>1500521</v>
      </c>
      <c r="U3758" s="750"/>
      <c r="V3758" s="739">
        <v>1500522</v>
      </c>
    </row>
    <row r="3759" spans="1:22" ht="15" x14ac:dyDescent="0.2">
      <c r="A3759" s="734">
        <v>4152</v>
      </c>
      <c r="B3759" s="735" t="s">
        <v>378</v>
      </c>
      <c r="C3759" s="736">
        <v>466785.4</v>
      </c>
      <c r="D3759" s="736">
        <v>100000</v>
      </c>
      <c r="E3759" s="749">
        <v>469458</v>
      </c>
      <c r="F3759" s="736">
        <v>99278.52</v>
      </c>
      <c r="G3759" s="736"/>
      <c r="H3759" s="736"/>
      <c r="I3759" s="736"/>
      <c r="J3759" s="736">
        <f t="shared" si="1188"/>
        <v>0</v>
      </c>
      <c r="K3759" s="736"/>
      <c r="L3759" s="736"/>
      <c r="M3759" s="736">
        <f t="shared" si="1189"/>
        <v>0</v>
      </c>
      <c r="N3759" s="736">
        <v>475922.92</v>
      </c>
      <c r="O3759" s="736"/>
      <c r="P3759" s="736">
        <f t="shared" si="1190"/>
        <v>475922.92</v>
      </c>
      <c r="Q3759" s="738">
        <v>475922.92</v>
      </c>
      <c r="R3759" s="738"/>
      <c r="S3759" s="738">
        <v>576600</v>
      </c>
      <c r="T3759" s="739">
        <v>1500521</v>
      </c>
      <c r="U3759" s="742">
        <v>576600</v>
      </c>
      <c r="V3759" s="741">
        <v>1100122</v>
      </c>
    </row>
    <row r="3760" spans="1:22" ht="15" x14ac:dyDescent="0.2">
      <c r="A3760" s="734">
        <v>4153</v>
      </c>
      <c r="B3760" s="735" t="s">
        <v>379</v>
      </c>
      <c r="C3760" s="736">
        <v>2803088.66</v>
      </c>
      <c r="D3760" s="736">
        <v>211077</v>
      </c>
      <c r="E3760" s="736">
        <v>1001238.57</v>
      </c>
      <c r="F3760" s="736">
        <v>211076.52</v>
      </c>
      <c r="G3760" s="736"/>
      <c r="H3760" s="736"/>
      <c r="I3760" s="736"/>
      <c r="J3760" s="736">
        <f t="shared" si="1188"/>
        <v>0</v>
      </c>
      <c r="K3760" s="736"/>
      <c r="L3760" s="736"/>
      <c r="M3760" s="736">
        <f t="shared" si="1189"/>
        <v>0</v>
      </c>
      <c r="N3760" s="736">
        <v>902038.07</v>
      </c>
      <c r="O3760" s="736"/>
      <c r="P3760" s="736">
        <f t="shared" si="1190"/>
        <v>902038.07</v>
      </c>
      <c r="Q3760" s="738">
        <v>902038.07</v>
      </c>
      <c r="R3760" s="738"/>
      <c r="S3760" s="738">
        <v>1019349.86</v>
      </c>
      <c r="T3760" s="739">
        <v>1500521</v>
      </c>
      <c r="U3760" s="742">
        <v>1019349</v>
      </c>
      <c r="V3760" s="741">
        <v>1100122</v>
      </c>
    </row>
    <row r="3761" spans="1:22" ht="15" x14ac:dyDescent="0.2">
      <c r="A3761" s="734">
        <v>4152</v>
      </c>
      <c r="B3761" s="735" t="s">
        <v>378</v>
      </c>
      <c r="C3761" s="736"/>
      <c r="D3761" s="736"/>
      <c r="E3761" s="736"/>
      <c r="F3761" s="736"/>
      <c r="G3761" s="736"/>
      <c r="H3761" s="736"/>
      <c r="I3761" s="736"/>
      <c r="J3761" s="736"/>
      <c r="K3761" s="736"/>
      <c r="L3761" s="736"/>
      <c r="M3761" s="736"/>
      <c r="N3761" s="736"/>
      <c r="O3761" s="736"/>
      <c r="P3761" s="736"/>
      <c r="Q3761" s="738"/>
      <c r="R3761" s="738"/>
      <c r="S3761" s="738"/>
      <c r="T3761" s="739">
        <v>1100121</v>
      </c>
      <c r="U3761" s="742">
        <f>262000</f>
        <v>262000</v>
      </c>
      <c r="V3761" s="741">
        <v>1100122</v>
      </c>
    </row>
    <row r="3762" spans="1:22" ht="15" x14ac:dyDescent="0.2">
      <c r="A3762" s="734">
        <v>4153</v>
      </c>
      <c r="B3762" s="735" t="s">
        <v>379</v>
      </c>
      <c r="C3762" s="736"/>
      <c r="D3762" s="736"/>
      <c r="E3762" s="736"/>
      <c r="F3762" s="736"/>
      <c r="G3762" s="736"/>
      <c r="H3762" s="736"/>
      <c r="I3762" s="736"/>
      <c r="J3762" s="736"/>
      <c r="K3762" s="736"/>
      <c r="L3762" s="736"/>
      <c r="M3762" s="736"/>
      <c r="N3762" s="736"/>
      <c r="O3762" s="736"/>
      <c r="P3762" s="736"/>
      <c r="Q3762" s="738"/>
      <c r="R3762" s="738"/>
      <c r="S3762" s="738"/>
      <c r="T3762" s="739">
        <v>1100121</v>
      </c>
      <c r="U3762" s="742">
        <v>510000</v>
      </c>
      <c r="V3762" s="741">
        <v>1100121</v>
      </c>
    </row>
    <row r="3763" spans="1:22" ht="15" x14ac:dyDescent="0.2">
      <c r="A3763" s="724" t="s">
        <v>392</v>
      </c>
      <c r="B3763" s="725" t="s">
        <v>393</v>
      </c>
      <c r="C3763" s="721">
        <f t="shared" ref="C3763:S3763" si="1191">SUM(C3764)</f>
        <v>3540828</v>
      </c>
      <c r="D3763" s="721">
        <f t="shared" si="1191"/>
        <v>3787000</v>
      </c>
      <c r="E3763" s="721">
        <f t="shared" si="1191"/>
        <v>3662664</v>
      </c>
      <c r="F3763" s="721">
        <f t="shared" si="1191"/>
        <v>3409271</v>
      </c>
      <c r="G3763" s="721">
        <f t="shared" si="1191"/>
        <v>3903704</v>
      </c>
      <c r="H3763" s="721">
        <f t="shared" si="1191"/>
        <v>0</v>
      </c>
      <c r="I3763" s="721">
        <f t="shared" si="1191"/>
        <v>0</v>
      </c>
      <c r="J3763" s="721">
        <f t="shared" si="1191"/>
        <v>3903704</v>
      </c>
      <c r="K3763" s="721">
        <f t="shared" si="1191"/>
        <v>0</v>
      </c>
      <c r="L3763" s="721">
        <f t="shared" si="1191"/>
        <v>0</v>
      </c>
      <c r="M3763" s="721">
        <f t="shared" si="1191"/>
        <v>3903704</v>
      </c>
      <c r="N3763" s="721">
        <f t="shared" si="1191"/>
        <v>0</v>
      </c>
      <c r="O3763" s="721">
        <f t="shared" si="1191"/>
        <v>0</v>
      </c>
      <c r="P3763" s="721">
        <f t="shared" si="1191"/>
        <v>3903704</v>
      </c>
      <c r="Q3763" s="756">
        <f t="shared" si="1191"/>
        <v>3903704</v>
      </c>
      <c r="R3763" s="756"/>
      <c r="S3763" s="756">
        <f t="shared" si="1191"/>
        <v>4175352</v>
      </c>
      <c r="T3763" s="724"/>
      <c r="U3763" s="726">
        <f t="shared" ref="U3763" si="1192">SUM(U3764)</f>
        <v>4055948</v>
      </c>
      <c r="V3763" s="727"/>
    </row>
    <row r="3764" spans="1:22" ht="15" x14ac:dyDescent="0.2">
      <c r="A3764" s="728" t="s">
        <v>394</v>
      </c>
      <c r="B3764" s="729" t="s">
        <v>1549</v>
      </c>
      <c r="C3764" s="730">
        <f>SUM(C3765:C3767)</f>
        <v>3540828</v>
      </c>
      <c r="D3764" s="730">
        <f t="shared" ref="D3764:P3764" si="1193">SUM(D3765)</f>
        <v>3787000</v>
      </c>
      <c r="E3764" s="730">
        <f t="shared" si="1193"/>
        <v>3662664</v>
      </c>
      <c r="F3764" s="730">
        <f t="shared" si="1193"/>
        <v>3409271</v>
      </c>
      <c r="G3764" s="730">
        <f t="shared" si="1193"/>
        <v>3903704</v>
      </c>
      <c r="H3764" s="730">
        <f t="shared" si="1193"/>
        <v>0</v>
      </c>
      <c r="I3764" s="730">
        <f t="shared" si="1193"/>
        <v>0</v>
      </c>
      <c r="J3764" s="730">
        <f t="shared" si="1193"/>
        <v>3903704</v>
      </c>
      <c r="K3764" s="730">
        <f t="shared" si="1193"/>
        <v>0</v>
      </c>
      <c r="L3764" s="730">
        <f t="shared" si="1193"/>
        <v>0</v>
      </c>
      <c r="M3764" s="730">
        <f t="shared" si="1193"/>
        <v>3903704</v>
      </c>
      <c r="N3764" s="730">
        <f t="shared" si="1193"/>
        <v>0</v>
      </c>
      <c r="O3764" s="730">
        <f t="shared" si="1193"/>
        <v>0</v>
      </c>
      <c r="P3764" s="730">
        <f t="shared" si="1193"/>
        <v>3903704</v>
      </c>
      <c r="Q3764" s="748">
        <f>SUM(Q3765:Q3767)</f>
        <v>3903704</v>
      </c>
      <c r="R3764" s="748">
        <f t="shared" ref="R3764:S3764" si="1194">SUM(R3765:R3767)</f>
        <v>0</v>
      </c>
      <c r="S3764" s="748">
        <f t="shared" si="1194"/>
        <v>4175352</v>
      </c>
      <c r="T3764" s="731"/>
      <c r="U3764" s="732">
        <f>SUM(U3765:U3767)</f>
        <v>4055948</v>
      </c>
      <c r="V3764" s="733"/>
    </row>
    <row r="3765" spans="1:22" ht="15" x14ac:dyDescent="0.2">
      <c r="A3765" s="734">
        <v>4151</v>
      </c>
      <c r="B3765" s="735" t="s">
        <v>377</v>
      </c>
      <c r="C3765" s="736">
        <v>2587828</v>
      </c>
      <c r="D3765" s="736">
        <v>3787000</v>
      </c>
      <c r="E3765" s="749">
        <v>3662664</v>
      </c>
      <c r="F3765" s="736">
        <v>3409271</v>
      </c>
      <c r="G3765" s="752">
        <v>3903704</v>
      </c>
      <c r="H3765" s="752"/>
      <c r="I3765" s="752"/>
      <c r="J3765" s="736">
        <f t="shared" ref="J3765:J3767" si="1195">G3765+H3765-I3765</f>
        <v>3903704</v>
      </c>
      <c r="K3765" s="752"/>
      <c r="L3765" s="752"/>
      <c r="M3765" s="736">
        <f t="shared" ref="M3765:M3767" si="1196">J3765+K3765-L3765</f>
        <v>3903704</v>
      </c>
      <c r="N3765" s="736"/>
      <c r="O3765" s="736"/>
      <c r="P3765" s="736">
        <f t="shared" ref="P3765:P3767" si="1197">M3765+N3765-O3765</f>
        <v>3903704</v>
      </c>
      <c r="Q3765" s="753">
        <v>3903704</v>
      </c>
      <c r="R3765" s="738"/>
      <c r="S3765" s="753">
        <v>3392643</v>
      </c>
      <c r="T3765" s="739">
        <v>1100121</v>
      </c>
      <c r="U3765" s="740">
        <v>4055948</v>
      </c>
      <c r="V3765" s="741">
        <v>1100122</v>
      </c>
    </row>
    <row r="3766" spans="1:22" ht="15" x14ac:dyDescent="0.2">
      <c r="A3766" s="739">
        <v>4152</v>
      </c>
      <c r="B3766" s="822" t="s">
        <v>378</v>
      </c>
      <c r="C3766" s="736">
        <v>167000</v>
      </c>
      <c r="D3766" s="736"/>
      <c r="E3766" s="736"/>
      <c r="F3766" s="736"/>
      <c r="G3766" s="736"/>
      <c r="H3766" s="736"/>
      <c r="I3766" s="736"/>
      <c r="J3766" s="736">
        <f t="shared" si="1195"/>
        <v>0</v>
      </c>
      <c r="K3766" s="736"/>
      <c r="L3766" s="736"/>
      <c r="M3766" s="736">
        <f t="shared" si="1196"/>
        <v>0</v>
      </c>
      <c r="N3766" s="736"/>
      <c r="O3766" s="736"/>
      <c r="P3766" s="738">
        <f t="shared" si="1197"/>
        <v>0</v>
      </c>
      <c r="Q3766" s="738"/>
      <c r="R3766" s="738"/>
      <c r="S3766" s="738">
        <v>170929</v>
      </c>
      <c r="T3766" s="739"/>
      <c r="U3766" s="745"/>
      <c r="V3766" s="739"/>
    </row>
    <row r="3767" spans="1:22" ht="15" x14ac:dyDescent="0.2">
      <c r="A3767" s="739">
        <v>4153</v>
      </c>
      <c r="B3767" s="822" t="s">
        <v>379</v>
      </c>
      <c r="C3767" s="736">
        <v>786000</v>
      </c>
      <c r="D3767" s="736"/>
      <c r="E3767" s="736"/>
      <c r="F3767" s="736"/>
      <c r="G3767" s="736"/>
      <c r="H3767" s="736"/>
      <c r="I3767" s="736"/>
      <c r="J3767" s="736">
        <f t="shared" si="1195"/>
        <v>0</v>
      </c>
      <c r="K3767" s="736"/>
      <c r="L3767" s="736"/>
      <c r="M3767" s="736">
        <f t="shared" si="1196"/>
        <v>0</v>
      </c>
      <c r="N3767" s="736"/>
      <c r="O3767" s="736"/>
      <c r="P3767" s="738">
        <f t="shared" si="1197"/>
        <v>0</v>
      </c>
      <c r="Q3767" s="738"/>
      <c r="R3767" s="738"/>
      <c r="S3767" s="738">
        <v>611780</v>
      </c>
      <c r="T3767" s="739"/>
      <c r="U3767" s="745"/>
      <c r="V3767" s="739"/>
    </row>
    <row r="3768" spans="1:22" ht="15" x14ac:dyDescent="0.2">
      <c r="A3768" s="724" t="s">
        <v>395</v>
      </c>
      <c r="B3768" s="725" t="s">
        <v>396</v>
      </c>
      <c r="C3768" s="721">
        <f t="shared" ref="C3768:S3768" si="1198">SUM(C3769)</f>
        <v>1659340</v>
      </c>
      <c r="D3768" s="721">
        <f t="shared" si="1198"/>
        <v>1437967</v>
      </c>
      <c r="E3768" s="721">
        <f t="shared" si="1198"/>
        <v>2055005</v>
      </c>
      <c r="F3768" s="721">
        <f t="shared" si="1198"/>
        <v>2040000</v>
      </c>
      <c r="G3768" s="721">
        <f t="shared" si="1198"/>
        <v>1500000</v>
      </c>
      <c r="H3768" s="721">
        <f t="shared" si="1198"/>
        <v>0</v>
      </c>
      <c r="I3768" s="721">
        <f t="shared" si="1198"/>
        <v>0</v>
      </c>
      <c r="J3768" s="721">
        <f t="shared" si="1198"/>
        <v>1500000</v>
      </c>
      <c r="K3768" s="721">
        <f t="shared" si="1198"/>
        <v>1153000</v>
      </c>
      <c r="L3768" s="721">
        <f t="shared" si="1198"/>
        <v>0</v>
      </c>
      <c r="M3768" s="721">
        <f t="shared" si="1198"/>
        <v>2653000</v>
      </c>
      <c r="N3768" s="721">
        <f t="shared" si="1198"/>
        <v>111000</v>
      </c>
      <c r="O3768" s="721">
        <f t="shared" si="1198"/>
        <v>0</v>
      </c>
      <c r="P3768" s="721">
        <f t="shared" si="1198"/>
        <v>2764000</v>
      </c>
      <c r="Q3768" s="756">
        <f t="shared" si="1198"/>
        <v>2764000</v>
      </c>
      <c r="R3768" s="756"/>
      <c r="S3768" s="756">
        <f t="shared" si="1198"/>
        <v>1552000</v>
      </c>
      <c r="T3768" s="724"/>
      <c r="U3768" s="726">
        <f t="shared" ref="U3768" si="1199">SUM(U3769)</f>
        <v>1500000</v>
      </c>
      <c r="V3768" s="727"/>
    </row>
    <row r="3769" spans="1:22" ht="15" x14ac:dyDescent="0.2">
      <c r="A3769" s="728" t="s">
        <v>397</v>
      </c>
      <c r="B3769" s="729" t="s">
        <v>1543</v>
      </c>
      <c r="C3769" s="730">
        <f t="shared" ref="C3769:S3769" si="1200">SUM(C3770:C3774)</f>
        <v>1659340</v>
      </c>
      <c r="D3769" s="730">
        <f t="shared" si="1200"/>
        <v>1437967</v>
      </c>
      <c r="E3769" s="730">
        <f t="shared" si="1200"/>
        <v>2055005</v>
      </c>
      <c r="F3769" s="730">
        <f t="shared" si="1200"/>
        <v>2040000</v>
      </c>
      <c r="G3769" s="730">
        <f t="shared" si="1200"/>
        <v>1500000</v>
      </c>
      <c r="H3769" s="730">
        <f t="shared" si="1200"/>
        <v>0</v>
      </c>
      <c r="I3769" s="730">
        <f t="shared" si="1200"/>
        <v>0</v>
      </c>
      <c r="J3769" s="730">
        <f t="shared" si="1200"/>
        <v>1500000</v>
      </c>
      <c r="K3769" s="730">
        <f t="shared" si="1200"/>
        <v>1153000</v>
      </c>
      <c r="L3769" s="730">
        <f t="shared" si="1200"/>
        <v>0</v>
      </c>
      <c r="M3769" s="730">
        <f t="shared" si="1200"/>
        <v>2653000</v>
      </c>
      <c r="N3769" s="730">
        <f t="shared" si="1200"/>
        <v>111000</v>
      </c>
      <c r="O3769" s="730">
        <f t="shared" si="1200"/>
        <v>0</v>
      </c>
      <c r="P3769" s="730">
        <f t="shared" si="1200"/>
        <v>2764000</v>
      </c>
      <c r="Q3769" s="748">
        <f t="shared" si="1200"/>
        <v>2764000</v>
      </c>
      <c r="R3769" s="748">
        <f t="shared" si="1200"/>
        <v>0</v>
      </c>
      <c r="S3769" s="748">
        <f t="shared" si="1200"/>
        <v>1552000</v>
      </c>
      <c r="T3769" s="731"/>
      <c r="U3769" s="732">
        <f t="shared" ref="U3769" si="1201">SUM(U3770:U3774)</f>
        <v>1500000</v>
      </c>
      <c r="V3769" s="733"/>
    </row>
    <row r="3770" spans="1:22" ht="15" x14ac:dyDescent="0.25">
      <c r="A3770" s="734">
        <v>4151</v>
      </c>
      <c r="B3770" s="735" t="s">
        <v>377</v>
      </c>
      <c r="C3770" s="736">
        <v>1389340</v>
      </c>
      <c r="D3770" s="736">
        <v>1437967</v>
      </c>
      <c r="E3770" s="749">
        <v>2055005</v>
      </c>
      <c r="F3770" s="736">
        <v>2040000</v>
      </c>
      <c r="G3770" s="752">
        <v>1500000</v>
      </c>
      <c r="H3770" s="896"/>
      <c r="I3770" s="752"/>
      <c r="J3770" s="736">
        <f t="shared" ref="J3770:J3771" si="1202">G3770+H3770-I3770</f>
        <v>1500000</v>
      </c>
      <c r="K3770" s="896">
        <v>0</v>
      </c>
      <c r="L3770" s="752"/>
      <c r="M3770" s="736">
        <f t="shared" ref="M3770:M3771" si="1203">J3770+K3770-L3770</f>
        <v>1500000</v>
      </c>
      <c r="N3770" s="736"/>
      <c r="O3770" s="736"/>
      <c r="P3770" s="736">
        <f t="shared" ref="P3770:P3774" si="1204">M3770+N3770-O3770</f>
        <v>1500000</v>
      </c>
      <c r="Q3770" s="753">
        <v>1500000</v>
      </c>
      <c r="R3770" s="738"/>
      <c r="S3770" s="911">
        <v>1552000</v>
      </c>
      <c r="T3770" s="739">
        <v>1100121</v>
      </c>
      <c r="U3770" s="740">
        <v>1500000</v>
      </c>
      <c r="V3770" s="741">
        <v>1100122</v>
      </c>
    </row>
    <row r="3771" spans="1:22" ht="15" x14ac:dyDescent="0.2">
      <c r="A3771" s="739">
        <v>4153</v>
      </c>
      <c r="B3771" s="822" t="s">
        <v>1895</v>
      </c>
      <c r="C3771" s="736">
        <v>270000</v>
      </c>
      <c r="D3771" s="736"/>
      <c r="E3771" s="736"/>
      <c r="F3771" s="736"/>
      <c r="G3771" s="736"/>
      <c r="H3771" s="736"/>
      <c r="I3771" s="736"/>
      <c r="J3771" s="736">
        <f t="shared" si="1202"/>
        <v>0</v>
      </c>
      <c r="K3771" s="736">
        <v>541000</v>
      </c>
      <c r="L3771" s="736"/>
      <c r="M3771" s="736">
        <f t="shared" si="1203"/>
        <v>541000</v>
      </c>
      <c r="N3771" s="736">
        <v>0</v>
      </c>
      <c r="O3771" s="736"/>
      <c r="P3771" s="736">
        <f t="shared" si="1204"/>
        <v>541000</v>
      </c>
      <c r="Q3771" s="738">
        <v>541000</v>
      </c>
      <c r="R3771" s="738"/>
      <c r="S3771" s="738"/>
      <c r="T3771" s="739">
        <v>1100120</v>
      </c>
      <c r="U3771" s="745"/>
      <c r="V3771" s="739">
        <v>1100120</v>
      </c>
    </row>
    <row r="3772" spans="1:22" ht="15" x14ac:dyDescent="0.2">
      <c r="A3772" s="739">
        <v>4153</v>
      </c>
      <c r="B3772" s="822" t="s">
        <v>1895</v>
      </c>
      <c r="C3772" s="736"/>
      <c r="D3772" s="736"/>
      <c r="E3772" s="736"/>
      <c r="F3772" s="736"/>
      <c r="G3772" s="736"/>
      <c r="H3772" s="736"/>
      <c r="I3772" s="736"/>
      <c r="J3772" s="736"/>
      <c r="K3772" s="736"/>
      <c r="L3772" s="736"/>
      <c r="M3772" s="736"/>
      <c r="N3772" s="736">
        <v>111000</v>
      </c>
      <c r="O3772" s="736"/>
      <c r="P3772" s="736">
        <f t="shared" si="1204"/>
        <v>111000</v>
      </c>
      <c r="Q3772" s="738">
        <v>111000</v>
      </c>
      <c r="R3772" s="738"/>
      <c r="S3772" s="738"/>
      <c r="T3772" s="739">
        <v>1100121</v>
      </c>
      <c r="U3772" s="745" t="s">
        <v>695</v>
      </c>
      <c r="V3772" s="739">
        <v>1100122</v>
      </c>
    </row>
    <row r="3773" spans="1:22" ht="15" x14ac:dyDescent="0.2">
      <c r="A3773" s="739">
        <v>4155</v>
      </c>
      <c r="B3773" s="743" t="s">
        <v>344</v>
      </c>
      <c r="C3773" s="736"/>
      <c r="D3773" s="736"/>
      <c r="E3773" s="736"/>
      <c r="F3773" s="736"/>
      <c r="G3773" s="736"/>
      <c r="H3773" s="736"/>
      <c r="I3773" s="736"/>
      <c r="J3773" s="736">
        <f t="shared" ref="J3773:J3774" si="1205">G3773+H3773-I3773</f>
        <v>0</v>
      </c>
      <c r="K3773" s="736">
        <v>234000</v>
      </c>
      <c r="L3773" s="736"/>
      <c r="M3773" s="736">
        <f t="shared" ref="M3773:M3774" si="1206">J3773+K3773-L3773</f>
        <v>234000</v>
      </c>
      <c r="N3773" s="736"/>
      <c r="O3773" s="736"/>
      <c r="P3773" s="736">
        <f t="shared" si="1204"/>
        <v>234000</v>
      </c>
      <c r="Q3773" s="738">
        <v>234000</v>
      </c>
      <c r="R3773" s="738"/>
      <c r="S3773" s="738"/>
      <c r="T3773" s="739">
        <v>1100121</v>
      </c>
      <c r="U3773" s="745"/>
      <c r="V3773" s="739">
        <v>1100122</v>
      </c>
    </row>
    <row r="3774" spans="1:22" ht="15" x14ac:dyDescent="0.2">
      <c r="A3774" s="739">
        <v>4155</v>
      </c>
      <c r="B3774" s="743" t="s">
        <v>344</v>
      </c>
      <c r="C3774" s="736"/>
      <c r="D3774" s="736"/>
      <c r="E3774" s="736"/>
      <c r="F3774" s="736"/>
      <c r="G3774" s="736"/>
      <c r="H3774" s="736"/>
      <c r="I3774" s="736"/>
      <c r="J3774" s="736">
        <f t="shared" si="1205"/>
        <v>0</v>
      </c>
      <c r="K3774" s="736">
        <v>378000</v>
      </c>
      <c r="L3774" s="736"/>
      <c r="M3774" s="736">
        <f t="shared" si="1206"/>
        <v>378000</v>
      </c>
      <c r="N3774" s="736"/>
      <c r="O3774" s="736"/>
      <c r="P3774" s="736">
        <f t="shared" si="1204"/>
        <v>378000</v>
      </c>
      <c r="Q3774" s="738">
        <v>378000</v>
      </c>
      <c r="R3774" s="738"/>
      <c r="S3774" s="738"/>
      <c r="T3774" s="739">
        <v>1100120</v>
      </c>
      <c r="U3774" s="745"/>
      <c r="V3774" s="739">
        <v>1100120</v>
      </c>
    </row>
    <row r="3775" spans="1:22" ht="15" x14ac:dyDescent="0.2">
      <c r="A3775" s="724" t="s">
        <v>398</v>
      </c>
      <c r="B3775" s="725" t="s">
        <v>399</v>
      </c>
      <c r="C3775" s="721">
        <f t="shared" ref="C3775:S3775" si="1207">SUM(C3776+C3784)</f>
        <v>5385066</v>
      </c>
      <c r="D3775" s="721">
        <f t="shared" si="1207"/>
        <v>5330711</v>
      </c>
      <c r="E3775" s="721">
        <f t="shared" si="1207"/>
        <v>5197037</v>
      </c>
      <c r="F3775" s="721">
        <f t="shared" si="1207"/>
        <v>4662737</v>
      </c>
      <c r="G3775" s="721">
        <f t="shared" si="1207"/>
        <v>4456493.75</v>
      </c>
      <c r="H3775" s="721">
        <f t="shared" si="1207"/>
        <v>0</v>
      </c>
      <c r="I3775" s="721">
        <f t="shared" si="1207"/>
        <v>0</v>
      </c>
      <c r="J3775" s="721">
        <f t="shared" si="1207"/>
        <v>4456493.75</v>
      </c>
      <c r="K3775" s="721">
        <f t="shared" si="1207"/>
        <v>0</v>
      </c>
      <c r="L3775" s="721">
        <f t="shared" si="1207"/>
        <v>0</v>
      </c>
      <c r="M3775" s="721">
        <f t="shared" si="1207"/>
        <v>4456493.75</v>
      </c>
      <c r="N3775" s="721">
        <f t="shared" si="1207"/>
        <v>0</v>
      </c>
      <c r="O3775" s="721">
        <f t="shared" si="1207"/>
        <v>0</v>
      </c>
      <c r="P3775" s="721">
        <f t="shared" si="1207"/>
        <v>4456493.75</v>
      </c>
      <c r="Q3775" s="756">
        <f t="shared" si="1207"/>
        <v>4456493.75</v>
      </c>
      <c r="R3775" s="756"/>
      <c r="S3775" s="756">
        <f t="shared" si="1207"/>
        <v>5598471.29</v>
      </c>
      <c r="T3775" s="724"/>
      <c r="U3775" s="726">
        <f t="shared" ref="U3775" si="1208">SUM(U3776+U3784)</f>
        <v>4630297</v>
      </c>
      <c r="V3775" s="727"/>
    </row>
    <row r="3776" spans="1:22" ht="15" x14ac:dyDescent="0.2">
      <c r="A3776" s="728" t="s">
        <v>400</v>
      </c>
      <c r="B3776" s="729" t="s">
        <v>399</v>
      </c>
      <c r="C3776" s="730">
        <f>SUM(C3777:C3783)</f>
        <v>5385066</v>
      </c>
      <c r="D3776" s="730">
        <f t="shared" ref="D3776:P3776" si="1209">SUM(D3778)</f>
        <v>5330711</v>
      </c>
      <c r="E3776" s="730">
        <f t="shared" si="1209"/>
        <v>4197037</v>
      </c>
      <c r="F3776" s="730">
        <f t="shared" si="1209"/>
        <v>3662737</v>
      </c>
      <c r="G3776" s="730">
        <f t="shared" si="1209"/>
        <v>4456493.75</v>
      </c>
      <c r="H3776" s="730">
        <f t="shared" si="1209"/>
        <v>0</v>
      </c>
      <c r="I3776" s="730">
        <f t="shared" si="1209"/>
        <v>0</v>
      </c>
      <c r="J3776" s="730">
        <f t="shared" si="1209"/>
        <v>4456493.75</v>
      </c>
      <c r="K3776" s="730">
        <f t="shared" si="1209"/>
        <v>0</v>
      </c>
      <c r="L3776" s="730">
        <f t="shared" si="1209"/>
        <v>0</v>
      </c>
      <c r="M3776" s="730">
        <f t="shared" si="1209"/>
        <v>4456493.75</v>
      </c>
      <c r="N3776" s="730">
        <f t="shared" si="1209"/>
        <v>0</v>
      </c>
      <c r="O3776" s="730">
        <f t="shared" si="1209"/>
        <v>0</v>
      </c>
      <c r="P3776" s="730">
        <f t="shared" si="1209"/>
        <v>4456493.75</v>
      </c>
      <c r="Q3776" s="748">
        <f>SUM(Q3777:Q3783)</f>
        <v>4456493.75</v>
      </c>
      <c r="R3776" s="748">
        <f t="shared" ref="R3776:S3776" si="1210">SUM(R3777:R3783)</f>
        <v>0</v>
      </c>
      <c r="S3776" s="748">
        <f t="shared" si="1210"/>
        <v>5598471.29</v>
      </c>
      <c r="T3776" s="731"/>
      <c r="U3776" s="732">
        <f>SUM(U3777:U3783)</f>
        <v>3630297</v>
      </c>
      <c r="V3776" s="733"/>
    </row>
    <row r="3777" spans="1:22" ht="15" x14ac:dyDescent="0.2">
      <c r="A3777" s="739">
        <v>3821</v>
      </c>
      <c r="B3777" s="822" t="s">
        <v>31</v>
      </c>
      <c r="C3777" s="736">
        <v>245120</v>
      </c>
      <c r="D3777" s="823"/>
      <c r="E3777" s="823"/>
      <c r="F3777" s="823"/>
      <c r="G3777" s="823"/>
      <c r="H3777" s="823"/>
      <c r="I3777" s="823"/>
      <c r="J3777" s="736">
        <f t="shared" ref="J3777:J3778" si="1211">G3777+H3777-I3777</f>
        <v>0</v>
      </c>
      <c r="K3777" s="823"/>
      <c r="L3777" s="823"/>
      <c r="M3777" s="736">
        <f t="shared" ref="M3777:M3778" si="1212">J3777+K3777-L3777</f>
        <v>0</v>
      </c>
      <c r="N3777" s="736"/>
      <c r="O3777" s="736"/>
      <c r="P3777" s="738">
        <f t="shared" ref="P3777:P3778" si="1213">M3777+N3777-O3777</f>
        <v>0</v>
      </c>
      <c r="Q3777" s="887"/>
      <c r="R3777" s="738"/>
      <c r="S3777" s="887"/>
      <c r="T3777" s="778"/>
      <c r="U3777" s="745"/>
      <c r="V3777" s="778"/>
    </row>
    <row r="3778" spans="1:22" ht="15" x14ac:dyDescent="0.2">
      <c r="A3778" s="734">
        <v>4151</v>
      </c>
      <c r="B3778" s="755" t="s">
        <v>377</v>
      </c>
      <c r="C3778" s="736">
        <v>3410413.39</v>
      </c>
      <c r="D3778" s="736">
        <v>5330711</v>
      </c>
      <c r="E3778" s="749">
        <v>4197037</v>
      </c>
      <c r="F3778" s="736">
        <v>3662737</v>
      </c>
      <c r="G3778" s="752">
        <v>4456493.75</v>
      </c>
      <c r="H3778" s="752"/>
      <c r="I3778" s="752"/>
      <c r="J3778" s="736">
        <f t="shared" si="1211"/>
        <v>4456493.75</v>
      </c>
      <c r="K3778" s="752"/>
      <c r="L3778" s="752"/>
      <c r="M3778" s="736">
        <f t="shared" si="1212"/>
        <v>4456493.75</v>
      </c>
      <c r="N3778" s="736"/>
      <c r="O3778" s="736"/>
      <c r="P3778" s="736">
        <f t="shared" si="1213"/>
        <v>4456493.75</v>
      </c>
      <c r="Q3778" s="753">
        <v>4456493.75</v>
      </c>
      <c r="R3778" s="738"/>
      <c r="S3778" s="753">
        <v>4198471.29</v>
      </c>
      <c r="T3778" s="739">
        <v>1100121</v>
      </c>
      <c r="U3778" s="754">
        <f>3198471+31826</f>
        <v>3230297</v>
      </c>
      <c r="V3778" s="741">
        <v>1100122</v>
      </c>
    </row>
    <row r="3779" spans="1:22" ht="15" x14ac:dyDescent="0.2">
      <c r="A3779" s="734">
        <v>4151</v>
      </c>
      <c r="B3779" s="755" t="s">
        <v>377</v>
      </c>
      <c r="C3779" s="736"/>
      <c r="D3779" s="736"/>
      <c r="E3779" s="736"/>
      <c r="F3779" s="736"/>
      <c r="G3779" s="736"/>
      <c r="H3779" s="736"/>
      <c r="I3779" s="736"/>
      <c r="J3779" s="736"/>
      <c r="K3779" s="736"/>
      <c r="L3779" s="736"/>
      <c r="M3779" s="736"/>
      <c r="N3779" s="736"/>
      <c r="O3779" s="736"/>
      <c r="P3779" s="738"/>
      <c r="Q3779" s="738"/>
      <c r="R3779" s="738"/>
      <c r="S3779" s="738">
        <v>400000</v>
      </c>
      <c r="T3779" s="739"/>
      <c r="U3779" s="742">
        <v>400000</v>
      </c>
      <c r="V3779" s="741">
        <v>1100122</v>
      </c>
    </row>
    <row r="3780" spans="1:22" ht="15" x14ac:dyDescent="0.25">
      <c r="A3780" s="739">
        <v>4151</v>
      </c>
      <c r="B3780" s="822" t="s">
        <v>377</v>
      </c>
      <c r="C3780" s="736"/>
      <c r="D3780" s="736"/>
      <c r="E3780" s="736"/>
      <c r="F3780" s="736"/>
      <c r="G3780" s="736"/>
      <c r="H3780" s="736"/>
      <c r="I3780" s="736"/>
      <c r="J3780" s="736"/>
      <c r="K3780" s="736"/>
      <c r="L3780" s="736"/>
      <c r="M3780" s="736"/>
      <c r="N3780" s="736"/>
      <c r="O3780" s="736"/>
      <c r="P3780" s="738"/>
      <c r="Q3780" s="738"/>
      <c r="R3780" s="738"/>
      <c r="S3780" s="974">
        <v>0</v>
      </c>
      <c r="T3780" s="739"/>
      <c r="U3780" s="750">
        <v>0</v>
      </c>
      <c r="V3780" s="739"/>
    </row>
    <row r="3781" spans="1:22" ht="15" x14ac:dyDescent="0.25">
      <c r="A3781" s="739">
        <v>4152</v>
      </c>
      <c r="B3781" s="822" t="s">
        <v>378</v>
      </c>
      <c r="C3781" s="736">
        <v>17250</v>
      </c>
      <c r="D3781" s="736"/>
      <c r="E3781" s="736"/>
      <c r="F3781" s="736"/>
      <c r="G3781" s="736"/>
      <c r="H3781" s="736"/>
      <c r="I3781" s="736"/>
      <c r="J3781" s="736">
        <f t="shared" ref="J3781:J3783" si="1214">G3781+H3781-I3781</f>
        <v>0</v>
      </c>
      <c r="K3781" s="736"/>
      <c r="L3781" s="736"/>
      <c r="M3781" s="736">
        <f t="shared" ref="M3781:M3783" si="1215">J3781+K3781-L3781</f>
        <v>0</v>
      </c>
      <c r="N3781" s="736"/>
      <c r="O3781" s="736"/>
      <c r="P3781" s="738">
        <f t="shared" ref="P3781:P3783" si="1216">M3781+N3781-O3781</f>
        <v>0</v>
      </c>
      <c r="Q3781" s="738"/>
      <c r="R3781" s="738"/>
      <c r="S3781" s="974">
        <v>1000000</v>
      </c>
      <c r="T3781" s="739"/>
      <c r="U3781" s="745"/>
      <c r="V3781" s="739"/>
    </row>
    <row r="3782" spans="1:22" ht="15" x14ac:dyDescent="0.2">
      <c r="A3782" s="739">
        <v>4153</v>
      </c>
      <c r="B3782" s="822" t="s">
        <v>379</v>
      </c>
      <c r="C3782" s="736">
        <v>1312282.6100000001</v>
      </c>
      <c r="D3782" s="736"/>
      <c r="E3782" s="736"/>
      <c r="F3782" s="736"/>
      <c r="G3782" s="736"/>
      <c r="H3782" s="736"/>
      <c r="I3782" s="736"/>
      <c r="J3782" s="736">
        <f t="shared" si="1214"/>
        <v>0</v>
      </c>
      <c r="K3782" s="736"/>
      <c r="L3782" s="736"/>
      <c r="M3782" s="736">
        <f t="shared" si="1215"/>
        <v>0</v>
      </c>
      <c r="N3782" s="736"/>
      <c r="O3782" s="736"/>
      <c r="P3782" s="738">
        <f t="shared" si="1216"/>
        <v>0</v>
      </c>
      <c r="Q3782" s="738"/>
      <c r="R3782" s="738"/>
      <c r="S3782" s="738"/>
      <c r="T3782" s="975"/>
      <c r="U3782" s="745"/>
      <c r="V3782" s="975"/>
    </row>
    <row r="3783" spans="1:22" ht="15" x14ac:dyDescent="0.2">
      <c r="A3783" s="739">
        <v>4154</v>
      </c>
      <c r="B3783" s="822" t="s">
        <v>126</v>
      </c>
      <c r="C3783" s="736">
        <v>400000</v>
      </c>
      <c r="D3783" s="736"/>
      <c r="E3783" s="736"/>
      <c r="F3783" s="736"/>
      <c r="G3783" s="736"/>
      <c r="H3783" s="736"/>
      <c r="I3783" s="736"/>
      <c r="J3783" s="736">
        <f t="shared" si="1214"/>
        <v>0</v>
      </c>
      <c r="K3783" s="736"/>
      <c r="L3783" s="736"/>
      <c r="M3783" s="736">
        <f t="shared" si="1215"/>
        <v>0</v>
      </c>
      <c r="N3783" s="736"/>
      <c r="O3783" s="736"/>
      <c r="P3783" s="738">
        <f t="shared" si="1216"/>
        <v>0</v>
      </c>
      <c r="Q3783" s="738"/>
      <c r="R3783" s="738"/>
      <c r="S3783" s="738"/>
      <c r="T3783" s="739"/>
      <c r="U3783" s="745"/>
      <c r="V3783" s="739"/>
    </row>
    <row r="3784" spans="1:22" ht="15" x14ac:dyDescent="0.2">
      <c r="A3784" s="728" t="s">
        <v>401</v>
      </c>
      <c r="B3784" s="729" t="s">
        <v>1542</v>
      </c>
      <c r="C3784" s="730">
        <f t="shared" ref="C3784:S3784" si="1217">SUM(C3785)</f>
        <v>0</v>
      </c>
      <c r="D3784" s="730">
        <f t="shared" si="1217"/>
        <v>0</v>
      </c>
      <c r="E3784" s="730">
        <f t="shared" si="1217"/>
        <v>1000000</v>
      </c>
      <c r="F3784" s="730">
        <f t="shared" si="1217"/>
        <v>1000000</v>
      </c>
      <c r="G3784" s="730">
        <f t="shared" si="1217"/>
        <v>0</v>
      </c>
      <c r="H3784" s="730">
        <f t="shared" si="1217"/>
        <v>0</v>
      </c>
      <c r="I3784" s="730">
        <f t="shared" si="1217"/>
        <v>0</v>
      </c>
      <c r="J3784" s="730">
        <f t="shared" si="1217"/>
        <v>0</v>
      </c>
      <c r="K3784" s="730">
        <f t="shared" si="1217"/>
        <v>0</v>
      </c>
      <c r="L3784" s="730">
        <f t="shared" si="1217"/>
        <v>0</v>
      </c>
      <c r="M3784" s="730">
        <f t="shared" si="1217"/>
        <v>0</v>
      </c>
      <c r="N3784" s="730">
        <f t="shared" si="1217"/>
        <v>0</v>
      </c>
      <c r="O3784" s="730">
        <f t="shared" si="1217"/>
        <v>0</v>
      </c>
      <c r="P3784" s="730">
        <f t="shared" si="1217"/>
        <v>0</v>
      </c>
      <c r="Q3784" s="730">
        <f t="shared" si="1217"/>
        <v>0</v>
      </c>
      <c r="R3784" s="730">
        <f t="shared" si="1217"/>
        <v>0</v>
      </c>
      <c r="S3784" s="730">
        <f t="shared" si="1217"/>
        <v>0</v>
      </c>
      <c r="T3784" s="731"/>
      <c r="U3784" s="732">
        <f t="shared" ref="U3784" si="1218">SUM(U3785)</f>
        <v>1000000</v>
      </c>
      <c r="V3784" s="733"/>
    </row>
    <row r="3785" spans="1:22" ht="15" x14ac:dyDescent="0.2">
      <c r="A3785" s="734">
        <v>4153</v>
      </c>
      <c r="B3785" s="735" t="s">
        <v>379</v>
      </c>
      <c r="C3785" s="736"/>
      <c r="D3785" s="736">
        <v>0</v>
      </c>
      <c r="E3785" s="749">
        <v>1000000</v>
      </c>
      <c r="F3785" s="736">
        <v>1000000</v>
      </c>
      <c r="G3785" s="736"/>
      <c r="H3785" s="736"/>
      <c r="I3785" s="736"/>
      <c r="J3785" s="736">
        <f>G3785+H3785-I3785</f>
        <v>0</v>
      </c>
      <c r="K3785" s="736"/>
      <c r="L3785" s="736"/>
      <c r="M3785" s="736">
        <f>J3785+K3785-L3785</f>
        <v>0</v>
      </c>
      <c r="N3785" s="736"/>
      <c r="O3785" s="736"/>
      <c r="P3785" s="738">
        <f>M3785+N3785-O3785</f>
        <v>0</v>
      </c>
      <c r="Q3785" s="738"/>
      <c r="R3785" s="738"/>
      <c r="S3785" s="738">
        <v>0</v>
      </c>
      <c r="T3785" s="739">
        <v>1100121</v>
      </c>
      <c r="U3785" s="742">
        <v>1000000</v>
      </c>
      <c r="V3785" s="741">
        <v>1100122</v>
      </c>
    </row>
    <row r="3786" spans="1:22" ht="15" x14ac:dyDescent="0.2">
      <c r="A3786" s="724" t="s">
        <v>402</v>
      </c>
      <c r="B3786" s="725" t="s">
        <v>403</v>
      </c>
      <c r="C3786" s="721">
        <f t="shared" ref="C3786:S3786" si="1219">SUM(C3787)</f>
        <v>2746557.2199999997</v>
      </c>
      <c r="D3786" s="721">
        <f t="shared" si="1219"/>
        <v>2742720</v>
      </c>
      <c r="E3786" s="721">
        <f t="shared" si="1219"/>
        <v>2674049</v>
      </c>
      <c r="F3786" s="721">
        <f t="shared" si="1219"/>
        <v>2744048.33</v>
      </c>
      <c r="G3786" s="721">
        <f t="shared" si="1219"/>
        <v>2838715.1999999997</v>
      </c>
      <c r="H3786" s="721">
        <f t="shared" si="1219"/>
        <v>0</v>
      </c>
      <c r="I3786" s="721">
        <f t="shared" si="1219"/>
        <v>0</v>
      </c>
      <c r="J3786" s="721">
        <f t="shared" si="1219"/>
        <v>2838715.1999999997</v>
      </c>
      <c r="K3786" s="721">
        <f t="shared" si="1219"/>
        <v>0</v>
      </c>
      <c r="L3786" s="721">
        <f t="shared" si="1219"/>
        <v>0</v>
      </c>
      <c r="M3786" s="721">
        <f t="shared" si="1219"/>
        <v>2838715.1999999997</v>
      </c>
      <c r="N3786" s="721">
        <f t="shared" si="1219"/>
        <v>0</v>
      </c>
      <c r="O3786" s="721">
        <f t="shared" si="1219"/>
        <v>0</v>
      </c>
      <c r="P3786" s="721">
        <f t="shared" si="1219"/>
        <v>2838715.1999999997</v>
      </c>
      <c r="Q3786" s="756">
        <f t="shared" si="1219"/>
        <v>2838715.1999999997</v>
      </c>
      <c r="R3786" s="756"/>
      <c r="S3786" s="756">
        <f t="shared" si="1219"/>
        <v>4412869.13</v>
      </c>
      <c r="T3786" s="724"/>
      <c r="U3786" s="726">
        <f t="shared" ref="U3786" si="1220">SUM(U3787)</f>
        <v>2949425</v>
      </c>
      <c r="V3786" s="727"/>
    </row>
    <row r="3787" spans="1:22" ht="15" x14ac:dyDescent="0.2">
      <c r="A3787" s="728" t="s">
        <v>404</v>
      </c>
      <c r="B3787" s="729" t="s">
        <v>403</v>
      </c>
      <c r="C3787" s="730">
        <f t="shared" ref="C3787:P3787" si="1221">SUM(C3788:C3791)</f>
        <v>2746557.2199999997</v>
      </c>
      <c r="D3787" s="730">
        <f t="shared" si="1221"/>
        <v>2742720</v>
      </c>
      <c r="E3787" s="730">
        <f t="shared" si="1221"/>
        <v>2674049</v>
      </c>
      <c r="F3787" s="730">
        <f t="shared" si="1221"/>
        <v>2744048.33</v>
      </c>
      <c r="G3787" s="730">
        <f t="shared" si="1221"/>
        <v>2838715.1999999997</v>
      </c>
      <c r="H3787" s="730">
        <f t="shared" si="1221"/>
        <v>0</v>
      </c>
      <c r="I3787" s="730">
        <f t="shared" si="1221"/>
        <v>0</v>
      </c>
      <c r="J3787" s="730">
        <f t="shared" si="1221"/>
        <v>2838715.1999999997</v>
      </c>
      <c r="K3787" s="730">
        <f t="shared" si="1221"/>
        <v>0</v>
      </c>
      <c r="L3787" s="730">
        <f t="shared" si="1221"/>
        <v>0</v>
      </c>
      <c r="M3787" s="730">
        <f t="shared" si="1221"/>
        <v>2838715.1999999997</v>
      </c>
      <c r="N3787" s="730">
        <f t="shared" si="1221"/>
        <v>0</v>
      </c>
      <c r="O3787" s="730">
        <f t="shared" si="1221"/>
        <v>0</v>
      </c>
      <c r="P3787" s="730">
        <f t="shared" si="1221"/>
        <v>2838715.1999999997</v>
      </c>
      <c r="Q3787" s="748">
        <f>SUM(Q3788:Q3792)</f>
        <v>2838715.1999999997</v>
      </c>
      <c r="R3787" s="748">
        <f t="shared" ref="R3787:S3787" si="1222">SUM(R3788:R3792)</f>
        <v>0</v>
      </c>
      <c r="S3787" s="748">
        <f t="shared" si="1222"/>
        <v>4412869.13</v>
      </c>
      <c r="T3787" s="731"/>
      <c r="U3787" s="732">
        <f>SUM(U3788:U3792)</f>
        <v>2949425</v>
      </c>
      <c r="V3787" s="733"/>
    </row>
    <row r="3788" spans="1:22" ht="15" x14ac:dyDescent="0.25">
      <c r="A3788" s="734">
        <v>4151</v>
      </c>
      <c r="B3788" s="735" t="s">
        <v>377</v>
      </c>
      <c r="C3788" s="736">
        <v>1978719.94</v>
      </c>
      <c r="D3788" s="736">
        <v>2742720</v>
      </c>
      <c r="E3788" s="749">
        <v>2674049</v>
      </c>
      <c r="F3788" s="736">
        <v>2734048.33</v>
      </c>
      <c r="G3788" s="752">
        <v>2838715.1999999997</v>
      </c>
      <c r="H3788" s="752"/>
      <c r="I3788" s="752"/>
      <c r="J3788" s="736">
        <f t="shared" ref="J3788:J3791" si="1223">G3788+H3788-I3788</f>
        <v>2838715.1999999997</v>
      </c>
      <c r="K3788" s="752"/>
      <c r="L3788" s="752"/>
      <c r="M3788" s="736">
        <f t="shared" ref="M3788:M3791" si="1224">J3788+K3788-L3788</f>
        <v>2838715.1999999997</v>
      </c>
      <c r="N3788" s="736"/>
      <c r="O3788" s="736"/>
      <c r="P3788" s="736">
        <f t="shared" ref="P3788:P3791" si="1225">M3788+N3788-O3788</f>
        <v>2838715.1999999997</v>
      </c>
      <c r="Q3788" s="753">
        <v>2838715.1999999997</v>
      </c>
      <c r="R3788" s="738"/>
      <c r="S3788" s="760">
        <v>2166979.6</v>
      </c>
      <c r="T3788" s="739">
        <v>1100121</v>
      </c>
      <c r="U3788" s="740">
        <v>2949425</v>
      </c>
      <c r="V3788" s="741">
        <v>1100122</v>
      </c>
    </row>
    <row r="3789" spans="1:22" ht="15" x14ac:dyDescent="0.25">
      <c r="A3789" s="739">
        <v>4152</v>
      </c>
      <c r="B3789" s="822" t="s">
        <v>378</v>
      </c>
      <c r="C3789" s="736">
        <v>196000</v>
      </c>
      <c r="D3789" s="736"/>
      <c r="E3789" s="736"/>
      <c r="F3789" s="736"/>
      <c r="G3789" s="736"/>
      <c r="H3789" s="736"/>
      <c r="I3789" s="736"/>
      <c r="J3789" s="736">
        <f t="shared" si="1223"/>
        <v>0</v>
      </c>
      <c r="K3789" s="736"/>
      <c r="L3789" s="736"/>
      <c r="M3789" s="736">
        <f t="shared" si="1224"/>
        <v>0</v>
      </c>
      <c r="N3789" s="736"/>
      <c r="O3789" s="736"/>
      <c r="P3789" s="738">
        <f t="shared" si="1225"/>
        <v>0</v>
      </c>
      <c r="Q3789" s="738"/>
      <c r="R3789" s="738"/>
      <c r="S3789" s="911">
        <v>896799</v>
      </c>
      <c r="T3789" s="739"/>
      <c r="U3789" s="745"/>
      <c r="V3789" s="739"/>
    </row>
    <row r="3790" spans="1:22" ht="15" x14ac:dyDescent="0.25">
      <c r="A3790" s="739">
        <v>4153</v>
      </c>
      <c r="B3790" s="822" t="s">
        <v>379</v>
      </c>
      <c r="C3790" s="736">
        <v>367142</v>
      </c>
      <c r="D3790" s="736"/>
      <c r="E3790" s="736"/>
      <c r="F3790" s="736"/>
      <c r="G3790" s="736"/>
      <c r="H3790" s="736"/>
      <c r="I3790" s="736"/>
      <c r="J3790" s="736">
        <f t="shared" si="1223"/>
        <v>0</v>
      </c>
      <c r="K3790" s="736"/>
      <c r="L3790" s="736"/>
      <c r="M3790" s="736">
        <f t="shared" si="1224"/>
        <v>0</v>
      </c>
      <c r="N3790" s="736"/>
      <c r="O3790" s="736"/>
      <c r="P3790" s="738">
        <f t="shared" si="1225"/>
        <v>0</v>
      </c>
      <c r="Q3790" s="738"/>
      <c r="R3790" s="738"/>
      <c r="S3790" s="911">
        <v>844290.53</v>
      </c>
      <c r="T3790" s="739"/>
      <c r="U3790" s="745"/>
      <c r="V3790" s="739"/>
    </row>
    <row r="3791" spans="1:22" ht="15" x14ac:dyDescent="0.25">
      <c r="A3791" s="739">
        <v>4154</v>
      </c>
      <c r="B3791" s="743" t="s">
        <v>126</v>
      </c>
      <c r="C3791" s="736">
        <v>204695.28</v>
      </c>
      <c r="D3791" s="736">
        <v>0</v>
      </c>
      <c r="E3791" s="736"/>
      <c r="F3791" s="736">
        <v>10000</v>
      </c>
      <c r="G3791" s="736"/>
      <c r="H3791" s="736"/>
      <c r="I3791" s="736"/>
      <c r="J3791" s="736">
        <f t="shared" si="1223"/>
        <v>0</v>
      </c>
      <c r="K3791" s="736"/>
      <c r="L3791" s="736"/>
      <c r="M3791" s="736">
        <f t="shared" si="1224"/>
        <v>0</v>
      </c>
      <c r="N3791" s="736"/>
      <c r="O3791" s="736"/>
      <c r="P3791" s="738">
        <f t="shared" si="1225"/>
        <v>0</v>
      </c>
      <c r="Q3791" s="738"/>
      <c r="R3791" s="738"/>
      <c r="S3791" s="911">
        <v>414900</v>
      </c>
      <c r="T3791" s="739">
        <v>1100121</v>
      </c>
      <c r="U3791" s="745"/>
      <c r="V3791" s="739">
        <v>1100122</v>
      </c>
    </row>
    <row r="3792" spans="1:22" ht="15" x14ac:dyDescent="0.25">
      <c r="A3792" s="739">
        <v>4155</v>
      </c>
      <c r="B3792" s="743" t="s">
        <v>344</v>
      </c>
      <c r="C3792" s="736"/>
      <c r="D3792" s="736"/>
      <c r="E3792" s="736"/>
      <c r="F3792" s="736"/>
      <c r="G3792" s="736"/>
      <c r="H3792" s="736"/>
      <c r="I3792" s="736"/>
      <c r="J3792" s="736"/>
      <c r="K3792" s="736"/>
      <c r="L3792" s="736"/>
      <c r="M3792" s="736"/>
      <c r="N3792" s="736"/>
      <c r="O3792" s="736"/>
      <c r="P3792" s="738"/>
      <c r="Q3792" s="738"/>
      <c r="R3792" s="738"/>
      <c r="S3792" s="911">
        <v>89900</v>
      </c>
      <c r="T3792" s="739"/>
      <c r="U3792" s="745"/>
      <c r="V3792" s="739"/>
    </row>
    <row r="3793" spans="1:22" ht="15" x14ac:dyDescent="0.2">
      <c r="A3793" s="724" t="s">
        <v>405</v>
      </c>
      <c r="B3793" s="725" t="s">
        <v>406</v>
      </c>
      <c r="C3793" s="721">
        <f t="shared" ref="C3793:S3793" si="1226">SUM(C3794)</f>
        <v>0</v>
      </c>
      <c r="D3793" s="721">
        <f t="shared" si="1226"/>
        <v>5000000</v>
      </c>
      <c r="E3793" s="721">
        <f t="shared" si="1226"/>
        <v>11000000</v>
      </c>
      <c r="F3793" s="721">
        <f t="shared" si="1226"/>
        <v>11000000</v>
      </c>
      <c r="G3793" s="721">
        <f t="shared" si="1226"/>
        <v>5000000</v>
      </c>
      <c r="H3793" s="721">
        <f t="shared" si="1226"/>
        <v>5000000</v>
      </c>
      <c r="I3793" s="721">
        <f t="shared" si="1226"/>
        <v>0</v>
      </c>
      <c r="J3793" s="721">
        <f t="shared" si="1226"/>
        <v>10000000</v>
      </c>
      <c r="K3793" s="721">
        <f t="shared" si="1226"/>
        <v>0</v>
      </c>
      <c r="L3793" s="721">
        <f t="shared" si="1226"/>
        <v>0</v>
      </c>
      <c r="M3793" s="721">
        <f t="shared" si="1226"/>
        <v>10000000</v>
      </c>
      <c r="N3793" s="721">
        <f t="shared" si="1226"/>
        <v>7000000</v>
      </c>
      <c r="O3793" s="721">
        <f t="shared" si="1226"/>
        <v>0</v>
      </c>
      <c r="P3793" s="721">
        <f t="shared" si="1226"/>
        <v>17000000</v>
      </c>
      <c r="Q3793" s="756">
        <f t="shared" si="1226"/>
        <v>17000000</v>
      </c>
      <c r="R3793" s="756"/>
      <c r="S3793" s="756">
        <f t="shared" si="1226"/>
        <v>12000000</v>
      </c>
      <c r="T3793" s="724"/>
      <c r="U3793" s="726">
        <f t="shared" ref="U3793" si="1227">SUM(U3794)</f>
        <v>8082084.7999999998</v>
      </c>
      <c r="V3793" s="727"/>
    </row>
    <row r="3794" spans="1:22" ht="15" x14ac:dyDescent="0.2">
      <c r="A3794" s="728" t="s">
        <v>407</v>
      </c>
      <c r="B3794" s="729" t="s">
        <v>406</v>
      </c>
      <c r="C3794" s="730">
        <f t="shared" ref="C3794:M3794" si="1228">SUM(C3795:C3798)</f>
        <v>0</v>
      </c>
      <c r="D3794" s="730">
        <f t="shared" si="1228"/>
        <v>5000000</v>
      </c>
      <c r="E3794" s="730">
        <f t="shared" si="1228"/>
        <v>11000000</v>
      </c>
      <c r="F3794" s="730">
        <f t="shared" si="1228"/>
        <v>11000000</v>
      </c>
      <c r="G3794" s="730">
        <f>SUM(G3795:G3801)</f>
        <v>5000000</v>
      </c>
      <c r="H3794" s="730">
        <f t="shared" si="1228"/>
        <v>5000000</v>
      </c>
      <c r="I3794" s="730">
        <f t="shared" si="1228"/>
        <v>0</v>
      </c>
      <c r="J3794" s="730">
        <f t="shared" si="1228"/>
        <v>10000000</v>
      </c>
      <c r="K3794" s="730">
        <f t="shared" si="1228"/>
        <v>0</v>
      </c>
      <c r="L3794" s="730">
        <f t="shared" si="1228"/>
        <v>0</v>
      </c>
      <c r="M3794" s="730">
        <f t="shared" si="1228"/>
        <v>10000000</v>
      </c>
      <c r="N3794" s="730">
        <f t="shared" ref="N3794:S3794" si="1229">SUM(N3795:N3801)</f>
        <v>7000000</v>
      </c>
      <c r="O3794" s="730">
        <f t="shared" si="1229"/>
        <v>0</v>
      </c>
      <c r="P3794" s="730">
        <f t="shared" si="1229"/>
        <v>17000000</v>
      </c>
      <c r="Q3794" s="730">
        <f>SUM(Q3795:Q3801)</f>
        <v>17000000</v>
      </c>
      <c r="R3794" s="730">
        <f t="shared" si="1229"/>
        <v>0</v>
      </c>
      <c r="S3794" s="730">
        <f t="shared" si="1229"/>
        <v>12000000</v>
      </c>
      <c r="T3794" s="731"/>
      <c r="U3794" s="732">
        <f>SUM(U3795:U3801)</f>
        <v>8082084.7999999998</v>
      </c>
      <c r="V3794" s="733"/>
    </row>
    <row r="3795" spans="1:22" ht="15" x14ac:dyDescent="0.2">
      <c r="A3795" s="739">
        <v>4153</v>
      </c>
      <c r="B3795" s="743" t="s">
        <v>379</v>
      </c>
      <c r="C3795" s="736"/>
      <c r="D3795" s="736">
        <v>0</v>
      </c>
      <c r="E3795" s="749">
        <v>11000000</v>
      </c>
      <c r="F3795" s="736">
        <v>11000000</v>
      </c>
      <c r="G3795" s="752">
        <v>5000000</v>
      </c>
      <c r="H3795" s="752"/>
      <c r="I3795" s="752"/>
      <c r="J3795" s="736">
        <f t="shared" ref="J3795:J3796" si="1230">G3795+H3795-I3795</f>
        <v>5000000</v>
      </c>
      <c r="K3795" s="752"/>
      <c r="L3795" s="752"/>
      <c r="M3795" s="736">
        <f t="shared" ref="M3795:M3796" si="1231">J3795+K3795-L3795</f>
        <v>5000000</v>
      </c>
      <c r="N3795" s="736"/>
      <c r="O3795" s="736"/>
      <c r="P3795" s="736">
        <f t="shared" ref="P3795:P3796" si="1232">M3795+N3795-O3795</f>
        <v>5000000</v>
      </c>
      <c r="Q3795" s="753">
        <v>5000000</v>
      </c>
      <c r="R3795" s="738"/>
      <c r="S3795" s="753"/>
      <c r="T3795" s="739">
        <v>1100121</v>
      </c>
      <c r="U3795" s="745"/>
      <c r="V3795" s="739">
        <v>1100122</v>
      </c>
    </row>
    <row r="3796" spans="1:22" ht="15" x14ac:dyDescent="0.25">
      <c r="A3796" s="739">
        <v>4153</v>
      </c>
      <c r="B3796" s="743" t="s">
        <v>379</v>
      </c>
      <c r="C3796" s="736"/>
      <c r="D3796" s="736"/>
      <c r="E3796" s="749"/>
      <c r="F3796" s="736"/>
      <c r="G3796" s="752"/>
      <c r="H3796" s="757">
        <v>5000000</v>
      </c>
      <c r="I3796" s="752"/>
      <c r="J3796" s="736">
        <f t="shared" si="1230"/>
        <v>5000000</v>
      </c>
      <c r="K3796" s="757"/>
      <c r="L3796" s="752"/>
      <c r="M3796" s="736">
        <f t="shared" si="1231"/>
        <v>5000000</v>
      </c>
      <c r="N3796" s="736"/>
      <c r="O3796" s="736"/>
      <c r="P3796" s="736">
        <f t="shared" si="1232"/>
        <v>5000000</v>
      </c>
      <c r="Q3796" s="753">
        <v>5000000</v>
      </c>
      <c r="R3796" s="738"/>
      <c r="S3796" s="753"/>
      <c r="T3796" s="739">
        <v>1100120</v>
      </c>
      <c r="U3796" s="745"/>
      <c r="V3796" s="739">
        <v>1100120</v>
      </c>
    </row>
    <row r="3797" spans="1:22" ht="15" x14ac:dyDescent="0.25">
      <c r="A3797" s="739">
        <v>4154</v>
      </c>
      <c r="B3797" s="743" t="s">
        <v>126</v>
      </c>
      <c r="C3797" s="736"/>
      <c r="D3797" s="736"/>
      <c r="E3797" s="749"/>
      <c r="F3797" s="736"/>
      <c r="G3797" s="752"/>
      <c r="H3797" s="757"/>
      <c r="I3797" s="752"/>
      <c r="J3797" s="736"/>
      <c r="K3797" s="757"/>
      <c r="L3797" s="752"/>
      <c r="M3797" s="736"/>
      <c r="N3797" s="736"/>
      <c r="O3797" s="736"/>
      <c r="P3797" s="736"/>
      <c r="Q3797" s="753"/>
      <c r="R3797" s="738"/>
      <c r="S3797" s="753"/>
      <c r="T3797" s="739"/>
      <c r="U3797" s="745"/>
      <c r="V3797" s="739"/>
    </row>
    <row r="3798" spans="1:22" ht="15" x14ac:dyDescent="0.2">
      <c r="A3798" s="739">
        <v>4153</v>
      </c>
      <c r="B3798" s="743" t="s">
        <v>379</v>
      </c>
      <c r="C3798" s="736"/>
      <c r="D3798" s="736">
        <v>5000000</v>
      </c>
      <c r="E3798" s="736"/>
      <c r="F3798" s="736">
        <v>0</v>
      </c>
      <c r="G3798" s="736"/>
      <c r="H3798" s="736"/>
      <c r="I3798" s="736"/>
      <c r="J3798" s="736">
        <f>G3798+H3798-I3798</f>
        <v>0</v>
      </c>
      <c r="K3798" s="736"/>
      <c r="L3798" s="736"/>
      <c r="M3798" s="736">
        <f t="shared" ref="M3798:M3801" si="1233">J3798+K3798-L3798</f>
        <v>0</v>
      </c>
      <c r="N3798" s="736"/>
      <c r="O3798" s="736"/>
      <c r="P3798" s="738">
        <f t="shared" ref="P3798:P3801" si="1234">M3798+N3798-O3798</f>
        <v>0</v>
      </c>
      <c r="Q3798" s="738"/>
      <c r="R3798" s="738"/>
      <c r="S3798" s="738"/>
      <c r="T3798" s="739">
        <v>1100121</v>
      </c>
      <c r="U3798" s="745"/>
      <c r="V3798" s="739">
        <v>1100122</v>
      </c>
    </row>
    <row r="3799" spans="1:22" ht="15" x14ac:dyDescent="0.2">
      <c r="A3799" s="734">
        <v>4156</v>
      </c>
      <c r="B3799" s="735" t="s">
        <v>1850</v>
      </c>
      <c r="C3799" s="736"/>
      <c r="D3799" s="736"/>
      <c r="E3799" s="736"/>
      <c r="F3799" s="736"/>
      <c r="G3799" s="736"/>
      <c r="H3799" s="736"/>
      <c r="I3799" s="736"/>
      <c r="J3799" s="736"/>
      <c r="K3799" s="736"/>
      <c r="L3799" s="736"/>
      <c r="M3799" s="736"/>
      <c r="N3799" s="736"/>
      <c r="O3799" s="736"/>
      <c r="P3799" s="738"/>
      <c r="Q3799" s="738"/>
      <c r="R3799" s="738"/>
      <c r="S3799" s="738"/>
      <c r="T3799" s="739">
        <v>1100120</v>
      </c>
      <c r="U3799" s="740">
        <v>2016397.94</v>
      </c>
      <c r="V3799" s="741">
        <v>1100120</v>
      </c>
    </row>
    <row r="3800" spans="1:22" ht="15" x14ac:dyDescent="0.2">
      <c r="A3800" s="734">
        <v>4156</v>
      </c>
      <c r="B3800" s="735" t="s">
        <v>1850</v>
      </c>
      <c r="C3800" s="736"/>
      <c r="D3800" s="736"/>
      <c r="E3800" s="736"/>
      <c r="F3800" s="736"/>
      <c r="G3800" s="736"/>
      <c r="H3800" s="736"/>
      <c r="I3800" s="736"/>
      <c r="J3800" s="736"/>
      <c r="K3800" s="736"/>
      <c r="L3800" s="736"/>
      <c r="M3800" s="736"/>
      <c r="N3800" s="736"/>
      <c r="O3800" s="736"/>
      <c r="P3800" s="738"/>
      <c r="Q3800" s="738"/>
      <c r="R3800" s="738"/>
      <c r="S3800" s="738"/>
      <c r="T3800" s="739">
        <v>1100116</v>
      </c>
      <c r="U3800" s="740">
        <v>65686.86</v>
      </c>
      <c r="V3800" s="741">
        <v>1100116</v>
      </c>
    </row>
    <row r="3801" spans="1:22" ht="15" x14ac:dyDescent="0.2">
      <c r="A3801" s="734">
        <v>4156</v>
      </c>
      <c r="B3801" s="735" t="s">
        <v>1850</v>
      </c>
      <c r="C3801" s="736"/>
      <c r="D3801" s="736"/>
      <c r="E3801" s="736"/>
      <c r="F3801" s="736"/>
      <c r="G3801" s="736"/>
      <c r="H3801" s="736"/>
      <c r="I3801" s="736"/>
      <c r="J3801" s="736"/>
      <c r="K3801" s="736"/>
      <c r="L3801" s="736"/>
      <c r="M3801" s="736">
        <f t="shared" si="1233"/>
        <v>0</v>
      </c>
      <c r="N3801" s="736">
        <v>7000000</v>
      </c>
      <c r="O3801" s="736"/>
      <c r="P3801" s="736">
        <f t="shared" si="1234"/>
        <v>7000000</v>
      </c>
      <c r="Q3801" s="738">
        <v>7000000</v>
      </c>
      <c r="R3801" s="738"/>
      <c r="S3801" s="976">
        <v>12000000</v>
      </c>
      <c r="T3801" s="739">
        <v>1100122</v>
      </c>
      <c r="U3801" s="746">
        <v>6000000</v>
      </c>
      <c r="V3801" s="741">
        <v>1100122</v>
      </c>
    </row>
    <row r="3802" spans="1:22" ht="15" x14ac:dyDescent="0.2">
      <c r="A3802" s="724" t="s">
        <v>408</v>
      </c>
      <c r="B3802" s="725" t="s">
        <v>409</v>
      </c>
      <c r="C3802" s="721">
        <f t="shared" ref="C3802:S3802" si="1235">SUM(C3803)</f>
        <v>1211398.8500000001</v>
      </c>
      <c r="D3802" s="721">
        <f t="shared" si="1235"/>
        <v>3280000</v>
      </c>
      <c r="E3802" s="721">
        <f t="shared" si="1235"/>
        <v>3200000</v>
      </c>
      <c r="F3802" s="721">
        <f t="shared" si="1235"/>
        <v>3414497.09</v>
      </c>
      <c r="G3802" s="721">
        <f t="shared" si="1235"/>
        <v>3394799.9999999995</v>
      </c>
      <c r="H3802" s="721">
        <f t="shared" si="1235"/>
        <v>0</v>
      </c>
      <c r="I3802" s="721">
        <f t="shared" si="1235"/>
        <v>0</v>
      </c>
      <c r="J3802" s="721">
        <f t="shared" si="1235"/>
        <v>3394799.9999999995</v>
      </c>
      <c r="K3802" s="721">
        <f t="shared" si="1235"/>
        <v>0</v>
      </c>
      <c r="L3802" s="721">
        <f t="shared" si="1235"/>
        <v>0</v>
      </c>
      <c r="M3802" s="721">
        <f t="shared" si="1235"/>
        <v>3394799.9999999995</v>
      </c>
      <c r="N3802" s="721">
        <f t="shared" si="1235"/>
        <v>28000</v>
      </c>
      <c r="O3802" s="721">
        <f t="shared" si="1235"/>
        <v>0</v>
      </c>
      <c r="P3802" s="721">
        <f t="shared" si="1235"/>
        <v>3422799.9999999995</v>
      </c>
      <c r="Q3802" s="756">
        <f t="shared" si="1235"/>
        <v>3422799.9999999995</v>
      </c>
      <c r="R3802" s="756"/>
      <c r="S3802" s="756">
        <f t="shared" si="1235"/>
        <v>10859000</v>
      </c>
      <c r="T3802" s="724"/>
      <c r="U3802" s="726">
        <f t="shared" ref="U3802" si="1236">SUM(U3803)</f>
        <v>4710160</v>
      </c>
      <c r="V3802" s="727"/>
    </row>
    <row r="3803" spans="1:22" ht="15" x14ac:dyDescent="0.2">
      <c r="A3803" s="728" t="s">
        <v>410</v>
      </c>
      <c r="B3803" s="729" t="s">
        <v>1545</v>
      </c>
      <c r="C3803" s="730">
        <f t="shared" ref="C3803:S3803" si="1237">SUM(C3804:C3806)</f>
        <v>1211398.8500000001</v>
      </c>
      <c r="D3803" s="730">
        <f t="shared" si="1237"/>
        <v>3280000</v>
      </c>
      <c r="E3803" s="730">
        <f t="shared" si="1237"/>
        <v>3200000</v>
      </c>
      <c r="F3803" s="730">
        <f t="shared" si="1237"/>
        <v>3414497.09</v>
      </c>
      <c r="G3803" s="730">
        <f t="shared" si="1237"/>
        <v>3394799.9999999995</v>
      </c>
      <c r="H3803" s="730">
        <f t="shared" si="1237"/>
        <v>0</v>
      </c>
      <c r="I3803" s="730">
        <f t="shared" si="1237"/>
        <v>0</v>
      </c>
      <c r="J3803" s="730">
        <f t="shared" si="1237"/>
        <v>3394799.9999999995</v>
      </c>
      <c r="K3803" s="730">
        <f t="shared" si="1237"/>
        <v>0</v>
      </c>
      <c r="L3803" s="730">
        <f t="shared" si="1237"/>
        <v>0</v>
      </c>
      <c r="M3803" s="730">
        <f t="shared" si="1237"/>
        <v>3394799.9999999995</v>
      </c>
      <c r="N3803" s="730">
        <f t="shared" si="1237"/>
        <v>28000</v>
      </c>
      <c r="O3803" s="730">
        <f t="shared" si="1237"/>
        <v>0</v>
      </c>
      <c r="P3803" s="730">
        <f t="shared" si="1237"/>
        <v>3422799.9999999995</v>
      </c>
      <c r="Q3803" s="748">
        <f t="shared" si="1237"/>
        <v>3422799.9999999995</v>
      </c>
      <c r="R3803" s="748">
        <f t="shared" si="1237"/>
        <v>0</v>
      </c>
      <c r="S3803" s="748">
        <f t="shared" si="1237"/>
        <v>10859000</v>
      </c>
      <c r="T3803" s="731"/>
      <c r="U3803" s="732">
        <f>SUM(U3804:U3806)</f>
        <v>4710160</v>
      </c>
      <c r="V3803" s="733"/>
    </row>
    <row r="3804" spans="1:22" ht="15" x14ac:dyDescent="0.2">
      <c r="A3804" s="734">
        <v>4151</v>
      </c>
      <c r="B3804" s="735" t="s">
        <v>377</v>
      </c>
      <c r="C3804" s="736">
        <v>1211398.8500000001</v>
      </c>
      <c r="D3804" s="736">
        <v>3200000</v>
      </c>
      <c r="E3804" s="749">
        <v>3200000</v>
      </c>
      <c r="F3804" s="736">
        <v>3414497.09</v>
      </c>
      <c r="G3804" s="752">
        <v>3294799.9999999995</v>
      </c>
      <c r="H3804" s="752"/>
      <c r="I3804" s="752"/>
      <c r="J3804" s="736">
        <f>G3804+H3804-I3804</f>
        <v>3294799.9999999995</v>
      </c>
      <c r="K3804" s="752"/>
      <c r="L3804" s="752"/>
      <c r="M3804" s="736">
        <f>J3804+K3804-L3804</f>
        <v>3294799.9999999995</v>
      </c>
      <c r="N3804" s="736"/>
      <c r="O3804" s="736"/>
      <c r="P3804" s="736">
        <f t="shared" ref="P3804:P3806" si="1238">M3804+N3804-O3804</f>
        <v>3294799.9999999995</v>
      </c>
      <c r="Q3804" s="753">
        <v>3294799.9999999995</v>
      </c>
      <c r="R3804" s="738"/>
      <c r="S3804" s="753">
        <v>10859000</v>
      </c>
      <c r="T3804" s="739">
        <v>1100121</v>
      </c>
      <c r="U3804" s="740">
        <f>3422800+287360+1000000</f>
        <v>4710160</v>
      </c>
      <c r="V3804" s="741">
        <v>1100122</v>
      </c>
    </row>
    <row r="3805" spans="1:22" ht="15" x14ac:dyDescent="0.2">
      <c r="A3805" s="739">
        <v>4153</v>
      </c>
      <c r="B3805" s="743" t="s">
        <v>379</v>
      </c>
      <c r="C3805" s="736"/>
      <c r="D3805" s="736"/>
      <c r="E3805" s="749"/>
      <c r="F3805" s="736"/>
      <c r="G3805" s="752"/>
      <c r="H3805" s="752"/>
      <c r="I3805" s="752"/>
      <c r="J3805" s="736"/>
      <c r="K3805" s="752"/>
      <c r="L3805" s="752"/>
      <c r="M3805" s="736"/>
      <c r="N3805" s="736">
        <v>28000</v>
      </c>
      <c r="O3805" s="736"/>
      <c r="P3805" s="736">
        <f t="shared" si="1238"/>
        <v>28000</v>
      </c>
      <c r="Q3805" s="753">
        <v>28000</v>
      </c>
      <c r="R3805" s="738"/>
      <c r="S3805" s="753"/>
      <c r="T3805" s="739">
        <v>1100121</v>
      </c>
      <c r="U3805" s="745"/>
      <c r="V3805" s="739">
        <v>1100122</v>
      </c>
    </row>
    <row r="3806" spans="1:22" ht="15" x14ac:dyDescent="0.2">
      <c r="A3806" s="739">
        <v>4155</v>
      </c>
      <c r="B3806" s="743" t="s">
        <v>344</v>
      </c>
      <c r="C3806" s="736"/>
      <c r="D3806" s="736">
        <v>80000</v>
      </c>
      <c r="E3806" s="736"/>
      <c r="F3806" s="736">
        <v>0</v>
      </c>
      <c r="G3806" s="749">
        <v>100000</v>
      </c>
      <c r="H3806" s="749"/>
      <c r="I3806" s="749"/>
      <c r="J3806" s="736">
        <f>G3806+H3806-I3806</f>
        <v>100000</v>
      </c>
      <c r="K3806" s="749"/>
      <c r="L3806" s="749"/>
      <c r="M3806" s="736">
        <f>J3806+K3806-L3806</f>
        <v>100000</v>
      </c>
      <c r="N3806" s="736"/>
      <c r="O3806" s="736"/>
      <c r="P3806" s="736">
        <f t="shared" si="1238"/>
        <v>100000</v>
      </c>
      <c r="Q3806" s="783">
        <v>100000</v>
      </c>
      <c r="R3806" s="738"/>
      <c r="S3806" s="783"/>
      <c r="T3806" s="739">
        <v>1100121</v>
      </c>
      <c r="U3806" s="745"/>
      <c r="V3806" s="739">
        <v>1100122</v>
      </c>
    </row>
  </sheetData>
  <mergeCells count="3">
    <mergeCell ref="A1:V1"/>
    <mergeCell ref="A2:V2"/>
    <mergeCell ref="A3:V3"/>
  </mergeCells>
  <conditionalFormatting sqref="A4:T4">
    <cfRule type="notContainsBlanks" dxfId="9" priority="3">
      <formula>LEN(TRIM(A4))&gt;0</formula>
    </cfRule>
  </conditionalFormatting>
  <conditionalFormatting sqref="V4">
    <cfRule type="notContainsBlanks" dxfId="8" priority="4">
      <formula>LEN(TRIM(V4))&gt;0</formula>
    </cfRule>
  </conditionalFormatting>
  <conditionalFormatting sqref="V4">
    <cfRule type="notContainsBlanks" dxfId="7" priority="2">
      <formula>LEN(TRIM(V4))&gt;0</formula>
    </cfRule>
  </conditionalFormatting>
  <conditionalFormatting sqref="U4">
    <cfRule type="notContainsBlanks" dxfId="6" priority="1">
      <formula>LEN(TRIM(U4))&gt;0</formula>
    </cfRule>
  </conditionalFormatting>
  <dataValidations count="1">
    <dataValidation type="decimal" operator="greaterThanOrEqual" allowBlank="1" showInputMessage="1" showErrorMessage="1" prompt="Debe introducir una cantidad" sqref="S18:S20" xr:uid="{27E59E37-38B5-4555-835F-8F6E6692CC61}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E0FE7-7744-432A-BB05-2E8C1622FCCB}">
  <dimension ref="A1:C220"/>
  <sheetViews>
    <sheetView workbookViewId="0">
      <selection activeCell="A3" sqref="A3:C3"/>
    </sheetView>
  </sheetViews>
  <sheetFormatPr baseColWidth="10" defaultRowHeight="14.25" x14ac:dyDescent="0.2"/>
  <cols>
    <col min="1" max="1" width="19.625" customWidth="1"/>
    <col min="2" max="2" width="33.625" customWidth="1"/>
    <col min="3" max="3" width="30.375" customWidth="1"/>
  </cols>
  <sheetData>
    <row r="1" spans="1:3" ht="15" x14ac:dyDescent="0.2">
      <c r="A1" s="977" t="s">
        <v>1896</v>
      </c>
      <c r="B1" s="977"/>
      <c r="C1" s="977"/>
    </row>
    <row r="2" spans="1:3" ht="15" x14ac:dyDescent="0.2">
      <c r="A2" s="978" t="s">
        <v>1641</v>
      </c>
      <c r="B2" s="978"/>
      <c r="C2" s="978"/>
    </row>
    <row r="3" spans="1:3" ht="15" x14ac:dyDescent="0.2">
      <c r="A3" s="977" t="s">
        <v>1509</v>
      </c>
      <c r="B3" s="977"/>
      <c r="C3" s="977"/>
    </row>
    <row r="4" spans="1:3" ht="15" x14ac:dyDescent="0.2">
      <c r="A4" s="717" t="s">
        <v>1658</v>
      </c>
      <c r="B4" s="778" t="s">
        <v>0</v>
      </c>
      <c r="C4" s="979" t="s">
        <v>1119</v>
      </c>
    </row>
    <row r="5" spans="1:3" ht="15" x14ac:dyDescent="0.2">
      <c r="A5" s="724" t="s">
        <v>2</v>
      </c>
      <c r="B5" s="725" t="s">
        <v>3</v>
      </c>
      <c r="C5" s="726">
        <v>11838615.83</v>
      </c>
    </row>
    <row r="6" spans="1:3" ht="15" x14ac:dyDescent="0.2">
      <c r="A6" s="728" t="s">
        <v>5</v>
      </c>
      <c r="B6" s="729" t="s">
        <v>1615</v>
      </c>
      <c r="C6" s="732">
        <v>6460424.7800000012</v>
      </c>
    </row>
    <row r="7" spans="1:3" ht="15" x14ac:dyDescent="0.2">
      <c r="A7" s="728" t="s">
        <v>37</v>
      </c>
      <c r="B7" s="729" t="s">
        <v>1616</v>
      </c>
      <c r="C7" s="732">
        <v>2774193.5</v>
      </c>
    </row>
    <row r="8" spans="1:3" ht="30" x14ac:dyDescent="0.2">
      <c r="A8" s="728" t="s">
        <v>46</v>
      </c>
      <c r="B8" s="729" t="s">
        <v>1617</v>
      </c>
      <c r="C8" s="732">
        <v>1797223.3699999999</v>
      </c>
    </row>
    <row r="9" spans="1:3" ht="15" x14ac:dyDescent="0.2">
      <c r="A9" s="728" t="s">
        <v>51</v>
      </c>
      <c r="B9" s="729" t="s">
        <v>1618</v>
      </c>
      <c r="C9" s="732">
        <v>806774.18</v>
      </c>
    </row>
    <row r="10" spans="1:3" ht="15" x14ac:dyDescent="0.2">
      <c r="A10" s="724" t="s">
        <v>54</v>
      </c>
      <c r="B10" s="725" t="s">
        <v>1128</v>
      </c>
      <c r="C10" s="726">
        <v>21623656.830000006</v>
      </c>
    </row>
    <row r="11" spans="1:3" ht="15" x14ac:dyDescent="0.2">
      <c r="A11" s="728" t="s">
        <v>55</v>
      </c>
      <c r="B11" s="729" t="s">
        <v>1578</v>
      </c>
      <c r="C11" s="732">
        <v>21623656.830000006</v>
      </c>
    </row>
    <row r="12" spans="1:3" ht="30" x14ac:dyDescent="0.2">
      <c r="A12" s="724" t="s">
        <v>56</v>
      </c>
      <c r="B12" s="725" t="s">
        <v>57</v>
      </c>
      <c r="C12" s="726">
        <v>1909652.2200000004</v>
      </c>
    </row>
    <row r="13" spans="1:3" ht="15" x14ac:dyDescent="0.2">
      <c r="A13" s="728" t="s">
        <v>58</v>
      </c>
      <c r="B13" s="729" t="s">
        <v>1619</v>
      </c>
      <c r="C13" s="732">
        <v>1909652.2200000004</v>
      </c>
    </row>
    <row r="14" spans="1:3" ht="30" x14ac:dyDescent="0.2">
      <c r="A14" s="724" t="s">
        <v>82</v>
      </c>
      <c r="B14" s="771" t="s">
        <v>1315</v>
      </c>
      <c r="C14" s="726">
        <v>454952.3</v>
      </c>
    </row>
    <row r="15" spans="1:3" ht="15" x14ac:dyDescent="0.2">
      <c r="A15" s="728" t="s">
        <v>55</v>
      </c>
      <c r="B15" s="729" t="s">
        <v>1578</v>
      </c>
      <c r="C15" s="732">
        <v>454952.3</v>
      </c>
    </row>
    <row r="16" spans="1:3" ht="30" x14ac:dyDescent="0.2">
      <c r="A16" s="724" t="s">
        <v>83</v>
      </c>
      <c r="B16" s="771" t="s">
        <v>1316</v>
      </c>
      <c r="C16" s="726">
        <v>454952.3</v>
      </c>
    </row>
    <row r="17" spans="1:3" ht="15" x14ac:dyDescent="0.2">
      <c r="A17" s="728" t="s">
        <v>55</v>
      </c>
      <c r="B17" s="729" t="s">
        <v>1578</v>
      </c>
      <c r="C17" s="732">
        <v>454952.3</v>
      </c>
    </row>
    <row r="18" spans="1:3" ht="30" x14ac:dyDescent="0.2">
      <c r="A18" s="724" t="s">
        <v>84</v>
      </c>
      <c r="B18" s="775" t="s">
        <v>1317</v>
      </c>
      <c r="C18" s="726">
        <v>449458.26</v>
      </c>
    </row>
    <row r="19" spans="1:3" ht="15" x14ac:dyDescent="0.2">
      <c r="A19" s="728" t="s">
        <v>55</v>
      </c>
      <c r="B19" s="729" t="s">
        <v>1578</v>
      </c>
      <c r="C19" s="732">
        <v>449458.26</v>
      </c>
    </row>
    <row r="20" spans="1:3" ht="30" x14ac:dyDescent="0.2">
      <c r="A20" s="724" t="s">
        <v>85</v>
      </c>
      <c r="B20" s="775" t="s">
        <v>1318</v>
      </c>
      <c r="C20" s="726">
        <v>449458.26</v>
      </c>
    </row>
    <row r="21" spans="1:3" ht="15" x14ac:dyDescent="0.2">
      <c r="A21" s="728" t="s">
        <v>55</v>
      </c>
      <c r="B21" s="729" t="s">
        <v>1578</v>
      </c>
      <c r="C21" s="732">
        <v>449458.26</v>
      </c>
    </row>
    <row r="22" spans="1:3" ht="30" x14ac:dyDescent="0.2">
      <c r="A22" s="724" t="s">
        <v>86</v>
      </c>
      <c r="B22" s="775" t="s">
        <v>1319</v>
      </c>
      <c r="C22" s="726">
        <v>449458.26</v>
      </c>
    </row>
    <row r="23" spans="1:3" ht="15" x14ac:dyDescent="0.2">
      <c r="A23" s="728" t="s">
        <v>55</v>
      </c>
      <c r="B23" s="729" t="s">
        <v>1578</v>
      </c>
      <c r="C23" s="732">
        <v>449458.26</v>
      </c>
    </row>
    <row r="24" spans="1:3" ht="30" x14ac:dyDescent="0.2">
      <c r="A24" s="724" t="s">
        <v>87</v>
      </c>
      <c r="B24" s="775" t="s">
        <v>1320</v>
      </c>
      <c r="C24" s="726">
        <v>449458.26</v>
      </c>
    </row>
    <row r="25" spans="1:3" ht="15" x14ac:dyDescent="0.2">
      <c r="A25" s="728" t="s">
        <v>55</v>
      </c>
      <c r="B25" s="729" t="s">
        <v>1578</v>
      </c>
      <c r="C25" s="732">
        <v>449458.26</v>
      </c>
    </row>
    <row r="26" spans="1:3" ht="30" x14ac:dyDescent="0.2">
      <c r="A26" s="724" t="s">
        <v>88</v>
      </c>
      <c r="B26" s="775" t="s">
        <v>1321</v>
      </c>
      <c r="C26" s="726">
        <v>449458.26</v>
      </c>
    </row>
    <row r="27" spans="1:3" ht="15" x14ac:dyDescent="0.2">
      <c r="A27" s="728" t="s">
        <v>55</v>
      </c>
      <c r="B27" s="729" t="s">
        <v>1578</v>
      </c>
      <c r="C27" s="732">
        <v>449458.26</v>
      </c>
    </row>
    <row r="28" spans="1:3" ht="30" x14ac:dyDescent="0.2">
      <c r="A28" s="724" t="s">
        <v>89</v>
      </c>
      <c r="B28" s="775" t="s">
        <v>1322</v>
      </c>
      <c r="C28" s="726">
        <v>449458.26</v>
      </c>
    </row>
    <row r="29" spans="1:3" ht="15" x14ac:dyDescent="0.2">
      <c r="A29" s="728" t="s">
        <v>55</v>
      </c>
      <c r="B29" s="729" t="s">
        <v>1578</v>
      </c>
      <c r="C29" s="732">
        <v>449458.26</v>
      </c>
    </row>
    <row r="30" spans="1:3" ht="30" x14ac:dyDescent="0.2">
      <c r="A30" s="724" t="s">
        <v>90</v>
      </c>
      <c r="B30" s="775" t="s">
        <v>1323</v>
      </c>
      <c r="C30" s="726">
        <v>449458.26</v>
      </c>
    </row>
    <row r="31" spans="1:3" ht="15" x14ac:dyDescent="0.2">
      <c r="A31" s="728" t="s">
        <v>55</v>
      </c>
      <c r="B31" s="729" t="s">
        <v>1578</v>
      </c>
      <c r="C31" s="732">
        <v>449458.26</v>
      </c>
    </row>
    <row r="32" spans="1:3" ht="30" x14ac:dyDescent="0.2">
      <c r="A32" s="724" t="s">
        <v>91</v>
      </c>
      <c r="B32" s="775" t="s">
        <v>1324</v>
      </c>
      <c r="C32" s="726">
        <v>400000</v>
      </c>
    </row>
    <row r="33" spans="1:3" ht="15" x14ac:dyDescent="0.2">
      <c r="A33" s="728" t="s">
        <v>55</v>
      </c>
      <c r="B33" s="729" t="s">
        <v>1578</v>
      </c>
      <c r="C33" s="732">
        <v>400000</v>
      </c>
    </row>
    <row r="34" spans="1:3" ht="30" x14ac:dyDescent="0.2">
      <c r="A34" s="724" t="s">
        <v>92</v>
      </c>
      <c r="B34" s="775" t="s">
        <v>1325</v>
      </c>
      <c r="C34" s="726">
        <v>449458.26</v>
      </c>
    </row>
    <row r="35" spans="1:3" ht="15" x14ac:dyDescent="0.2">
      <c r="A35" s="728" t="s">
        <v>55</v>
      </c>
      <c r="B35" s="729" t="s">
        <v>1578</v>
      </c>
      <c r="C35" s="732">
        <v>449458.26</v>
      </c>
    </row>
    <row r="36" spans="1:3" ht="30" x14ac:dyDescent="0.2">
      <c r="A36" s="724" t="s">
        <v>93</v>
      </c>
      <c r="B36" s="775" t="s">
        <v>1326</v>
      </c>
      <c r="C36" s="726">
        <v>449458.26</v>
      </c>
    </row>
    <row r="37" spans="1:3" ht="15" x14ac:dyDescent="0.2">
      <c r="A37" s="728" t="s">
        <v>55</v>
      </c>
      <c r="B37" s="729" t="s">
        <v>1578</v>
      </c>
      <c r="C37" s="732">
        <v>449458.26</v>
      </c>
    </row>
    <row r="38" spans="1:3" ht="30" x14ac:dyDescent="0.2">
      <c r="A38" s="724" t="s">
        <v>94</v>
      </c>
      <c r="B38" s="775" t="s">
        <v>1328</v>
      </c>
      <c r="C38" s="726">
        <v>449458.26</v>
      </c>
    </row>
    <row r="39" spans="1:3" ht="15" x14ac:dyDescent="0.2">
      <c r="A39" s="728" t="s">
        <v>55</v>
      </c>
      <c r="B39" s="729" t="s">
        <v>1578</v>
      </c>
      <c r="C39" s="732">
        <v>449458.26</v>
      </c>
    </row>
    <row r="40" spans="1:3" ht="15" x14ac:dyDescent="0.2">
      <c r="A40" s="724" t="s">
        <v>95</v>
      </c>
      <c r="B40" s="781" t="s">
        <v>1327</v>
      </c>
      <c r="C40" s="726">
        <v>449458.26</v>
      </c>
    </row>
    <row r="41" spans="1:3" ht="15" x14ac:dyDescent="0.2">
      <c r="A41" s="728" t="s">
        <v>55</v>
      </c>
      <c r="B41" s="729" t="s">
        <v>1578</v>
      </c>
      <c r="C41" s="732">
        <v>449458.26</v>
      </c>
    </row>
    <row r="42" spans="1:3" ht="15" x14ac:dyDescent="0.2">
      <c r="A42" s="724" t="s">
        <v>96</v>
      </c>
      <c r="B42" s="725" t="s">
        <v>1120</v>
      </c>
      <c r="C42" s="726">
        <v>12510808.84</v>
      </c>
    </row>
    <row r="43" spans="1:3" ht="30" x14ac:dyDescent="0.2">
      <c r="A43" s="728" t="s">
        <v>97</v>
      </c>
      <c r="B43" s="729" t="s">
        <v>1611</v>
      </c>
      <c r="C43" s="732">
        <v>7170584.9199999999</v>
      </c>
    </row>
    <row r="44" spans="1:3" ht="15" x14ac:dyDescent="0.2">
      <c r="A44" s="728" t="s">
        <v>104</v>
      </c>
      <c r="B44" s="729" t="s">
        <v>1612</v>
      </c>
      <c r="C44" s="732">
        <v>5340223.92</v>
      </c>
    </row>
    <row r="45" spans="1:3" ht="15" x14ac:dyDescent="0.2">
      <c r="A45" s="724" t="s">
        <v>106</v>
      </c>
      <c r="B45" s="725" t="s">
        <v>107</v>
      </c>
      <c r="C45" s="726">
        <v>18476780.699999999</v>
      </c>
    </row>
    <row r="46" spans="1:3" ht="30" x14ac:dyDescent="0.2">
      <c r="A46" s="728" t="s">
        <v>108</v>
      </c>
      <c r="B46" s="729" t="s">
        <v>1528</v>
      </c>
      <c r="C46" s="732">
        <v>1000000</v>
      </c>
    </row>
    <row r="47" spans="1:3" ht="15" x14ac:dyDescent="0.2">
      <c r="A47" s="728" t="s">
        <v>113</v>
      </c>
      <c r="B47" s="729" t="s">
        <v>1578</v>
      </c>
      <c r="C47" s="732">
        <v>16476780.699999999</v>
      </c>
    </row>
    <row r="48" spans="1:3" ht="15" x14ac:dyDescent="0.2">
      <c r="A48" s="728" t="s">
        <v>125</v>
      </c>
      <c r="B48" s="729" t="s">
        <v>1527</v>
      </c>
      <c r="C48" s="732">
        <v>1000000</v>
      </c>
    </row>
    <row r="49" spans="1:3" ht="30" x14ac:dyDescent="0.2">
      <c r="A49" s="724" t="s">
        <v>127</v>
      </c>
      <c r="B49" s="725" t="s">
        <v>128</v>
      </c>
      <c r="C49" s="726">
        <v>4340007.32</v>
      </c>
    </row>
    <row r="50" spans="1:3" ht="30" x14ac:dyDescent="0.2">
      <c r="A50" s="809" t="s">
        <v>109</v>
      </c>
      <c r="B50" s="816" t="s">
        <v>1530</v>
      </c>
      <c r="C50" s="819">
        <v>500000</v>
      </c>
    </row>
    <row r="51" spans="1:3" ht="15" x14ac:dyDescent="0.2">
      <c r="A51" s="728" t="s">
        <v>129</v>
      </c>
      <c r="B51" s="729" t="s">
        <v>1552</v>
      </c>
      <c r="C51" s="732">
        <v>3540007.3200000008</v>
      </c>
    </row>
    <row r="52" spans="1:3" ht="15" x14ac:dyDescent="0.2">
      <c r="A52" s="728" t="s">
        <v>1113</v>
      </c>
      <c r="B52" s="810" t="s">
        <v>1553</v>
      </c>
      <c r="C52" s="814">
        <v>80000</v>
      </c>
    </row>
    <row r="53" spans="1:3" ht="30" x14ac:dyDescent="0.2">
      <c r="A53" s="728" t="s">
        <v>1110</v>
      </c>
      <c r="B53" s="816" t="s">
        <v>1554</v>
      </c>
      <c r="C53" s="814">
        <v>220000</v>
      </c>
    </row>
    <row r="54" spans="1:3" ht="15" x14ac:dyDescent="0.2">
      <c r="A54" s="724" t="s">
        <v>132</v>
      </c>
      <c r="B54" s="725" t="s">
        <v>133</v>
      </c>
      <c r="C54" s="726">
        <v>18121480.449999999</v>
      </c>
    </row>
    <row r="55" spans="1:3" ht="30" x14ac:dyDescent="0.2">
      <c r="A55" s="728" t="s">
        <v>135</v>
      </c>
      <c r="B55" s="729" t="s">
        <v>1537</v>
      </c>
      <c r="C55" s="732">
        <v>2000000</v>
      </c>
    </row>
    <row r="56" spans="1:3" ht="30" x14ac:dyDescent="0.2">
      <c r="A56" s="728" t="s">
        <v>137</v>
      </c>
      <c r="B56" s="729" t="s">
        <v>1538</v>
      </c>
      <c r="C56" s="732">
        <v>1000000</v>
      </c>
    </row>
    <row r="57" spans="1:3" ht="45" x14ac:dyDescent="0.2">
      <c r="A57" s="728" t="s">
        <v>138</v>
      </c>
      <c r="B57" s="729" t="s">
        <v>1539</v>
      </c>
      <c r="C57" s="732">
        <v>3000000</v>
      </c>
    </row>
    <row r="58" spans="1:3" ht="15" x14ac:dyDescent="0.2">
      <c r="A58" s="728" t="s">
        <v>139</v>
      </c>
      <c r="B58" s="729" t="s">
        <v>1556</v>
      </c>
      <c r="C58" s="732">
        <v>2408288.04</v>
      </c>
    </row>
    <row r="59" spans="1:3" ht="15" x14ac:dyDescent="0.2">
      <c r="A59" s="728" t="s">
        <v>141</v>
      </c>
      <c r="B59" s="729" t="s">
        <v>1578</v>
      </c>
      <c r="C59" s="732">
        <v>9713192.4100000001</v>
      </c>
    </row>
    <row r="60" spans="1:3" ht="15" x14ac:dyDescent="0.2">
      <c r="A60" s="724" t="s">
        <v>142</v>
      </c>
      <c r="B60" s="725" t="s">
        <v>143</v>
      </c>
      <c r="C60" s="726">
        <v>8367732.1400000006</v>
      </c>
    </row>
    <row r="61" spans="1:3" ht="15" x14ac:dyDescent="0.2">
      <c r="A61" s="728" t="s">
        <v>144</v>
      </c>
      <c r="B61" s="729" t="s">
        <v>1557</v>
      </c>
      <c r="C61" s="732">
        <v>2687329.9800000004</v>
      </c>
    </row>
    <row r="62" spans="1:3" ht="30" x14ac:dyDescent="0.2">
      <c r="A62" s="809" t="s">
        <v>222</v>
      </c>
      <c r="B62" s="816" t="s">
        <v>1559</v>
      </c>
      <c r="C62" s="814">
        <v>19000</v>
      </c>
    </row>
    <row r="63" spans="1:3" ht="15" x14ac:dyDescent="0.2">
      <c r="A63" s="809" t="s">
        <v>1111</v>
      </c>
      <c r="B63" s="810" t="s">
        <v>1561</v>
      </c>
      <c r="C63" s="814">
        <v>180000</v>
      </c>
    </row>
    <row r="64" spans="1:3" ht="15" x14ac:dyDescent="0.2">
      <c r="A64" s="809" t="s">
        <v>1112</v>
      </c>
      <c r="B64" s="810" t="s">
        <v>1562</v>
      </c>
      <c r="C64" s="859">
        <v>710000</v>
      </c>
    </row>
    <row r="65" spans="1:3" ht="30" x14ac:dyDescent="0.2">
      <c r="A65" s="809" t="s">
        <v>1114</v>
      </c>
      <c r="B65" s="810" t="s">
        <v>1563</v>
      </c>
      <c r="C65" s="859">
        <v>5000</v>
      </c>
    </row>
    <row r="66" spans="1:3" ht="15" x14ac:dyDescent="0.2">
      <c r="A66" s="809" t="s">
        <v>1115</v>
      </c>
      <c r="B66" s="810" t="s">
        <v>1564</v>
      </c>
      <c r="C66" s="859">
        <v>830000</v>
      </c>
    </row>
    <row r="67" spans="1:3" ht="15" x14ac:dyDescent="0.2">
      <c r="A67" s="728" t="s">
        <v>151</v>
      </c>
      <c r="B67" s="729" t="s">
        <v>1558</v>
      </c>
      <c r="C67" s="732">
        <v>3936402.16</v>
      </c>
    </row>
    <row r="68" spans="1:3" ht="15" x14ac:dyDescent="0.2">
      <c r="A68" s="724" t="s">
        <v>154</v>
      </c>
      <c r="B68" s="725" t="s">
        <v>155</v>
      </c>
      <c r="C68" s="726">
        <v>18820543.920000002</v>
      </c>
    </row>
    <row r="69" spans="1:3" ht="15" x14ac:dyDescent="0.2">
      <c r="A69" s="728" t="s">
        <v>156</v>
      </c>
      <c r="B69" s="729" t="s">
        <v>1578</v>
      </c>
      <c r="C69" s="732">
        <v>2690543.92</v>
      </c>
    </row>
    <row r="70" spans="1:3" ht="30" x14ac:dyDescent="0.2">
      <c r="A70" s="809" t="s">
        <v>1332</v>
      </c>
      <c r="B70" s="810" t="s">
        <v>1536</v>
      </c>
      <c r="C70" s="814">
        <v>750000</v>
      </c>
    </row>
    <row r="71" spans="1:3" ht="15" x14ac:dyDescent="0.2">
      <c r="A71" s="728" t="s">
        <v>158</v>
      </c>
      <c r="B71" s="729" t="s">
        <v>1540</v>
      </c>
      <c r="C71" s="732">
        <v>100000</v>
      </c>
    </row>
    <row r="72" spans="1:3" ht="15" x14ac:dyDescent="0.2">
      <c r="A72" s="728" t="s">
        <v>159</v>
      </c>
      <c r="B72" s="729" t="s">
        <v>1531</v>
      </c>
      <c r="C72" s="732">
        <v>6000000</v>
      </c>
    </row>
    <row r="73" spans="1:3" ht="30" x14ac:dyDescent="0.2">
      <c r="A73" s="728" t="s">
        <v>160</v>
      </c>
      <c r="B73" s="729" t="s">
        <v>1532</v>
      </c>
      <c r="C73" s="732">
        <v>1200000</v>
      </c>
    </row>
    <row r="74" spans="1:3" ht="30" x14ac:dyDescent="0.2">
      <c r="A74" s="728" t="s">
        <v>161</v>
      </c>
      <c r="B74" s="729" t="s">
        <v>1533</v>
      </c>
      <c r="C74" s="732">
        <v>1000000</v>
      </c>
    </row>
    <row r="75" spans="1:3" ht="15" x14ac:dyDescent="0.2">
      <c r="A75" s="728" t="s">
        <v>162</v>
      </c>
      <c r="B75" s="729" t="s">
        <v>163</v>
      </c>
      <c r="C75" s="732">
        <v>1200000</v>
      </c>
    </row>
    <row r="76" spans="1:3" ht="30" x14ac:dyDescent="0.2">
      <c r="A76" s="728" t="s">
        <v>164</v>
      </c>
      <c r="B76" s="729" t="s">
        <v>165</v>
      </c>
      <c r="C76" s="732">
        <v>600000</v>
      </c>
    </row>
    <row r="77" spans="1:3" ht="15" x14ac:dyDescent="0.2">
      <c r="A77" s="728" t="s">
        <v>166</v>
      </c>
      <c r="B77" s="729" t="s">
        <v>1742</v>
      </c>
      <c r="C77" s="732">
        <v>2200000</v>
      </c>
    </row>
    <row r="78" spans="1:3" ht="30" x14ac:dyDescent="0.2">
      <c r="A78" s="728" t="s">
        <v>1333</v>
      </c>
      <c r="B78" s="883" t="s">
        <v>1535</v>
      </c>
      <c r="C78" s="732">
        <v>2000000</v>
      </c>
    </row>
    <row r="79" spans="1:3" ht="30" x14ac:dyDescent="0.2">
      <c r="A79" s="728" t="s">
        <v>1116</v>
      </c>
      <c r="B79" s="816" t="s">
        <v>1541</v>
      </c>
      <c r="C79" s="814">
        <v>1000000</v>
      </c>
    </row>
    <row r="80" spans="1:3" ht="15" x14ac:dyDescent="0.2">
      <c r="A80" s="728" t="s">
        <v>1117</v>
      </c>
      <c r="B80" s="816" t="s">
        <v>1555</v>
      </c>
      <c r="C80" s="814">
        <v>80000</v>
      </c>
    </row>
    <row r="81" spans="1:3" ht="15" x14ac:dyDescent="0.2">
      <c r="A81" s="724" t="s">
        <v>167</v>
      </c>
      <c r="B81" s="725" t="s">
        <v>168</v>
      </c>
      <c r="C81" s="726">
        <v>1980392.29</v>
      </c>
    </row>
    <row r="82" spans="1:3" ht="15" x14ac:dyDescent="0.2">
      <c r="A82" s="728" t="s">
        <v>169</v>
      </c>
      <c r="B82" s="729" t="s">
        <v>1614</v>
      </c>
      <c r="C82" s="732">
        <v>1980392.29</v>
      </c>
    </row>
    <row r="83" spans="1:3" ht="15" x14ac:dyDescent="0.2">
      <c r="A83" s="724" t="s">
        <v>175</v>
      </c>
      <c r="B83" s="725" t="s">
        <v>176</v>
      </c>
      <c r="C83" s="726">
        <v>23617804.510000002</v>
      </c>
    </row>
    <row r="84" spans="1:3" ht="15" x14ac:dyDescent="0.2">
      <c r="A84" s="728" t="s">
        <v>177</v>
      </c>
      <c r="B84" s="729" t="s">
        <v>1602</v>
      </c>
      <c r="C84" s="732">
        <v>23617804.510000002</v>
      </c>
    </row>
    <row r="85" spans="1:3" ht="15" x14ac:dyDescent="0.2">
      <c r="A85" s="724" t="s">
        <v>179</v>
      </c>
      <c r="B85" s="725" t="s">
        <v>180</v>
      </c>
      <c r="C85" s="726">
        <v>9584492.3300000001</v>
      </c>
    </row>
    <row r="86" spans="1:3" ht="15" x14ac:dyDescent="0.2">
      <c r="A86" s="728" t="s">
        <v>181</v>
      </c>
      <c r="B86" s="729" t="s">
        <v>1603</v>
      </c>
      <c r="C86" s="732">
        <v>9584492.3300000001</v>
      </c>
    </row>
    <row r="87" spans="1:3" ht="15" x14ac:dyDescent="0.2">
      <c r="A87" s="724" t="s">
        <v>185</v>
      </c>
      <c r="B87" s="725" t="s">
        <v>186</v>
      </c>
      <c r="C87" s="726">
        <v>38822897.800000004</v>
      </c>
    </row>
    <row r="88" spans="1:3" ht="30" x14ac:dyDescent="0.2">
      <c r="A88" s="728" t="s">
        <v>187</v>
      </c>
      <c r="B88" s="729" t="s">
        <v>1600</v>
      </c>
      <c r="C88" s="732">
        <v>10473899.620000001</v>
      </c>
    </row>
    <row r="89" spans="1:3" ht="15" x14ac:dyDescent="0.2">
      <c r="A89" s="728" t="s">
        <v>189</v>
      </c>
      <c r="B89" s="729" t="s">
        <v>1604</v>
      </c>
      <c r="C89" s="732">
        <v>20945834.950000003</v>
      </c>
    </row>
    <row r="90" spans="1:3" ht="30" x14ac:dyDescent="0.2">
      <c r="A90" s="728" t="s">
        <v>191</v>
      </c>
      <c r="B90" s="729" t="s">
        <v>1566</v>
      </c>
      <c r="C90" s="732">
        <v>6552</v>
      </c>
    </row>
    <row r="91" spans="1:3" ht="15" x14ac:dyDescent="0.2">
      <c r="A91" s="728" t="s">
        <v>192</v>
      </c>
      <c r="B91" s="729" t="s">
        <v>1620</v>
      </c>
      <c r="C91" s="732">
        <v>791715.42</v>
      </c>
    </row>
    <row r="92" spans="1:3" ht="30" x14ac:dyDescent="0.2">
      <c r="A92" s="728" t="s">
        <v>193</v>
      </c>
      <c r="B92" s="729" t="s">
        <v>1591</v>
      </c>
      <c r="C92" s="732">
        <v>6604895.8100000005</v>
      </c>
    </row>
    <row r="93" spans="1:3" ht="15" x14ac:dyDescent="0.2">
      <c r="A93" s="724" t="s">
        <v>195</v>
      </c>
      <c r="B93" s="725" t="s">
        <v>1121</v>
      </c>
      <c r="C93" s="726">
        <v>13091975.6</v>
      </c>
    </row>
    <row r="94" spans="1:3" ht="30" x14ac:dyDescent="0.2">
      <c r="A94" s="728" t="s">
        <v>196</v>
      </c>
      <c r="B94" s="729" t="s">
        <v>1567</v>
      </c>
      <c r="C94" s="732">
        <v>13091975.6</v>
      </c>
    </row>
    <row r="95" spans="1:3" ht="30" x14ac:dyDescent="0.2">
      <c r="A95" s="724" t="s">
        <v>200</v>
      </c>
      <c r="B95" s="725" t="s">
        <v>201</v>
      </c>
      <c r="C95" s="726">
        <v>6800254.9100000001</v>
      </c>
    </row>
    <row r="96" spans="1:3" ht="30" x14ac:dyDescent="0.2">
      <c r="A96" s="728" t="s">
        <v>202</v>
      </c>
      <c r="B96" s="729" t="s">
        <v>1568</v>
      </c>
      <c r="C96" s="732">
        <v>6800254.9100000001</v>
      </c>
    </row>
    <row r="97" spans="1:3" ht="15" x14ac:dyDescent="0.2">
      <c r="A97" s="724" t="s">
        <v>206</v>
      </c>
      <c r="B97" s="725" t="s">
        <v>207</v>
      </c>
      <c r="C97" s="726">
        <v>2478457.44</v>
      </c>
    </row>
    <row r="98" spans="1:3" ht="15" x14ac:dyDescent="0.2">
      <c r="A98" s="728" t="s">
        <v>208</v>
      </c>
      <c r="B98" s="729" t="s">
        <v>1570</v>
      </c>
      <c r="C98" s="732">
        <v>2478457.44</v>
      </c>
    </row>
    <row r="99" spans="1:3" ht="15" x14ac:dyDescent="0.2">
      <c r="A99" s="724" t="s">
        <v>209</v>
      </c>
      <c r="B99" s="725" t="s">
        <v>210</v>
      </c>
      <c r="C99" s="726">
        <v>10215563.300000001</v>
      </c>
    </row>
    <row r="100" spans="1:3" ht="15" x14ac:dyDescent="0.2">
      <c r="A100" s="728" t="s">
        <v>211</v>
      </c>
      <c r="B100" s="729" t="s">
        <v>1601</v>
      </c>
      <c r="C100" s="732">
        <v>10215563.300000001</v>
      </c>
    </row>
    <row r="101" spans="1:3" ht="15" x14ac:dyDescent="0.2">
      <c r="A101" s="724" t="s">
        <v>213</v>
      </c>
      <c r="B101" s="725" t="s">
        <v>1109</v>
      </c>
      <c r="C101" s="726">
        <v>92716589.300000012</v>
      </c>
    </row>
    <row r="102" spans="1:3" ht="15" x14ac:dyDescent="0.2">
      <c r="A102" s="728" t="s">
        <v>214</v>
      </c>
      <c r="B102" s="729" t="s">
        <v>1621</v>
      </c>
      <c r="C102" s="732">
        <v>74594663.909999996</v>
      </c>
    </row>
    <row r="103" spans="1:3" ht="30" x14ac:dyDescent="0.2">
      <c r="A103" s="728" t="s">
        <v>222</v>
      </c>
      <c r="B103" s="729" t="s">
        <v>1766</v>
      </c>
      <c r="C103" s="732">
        <v>3814917.6500000008</v>
      </c>
    </row>
    <row r="104" spans="1:3" ht="15" x14ac:dyDescent="0.2">
      <c r="A104" s="728" t="s">
        <v>223</v>
      </c>
      <c r="B104" s="906" t="s">
        <v>1560</v>
      </c>
      <c r="C104" s="732">
        <v>4924212.9000000004</v>
      </c>
    </row>
    <row r="105" spans="1:3" ht="15" x14ac:dyDescent="0.2">
      <c r="A105" s="728" t="s">
        <v>224</v>
      </c>
      <c r="B105" s="729" t="s">
        <v>1544</v>
      </c>
      <c r="C105" s="732">
        <v>9382794.8399999999</v>
      </c>
    </row>
    <row r="106" spans="1:3" ht="30" x14ac:dyDescent="0.2">
      <c r="A106" s="724" t="s">
        <v>226</v>
      </c>
      <c r="B106" s="725" t="s">
        <v>227</v>
      </c>
      <c r="C106" s="726">
        <v>7807590.8900000006</v>
      </c>
    </row>
    <row r="107" spans="1:3" ht="30" x14ac:dyDescent="0.2">
      <c r="A107" s="728" t="s">
        <v>228</v>
      </c>
      <c r="B107" s="729" t="s">
        <v>1622</v>
      </c>
      <c r="C107" s="732">
        <v>7807590.8900000006</v>
      </c>
    </row>
    <row r="108" spans="1:3" ht="15" x14ac:dyDescent="0.2">
      <c r="A108" s="724" t="s">
        <v>229</v>
      </c>
      <c r="B108" s="725" t="s">
        <v>230</v>
      </c>
      <c r="C108" s="726">
        <v>45683223.780000001</v>
      </c>
    </row>
    <row r="109" spans="1:3" ht="30" x14ac:dyDescent="0.2">
      <c r="A109" s="728" t="s">
        <v>231</v>
      </c>
      <c r="B109" s="729" t="s">
        <v>1623</v>
      </c>
      <c r="C109" s="732">
        <v>45683223.780000001</v>
      </c>
    </row>
    <row r="110" spans="1:3" ht="15" x14ac:dyDescent="0.2">
      <c r="A110" s="724" t="s">
        <v>237</v>
      </c>
      <c r="B110" s="725" t="s">
        <v>238</v>
      </c>
      <c r="C110" s="726">
        <v>72965114.700000003</v>
      </c>
    </row>
    <row r="111" spans="1:3" ht="15" x14ac:dyDescent="0.2">
      <c r="A111" s="728" t="s">
        <v>239</v>
      </c>
      <c r="B111" s="729" t="s">
        <v>238</v>
      </c>
      <c r="C111" s="732">
        <v>72965114.700000003</v>
      </c>
    </row>
    <row r="112" spans="1:3" ht="15" x14ac:dyDescent="0.2">
      <c r="A112" s="724" t="s">
        <v>241</v>
      </c>
      <c r="B112" s="725" t="s">
        <v>1123</v>
      </c>
      <c r="C112" s="726">
        <v>1649455.53</v>
      </c>
    </row>
    <row r="113" spans="1:3" ht="30" x14ac:dyDescent="0.2">
      <c r="A113" s="728" t="s">
        <v>242</v>
      </c>
      <c r="B113" s="729" t="s">
        <v>1624</v>
      </c>
      <c r="C113" s="732">
        <v>1649455.53</v>
      </c>
    </row>
    <row r="114" spans="1:3" ht="15" x14ac:dyDescent="0.2">
      <c r="A114" s="724" t="s">
        <v>244</v>
      </c>
      <c r="B114" s="725" t="s">
        <v>245</v>
      </c>
      <c r="C114" s="726">
        <v>1586806.42</v>
      </c>
    </row>
    <row r="115" spans="1:3" ht="15" x14ac:dyDescent="0.2">
      <c r="A115" s="728" t="s">
        <v>246</v>
      </c>
      <c r="B115" s="729" t="s">
        <v>1594</v>
      </c>
      <c r="C115" s="732">
        <v>300000</v>
      </c>
    </row>
    <row r="116" spans="1:3" ht="15" x14ac:dyDescent="0.2">
      <c r="A116" s="728" t="s">
        <v>247</v>
      </c>
      <c r="B116" s="729" t="s">
        <v>1578</v>
      </c>
      <c r="C116" s="732">
        <v>1286806.42</v>
      </c>
    </row>
    <row r="117" spans="1:3" ht="15" x14ac:dyDescent="0.2">
      <c r="A117" s="724" t="s">
        <v>248</v>
      </c>
      <c r="B117" s="725" t="s">
        <v>249</v>
      </c>
      <c r="C117" s="726">
        <v>44136499.810000002</v>
      </c>
    </row>
    <row r="118" spans="1:3" ht="30" x14ac:dyDescent="0.2">
      <c r="A118" s="728" t="s">
        <v>251</v>
      </c>
      <c r="B118" s="729" t="s">
        <v>1625</v>
      </c>
      <c r="C118" s="732">
        <v>7133491.8900000006</v>
      </c>
    </row>
    <row r="119" spans="1:3" ht="15" x14ac:dyDescent="0.2">
      <c r="A119" s="728" t="s">
        <v>253</v>
      </c>
      <c r="B119" s="729" t="s">
        <v>74</v>
      </c>
      <c r="C119" s="732">
        <v>37003007.920000002</v>
      </c>
    </row>
    <row r="120" spans="1:3" ht="30" x14ac:dyDescent="0.2">
      <c r="A120" s="724" t="s">
        <v>254</v>
      </c>
      <c r="B120" s="725" t="s">
        <v>255</v>
      </c>
      <c r="C120" s="726">
        <v>9533728.2200000007</v>
      </c>
    </row>
    <row r="121" spans="1:3" ht="15" x14ac:dyDescent="0.2">
      <c r="A121" s="728" t="s">
        <v>256</v>
      </c>
      <c r="B121" s="729" t="s">
        <v>1613</v>
      </c>
      <c r="C121" s="732">
        <v>9533728.2200000007</v>
      </c>
    </row>
    <row r="122" spans="1:3" ht="15" x14ac:dyDescent="0.2">
      <c r="A122" s="724" t="s">
        <v>258</v>
      </c>
      <c r="B122" s="725" t="s">
        <v>259</v>
      </c>
      <c r="C122" s="726">
        <v>28017260.170000002</v>
      </c>
    </row>
    <row r="123" spans="1:3" ht="30" x14ac:dyDescent="0.2">
      <c r="A123" s="728" t="s">
        <v>260</v>
      </c>
      <c r="B123" s="729" t="s">
        <v>1626</v>
      </c>
      <c r="C123" s="732">
        <v>18433591.530000001</v>
      </c>
    </row>
    <row r="124" spans="1:3" ht="15" x14ac:dyDescent="0.2">
      <c r="A124" s="728" t="s">
        <v>262</v>
      </c>
      <c r="B124" s="729" t="s">
        <v>1640</v>
      </c>
      <c r="C124" s="732">
        <v>9123356.370000001</v>
      </c>
    </row>
    <row r="125" spans="1:3" ht="15" x14ac:dyDescent="0.2">
      <c r="A125" s="728" t="s">
        <v>263</v>
      </c>
      <c r="B125" s="729" t="s">
        <v>1593</v>
      </c>
      <c r="C125" s="732">
        <v>460312.27</v>
      </c>
    </row>
    <row r="126" spans="1:3" ht="15" x14ac:dyDescent="0.2">
      <c r="A126" s="724" t="s">
        <v>264</v>
      </c>
      <c r="B126" s="725" t="s">
        <v>265</v>
      </c>
      <c r="C126" s="726">
        <v>19094076.140000001</v>
      </c>
    </row>
    <row r="127" spans="1:3" ht="15" x14ac:dyDescent="0.2">
      <c r="A127" s="728" t="s">
        <v>266</v>
      </c>
      <c r="B127" s="729" t="s">
        <v>1574</v>
      </c>
      <c r="C127" s="732">
        <v>19094076.140000001</v>
      </c>
    </row>
    <row r="128" spans="1:3" ht="15" x14ac:dyDescent="0.2">
      <c r="A128" s="724" t="s">
        <v>267</v>
      </c>
      <c r="B128" s="725" t="s">
        <v>268</v>
      </c>
      <c r="C128" s="726">
        <v>13623602.24</v>
      </c>
    </row>
    <row r="129" spans="1:3" ht="30" x14ac:dyDescent="0.2">
      <c r="A129" s="728" t="s">
        <v>269</v>
      </c>
      <c r="B129" s="729" t="s">
        <v>1627</v>
      </c>
      <c r="C129" s="732">
        <v>13623602.24</v>
      </c>
    </row>
    <row r="130" spans="1:3" ht="15" x14ac:dyDescent="0.2">
      <c r="A130" s="724" t="s">
        <v>270</v>
      </c>
      <c r="B130" s="725" t="s">
        <v>271</v>
      </c>
      <c r="C130" s="726">
        <v>3752608.3099999991</v>
      </c>
    </row>
    <row r="131" spans="1:3" ht="30" x14ac:dyDescent="0.2">
      <c r="A131" s="728" t="s">
        <v>272</v>
      </c>
      <c r="B131" s="729" t="s">
        <v>1628</v>
      </c>
      <c r="C131" s="732">
        <v>3752608.3099999991</v>
      </c>
    </row>
    <row r="132" spans="1:3" ht="15" x14ac:dyDescent="0.2">
      <c r="A132" s="724" t="s">
        <v>273</v>
      </c>
      <c r="B132" s="725" t="s">
        <v>274</v>
      </c>
      <c r="C132" s="726">
        <v>18135817.909999996</v>
      </c>
    </row>
    <row r="133" spans="1:3" ht="30" x14ac:dyDescent="0.2">
      <c r="A133" s="728" t="s">
        <v>275</v>
      </c>
      <c r="B133" s="729" t="s">
        <v>1629</v>
      </c>
      <c r="C133" s="732">
        <v>6580023.5299999993</v>
      </c>
    </row>
    <row r="134" spans="1:3" ht="15" x14ac:dyDescent="0.2">
      <c r="A134" s="728" t="s">
        <v>277</v>
      </c>
      <c r="B134" s="729" t="s">
        <v>1630</v>
      </c>
      <c r="C134" s="732">
        <v>11555794.379999999</v>
      </c>
    </row>
    <row r="135" spans="1:3" ht="15" x14ac:dyDescent="0.2">
      <c r="A135" s="724" t="s">
        <v>280</v>
      </c>
      <c r="B135" s="725" t="s">
        <v>281</v>
      </c>
      <c r="C135" s="726">
        <v>8294208.0200000005</v>
      </c>
    </row>
    <row r="136" spans="1:3" ht="15" x14ac:dyDescent="0.2">
      <c r="A136" s="728" t="s">
        <v>282</v>
      </c>
      <c r="B136" s="729" t="s">
        <v>1632</v>
      </c>
      <c r="C136" s="732">
        <v>5853562.7000000002</v>
      </c>
    </row>
    <row r="137" spans="1:3" ht="15" x14ac:dyDescent="0.2">
      <c r="A137" s="728" t="s">
        <v>283</v>
      </c>
      <c r="B137" s="729" t="s">
        <v>1631</v>
      </c>
      <c r="C137" s="732">
        <v>2440645.3200000003</v>
      </c>
    </row>
    <row r="138" spans="1:3" ht="15" x14ac:dyDescent="0.2">
      <c r="A138" s="724" t="s">
        <v>284</v>
      </c>
      <c r="B138" s="725" t="s">
        <v>1124</v>
      </c>
      <c r="C138" s="726">
        <v>16086603.07</v>
      </c>
    </row>
    <row r="139" spans="1:3" ht="15" x14ac:dyDescent="0.2">
      <c r="A139" s="728" t="s">
        <v>285</v>
      </c>
      <c r="B139" s="729" t="s">
        <v>1578</v>
      </c>
      <c r="C139" s="732">
        <v>5426343.169999999</v>
      </c>
    </row>
    <row r="140" spans="1:3" ht="15" x14ac:dyDescent="0.2">
      <c r="A140" s="728" t="s">
        <v>286</v>
      </c>
      <c r="B140" s="729" t="s">
        <v>1633</v>
      </c>
      <c r="C140" s="732">
        <v>7999869.6100000013</v>
      </c>
    </row>
    <row r="141" spans="1:3" ht="15" x14ac:dyDescent="0.2">
      <c r="A141" s="728" t="s">
        <v>287</v>
      </c>
      <c r="B141" s="729" t="s">
        <v>1634</v>
      </c>
      <c r="C141" s="732">
        <v>2660390.2899999996</v>
      </c>
    </row>
    <row r="142" spans="1:3" ht="15" x14ac:dyDescent="0.2">
      <c r="A142" s="724" t="s">
        <v>288</v>
      </c>
      <c r="B142" s="725" t="s">
        <v>289</v>
      </c>
      <c r="C142" s="726">
        <v>60943278.889999993</v>
      </c>
    </row>
    <row r="143" spans="1:3" ht="30" x14ac:dyDescent="0.2">
      <c r="A143" s="728" t="s">
        <v>290</v>
      </c>
      <c r="B143" s="729" t="s">
        <v>1579</v>
      </c>
      <c r="C143" s="732">
        <v>36040293.399999999</v>
      </c>
    </row>
    <row r="144" spans="1:3" ht="30" x14ac:dyDescent="0.2">
      <c r="A144" s="728" t="s">
        <v>294</v>
      </c>
      <c r="B144" s="729" t="s">
        <v>1635</v>
      </c>
      <c r="C144" s="732">
        <v>19666442.09</v>
      </c>
    </row>
    <row r="145" spans="1:3" ht="15" x14ac:dyDescent="0.2">
      <c r="A145" s="728" t="s">
        <v>295</v>
      </c>
      <c r="B145" s="729" t="s">
        <v>1636</v>
      </c>
      <c r="C145" s="732">
        <v>5236543.3999999994</v>
      </c>
    </row>
    <row r="146" spans="1:3" ht="15" x14ac:dyDescent="0.2">
      <c r="A146" s="724" t="s">
        <v>296</v>
      </c>
      <c r="B146" s="725" t="s">
        <v>297</v>
      </c>
      <c r="C146" s="726">
        <v>20423505.600000001</v>
      </c>
    </row>
    <row r="147" spans="1:3" ht="15" x14ac:dyDescent="0.2">
      <c r="A147" s="728" t="s">
        <v>298</v>
      </c>
      <c r="B147" s="729" t="s">
        <v>1549</v>
      </c>
      <c r="C147" s="732">
        <v>6126876.4500000002</v>
      </c>
    </row>
    <row r="148" spans="1:3" ht="15" x14ac:dyDescent="0.2">
      <c r="A148" s="728" t="s">
        <v>299</v>
      </c>
      <c r="B148" s="729" t="s">
        <v>1580</v>
      </c>
      <c r="C148" s="732">
        <v>4695278.8900000006</v>
      </c>
    </row>
    <row r="149" spans="1:3" ht="15" x14ac:dyDescent="0.2">
      <c r="A149" s="728" t="s">
        <v>300</v>
      </c>
      <c r="B149" s="729" t="s">
        <v>1581</v>
      </c>
      <c r="C149" s="732">
        <v>9601350.2599999998</v>
      </c>
    </row>
    <row r="150" spans="1:3" ht="15" x14ac:dyDescent="0.2">
      <c r="A150" s="724" t="s">
        <v>301</v>
      </c>
      <c r="B150" s="725" t="s">
        <v>302</v>
      </c>
      <c r="C150" s="726">
        <v>257563010.83000001</v>
      </c>
    </row>
    <row r="151" spans="1:3" ht="15" x14ac:dyDescent="0.2">
      <c r="A151" s="728" t="s">
        <v>303</v>
      </c>
      <c r="B151" s="729" t="s">
        <v>1587</v>
      </c>
      <c r="C151" s="732">
        <v>9538948.3499999996</v>
      </c>
    </row>
    <row r="152" spans="1:3" ht="30" x14ac:dyDescent="0.2">
      <c r="A152" s="728" t="s">
        <v>304</v>
      </c>
      <c r="B152" s="729" t="s">
        <v>1588</v>
      </c>
      <c r="C152" s="732">
        <v>70599778.650000006</v>
      </c>
    </row>
    <row r="153" spans="1:3" ht="30" x14ac:dyDescent="0.2">
      <c r="A153" s="728" t="s">
        <v>305</v>
      </c>
      <c r="B153" s="729" t="s">
        <v>1589</v>
      </c>
      <c r="C153" s="732">
        <v>6259755.9100000001</v>
      </c>
    </row>
    <row r="154" spans="1:3" ht="15" x14ac:dyDescent="0.2">
      <c r="A154" s="728" t="s">
        <v>306</v>
      </c>
      <c r="B154" s="729" t="s">
        <v>1585</v>
      </c>
      <c r="C154" s="732">
        <v>85873264.730000004</v>
      </c>
    </row>
    <row r="155" spans="1:3" ht="15" x14ac:dyDescent="0.2">
      <c r="A155" s="728" t="s">
        <v>308</v>
      </c>
      <c r="B155" s="729" t="s">
        <v>1582</v>
      </c>
      <c r="C155" s="732">
        <v>9928617.1799999997</v>
      </c>
    </row>
    <row r="156" spans="1:3" ht="15" x14ac:dyDescent="0.2">
      <c r="A156" s="728" t="s">
        <v>309</v>
      </c>
      <c r="B156" s="729" t="s">
        <v>1583</v>
      </c>
      <c r="C156" s="732">
        <v>56755061.840000004</v>
      </c>
    </row>
    <row r="157" spans="1:3" ht="15" x14ac:dyDescent="0.2">
      <c r="A157" s="728" t="s">
        <v>312</v>
      </c>
      <c r="B157" s="729" t="s">
        <v>1584</v>
      </c>
      <c r="C157" s="732">
        <v>11567214.649999999</v>
      </c>
    </row>
    <row r="158" spans="1:3" ht="30" x14ac:dyDescent="0.2">
      <c r="A158" s="728" t="s">
        <v>313</v>
      </c>
      <c r="B158" s="729" t="s">
        <v>1586</v>
      </c>
      <c r="C158" s="732">
        <v>7040369.5199999996</v>
      </c>
    </row>
    <row r="159" spans="1:3" ht="30" x14ac:dyDescent="0.2">
      <c r="A159" s="724" t="s">
        <v>314</v>
      </c>
      <c r="B159" s="725" t="s">
        <v>1122</v>
      </c>
      <c r="C159" s="726">
        <v>23469854.910000004</v>
      </c>
    </row>
    <row r="160" spans="1:3" ht="15" x14ac:dyDescent="0.2">
      <c r="A160" s="728" t="s">
        <v>315</v>
      </c>
      <c r="B160" s="729" t="s">
        <v>1565</v>
      </c>
      <c r="C160" s="732">
        <v>5136529.92</v>
      </c>
    </row>
    <row r="161" spans="1:3" ht="15" x14ac:dyDescent="0.2">
      <c r="A161" s="728" t="s">
        <v>317</v>
      </c>
      <c r="B161" s="729" t="s">
        <v>1592</v>
      </c>
      <c r="C161" s="732">
        <v>1235000</v>
      </c>
    </row>
    <row r="162" spans="1:3" ht="30" x14ac:dyDescent="0.2">
      <c r="A162" s="728" t="s">
        <v>318</v>
      </c>
      <c r="B162" s="729" t="s">
        <v>1639</v>
      </c>
      <c r="C162" s="732">
        <v>17098324.990000002</v>
      </c>
    </row>
    <row r="163" spans="1:3" ht="30" x14ac:dyDescent="0.2">
      <c r="A163" s="724" t="s">
        <v>319</v>
      </c>
      <c r="B163" s="725" t="s">
        <v>320</v>
      </c>
      <c r="C163" s="726">
        <v>410802371.96000004</v>
      </c>
    </row>
    <row r="164" spans="1:3" ht="15" x14ac:dyDescent="0.2">
      <c r="A164" s="728" t="s">
        <v>321</v>
      </c>
      <c r="B164" s="729" t="s">
        <v>1590</v>
      </c>
      <c r="C164" s="732">
        <v>270528993.85000002</v>
      </c>
    </row>
    <row r="165" spans="1:3" ht="15" x14ac:dyDescent="0.2">
      <c r="A165" s="728" t="s">
        <v>329</v>
      </c>
      <c r="B165" s="729" t="s">
        <v>1637</v>
      </c>
      <c r="C165" s="732">
        <v>140273378.11000001</v>
      </c>
    </row>
    <row r="166" spans="1:3" ht="30" x14ac:dyDescent="0.2">
      <c r="A166" s="724" t="s">
        <v>331</v>
      </c>
      <c r="B166" s="725" t="s">
        <v>1125</v>
      </c>
      <c r="C166" s="726">
        <v>86678218.070000008</v>
      </c>
    </row>
    <row r="167" spans="1:3" ht="30" x14ac:dyDescent="0.2">
      <c r="A167" s="728" t="s">
        <v>332</v>
      </c>
      <c r="B167" s="729" t="s">
        <v>1571</v>
      </c>
      <c r="C167" s="732">
        <v>5735267.1899999995</v>
      </c>
    </row>
    <row r="168" spans="1:3" ht="30" x14ac:dyDescent="0.2">
      <c r="A168" s="728" t="s">
        <v>334</v>
      </c>
      <c r="B168" s="729" t="s">
        <v>1572</v>
      </c>
      <c r="C168" s="732">
        <v>72940751.620000005</v>
      </c>
    </row>
    <row r="169" spans="1:3" ht="15" x14ac:dyDescent="0.2">
      <c r="A169" s="728" t="s">
        <v>336</v>
      </c>
      <c r="B169" s="729" t="s">
        <v>1573</v>
      </c>
      <c r="C169" s="732">
        <v>8002199.2600000007</v>
      </c>
    </row>
    <row r="170" spans="1:3" ht="30" x14ac:dyDescent="0.2">
      <c r="A170" s="724" t="s">
        <v>337</v>
      </c>
      <c r="B170" s="725" t="s">
        <v>338</v>
      </c>
      <c r="C170" s="726">
        <v>18613592</v>
      </c>
    </row>
    <row r="171" spans="1:3" ht="15" x14ac:dyDescent="0.2">
      <c r="A171" s="728" t="s">
        <v>339</v>
      </c>
      <c r="B171" s="729" t="s">
        <v>1605</v>
      </c>
      <c r="C171" s="732">
        <v>18613592</v>
      </c>
    </row>
    <row r="172" spans="1:3" ht="30" x14ac:dyDescent="0.2">
      <c r="A172" s="724" t="s">
        <v>340</v>
      </c>
      <c r="B172" s="725" t="s">
        <v>341</v>
      </c>
      <c r="C172" s="726">
        <v>27052479.439999998</v>
      </c>
    </row>
    <row r="173" spans="1:3" ht="30" x14ac:dyDescent="0.2">
      <c r="A173" s="728" t="s">
        <v>342</v>
      </c>
      <c r="B173" s="729" t="s">
        <v>1569</v>
      </c>
      <c r="C173" s="732">
        <v>27052479.439999998</v>
      </c>
    </row>
    <row r="174" spans="1:3" ht="15" x14ac:dyDescent="0.2">
      <c r="A174" s="724" t="s">
        <v>346</v>
      </c>
      <c r="B174" s="725" t="s">
        <v>347</v>
      </c>
      <c r="C174" s="726">
        <v>14703933.630000001</v>
      </c>
    </row>
    <row r="175" spans="1:3" ht="15" x14ac:dyDescent="0.2">
      <c r="A175" s="728" t="s">
        <v>348</v>
      </c>
      <c r="B175" s="729" t="s">
        <v>1575</v>
      </c>
      <c r="C175" s="732">
        <v>2494173.66</v>
      </c>
    </row>
    <row r="176" spans="1:3" ht="15" x14ac:dyDescent="0.2">
      <c r="A176" s="728" t="s">
        <v>349</v>
      </c>
      <c r="B176" s="729" t="s">
        <v>1576</v>
      </c>
      <c r="C176" s="732">
        <v>1479667.13</v>
      </c>
    </row>
    <row r="177" spans="1:3" ht="45" x14ac:dyDescent="0.2">
      <c r="A177" s="728" t="s">
        <v>350</v>
      </c>
      <c r="B177" s="729" t="s">
        <v>1577</v>
      </c>
      <c r="C177" s="732">
        <v>2679059.8200000003</v>
      </c>
    </row>
    <row r="178" spans="1:3" ht="15" x14ac:dyDescent="0.2">
      <c r="A178" s="728" t="s">
        <v>351</v>
      </c>
      <c r="B178" s="729" t="s">
        <v>1578</v>
      </c>
      <c r="C178" s="732">
        <v>8051033.0200000005</v>
      </c>
    </row>
    <row r="179" spans="1:3" ht="15" x14ac:dyDescent="0.2">
      <c r="A179" s="724" t="s">
        <v>352</v>
      </c>
      <c r="B179" s="781" t="s">
        <v>1126</v>
      </c>
      <c r="C179" s="726">
        <v>312800744.82999998</v>
      </c>
    </row>
    <row r="180" spans="1:3" ht="30" x14ac:dyDescent="0.2">
      <c r="A180" s="728" t="s">
        <v>354</v>
      </c>
      <c r="B180" s="883" t="s">
        <v>1606</v>
      </c>
      <c r="C180" s="732">
        <v>111087408</v>
      </c>
    </row>
    <row r="181" spans="1:3" ht="15" x14ac:dyDescent="0.2">
      <c r="A181" s="728" t="s">
        <v>357</v>
      </c>
      <c r="B181" s="883" t="s">
        <v>1607</v>
      </c>
      <c r="C181" s="732">
        <v>96643134</v>
      </c>
    </row>
    <row r="182" spans="1:3" ht="30" x14ac:dyDescent="0.2">
      <c r="A182" s="728" t="s">
        <v>358</v>
      </c>
      <c r="B182" s="883" t="s">
        <v>1608</v>
      </c>
      <c r="C182" s="732">
        <v>42117160</v>
      </c>
    </row>
    <row r="183" spans="1:3" ht="15" x14ac:dyDescent="0.2">
      <c r="A183" s="728" t="s">
        <v>359</v>
      </c>
      <c r="B183" s="883" t="s">
        <v>1609</v>
      </c>
      <c r="C183" s="732">
        <v>19821548.479999997</v>
      </c>
    </row>
    <row r="184" spans="1:3" ht="30" x14ac:dyDescent="0.2">
      <c r="A184" s="728" t="s">
        <v>360</v>
      </c>
      <c r="B184" s="883" t="s">
        <v>1610</v>
      </c>
      <c r="C184" s="732">
        <v>5531970.7199999997</v>
      </c>
    </row>
    <row r="185" spans="1:3" ht="15" x14ac:dyDescent="0.2">
      <c r="A185" s="728" t="s">
        <v>361</v>
      </c>
      <c r="B185" s="883" t="s">
        <v>1529</v>
      </c>
      <c r="C185" s="732">
        <v>2061990.69</v>
      </c>
    </row>
    <row r="186" spans="1:3" ht="15" x14ac:dyDescent="0.2">
      <c r="A186" s="728" t="s">
        <v>362</v>
      </c>
      <c r="B186" s="883" t="s">
        <v>757</v>
      </c>
      <c r="C186" s="732">
        <v>12767181.66</v>
      </c>
    </row>
    <row r="187" spans="1:3" ht="30" x14ac:dyDescent="0.2">
      <c r="A187" s="728" t="s">
        <v>173</v>
      </c>
      <c r="B187" s="883" t="s">
        <v>1876</v>
      </c>
      <c r="C187" s="732">
        <v>17770351</v>
      </c>
    </row>
    <row r="188" spans="1:3" ht="15" x14ac:dyDescent="0.2">
      <c r="A188" s="728" t="s">
        <v>364</v>
      </c>
      <c r="B188" s="883" t="s">
        <v>1551</v>
      </c>
      <c r="C188" s="732">
        <v>5000000.28</v>
      </c>
    </row>
    <row r="189" spans="1:3" ht="15" x14ac:dyDescent="0.2">
      <c r="A189" s="724" t="s">
        <v>365</v>
      </c>
      <c r="B189" s="725" t="s">
        <v>366</v>
      </c>
      <c r="C189" s="726">
        <v>28484802.409999996</v>
      </c>
    </row>
    <row r="190" spans="1:3" ht="15" x14ac:dyDescent="0.2">
      <c r="A190" s="728" t="s">
        <v>316</v>
      </c>
      <c r="B190" s="729" t="s">
        <v>1638</v>
      </c>
      <c r="C190" s="732">
        <v>3036034.06</v>
      </c>
    </row>
    <row r="191" spans="1:3" ht="15" x14ac:dyDescent="0.2">
      <c r="A191" s="728" t="s">
        <v>367</v>
      </c>
      <c r="B191" s="729" t="s">
        <v>1595</v>
      </c>
      <c r="C191" s="732">
        <v>3353141.51</v>
      </c>
    </row>
    <row r="192" spans="1:3" ht="30" x14ac:dyDescent="0.2">
      <c r="A192" s="728" t="s">
        <v>368</v>
      </c>
      <c r="B192" s="729" t="s">
        <v>1596</v>
      </c>
      <c r="C192" s="732">
        <v>6548368.7999999998</v>
      </c>
    </row>
    <row r="193" spans="1:3" ht="30" x14ac:dyDescent="0.2">
      <c r="A193" s="728" t="s">
        <v>370</v>
      </c>
      <c r="B193" s="729" t="s">
        <v>1597</v>
      </c>
      <c r="C193" s="732">
        <v>1344311.11</v>
      </c>
    </row>
    <row r="194" spans="1:3" ht="15" x14ac:dyDescent="0.2">
      <c r="A194" s="728" t="s">
        <v>372</v>
      </c>
      <c r="B194" s="729" t="s">
        <v>1598</v>
      </c>
      <c r="C194" s="732">
        <v>13882946.929999998</v>
      </c>
    </row>
    <row r="195" spans="1:3" ht="15" x14ac:dyDescent="0.2">
      <c r="A195" s="728" t="s">
        <v>373</v>
      </c>
      <c r="B195" s="729" t="s">
        <v>1599</v>
      </c>
      <c r="C195" s="732">
        <v>320000</v>
      </c>
    </row>
    <row r="196" spans="1:3" ht="15" x14ac:dyDescent="0.2">
      <c r="A196" s="724" t="s">
        <v>374</v>
      </c>
      <c r="B196" s="725" t="s">
        <v>375</v>
      </c>
      <c r="C196" s="726">
        <v>37329871.64976</v>
      </c>
    </row>
    <row r="197" spans="1:3" ht="15" x14ac:dyDescent="0.2">
      <c r="A197" s="728" t="s">
        <v>376</v>
      </c>
      <c r="B197" s="729" t="s">
        <v>1546</v>
      </c>
      <c r="C197" s="732">
        <v>37329871.64976</v>
      </c>
    </row>
    <row r="198" spans="1:3" ht="30" x14ac:dyDescent="0.2">
      <c r="A198" s="724" t="s">
        <v>380</v>
      </c>
      <c r="B198" s="725" t="s">
        <v>1127</v>
      </c>
      <c r="C198" s="726">
        <v>19025357.579999998</v>
      </c>
    </row>
    <row r="199" spans="1:3" ht="15" x14ac:dyDescent="0.2">
      <c r="A199" s="728" t="s">
        <v>381</v>
      </c>
      <c r="B199" s="729" t="s">
        <v>1547</v>
      </c>
      <c r="C199" s="732">
        <v>19025357.579999998</v>
      </c>
    </row>
    <row r="200" spans="1:3" ht="30" x14ac:dyDescent="0.2">
      <c r="A200" s="724" t="s">
        <v>382</v>
      </c>
      <c r="B200" s="725" t="s">
        <v>384</v>
      </c>
      <c r="C200" s="726">
        <v>32108248</v>
      </c>
    </row>
    <row r="201" spans="1:3" ht="30" x14ac:dyDescent="0.2">
      <c r="A201" s="728" t="s">
        <v>383</v>
      </c>
      <c r="B201" s="729" t="s">
        <v>384</v>
      </c>
      <c r="C201" s="732">
        <v>32108248</v>
      </c>
    </row>
    <row r="202" spans="1:3" ht="15" x14ac:dyDescent="0.2">
      <c r="A202" s="724" t="s">
        <v>385</v>
      </c>
      <c r="B202" s="725" t="s">
        <v>386</v>
      </c>
      <c r="C202" s="726">
        <v>5473846</v>
      </c>
    </row>
    <row r="203" spans="1:3" ht="15" x14ac:dyDescent="0.2">
      <c r="A203" s="728" t="s">
        <v>387</v>
      </c>
      <c r="B203" s="729" t="s">
        <v>386</v>
      </c>
      <c r="C203" s="732">
        <v>5473846</v>
      </c>
    </row>
    <row r="204" spans="1:3" ht="15" x14ac:dyDescent="0.2">
      <c r="A204" s="724" t="s">
        <v>388</v>
      </c>
      <c r="B204" s="725" t="s">
        <v>1329</v>
      </c>
      <c r="C204" s="726">
        <v>3290921</v>
      </c>
    </row>
    <row r="205" spans="1:3" ht="15" x14ac:dyDescent="0.2">
      <c r="A205" s="728" t="s">
        <v>389</v>
      </c>
      <c r="B205" s="729" t="s">
        <v>1548</v>
      </c>
      <c r="C205" s="732">
        <v>3290921</v>
      </c>
    </row>
    <row r="206" spans="1:3" ht="45" x14ac:dyDescent="0.2">
      <c r="A206" s="724" t="s">
        <v>390</v>
      </c>
      <c r="B206" s="725" t="s">
        <v>1129</v>
      </c>
      <c r="C206" s="726">
        <v>15309132</v>
      </c>
    </row>
    <row r="207" spans="1:3" ht="15" x14ac:dyDescent="0.2">
      <c r="A207" s="728" t="s">
        <v>391</v>
      </c>
      <c r="B207" s="729" t="s">
        <v>1549</v>
      </c>
      <c r="C207" s="732">
        <v>15309132</v>
      </c>
    </row>
    <row r="208" spans="1:3" ht="30" x14ac:dyDescent="0.2">
      <c r="A208" s="724" t="s">
        <v>392</v>
      </c>
      <c r="B208" s="725" t="s">
        <v>393</v>
      </c>
      <c r="C208" s="726">
        <v>4055948</v>
      </c>
    </row>
    <row r="209" spans="1:3" ht="15" x14ac:dyDescent="0.2">
      <c r="A209" s="728" t="s">
        <v>394</v>
      </c>
      <c r="B209" s="729" t="s">
        <v>1549</v>
      </c>
      <c r="C209" s="732">
        <v>4055948</v>
      </c>
    </row>
    <row r="210" spans="1:3" ht="15" x14ac:dyDescent="0.2">
      <c r="A210" s="724" t="s">
        <v>395</v>
      </c>
      <c r="B210" s="725" t="s">
        <v>396</v>
      </c>
      <c r="C210" s="726">
        <v>1500000</v>
      </c>
    </row>
    <row r="211" spans="1:3" ht="30" x14ac:dyDescent="0.2">
      <c r="A211" s="728" t="s">
        <v>397</v>
      </c>
      <c r="B211" s="729" t="s">
        <v>1543</v>
      </c>
      <c r="C211" s="732">
        <v>1500000</v>
      </c>
    </row>
    <row r="212" spans="1:3" ht="15" x14ac:dyDescent="0.2">
      <c r="A212" s="724" t="s">
        <v>398</v>
      </c>
      <c r="B212" s="725" t="s">
        <v>399</v>
      </c>
      <c r="C212" s="726">
        <v>4630297</v>
      </c>
    </row>
    <row r="213" spans="1:3" ht="15" x14ac:dyDescent="0.2">
      <c r="A213" s="728" t="s">
        <v>400</v>
      </c>
      <c r="B213" s="729" t="s">
        <v>399</v>
      </c>
      <c r="C213" s="732">
        <v>3630297</v>
      </c>
    </row>
    <row r="214" spans="1:3" ht="30" x14ac:dyDescent="0.2">
      <c r="A214" s="728" t="s">
        <v>401</v>
      </c>
      <c r="B214" s="729" t="s">
        <v>1542</v>
      </c>
      <c r="C214" s="732">
        <v>1000000</v>
      </c>
    </row>
    <row r="215" spans="1:3" ht="30" x14ac:dyDescent="0.2">
      <c r="A215" s="724" t="s">
        <v>402</v>
      </c>
      <c r="B215" s="725" t="s">
        <v>403</v>
      </c>
      <c r="C215" s="726">
        <v>2949425</v>
      </c>
    </row>
    <row r="216" spans="1:3" ht="30" x14ac:dyDescent="0.2">
      <c r="A216" s="728" t="s">
        <v>404</v>
      </c>
      <c r="B216" s="729" t="s">
        <v>403</v>
      </c>
      <c r="C216" s="732">
        <v>2949425</v>
      </c>
    </row>
    <row r="217" spans="1:3" ht="30" x14ac:dyDescent="0.2">
      <c r="A217" s="724" t="s">
        <v>405</v>
      </c>
      <c r="B217" s="725" t="s">
        <v>406</v>
      </c>
      <c r="C217" s="726">
        <v>8082084.7999999998</v>
      </c>
    </row>
    <row r="218" spans="1:3" ht="30" x14ac:dyDescent="0.2">
      <c r="A218" s="728" t="s">
        <v>407</v>
      </c>
      <c r="B218" s="729" t="s">
        <v>406</v>
      </c>
      <c r="C218" s="732">
        <v>8082084.7999999998</v>
      </c>
    </row>
    <row r="219" spans="1:3" ht="45" x14ac:dyDescent="0.2">
      <c r="A219" s="724" t="s">
        <v>408</v>
      </c>
      <c r="B219" s="725" t="s">
        <v>409</v>
      </c>
      <c r="C219" s="726">
        <v>4710160</v>
      </c>
    </row>
    <row r="220" spans="1:3" ht="30" x14ac:dyDescent="0.2">
      <c r="A220" s="728" t="s">
        <v>410</v>
      </c>
      <c r="B220" s="729" t="s">
        <v>1545</v>
      </c>
      <c r="C220" s="732">
        <v>4710160</v>
      </c>
    </row>
  </sheetData>
  <mergeCells count="3">
    <mergeCell ref="A1:C1"/>
    <mergeCell ref="A2:C2"/>
    <mergeCell ref="A3:C3"/>
  </mergeCells>
  <conditionalFormatting sqref="A4:B4">
    <cfRule type="notContainsBlanks" dxfId="5" priority="2">
      <formula>LEN(TRIM(A4))&gt;0</formula>
    </cfRule>
  </conditionalFormatting>
  <conditionalFormatting sqref="C4">
    <cfRule type="notContainsBlanks" dxfId="4" priority="1">
      <formula>LEN(TRIM(C4))&gt;0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4FDE-E10B-483D-B5BF-6CD07187B71B}">
  <dimension ref="A1:D52"/>
  <sheetViews>
    <sheetView workbookViewId="0">
      <selection activeCell="D4" sqref="D4"/>
    </sheetView>
  </sheetViews>
  <sheetFormatPr baseColWidth="10" defaultRowHeight="14.25" x14ac:dyDescent="0.2"/>
  <cols>
    <col min="1" max="1" width="16.375" customWidth="1"/>
    <col min="2" max="2" width="59.5" customWidth="1"/>
    <col min="3" max="3" width="17.625" customWidth="1"/>
    <col min="4" max="4" width="10.875" customWidth="1"/>
  </cols>
  <sheetData>
    <row r="1" spans="1:4" ht="15" x14ac:dyDescent="0.2">
      <c r="A1" s="980" t="s">
        <v>1496</v>
      </c>
      <c r="B1" s="980"/>
      <c r="C1" s="980"/>
      <c r="D1" s="980"/>
    </row>
    <row r="2" spans="1:4" ht="15" x14ac:dyDescent="0.2">
      <c r="A2" s="977" t="s">
        <v>1509</v>
      </c>
      <c r="B2" s="977"/>
      <c r="C2" s="977"/>
      <c r="D2" s="977"/>
    </row>
    <row r="3" spans="1:4" ht="44.25" customHeight="1" x14ac:dyDescent="0.2">
      <c r="A3" s="977" t="s">
        <v>1897</v>
      </c>
      <c r="B3" s="977"/>
      <c r="C3" s="977"/>
      <c r="D3" s="977"/>
    </row>
    <row r="4" spans="1:4" ht="60" x14ac:dyDescent="0.2">
      <c r="A4" s="717" t="s">
        <v>1658</v>
      </c>
      <c r="B4" s="717" t="s">
        <v>0</v>
      </c>
      <c r="C4" s="979" t="s">
        <v>1174</v>
      </c>
      <c r="D4" s="981" t="s">
        <v>1898</v>
      </c>
    </row>
    <row r="5" spans="1:4" ht="15" x14ac:dyDescent="0.2">
      <c r="A5" s="713"/>
      <c r="B5" s="713" t="s">
        <v>1</v>
      </c>
      <c r="C5" s="718">
        <f>SUM(C6,C8,C10,C12,C15,C17,C20,C23,C39,C42,C47,C50)</f>
        <v>610942868.72000003</v>
      </c>
      <c r="D5" s="982">
        <f>SUM(D6:D50)</f>
        <v>1</v>
      </c>
    </row>
    <row r="6" spans="1:4" ht="15" x14ac:dyDescent="0.2">
      <c r="A6" s="983" t="s">
        <v>185</v>
      </c>
      <c r="B6" s="984" t="s">
        <v>186</v>
      </c>
      <c r="C6" s="985">
        <f>SUM(C7)</f>
        <v>3500000</v>
      </c>
      <c r="D6" s="986">
        <f>C6/$C$5</f>
        <v>5.7288499124851519E-3</v>
      </c>
    </row>
    <row r="7" spans="1:4" ht="15" x14ac:dyDescent="0.2">
      <c r="A7" s="889">
        <v>3921</v>
      </c>
      <c r="B7" s="987" t="s">
        <v>33</v>
      </c>
      <c r="C7" s="988">
        <v>3500000</v>
      </c>
    </row>
    <row r="8" spans="1:4" ht="15" x14ac:dyDescent="0.2">
      <c r="A8" s="983" t="s">
        <v>213</v>
      </c>
      <c r="B8" s="984" t="s">
        <v>1109</v>
      </c>
      <c r="C8" s="985">
        <f>SUM(C9)</f>
        <v>8110245</v>
      </c>
      <c r="D8" s="986">
        <f>C8/$C$5</f>
        <v>1.3274964673852327E-2</v>
      </c>
    </row>
    <row r="9" spans="1:4" ht="15" x14ac:dyDescent="0.25">
      <c r="A9" s="889">
        <v>1441</v>
      </c>
      <c r="B9" s="987" t="s">
        <v>216</v>
      </c>
      <c r="C9" s="895">
        <v>8110245</v>
      </c>
    </row>
    <row r="10" spans="1:4" ht="15" x14ac:dyDescent="0.2">
      <c r="A10" s="983" t="s">
        <v>229</v>
      </c>
      <c r="B10" s="984" t="s">
        <v>230</v>
      </c>
      <c r="C10" s="985">
        <f>SUM(C11)</f>
        <v>9149681</v>
      </c>
      <c r="D10" s="986">
        <f>C10/$C$5</f>
        <v>1.4976328341747731E-2</v>
      </c>
    </row>
    <row r="11" spans="1:4" ht="15" x14ac:dyDescent="0.2">
      <c r="A11" s="889">
        <v>3981</v>
      </c>
      <c r="B11" s="987" t="s">
        <v>234</v>
      </c>
      <c r="C11" s="989">
        <v>9149681</v>
      </c>
    </row>
    <row r="12" spans="1:4" ht="15" x14ac:dyDescent="0.2">
      <c r="A12" s="983" t="s">
        <v>248</v>
      </c>
      <c r="B12" s="984" t="s">
        <v>249</v>
      </c>
      <c r="C12" s="985">
        <f>SUM(C13:C14)</f>
        <v>37003007.920000002</v>
      </c>
      <c r="D12" s="986">
        <f>C12/$C$5</f>
        <v>6.0567051052622688E-2</v>
      </c>
    </row>
    <row r="13" spans="1:4" ht="15" x14ac:dyDescent="0.2">
      <c r="A13" s="889">
        <v>9111</v>
      </c>
      <c r="B13" s="987" t="s">
        <v>75</v>
      </c>
      <c r="C13" s="989">
        <v>23536625.920000002</v>
      </c>
    </row>
    <row r="14" spans="1:4" ht="15" x14ac:dyDescent="0.2">
      <c r="A14" s="889">
        <v>9211</v>
      </c>
      <c r="B14" s="987" t="s">
        <v>76</v>
      </c>
      <c r="C14" s="989">
        <v>13466382</v>
      </c>
    </row>
    <row r="15" spans="1:4" ht="15" x14ac:dyDescent="0.2">
      <c r="A15" s="983" t="s">
        <v>288</v>
      </c>
      <c r="B15" s="984" t="s">
        <v>289</v>
      </c>
      <c r="C15" s="985">
        <f>SUM(C16)</f>
        <v>10000000</v>
      </c>
      <c r="D15" s="986">
        <f>C15/$C$5</f>
        <v>1.6368142607100435E-2</v>
      </c>
    </row>
    <row r="16" spans="1:4" ht="15" x14ac:dyDescent="0.2">
      <c r="A16" s="889">
        <v>2481</v>
      </c>
      <c r="B16" s="987" t="s">
        <v>292</v>
      </c>
      <c r="C16" s="988">
        <v>10000000</v>
      </c>
    </row>
    <row r="17" spans="1:4" ht="15" x14ac:dyDescent="0.2">
      <c r="A17" s="983" t="s">
        <v>301</v>
      </c>
      <c r="B17" s="984" t="s">
        <v>302</v>
      </c>
      <c r="C17" s="985">
        <f>SUM(C18:C19)</f>
        <v>75192400</v>
      </c>
      <c r="D17" s="986">
        <f>C17/$C$5</f>
        <v>0.12307599261701388</v>
      </c>
    </row>
    <row r="18" spans="1:4" ht="15" x14ac:dyDescent="0.2">
      <c r="A18" s="889">
        <v>2461</v>
      </c>
      <c r="B18" s="987" t="s">
        <v>115</v>
      </c>
      <c r="C18" s="988">
        <v>4500000</v>
      </c>
    </row>
    <row r="19" spans="1:4" ht="15" x14ac:dyDescent="0.2">
      <c r="A19" s="889">
        <v>3112</v>
      </c>
      <c r="B19" s="987" t="s">
        <v>307</v>
      </c>
      <c r="C19" s="990">
        <v>70692400</v>
      </c>
    </row>
    <row r="20" spans="1:4" ht="15" x14ac:dyDescent="0.2">
      <c r="A20" s="983" t="s">
        <v>314</v>
      </c>
      <c r="B20" s="984" t="s">
        <v>1122</v>
      </c>
      <c r="C20" s="985">
        <f>SUM(C21:C22)</f>
        <v>8886205</v>
      </c>
      <c r="D20" s="986">
        <f>C20/$C$5</f>
        <v>1.4545067067592891E-2</v>
      </c>
    </row>
    <row r="21" spans="1:4" ht="15" x14ac:dyDescent="0.2">
      <c r="A21" s="889">
        <v>2711</v>
      </c>
      <c r="B21" s="987" t="s">
        <v>27</v>
      </c>
      <c r="C21" s="990">
        <v>386205</v>
      </c>
    </row>
    <row r="22" spans="1:4" ht="15" x14ac:dyDescent="0.2">
      <c r="A22" s="889">
        <v>2211</v>
      </c>
      <c r="B22" s="987" t="s">
        <v>1816</v>
      </c>
      <c r="C22" s="990">
        <v>8500000</v>
      </c>
    </row>
    <row r="23" spans="1:4" ht="15" x14ac:dyDescent="0.2">
      <c r="A23" s="983" t="s">
        <v>319</v>
      </c>
      <c r="B23" s="984" t="s">
        <v>320</v>
      </c>
      <c r="C23" s="985">
        <f>SUM(C24:C38)</f>
        <v>130918161.32000001</v>
      </c>
      <c r="D23" s="986">
        <f>C23/$C$5</f>
        <v>0.21428871343451403</v>
      </c>
    </row>
    <row r="24" spans="1:4" ht="15" x14ac:dyDescent="0.25">
      <c r="A24" s="889">
        <v>1413</v>
      </c>
      <c r="B24" s="987" t="s">
        <v>13</v>
      </c>
      <c r="C24" s="895">
        <v>23357212.149999999</v>
      </c>
    </row>
    <row r="25" spans="1:4" ht="15" x14ac:dyDescent="0.25">
      <c r="A25" s="889">
        <v>1421</v>
      </c>
      <c r="B25" s="987" t="s">
        <v>15</v>
      </c>
      <c r="C25" s="895">
        <v>8909808.5800000001</v>
      </c>
    </row>
    <row r="26" spans="1:4" ht="15" x14ac:dyDescent="0.25">
      <c r="A26" s="889">
        <v>1431</v>
      </c>
      <c r="B26" s="987" t="s">
        <v>16</v>
      </c>
      <c r="C26" s="895">
        <v>8966732.3300000001</v>
      </c>
    </row>
    <row r="27" spans="1:4" ht="15" x14ac:dyDescent="0.25">
      <c r="A27" s="889">
        <v>1441</v>
      </c>
      <c r="B27" s="987" t="s">
        <v>216</v>
      </c>
      <c r="C27" s="895">
        <v>2310532.9500000002</v>
      </c>
    </row>
    <row r="28" spans="1:4" ht="15" x14ac:dyDescent="0.25">
      <c r="A28" s="889">
        <v>1522</v>
      </c>
      <c r="B28" s="987" t="s">
        <v>233</v>
      </c>
      <c r="C28" s="895">
        <v>4000000</v>
      </c>
    </row>
    <row r="29" spans="1:4" ht="15" x14ac:dyDescent="0.2">
      <c r="A29" s="889">
        <v>2611</v>
      </c>
      <c r="B29" s="987" t="s">
        <v>324</v>
      </c>
      <c r="C29" s="990">
        <v>23000000</v>
      </c>
    </row>
    <row r="30" spans="1:4" ht="15" x14ac:dyDescent="0.2">
      <c r="A30" s="889">
        <v>2711</v>
      </c>
      <c r="B30" s="987" t="s">
        <v>27</v>
      </c>
      <c r="C30" s="990">
        <v>7600000</v>
      </c>
    </row>
    <row r="31" spans="1:4" ht="15" x14ac:dyDescent="0.2">
      <c r="A31" s="889">
        <v>3451</v>
      </c>
      <c r="B31" s="987" t="s">
        <v>1827</v>
      </c>
      <c r="C31" s="990">
        <v>8187967</v>
      </c>
    </row>
    <row r="32" spans="1:4" ht="15" x14ac:dyDescent="0.2">
      <c r="A32" s="889">
        <v>3551</v>
      </c>
      <c r="B32" s="987" t="s">
        <v>30</v>
      </c>
      <c r="C32" s="990">
        <v>10000000</v>
      </c>
    </row>
    <row r="33" spans="1:4" ht="15" x14ac:dyDescent="0.2">
      <c r="A33" s="889">
        <v>3981</v>
      </c>
      <c r="B33" s="987" t="s">
        <v>234</v>
      </c>
      <c r="C33" s="988">
        <v>3163603</v>
      </c>
    </row>
    <row r="34" spans="1:4" ht="15" x14ac:dyDescent="0.25">
      <c r="A34" s="889">
        <v>1413</v>
      </c>
      <c r="B34" s="987" t="s">
        <v>13</v>
      </c>
      <c r="C34" s="895">
        <v>17998211.68</v>
      </c>
    </row>
    <row r="35" spans="1:4" ht="15" x14ac:dyDescent="0.25">
      <c r="A35" s="889">
        <v>1421</v>
      </c>
      <c r="B35" s="987" t="s">
        <v>15</v>
      </c>
      <c r="C35" s="895">
        <v>5315629.76</v>
      </c>
    </row>
    <row r="36" spans="1:4" ht="15" x14ac:dyDescent="0.25">
      <c r="A36" s="889">
        <v>1431</v>
      </c>
      <c r="B36" s="987" t="s">
        <v>16</v>
      </c>
      <c r="C36" s="895">
        <v>4808463.87</v>
      </c>
    </row>
    <row r="37" spans="1:4" ht="15" x14ac:dyDescent="0.2">
      <c r="A37" s="889">
        <v>3341</v>
      </c>
      <c r="B37" s="987" t="s">
        <v>219</v>
      </c>
      <c r="C37" s="991">
        <v>1500000</v>
      </c>
    </row>
    <row r="38" spans="1:4" ht="15" x14ac:dyDescent="0.2">
      <c r="A38" s="889">
        <v>3391</v>
      </c>
      <c r="B38" s="992" t="s">
        <v>118</v>
      </c>
      <c r="C38" s="988">
        <v>1800000</v>
      </c>
    </row>
    <row r="39" spans="1:4" ht="15" x14ac:dyDescent="0.2">
      <c r="A39" s="983" t="s">
        <v>331</v>
      </c>
      <c r="B39" s="984" t="s">
        <v>1125</v>
      </c>
      <c r="C39" s="985">
        <f>SUM(C40:C41)</f>
        <v>7125000</v>
      </c>
      <c r="D39" s="986">
        <f>C39/$C$5</f>
        <v>1.166230160755906E-2</v>
      </c>
    </row>
    <row r="40" spans="1:4" ht="15" x14ac:dyDescent="0.2">
      <c r="A40" s="889">
        <v>2492</v>
      </c>
      <c r="B40" s="987" t="s">
        <v>333</v>
      </c>
      <c r="C40" s="990">
        <v>4000000</v>
      </c>
    </row>
    <row r="41" spans="1:4" ht="15" x14ac:dyDescent="0.2">
      <c r="A41" s="889">
        <v>2493</v>
      </c>
      <c r="B41" s="987" t="s">
        <v>335</v>
      </c>
      <c r="C41" s="990">
        <v>3124999.9999999995</v>
      </c>
    </row>
    <row r="42" spans="1:4" ht="15" x14ac:dyDescent="0.2">
      <c r="A42" s="983" t="s">
        <v>337</v>
      </c>
      <c r="B42" s="984" t="s">
        <v>338</v>
      </c>
      <c r="C42" s="985">
        <f>SUM(C43:C46)</f>
        <v>6757423.6500000004</v>
      </c>
      <c r="D42" s="986">
        <f>C42/$C$5</f>
        <v>1.1060647395979313E-2</v>
      </c>
    </row>
    <row r="43" spans="1:4" ht="15" x14ac:dyDescent="0.25">
      <c r="A43" s="889">
        <v>1413</v>
      </c>
      <c r="B43" s="987" t="s">
        <v>13</v>
      </c>
      <c r="C43" s="895">
        <v>2220057.12</v>
      </c>
    </row>
    <row r="44" spans="1:4" ht="15" x14ac:dyDescent="0.25">
      <c r="A44" s="889">
        <v>1421</v>
      </c>
      <c r="B44" s="987" t="s">
        <v>15</v>
      </c>
      <c r="C44" s="895">
        <v>587183.53</v>
      </c>
    </row>
    <row r="45" spans="1:4" ht="15" x14ac:dyDescent="0.25">
      <c r="A45" s="889">
        <v>1431</v>
      </c>
      <c r="B45" s="987" t="s">
        <v>16</v>
      </c>
      <c r="C45" s="895">
        <v>450183</v>
      </c>
    </row>
    <row r="46" spans="1:4" ht="15" x14ac:dyDescent="0.2">
      <c r="A46" s="889">
        <v>2212</v>
      </c>
      <c r="B46" s="987" t="s">
        <v>40</v>
      </c>
      <c r="C46" s="993">
        <v>3500000</v>
      </c>
    </row>
    <row r="47" spans="1:4" ht="15" x14ac:dyDescent="0.2">
      <c r="A47" s="983" t="s">
        <v>340</v>
      </c>
      <c r="B47" s="984" t="s">
        <v>341</v>
      </c>
      <c r="C47" s="985">
        <f>SUM(C48:C49)</f>
        <v>1500000</v>
      </c>
      <c r="D47" s="986">
        <f>C47/$C$5</f>
        <v>2.4552213910650654E-3</v>
      </c>
    </row>
    <row r="48" spans="1:4" ht="15" x14ac:dyDescent="0.2">
      <c r="A48" s="889">
        <v>2711</v>
      </c>
      <c r="B48" s="987" t="s">
        <v>27</v>
      </c>
      <c r="C48" s="991">
        <v>500000</v>
      </c>
    </row>
    <row r="49" spans="1:4" ht="15" x14ac:dyDescent="0.2">
      <c r="A49" s="889">
        <v>2721</v>
      </c>
      <c r="B49" s="987" t="s">
        <v>149</v>
      </c>
      <c r="C49" s="988">
        <v>1000000</v>
      </c>
    </row>
    <row r="50" spans="1:4" ht="15" x14ac:dyDescent="0.2">
      <c r="A50" s="983" t="s">
        <v>352</v>
      </c>
      <c r="B50" s="994" t="s">
        <v>1126</v>
      </c>
      <c r="C50" s="985">
        <v>312800744.82999998</v>
      </c>
      <c r="D50" s="986">
        <f>C50/$C$5</f>
        <v>0.5119967198984674</v>
      </c>
    </row>
    <row r="51" spans="1:4" ht="15" x14ac:dyDescent="0.2">
      <c r="A51" s="889">
        <v>6121</v>
      </c>
      <c r="B51" s="995" t="s">
        <v>353</v>
      </c>
      <c r="C51" s="989">
        <v>1030030.85</v>
      </c>
    </row>
    <row r="52" spans="1:4" ht="15" x14ac:dyDescent="0.2">
      <c r="A52" s="889">
        <v>6141</v>
      </c>
      <c r="B52" s="995" t="s">
        <v>356</v>
      </c>
      <c r="C52" s="989">
        <v>3053743.28</v>
      </c>
    </row>
  </sheetData>
  <mergeCells count="3">
    <mergeCell ref="A1:D1"/>
    <mergeCell ref="A2:D2"/>
    <mergeCell ref="A3:D3"/>
  </mergeCells>
  <conditionalFormatting sqref="A4:B5">
    <cfRule type="notContainsBlanks" dxfId="3" priority="2">
      <formula>LEN(TRIM(A4))&gt;0</formula>
    </cfRule>
  </conditionalFormatting>
  <conditionalFormatting sqref="C4:C5">
    <cfRule type="notContainsBlanks" dxfId="2" priority="1">
      <formula>LEN(TRIM(C4))&gt;0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FD872-792A-4074-B6F5-DBB2F527ADA9}">
  <dimension ref="A1:C7"/>
  <sheetViews>
    <sheetView workbookViewId="0">
      <selection activeCell="C12" sqref="C12"/>
    </sheetView>
  </sheetViews>
  <sheetFormatPr baseColWidth="10" defaultRowHeight="14.25" x14ac:dyDescent="0.2"/>
  <cols>
    <col min="1" max="1" width="18.625" customWidth="1"/>
    <col min="2" max="2" width="49.625" customWidth="1"/>
    <col min="3" max="3" width="14.75" customWidth="1"/>
  </cols>
  <sheetData>
    <row r="1" spans="1:3" ht="15" x14ac:dyDescent="0.2">
      <c r="A1" s="996" t="s">
        <v>1896</v>
      </c>
      <c r="B1" s="996"/>
      <c r="C1" s="996"/>
    </row>
    <row r="2" spans="1:3" ht="15" x14ac:dyDescent="0.2">
      <c r="A2" s="978" t="s">
        <v>1496</v>
      </c>
      <c r="B2" s="978"/>
      <c r="C2" s="978"/>
    </row>
    <row r="3" spans="1:3" ht="15" x14ac:dyDescent="0.2">
      <c r="A3" s="996" t="s">
        <v>1509</v>
      </c>
      <c r="B3" s="996"/>
      <c r="C3" s="996"/>
    </row>
    <row r="4" spans="1:3" ht="33.75" customHeight="1" x14ac:dyDescent="0.2">
      <c r="A4" s="996" t="s">
        <v>1899</v>
      </c>
      <c r="B4" s="996"/>
      <c r="C4" s="996"/>
    </row>
    <row r="5" spans="1:3" ht="30" customHeight="1" x14ac:dyDescent="0.2">
      <c r="A5" s="717" t="s">
        <v>1658</v>
      </c>
      <c r="B5" s="717" t="s">
        <v>0</v>
      </c>
      <c r="C5" s="979" t="s">
        <v>1174</v>
      </c>
    </row>
    <row r="6" spans="1:3" ht="15" x14ac:dyDescent="0.2">
      <c r="A6" s="997" t="s">
        <v>352</v>
      </c>
      <c r="B6" s="998" t="s">
        <v>1126</v>
      </c>
      <c r="C6" s="999">
        <f>SUM(C7)</f>
        <v>96643134</v>
      </c>
    </row>
    <row r="7" spans="1:3" ht="15" x14ac:dyDescent="0.2">
      <c r="A7" s="889">
        <v>6131</v>
      </c>
      <c r="B7" s="1000" t="s">
        <v>1335</v>
      </c>
      <c r="C7" s="989">
        <v>96643134</v>
      </c>
    </row>
  </sheetData>
  <mergeCells count="4">
    <mergeCell ref="A1:C1"/>
    <mergeCell ref="A2:C2"/>
    <mergeCell ref="A3:C3"/>
    <mergeCell ref="A4:C4"/>
  </mergeCells>
  <conditionalFormatting sqref="A5:B5">
    <cfRule type="notContainsBlanks" dxfId="1" priority="2">
      <formula>LEN(TRIM(A5))&gt;0</formula>
    </cfRule>
  </conditionalFormatting>
  <conditionalFormatting sqref="C5">
    <cfRule type="notContainsBlanks" dxfId="0" priority="1">
      <formula>LEN(TRIM(C5))&gt;0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D5BD-0B9F-4336-82EB-DBDB1CE276B1}">
  <sheetPr codeName="Hoja2">
    <pageSetUpPr fitToPage="1"/>
  </sheetPr>
  <dimension ref="A1:AL504"/>
  <sheetViews>
    <sheetView zoomScale="93" zoomScaleNormal="80" workbookViewId="0">
      <pane ySplit="4" topLeftCell="A333" activePane="bottomLeft" state="frozen"/>
      <selection activeCell="AG343" sqref="AG343"/>
      <selection pane="bottomLeft" activeCell="AM336" sqref="AM336"/>
    </sheetView>
  </sheetViews>
  <sheetFormatPr baseColWidth="10" defaultColWidth="10" defaultRowHeight="12.75" outlineLevelCol="1" x14ac:dyDescent="0.2"/>
  <cols>
    <col min="1" max="1" width="0.25" style="58" customWidth="1"/>
    <col min="2" max="2" width="8" style="58" hidden="1" customWidth="1"/>
    <col min="3" max="3" width="10.625" style="315" hidden="1" customWidth="1"/>
    <col min="4" max="4" width="12.875" style="315" hidden="1" customWidth="1"/>
    <col min="5" max="5" width="8.375" style="315" customWidth="1"/>
    <col min="6" max="6" width="46.125" style="316" customWidth="1"/>
    <col min="7" max="7" width="15.5" style="56" hidden="1" customWidth="1" outlineLevel="1"/>
    <col min="8" max="8" width="14.625" style="56" hidden="1" customWidth="1" outlineLevel="1"/>
    <col min="9" max="9" width="18.125" style="56" hidden="1" customWidth="1" outlineLevel="1"/>
    <col min="10" max="10" width="14" style="317" hidden="1" customWidth="1" outlineLevel="1"/>
    <col min="11" max="11" width="11.625" style="317" hidden="1" customWidth="1" outlineLevel="1"/>
    <col min="12" max="12" width="11.25" style="317" hidden="1" customWidth="1" outlineLevel="1"/>
    <col min="13" max="16" width="11.625" style="317" hidden="1" customWidth="1" outlineLevel="1"/>
    <col min="17" max="17" width="15.75" style="318" hidden="1" customWidth="1" outlineLevel="1"/>
    <col min="18" max="18" width="17.25" style="318" hidden="1" customWidth="1" outlineLevel="1"/>
    <col min="19" max="19" width="23.875" style="318" hidden="1" customWidth="1" outlineLevel="1"/>
    <col min="20" max="20" width="21.625" style="318" hidden="1" customWidth="1" outlineLevel="1"/>
    <col min="21" max="21" width="23.375" style="318" hidden="1" customWidth="1" outlineLevel="1"/>
    <col min="22" max="22" width="21.375" style="318" hidden="1" customWidth="1" outlineLevel="1"/>
    <col min="23" max="23" width="16.25" style="318" hidden="1" customWidth="1" outlineLevel="1"/>
    <col min="24" max="24" width="16" style="318" hidden="1" customWidth="1" outlineLevel="1"/>
    <col min="25" max="25" width="18.125" style="318" hidden="1" customWidth="1" collapsed="1"/>
    <col min="26" max="26" width="15.375" style="318" hidden="1" customWidth="1" outlineLevel="1"/>
    <col min="27" max="27" width="17.625" style="318" hidden="1" customWidth="1" outlineLevel="1"/>
    <col min="28" max="29" width="0.375" style="318" hidden="1" customWidth="1" outlineLevel="1"/>
    <col min="30" max="31" width="14.625" style="318" hidden="1" customWidth="1" outlineLevel="1"/>
    <col min="32" max="32" width="12.375" style="318" hidden="1" customWidth="1" outlineLevel="1"/>
    <col min="33" max="33" width="1.125" style="318" hidden="1" customWidth="1" outlineLevel="1"/>
    <col min="34" max="34" width="7.375" style="56" hidden="1" customWidth="1" collapsed="1"/>
    <col min="35" max="35" width="14.625" style="56" hidden="1" customWidth="1"/>
    <col min="36" max="36" width="22.5" style="56" hidden="1" customWidth="1"/>
    <col min="37" max="37" width="15.25" style="56" customWidth="1"/>
    <col min="38" max="16384" width="10" style="56"/>
  </cols>
  <sheetData>
    <row r="1" spans="1:37" x14ac:dyDescent="0.2">
      <c r="A1" s="420" t="s">
        <v>411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420"/>
      <c r="AD1" s="420"/>
      <c r="AE1" s="420"/>
      <c r="AF1" s="420"/>
      <c r="AG1" s="420"/>
      <c r="AH1" s="420"/>
      <c r="AI1" s="55"/>
      <c r="AJ1" s="55"/>
      <c r="AK1" s="55"/>
    </row>
    <row r="2" spans="1:37" x14ac:dyDescent="0.2">
      <c r="A2" s="420"/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55"/>
      <c r="AJ2" s="55"/>
      <c r="AK2" s="55"/>
    </row>
    <row r="3" spans="1:37" x14ac:dyDescent="0.2">
      <c r="A3" s="420" t="s">
        <v>412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20"/>
      <c r="AG3" s="420"/>
      <c r="AH3" s="420"/>
      <c r="AI3" s="55"/>
      <c r="AJ3" s="55"/>
      <c r="AK3" s="55"/>
    </row>
    <row r="4" spans="1:37" ht="35.25" customHeight="1" thickBot="1" x14ac:dyDescent="0.25">
      <c r="A4" s="57" t="s">
        <v>413</v>
      </c>
      <c r="B4" s="57" t="s">
        <v>414</v>
      </c>
      <c r="C4" s="57" t="s">
        <v>415</v>
      </c>
      <c r="D4" s="57" t="s">
        <v>416</v>
      </c>
      <c r="E4" s="57" t="s">
        <v>417</v>
      </c>
      <c r="F4" s="57" t="s">
        <v>21</v>
      </c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9"/>
      <c r="AE4" s="57" t="s">
        <v>418</v>
      </c>
      <c r="AF4" s="60" t="s">
        <v>78</v>
      </c>
      <c r="AG4" s="61" t="s">
        <v>4</v>
      </c>
      <c r="AH4" s="62" t="s">
        <v>419</v>
      </c>
      <c r="AI4" s="60" t="s">
        <v>420</v>
      </c>
      <c r="AJ4" s="60" t="s">
        <v>421</v>
      </c>
      <c r="AK4" s="60" t="s">
        <v>422</v>
      </c>
    </row>
    <row r="5" spans="1:37" ht="15" customHeight="1" thickTop="1" thickBot="1" x14ac:dyDescent="0.25">
      <c r="A5" s="63"/>
      <c r="B5" s="63"/>
      <c r="C5" s="63"/>
      <c r="D5" s="63"/>
      <c r="E5" s="63"/>
      <c r="F5" s="64" t="s">
        <v>1</v>
      </c>
      <c r="G5" s="65">
        <f t="shared" ref="G5:AB5" si="0">G6+G43+G46+G166+G195+G249+G374</f>
        <v>1910627831.5900002</v>
      </c>
      <c r="H5" s="66">
        <f t="shared" si="0"/>
        <v>1908403699.3897171</v>
      </c>
      <c r="I5" s="66">
        <f t="shared" si="0"/>
        <v>2213337196.5095816</v>
      </c>
      <c r="J5" s="66">
        <f t="shared" si="0"/>
        <v>2281828157.670136</v>
      </c>
      <c r="K5" s="66">
        <f t="shared" si="0"/>
        <v>263897502.52999997</v>
      </c>
      <c r="L5" s="66">
        <f t="shared" si="0"/>
        <v>189910824.90000001</v>
      </c>
      <c r="M5" s="66">
        <f t="shared" si="0"/>
        <v>194454026.71999997</v>
      </c>
      <c r="N5" s="66">
        <f t="shared" si="0"/>
        <v>155664505.66999999</v>
      </c>
      <c r="O5" s="66">
        <f t="shared" si="0"/>
        <v>225124394.22</v>
      </c>
      <c r="P5" s="66">
        <f t="shared" si="0"/>
        <v>151425107.81999999</v>
      </c>
      <c r="Q5" s="66">
        <f t="shared" si="0"/>
        <v>115187393.6771591</v>
      </c>
      <c r="R5" s="66">
        <f t="shared" si="0"/>
        <v>117137981.14279912</v>
      </c>
      <c r="S5" s="66">
        <f t="shared" si="0"/>
        <v>117980217.13169912</v>
      </c>
      <c r="T5" s="66">
        <f t="shared" si="0"/>
        <v>125978434.51238912</v>
      </c>
      <c r="U5" s="66">
        <f t="shared" si="0"/>
        <v>116509901.40432911</v>
      </c>
      <c r="V5" s="66">
        <f t="shared" si="0"/>
        <v>245355916.21429908</v>
      </c>
      <c r="W5" s="66">
        <f t="shared" si="0"/>
        <v>2216285633.8000002</v>
      </c>
      <c r="X5" s="66">
        <f t="shared" si="0"/>
        <v>2266338441.0000005</v>
      </c>
      <c r="Y5" s="67">
        <f t="shared" si="0"/>
        <v>2232609109.9500003</v>
      </c>
      <c r="Z5" s="68">
        <f t="shared" si="0"/>
        <v>2035702119.9999998</v>
      </c>
      <c r="AA5" s="68">
        <f t="shared" si="0"/>
        <v>267598733.84999996</v>
      </c>
      <c r="AB5" s="68">
        <f t="shared" si="0"/>
        <v>207003609.62</v>
      </c>
      <c r="AC5" s="69"/>
      <c r="AD5" s="70">
        <f>AD6+AD43+AD46+AD166+AD195+AD249+AD374</f>
        <v>2613840555.3663206</v>
      </c>
      <c r="AE5" s="70">
        <f>AE6+AE43+AE46+AE166+AE195+AE249+AE374</f>
        <v>867235532.49999988</v>
      </c>
      <c r="AF5" s="70">
        <f>AF6+AF43+AF46+AF166+AF195+AF249+AF374</f>
        <v>2644032777.0700006</v>
      </c>
      <c r="AG5" s="71">
        <f t="shared" ref="AG5:AG22" si="1">AF5-AD5</f>
        <v>30192221.703680038</v>
      </c>
      <c r="AH5" s="72"/>
      <c r="AI5" s="67">
        <f>AI6+AI43+AI46+AI166+AI195+AI249+AI374</f>
        <v>2232609109.9500003</v>
      </c>
      <c r="AJ5" s="67">
        <f>AJ6+AJ43+AJ46+AJ166+AJ195+AJ249+AJ374</f>
        <v>2308461248.9938889</v>
      </c>
      <c r="AK5" s="67">
        <f>AK6+AK43+AK46+AK166+AK195+AK249+AK374</f>
        <v>1984680304.6799998</v>
      </c>
    </row>
    <row r="6" spans="1:37" ht="14.25" thickTop="1" thickBot="1" x14ac:dyDescent="0.25">
      <c r="A6" s="73" t="s">
        <v>423</v>
      </c>
      <c r="B6" s="73"/>
      <c r="C6" s="74"/>
      <c r="D6" s="74"/>
      <c r="E6" s="75"/>
      <c r="F6" s="76" t="s">
        <v>7</v>
      </c>
      <c r="G6" s="77">
        <f>G10+G13+G17+G18+G19+G24+G25+G20+G28+G29</f>
        <v>302727531.44</v>
      </c>
      <c r="H6" s="77">
        <f t="shared" ref="H6:AB6" si="2">H7+H15+H26+H30</f>
        <v>350431001.42000002</v>
      </c>
      <c r="I6" s="77">
        <f t="shared" si="2"/>
        <v>344331001.42000002</v>
      </c>
      <c r="J6" s="77">
        <f t="shared" si="2"/>
        <v>344351001.42000002</v>
      </c>
      <c r="K6" s="77">
        <f t="shared" si="2"/>
        <v>159413111.37</v>
      </c>
      <c r="L6" s="77">
        <f t="shared" si="2"/>
        <v>42610220.669999994</v>
      </c>
      <c r="M6" s="77">
        <f t="shared" si="2"/>
        <v>18868773.16</v>
      </c>
      <c r="N6" s="77">
        <f t="shared" si="2"/>
        <v>7970994.6700000009</v>
      </c>
      <c r="O6" s="77">
        <f t="shared" si="2"/>
        <v>9379034.4300000016</v>
      </c>
      <c r="P6" s="77">
        <f t="shared" si="2"/>
        <v>10263442.299999999</v>
      </c>
      <c r="Q6" s="77">
        <f t="shared" si="2"/>
        <v>9142265.870000001</v>
      </c>
      <c r="R6" s="77">
        <f t="shared" si="2"/>
        <v>8236858.3169999989</v>
      </c>
      <c r="S6" s="77">
        <f t="shared" si="2"/>
        <v>7597216.0599999996</v>
      </c>
      <c r="T6" s="77">
        <f t="shared" si="2"/>
        <v>8809039.6565099992</v>
      </c>
      <c r="U6" s="77">
        <f t="shared" si="2"/>
        <v>8638907.8242699988</v>
      </c>
      <c r="V6" s="77">
        <f t="shared" si="2"/>
        <v>18329762.40971997</v>
      </c>
      <c r="W6" s="77">
        <f t="shared" si="2"/>
        <v>320181465</v>
      </c>
      <c r="X6" s="77">
        <f t="shared" si="2"/>
        <v>320181465</v>
      </c>
      <c r="Y6" s="78">
        <f t="shared" si="2"/>
        <v>342214185.07000005</v>
      </c>
      <c r="Z6" s="79">
        <f t="shared" si="2"/>
        <v>339012342.31</v>
      </c>
      <c r="AA6" s="79">
        <f t="shared" si="2"/>
        <v>166273086.60999998</v>
      </c>
      <c r="AB6" s="79">
        <f t="shared" si="2"/>
        <v>44878044.900000006</v>
      </c>
      <c r="AC6" s="80">
        <f t="shared" ref="AC6:AC20" si="3">W6-X6</f>
        <v>0</v>
      </c>
      <c r="AD6" s="79">
        <f>AD7+AD15+AD26+AD30</f>
        <v>347444994.00999999</v>
      </c>
      <c r="AE6" s="79">
        <f>AE7+AE15+AE26+AE30</f>
        <v>249827508.55000001</v>
      </c>
      <c r="AF6" s="79">
        <f>AF7+AF15+AF26+AF30</f>
        <v>349574520.51000005</v>
      </c>
      <c r="AG6" s="79">
        <f t="shared" si="1"/>
        <v>2129526.5000000596</v>
      </c>
      <c r="AH6" s="81"/>
      <c r="AI6" s="78">
        <f>AI7+AI15+AI26+AI30</f>
        <v>342214185.06999999</v>
      </c>
      <c r="AJ6" s="78">
        <f>AJ7+AJ15+AJ26+AJ30</f>
        <v>376420753.23000002</v>
      </c>
      <c r="AK6" s="78">
        <f>AK7+AK15+AK26+AK30</f>
        <v>405724850</v>
      </c>
    </row>
    <row r="7" spans="1:37" s="91" customFormat="1" ht="14.25" thickTop="1" thickBot="1" x14ac:dyDescent="0.25">
      <c r="A7" s="82"/>
      <c r="B7" s="82" t="s">
        <v>423</v>
      </c>
      <c r="C7" s="82"/>
      <c r="D7" s="82"/>
      <c r="E7" s="82"/>
      <c r="F7" s="83" t="s">
        <v>424</v>
      </c>
      <c r="G7" s="84"/>
      <c r="H7" s="85">
        <f t="shared" ref="H7:AB7" si="4">H8+H10+H13</f>
        <v>6050000</v>
      </c>
      <c r="I7" s="85">
        <f t="shared" si="4"/>
        <v>6050000</v>
      </c>
      <c r="J7" s="84">
        <f t="shared" si="4"/>
        <v>6050000</v>
      </c>
      <c r="K7" s="84">
        <f t="shared" si="4"/>
        <v>815914.06</v>
      </c>
      <c r="L7" s="84">
        <f t="shared" si="4"/>
        <v>207296.2</v>
      </c>
      <c r="M7" s="84">
        <f t="shared" si="4"/>
        <v>512434.39</v>
      </c>
      <c r="N7" s="84">
        <f t="shared" si="4"/>
        <v>110961</v>
      </c>
      <c r="O7" s="84">
        <f t="shared" si="4"/>
        <v>0</v>
      </c>
      <c r="P7" s="84">
        <f t="shared" si="4"/>
        <v>1320</v>
      </c>
      <c r="Q7" s="84">
        <f t="shared" si="4"/>
        <v>0</v>
      </c>
      <c r="R7" s="84">
        <f t="shared" si="4"/>
        <v>469224.76</v>
      </c>
      <c r="S7" s="84">
        <f t="shared" si="4"/>
        <v>469224.76</v>
      </c>
      <c r="T7" s="84">
        <f t="shared" si="4"/>
        <v>511546.38</v>
      </c>
      <c r="U7" s="84">
        <f t="shared" si="4"/>
        <v>398787.07</v>
      </c>
      <c r="V7" s="84">
        <f t="shared" si="4"/>
        <v>340410.45</v>
      </c>
      <c r="W7" s="86">
        <f t="shared" si="4"/>
        <v>4724404.3499999996</v>
      </c>
      <c r="X7" s="86">
        <f t="shared" si="4"/>
        <v>4724404.3499999996</v>
      </c>
      <c r="Y7" s="87">
        <f t="shared" si="4"/>
        <v>1814683.65</v>
      </c>
      <c r="Z7" s="86">
        <f t="shared" si="4"/>
        <v>5324404.3499999996</v>
      </c>
      <c r="AA7" s="86">
        <f t="shared" si="4"/>
        <v>107468</v>
      </c>
      <c r="AB7" s="86">
        <f t="shared" si="4"/>
        <v>95847</v>
      </c>
      <c r="AC7" s="88">
        <f t="shared" si="3"/>
        <v>0</v>
      </c>
      <c r="AD7" s="84">
        <f>AD8+AD10+AD13</f>
        <v>5324404.3499999996</v>
      </c>
      <c r="AE7" s="84">
        <f>AE8+AE10+AE13</f>
        <v>320543</v>
      </c>
      <c r="AF7" s="84">
        <f>AF8+AF10+AF13</f>
        <v>3212036.99</v>
      </c>
      <c r="AG7" s="89">
        <f t="shared" si="1"/>
        <v>-2112367.3599999994</v>
      </c>
      <c r="AH7" s="90"/>
      <c r="AI7" s="87">
        <f>AI8+AI10+AI13</f>
        <v>1814683.65</v>
      </c>
      <c r="AJ7" s="87">
        <f>AJ8+AJ10+AJ13</f>
        <v>1966311.79</v>
      </c>
      <c r="AK7" s="87">
        <f>AK8+AK10+AK13</f>
        <v>2220000</v>
      </c>
    </row>
    <row r="8" spans="1:37" ht="14.25" thickTop="1" thickBot="1" x14ac:dyDescent="0.25">
      <c r="A8" s="92"/>
      <c r="B8" s="93"/>
      <c r="C8" s="94">
        <v>1</v>
      </c>
      <c r="D8" s="94"/>
      <c r="E8" s="94"/>
      <c r="F8" s="95" t="s">
        <v>425</v>
      </c>
      <c r="G8" s="96">
        <f>G9</f>
        <v>0</v>
      </c>
      <c r="H8" s="96">
        <f>H9</f>
        <v>20000</v>
      </c>
      <c r="I8" s="96">
        <v>20000</v>
      </c>
      <c r="J8" s="96">
        <f>J9</f>
        <v>20000</v>
      </c>
      <c r="K8" s="97">
        <f>K9</f>
        <v>0</v>
      </c>
      <c r="L8" s="97">
        <f t="shared" ref="L8:AB8" si="5">L9</f>
        <v>0</v>
      </c>
      <c r="M8" s="97">
        <f t="shared" si="5"/>
        <v>0</v>
      </c>
      <c r="N8" s="97">
        <f t="shared" si="5"/>
        <v>0</v>
      </c>
      <c r="O8" s="97">
        <f t="shared" si="5"/>
        <v>0</v>
      </c>
      <c r="P8" s="97">
        <f t="shared" si="5"/>
        <v>0</v>
      </c>
      <c r="Q8" s="97">
        <f t="shared" si="5"/>
        <v>0</v>
      </c>
      <c r="R8" s="97">
        <f t="shared" si="5"/>
        <v>5000</v>
      </c>
      <c r="S8" s="97">
        <f t="shared" si="5"/>
        <v>5000</v>
      </c>
      <c r="T8" s="97">
        <f t="shared" si="5"/>
        <v>5000</v>
      </c>
      <c r="U8" s="97">
        <f t="shared" si="5"/>
        <v>5000</v>
      </c>
      <c r="V8" s="97">
        <f t="shared" si="5"/>
        <v>5000</v>
      </c>
      <c r="W8" s="96">
        <f t="shared" si="5"/>
        <v>25000</v>
      </c>
      <c r="X8" s="96">
        <f t="shared" si="5"/>
        <v>25000</v>
      </c>
      <c r="Y8" s="98">
        <f t="shared" si="5"/>
        <v>0</v>
      </c>
      <c r="Z8" s="96">
        <f t="shared" si="5"/>
        <v>25000</v>
      </c>
      <c r="AA8" s="96">
        <f t="shared" si="5"/>
        <v>0</v>
      </c>
      <c r="AB8" s="96">
        <f t="shared" si="5"/>
        <v>0</v>
      </c>
      <c r="AC8" s="99">
        <f t="shared" si="3"/>
        <v>0</v>
      </c>
      <c r="AD8" s="96">
        <f>AD9</f>
        <v>25000</v>
      </c>
      <c r="AE8" s="96">
        <f>AE9</f>
        <v>0</v>
      </c>
      <c r="AF8" s="96">
        <f>AF9</f>
        <v>25000</v>
      </c>
      <c r="AG8" s="96">
        <f t="shared" si="1"/>
        <v>0</v>
      </c>
      <c r="AH8" s="100"/>
      <c r="AI8" s="98">
        <f>AI9</f>
        <v>0</v>
      </c>
      <c r="AJ8" s="98">
        <f>AJ9</f>
        <v>0</v>
      </c>
      <c r="AK8" s="98">
        <f>AK9</f>
        <v>20000</v>
      </c>
    </row>
    <row r="9" spans="1:37" ht="27" thickTop="1" thickBot="1" x14ac:dyDescent="0.25">
      <c r="A9" s="101"/>
      <c r="B9" s="102"/>
      <c r="C9" s="103"/>
      <c r="D9" s="103">
        <v>1</v>
      </c>
      <c r="E9" s="104">
        <v>110102</v>
      </c>
      <c r="F9" s="105" t="s">
        <v>426</v>
      </c>
      <c r="G9" s="106"/>
      <c r="H9" s="107">
        <v>20000</v>
      </c>
      <c r="I9" s="107">
        <v>20000</v>
      </c>
      <c r="J9" s="97">
        <v>20000</v>
      </c>
      <c r="K9" s="108">
        <v>0</v>
      </c>
      <c r="L9" s="108">
        <v>0</v>
      </c>
      <c r="M9" s="108">
        <v>0</v>
      </c>
      <c r="N9" s="108">
        <v>0</v>
      </c>
      <c r="O9" s="108">
        <v>0</v>
      </c>
      <c r="P9" s="109">
        <v>0</v>
      </c>
      <c r="Q9" s="108">
        <v>0</v>
      </c>
      <c r="R9" s="108">
        <v>5000</v>
      </c>
      <c r="S9" s="108">
        <v>5000</v>
      </c>
      <c r="T9" s="108">
        <v>5000</v>
      </c>
      <c r="U9" s="108">
        <v>5000</v>
      </c>
      <c r="V9" s="108">
        <v>5000</v>
      </c>
      <c r="W9" s="108">
        <f>SUM(K9:V9)</f>
        <v>25000</v>
      </c>
      <c r="X9" s="108">
        <f>W9</f>
        <v>25000</v>
      </c>
      <c r="Y9" s="110"/>
      <c r="Z9" s="111">
        <v>25000</v>
      </c>
      <c r="AA9" s="111">
        <v>0</v>
      </c>
      <c r="AB9" s="111">
        <v>0</v>
      </c>
      <c r="AC9" s="88">
        <f t="shared" si="3"/>
        <v>0</v>
      </c>
      <c r="AD9" s="112">
        <f>Z9</f>
        <v>25000</v>
      </c>
      <c r="AE9" s="112">
        <v>0</v>
      </c>
      <c r="AF9" s="112">
        <v>25000</v>
      </c>
      <c r="AG9" s="112">
        <f t="shared" si="1"/>
        <v>0</v>
      </c>
      <c r="AH9" s="113">
        <v>1100122</v>
      </c>
      <c r="AI9" s="114">
        <v>0</v>
      </c>
      <c r="AJ9" s="114">
        <v>0</v>
      </c>
      <c r="AK9" s="114">
        <v>20000</v>
      </c>
    </row>
    <row r="10" spans="1:37" ht="26.25" customHeight="1" thickTop="1" thickBot="1" x14ac:dyDescent="0.25">
      <c r="A10" s="92"/>
      <c r="B10" s="93"/>
      <c r="C10" s="94">
        <v>2</v>
      </c>
      <c r="D10" s="94"/>
      <c r="E10" s="94"/>
      <c r="F10" s="95" t="s">
        <v>427</v>
      </c>
      <c r="G10" s="96">
        <f>G11+G12</f>
        <v>1095470.06</v>
      </c>
      <c r="H10" s="96">
        <f>H11+H12</f>
        <v>1330000</v>
      </c>
      <c r="I10" s="96">
        <f>I11+I12</f>
        <v>1330000</v>
      </c>
      <c r="J10" s="96">
        <f t="shared" ref="J10:AB10" si="6">J11+J12</f>
        <v>1330000</v>
      </c>
      <c r="K10" s="97">
        <f t="shared" si="6"/>
        <v>441250.4</v>
      </c>
      <c r="L10" s="97">
        <f t="shared" si="6"/>
        <v>17566.2</v>
      </c>
      <c r="M10" s="97">
        <f t="shared" si="6"/>
        <v>34195</v>
      </c>
      <c r="N10" s="97">
        <f t="shared" si="6"/>
        <v>0</v>
      </c>
      <c r="O10" s="97">
        <f t="shared" si="6"/>
        <v>0</v>
      </c>
      <c r="P10" s="97">
        <f t="shared" si="6"/>
        <v>0</v>
      </c>
      <c r="Q10" s="97">
        <f t="shared" si="6"/>
        <v>0</v>
      </c>
      <c r="R10" s="97">
        <f t="shared" si="6"/>
        <v>145390.6</v>
      </c>
      <c r="S10" s="97">
        <f t="shared" si="6"/>
        <v>145390.6</v>
      </c>
      <c r="T10" s="97">
        <f t="shared" si="6"/>
        <v>21883.200000000001</v>
      </c>
      <c r="U10" s="97">
        <f t="shared" si="6"/>
        <v>91210.08</v>
      </c>
      <c r="V10" s="97">
        <f t="shared" si="6"/>
        <v>6086</v>
      </c>
      <c r="W10" s="96">
        <f t="shared" si="6"/>
        <v>1790257.3599999999</v>
      </c>
      <c r="X10" s="96">
        <f t="shared" si="6"/>
        <v>1790257.3599999999</v>
      </c>
      <c r="Y10" s="98">
        <f t="shared" si="6"/>
        <v>493011.6</v>
      </c>
      <c r="Z10" s="96">
        <f t="shared" si="6"/>
        <v>1790257.3599999999</v>
      </c>
      <c r="AA10" s="96">
        <f t="shared" si="6"/>
        <v>0</v>
      </c>
      <c r="AB10" s="96">
        <f t="shared" si="6"/>
        <v>0</v>
      </c>
      <c r="AC10" s="99">
        <f t="shared" si="3"/>
        <v>0</v>
      </c>
      <c r="AD10" s="96">
        <f>AD11+AD12</f>
        <v>1790257.3599999999</v>
      </c>
      <c r="AE10" s="96">
        <f>AE11+AE12</f>
        <v>2000</v>
      </c>
      <c r="AF10" s="96">
        <f>AF11+AF12</f>
        <v>677890</v>
      </c>
      <c r="AG10" s="96">
        <f t="shared" si="1"/>
        <v>-1112367.3599999999</v>
      </c>
      <c r="AH10" s="100"/>
      <c r="AI10" s="98">
        <f>AI11+AI12</f>
        <v>493011.6</v>
      </c>
      <c r="AJ10" s="98">
        <f>AJ11+AJ12</f>
        <v>158547.64000000001</v>
      </c>
      <c r="AK10" s="98">
        <f>AK11+AK12</f>
        <v>200000</v>
      </c>
    </row>
    <row r="11" spans="1:37" ht="27" thickTop="1" thickBot="1" x14ac:dyDescent="0.25">
      <c r="A11" s="101"/>
      <c r="B11" s="102"/>
      <c r="C11" s="103"/>
      <c r="D11" s="103">
        <v>1</v>
      </c>
      <c r="E11" s="104">
        <v>110201</v>
      </c>
      <c r="F11" s="105" t="s">
        <v>428</v>
      </c>
      <c r="G11" s="107">
        <v>106952.14</v>
      </c>
      <c r="H11" s="107">
        <v>130000</v>
      </c>
      <c r="I11" s="107">
        <v>130000</v>
      </c>
      <c r="J11" s="97">
        <v>130000</v>
      </c>
      <c r="K11" s="115">
        <v>548.4</v>
      </c>
      <c r="L11" s="116">
        <v>1424.2</v>
      </c>
      <c r="M11" s="115">
        <v>3153</v>
      </c>
      <c r="N11" s="116">
        <v>0</v>
      </c>
      <c r="O11" s="116">
        <v>0</v>
      </c>
      <c r="P11" s="117">
        <v>0</v>
      </c>
      <c r="Q11" s="118">
        <v>0</v>
      </c>
      <c r="R11" s="118">
        <v>579</v>
      </c>
      <c r="S11" s="118">
        <v>579</v>
      </c>
      <c r="T11" s="118">
        <v>2738.4</v>
      </c>
      <c r="U11" s="118">
        <v>5794.8</v>
      </c>
      <c r="V11" s="118">
        <v>870</v>
      </c>
      <c r="W11" s="119">
        <f>SUM(K10:V10)</f>
        <v>902972.08</v>
      </c>
      <c r="X11" s="108">
        <f>W11</f>
        <v>902972.08</v>
      </c>
      <c r="Y11" s="110">
        <v>5125.6000000000004</v>
      </c>
      <c r="Z11" s="111">
        <v>902972.08</v>
      </c>
      <c r="AA11" s="111">
        <v>0</v>
      </c>
      <c r="AB11" s="111">
        <v>0</v>
      </c>
      <c r="AC11" s="88">
        <f t="shared" si="3"/>
        <v>0</v>
      </c>
      <c r="AD11" s="120">
        <f>Z11</f>
        <v>902972.08</v>
      </c>
      <c r="AE11" s="121">
        <v>2000</v>
      </c>
      <c r="AF11" s="112">
        <v>250000</v>
      </c>
      <c r="AG11" s="120">
        <f t="shared" si="1"/>
        <v>-652972.07999999996</v>
      </c>
      <c r="AH11" s="113">
        <v>1100122</v>
      </c>
      <c r="AI11" s="114">
        <v>5125.6000000000004</v>
      </c>
      <c r="AJ11" s="114">
        <v>28271</v>
      </c>
      <c r="AK11" s="114">
        <v>50000</v>
      </c>
    </row>
    <row r="12" spans="1:37" ht="27" thickTop="1" thickBot="1" x14ac:dyDescent="0.25">
      <c r="A12" s="101"/>
      <c r="B12" s="102"/>
      <c r="C12" s="103"/>
      <c r="D12" s="103">
        <v>2</v>
      </c>
      <c r="E12" s="104">
        <v>110202</v>
      </c>
      <c r="F12" s="105" t="s">
        <v>429</v>
      </c>
      <c r="G12" s="107">
        <v>988517.92</v>
      </c>
      <c r="H12" s="107">
        <v>1200000</v>
      </c>
      <c r="I12" s="107">
        <v>1200000</v>
      </c>
      <c r="J12" s="97">
        <v>1200000</v>
      </c>
      <c r="K12" s="115">
        <v>440702</v>
      </c>
      <c r="L12" s="116">
        <v>16142</v>
      </c>
      <c r="M12" s="115">
        <v>31042</v>
      </c>
      <c r="N12" s="116">
        <v>0</v>
      </c>
      <c r="O12" s="116">
        <v>0</v>
      </c>
      <c r="P12" s="117">
        <v>0</v>
      </c>
      <c r="Q12" s="118">
        <v>0</v>
      </c>
      <c r="R12" s="118">
        <v>144811.6</v>
      </c>
      <c r="S12" s="118">
        <v>144811.6</v>
      </c>
      <c r="T12" s="118">
        <v>19144.8</v>
      </c>
      <c r="U12" s="118">
        <v>85415.28</v>
      </c>
      <c r="V12" s="118">
        <v>5216</v>
      </c>
      <c r="W12" s="119">
        <f>SUM(K12:V12)</f>
        <v>887285.28</v>
      </c>
      <c r="X12" s="108">
        <f>W12</f>
        <v>887285.28</v>
      </c>
      <c r="Y12" s="110">
        <v>487886</v>
      </c>
      <c r="Z12" s="111">
        <v>887285.28</v>
      </c>
      <c r="AA12" s="111">
        <v>0</v>
      </c>
      <c r="AB12" s="111">
        <v>0</v>
      </c>
      <c r="AC12" s="88">
        <f t="shared" si="3"/>
        <v>0</v>
      </c>
      <c r="AD12" s="120">
        <f>Z12</f>
        <v>887285.28</v>
      </c>
      <c r="AE12" s="120">
        <v>0</v>
      </c>
      <c r="AF12" s="112">
        <v>427890</v>
      </c>
      <c r="AG12" s="120">
        <f t="shared" si="1"/>
        <v>-459395.28</v>
      </c>
      <c r="AH12" s="113">
        <v>1100122</v>
      </c>
      <c r="AI12" s="114">
        <v>487886</v>
      </c>
      <c r="AJ12" s="114">
        <v>130276.64</v>
      </c>
      <c r="AK12" s="114">
        <v>150000</v>
      </c>
    </row>
    <row r="13" spans="1:37" ht="25.5" customHeight="1" thickTop="1" thickBot="1" x14ac:dyDescent="0.25">
      <c r="A13" s="92"/>
      <c r="B13" s="93"/>
      <c r="C13" s="94">
        <v>3</v>
      </c>
      <c r="D13" s="94"/>
      <c r="E13" s="94"/>
      <c r="F13" s="95" t="s">
        <v>430</v>
      </c>
      <c r="G13" s="96">
        <f>G14</f>
        <v>3890802.17</v>
      </c>
      <c r="H13" s="96">
        <f>H14</f>
        <v>4700000</v>
      </c>
      <c r="I13" s="96">
        <v>4700000</v>
      </c>
      <c r="J13" s="96">
        <f>J14</f>
        <v>4700000</v>
      </c>
      <c r="K13" s="97">
        <f>K14</f>
        <v>374663.66</v>
      </c>
      <c r="L13" s="97">
        <f>L14</f>
        <v>189730</v>
      </c>
      <c r="M13" s="97">
        <f t="shared" ref="M13:AB13" si="7">M14</f>
        <v>478239.39</v>
      </c>
      <c r="N13" s="97">
        <f t="shared" si="7"/>
        <v>110961</v>
      </c>
      <c r="O13" s="97">
        <f t="shared" si="7"/>
        <v>0</v>
      </c>
      <c r="P13" s="97">
        <f>P14</f>
        <v>1320</v>
      </c>
      <c r="Q13" s="97">
        <f t="shared" si="7"/>
        <v>0</v>
      </c>
      <c r="R13" s="97">
        <f t="shared" si="7"/>
        <v>318834.15999999997</v>
      </c>
      <c r="S13" s="97">
        <f t="shared" si="7"/>
        <v>318834.15999999997</v>
      </c>
      <c r="T13" s="97">
        <f t="shared" si="7"/>
        <v>484663.18</v>
      </c>
      <c r="U13" s="97">
        <f t="shared" si="7"/>
        <v>302576.99</v>
      </c>
      <c r="V13" s="97">
        <f t="shared" si="7"/>
        <v>329324.45</v>
      </c>
      <c r="W13" s="96">
        <f t="shared" si="7"/>
        <v>2909146.99</v>
      </c>
      <c r="X13" s="96">
        <f t="shared" si="7"/>
        <v>2909146.99</v>
      </c>
      <c r="Y13" s="98">
        <f t="shared" si="7"/>
        <v>1321672.05</v>
      </c>
      <c r="Z13" s="96">
        <f t="shared" si="7"/>
        <v>3509146.99</v>
      </c>
      <c r="AA13" s="96">
        <f t="shared" si="7"/>
        <v>107468</v>
      </c>
      <c r="AB13" s="96">
        <f t="shared" si="7"/>
        <v>95847</v>
      </c>
      <c r="AC13" s="99">
        <f t="shared" si="3"/>
        <v>0</v>
      </c>
      <c r="AD13" s="96">
        <f>AD14</f>
        <v>3509146.99</v>
      </c>
      <c r="AE13" s="96">
        <f>AE14</f>
        <v>318543</v>
      </c>
      <c r="AF13" s="96">
        <f>AF14</f>
        <v>2509146.9900000002</v>
      </c>
      <c r="AG13" s="96">
        <f t="shared" si="1"/>
        <v>-1000000</v>
      </c>
      <c r="AH13" s="100"/>
      <c r="AI13" s="98">
        <f>AI14</f>
        <v>1321672.05</v>
      </c>
      <c r="AJ13" s="98">
        <f>AJ14</f>
        <v>1807764.15</v>
      </c>
      <c r="AK13" s="98">
        <f>AK14</f>
        <v>2000000</v>
      </c>
    </row>
    <row r="14" spans="1:37" ht="27" thickTop="1" thickBot="1" x14ac:dyDescent="0.25">
      <c r="A14" s="101"/>
      <c r="B14" s="102"/>
      <c r="C14" s="103"/>
      <c r="D14" s="103">
        <v>1</v>
      </c>
      <c r="E14" s="104">
        <v>110301</v>
      </c>
      <c r="F14" s="105" t="s">
        <v>431</v>
      </c>
      <c r="G14" s="108">
        <v>3890802.17</v>
      </c>
      <c r="H14" s="107">
        <f>3700000+1000000</f>
        <v>4700000</v>
      </c>
      <c r="I14" s="107">
        <f>3700000+1000000</f>
        <v>4700000</v>
      </c>
      <c r="J14" s="97">
        <f>3700000+1000000</f>
        <v>4700000</v>
      </c>
      <c r="K14" s="115">
        <v>374663.66</v>
      </c>
      <c r="L14" s="116">
        <v>189730</v>
      </c>
      <c r="M14" s="115">
        <v>478239.39</v>
      </c>
      <c r="N14" s="115">
        <v>110961</v>
      </c>
      <c r="O14" s="115">
        <v>0</v>
      </c>
      <c r="P14" s="109">
        <v>1320</v>
      </c>
      <c r="Q14" s="122">
        <v>0</v>
      </c>
      <c r="R14" s="122">
        <v>318834.15999999997</v>
      </c>
      <c r="S14" s="118">
        <v>318834.15999999997</v>
      </c>
      <c r="T14" s="118">
        <v>484663.18</v>
      </c>
      <c r="U14" s="118">
        <v>302576.99</v>
      </c>
      <c r="V14" s="118">
        <v>329324.45</v>
      </c>
      <c r="W14" s="119">
        <f>SUM(K14:V14)</f>
        <v>2909146.99</v>
      </c>
      <c r="X14" s="108">
        <f>W14</f>
        <v>2909146.99</v>
      </c>
      <c r="Y14" s="110">
        <v>1321672.05</v>
      </c>
      <c r="Z14" s="111">
        <v>3509146.99</v>
      </c>
      <c r="AA14" s="111">
        <v>107468</v>
      </c>
      <c r="AB14" s="123">
        <v>95847</v>
      </c>
      <c r="AC14" s="88">
        <f t="shared" si="3"/>
        <v>0</v>
      </c>
      <c r="AD14" s="120">
        <f>Z14</f>
        <v>3509146.99</v>
      </c>
      <c r="AE14" s="121">
        <v>318543</v>
      </c>
      <c r="AF14" s="112">
        <f>AD14-1000000</f>
        <v>2509146.9900000002</v>
      </c>
      <c r="AG14" s="120">
        <f t="shared" si="1"/>
        <v>-1000000</v>
      </c>
      <c r="AH14" s="113">
        <v>1100122</v>
      </c>
      <c r="AI14" s="114">
        <v>1321672.05</v>
      </c>
      <c r="AJ14" s="114">
        <v>1807764.15</v>
      </c>
      <c r="AK14" s="114">
        <v>2000000</v>
      </c>
    </row>
    <row r="15" spans="1:37" ht="14.25" thickTop="1" thickBot="1" x14ac:dyDescent="0.25">
      <c r="A15" s="92"/>
      <c r="B15" s="93" t="s">
        <v>432</v>
      </c>
      <c r="C15" s="124"/>
      <c r="D15" s="124"/>
      <c r="E15" s="124"/>
      <c r="F15" s="95" t="s">
        <v>433</v>
      </c>
      <c r="G15" s="96">
        <f>G16+G23</f>
        <v>241860901.91</v>
      </c>
      <c r="H15" s="96">
        <f t="shared" ref="H15:AB15" si="8">H16+H23</f>
        <v>259654734</v>
      </c>
      <c r="I15" s="96">
        <f t="shared" si="8"/>
        <v>252654734</v>
      </c>
      <c r="J15" s="96">
        <f t="shared" si="8"/>
        <v>252654734</v>
      </c>
      <c r="K15" s="125">
        <f t="shared" si="8"/>
        <v>154649158.97999999</v>
      </c>
      <c r="L15" s="84">
        <f t="shared" si="8"/>
        <v>28497853.419999998</v>
      </c>
      <c r="M15" s="84">
        <f t="shared" si="8"/>
        <v>8124927.0899999999</v>
      </c>
      <c r="N15" s="126">
        <f t="shared" si="8"/>
        <v>3045041.78</v>
      </c>
      <c r="O15" s="126">
        <f>O16+O23</f>
        <v>3792255.7700000005</v>
      </c>
      <c r="P15" s="126">
        <f>P16+P23</f>
        <v>3830585.71</v>
      </c>
      <c r="Q15" s="126">
        <f t="shared" si="8"/>
        <v>4831781.6900000013</v>
      </c>
      <c r="R15" s="126">
        <f t="shared" si="8"/>
        <v>4576339.0369999995</v>
      </c>
      <c r="S15" s="126">
        <f t="shared" si="8"/>
        <v>3469539.5649999995</v>
      </c>
      <c r="T15" s="126">
        <f t="shared" si="8"/>
        <v>4465286.7815099992</v>
      </c>
      <c r="U15" s="126">
        <f t="shared" si="8"/>
        <v>3821691.5292700003</v>
      </c>
      <c r="V15" s="126">
        <f t="shared" si="8"/>
        <v>12933094.554719971</v>
      </c>
      <c r="W15" s="96">
        <f t="shared" si="8"/>
        <v>246072108.88999996</v>
      </c>
      <c r="X15" s="96">
        <f t="shared" si="8"/>
        <v>246072108.88999996</v>
      </c>
      <c r="Y15" s="98">
        <f t="shared" si="8"/>
        <v>245670171.22</v>
      </c>
      <c r="Z15" s="96">
        <f t="shared" si="8"/>
        <v>253527376.66</v>
      </c>
      <c r="AA15" s="96">
        <f t="shared" si="8"/>
        <v>163272106.01999998</v>
      </c>
      <c r="AB15" s="96">
        <f t="shared" si="8"/>
        <v>31916945.970000003</v>
      </c>
      <c r="AC15" s="99">
        <f t="shared" si="3"/>
        <v>0</v>
      </c>
      <c r="AD15" s="96">
        <f>AD16+AD23</f>
        <v>260926387.27000004</v>
      </c>
      <c r="AE15" s="96">
        <f>AE16+AE23</f>
        <v>213040041.22</v>
      </c>
      <c r="AF15" s="96">
        <f>AF16+AF23</f>
        <v>264149192.32000005</v>
      </c>
      <c r="AG15" s="96">
        <f t="shared" si="1"/>
        <v>3222805.0500000119</v>
      </c>
      <c r="AH15" s="100"/>
      <c r="AI15" s="98">
        <f>AI16+AI23</f>
        <v>246077813.19999999</v>
      </c>
      <c r="AJ15" s="98">
        <f>AJ16+AJ23</f>
        <v>269070946.58999997</v>
      </c>
      <c r="AK15" s="98">
        <f>AK16+AK23</f>
        <v>304799136</v>
      </c>
    </row>
    <row r="16" spans="1:37" ht="14.25" thickTop="1" thickBot="1" x14ac:dyDescent="0.25">
      <c r="A16" s="127"/>
      <c r="B16" s="128"/>
      <c r="C16" s="129">
        <v>1</v>
      </c>
      <c r="D16" s="129"/>
      <c r="E16" s="129"/>
      <c r="F16" s="130" t="s">
        <v>434</v>
      </c>
      <c r="G16" s="97">
        <f>G17+G18+G19+G20</f>
        <v>228236957.59999999</v>
      </c>
      <c r="H16" s="131">
        <f>H17+H18+H19+H20</f>
        <v>255592588</v>
      </c>
      <c r="I16" s="107">
        <f>255592588-7000000</f>
        <v>248592588</v>
      </c>
      <c r="J16" s="108">
        <f t="shared" ref="J16:V16" si="9">J17+J18+J19+J20</f>
        <v>248592588</v>
      </c>
      <c r="K16" s="108">
        <f t="shared" si="9"/>
        <v>154603856.34</v>
      </c>
      <c r="L16" s="108">
        <f t="shared" si="9"/>
        <v>28179554.93</v>
      </c>
      <c r="M16" s="108">
        <f t="shared" si="9"/>
        <v>7438708.4199999999</v>
      </c>
      <c r="N16" s="108">
        <f t="shared" si="9"/>
        <v>2721026.03</v>
      </c>
      <c r="O16" s="108">
        <f t="shared" si="9"/>
        <v>3590585.8400000003</v>
      </c>
      <c r="P16" s="108">
        <f t="shared" si="9"/>
        <v>3571442.77</v>
      </c>
      <c r="Q16" s="108">
        <f t="shared" si="9"/>
        <v>4775873.580000001</v>
      </c>
      <c r="R16" s="108">
        <f t="shared" si="9"/>
        <v>4477994.0369999995</v>
      </c>
      <c r="S16" s="108">
        <f t="shared" si="9"/>
        <v>3368321.5649999995</v>
      </c>
      <c r="T16" s="108">
        <f t="shared" si="9"/>
        <v>4334558.7815099992</v>
      </c>
      <c r="U16" s="108">
        <f t="shared" si="9"/>
        <v>3680771.5292700003</v>
      </c>
      <c r="V16" s="108">
        <f t="shared" si="9"/>
        <v>12698897.554719971</v>
      </c>
      <c r="W16" s="132">
        <f>W17+W18+W19+W20</f>
        <v>235041591.35999995</v>
      </c>
      <c r="X16" s="132">
        <f>X17+X18+X19+X20</f>
        <v>235041591.35999995</v>
      </c>
      <c r="Y16" s="133">
        <f>Y17+Y18+Y19+Y20+Y21+Y22</f>
        <v>234627718.84</v>
      </c>
      <c r="Z16" s="134">
        <f>Z17+Z18+Z19+Z20+Z21+Z22</f>
        <v>242136094.68000001</v>
      </c>
      <c r="AA16" s="134">
        <f>AA17+AA18+AA19+AA20+AA21+AA22</f>
        <v>163272106.01999998</v>
      </c>
      <c r="AB16" s="134">
        <f>AB17+AB18+AB19+AB20+AB21+AB22</f>
        <v>30353450.540000003</v>
      </c>
      <c r="AC16" s="88">
        <f t="shared" si="3"/>
        <v>0</v>
      </c>
      <c r="AD16" s="132">
        <f>AD17+AD18+AD19+AD20+AD21+AD22</f>
        <v>249306299.93000004</v>
      </c>
      <c r="AE16" s="132">
        <f>AE17+AE18+AE19+AE20+AE21+AE22</f>
        <v>210280947.53</v>
      </c>
      <c r="AF16" s="132">
        <f>AF17+AF18+AF19+AF20+AF21+AF22</f>
        <v>252529104.67000005</v>
      </c>
      <c r="AG16" s="132">
        <f t="shared" si="1"/>
        <v>3222804.7400000095</v>
      </c>
      <c r="AH16" s="135"/>
      <c r="AI16" s="133">
        <f>AI17+AI18+AI19+AI20+AI21+AI22</f>
        <v>235035360.81999999</v>
      </c>
      <c r="AJ16" s="133">
        <f>AJ17+AJ18+AJ19+AJ20+AJ21+AJ22</f>
        <v>262451191.94999999</v>
      </c>
      <c r="AK16" s="133">
        <f>AK17+AK18+AK19+AK20+AK21+AK22</f>
        <v>295972313</v>
      </c>
    </row>
    <row r="17" spans="1:37" ht="16.5" thickTop="1" thickBot="1" x14ac:dyDescent="0.25">
      <c r="A17" s="101"/>
      <c r="B17" s="102"/>
      <c r="C17" s="103"/>
      <c r="D17" s="103">
        <v>1</v>
      </c>
      <c r="E17" s="104">
        <v>120101</v>
      </c>
      <c r="F17" s="105" t="s">
        <v>435</v>
      </c>
      <c r="G17" s="108">
        <v>167234702.75</v>
      </c>
      <c r="H17" s="131">
        <v>190829921</v>
      </c>
      <c r="I17" s="107">
        <v>190829921</v>
      </c>
      <c r="J17" s="108">
        <f>190829921-7000000</f>
        <v>183829921</v>
      </c>
      <c r="K17" s="136">
        <v>144772514.74000001</v>
      </c>
      <c r="L17" s="136">
        <v>23202656</v>
      </c>
      <c r="M17" s="136">
        <v>3704541.65</v>
      </c>
      <c r="N17" s="136">
        <v>945396.56</v>
      </c>
      <c r="O17" s="136">
        <v>1676483.48</v>
      </c>
      <c r="P17" s="117">
        <v>892675.82</v>
      </c>
      <c r="Q17" s="137">
        <f>'[16]PREDIAL PROY'!I8</f>
        <v>1458538.4790000001</v>
      </c>
      <c r="R17" s="137">
        <f>'[16]PREDIAL PROY'!I9</f>
        <v>856468.69200000004</v>
      </c>
      <c r="S17" s="137">
        <f>'[16]PREDIAL PROY'!I10</f>
        <v>891909.78099999996</v>
      </c>
      <c r="T17" s="137">
        <f>'[16]PREDIAL PROY'!I11</f>
        <v>542455.20432000002</v>
      </c>
      <c r="U17" s="137">
        <f>'[16]PREDIAL PROY'!I12</f>
        <v>671615.88338999997</v>
      </c>
      <c r="V17" s="137">
        <f>'[16]PREDIAL PROY'!I13</f>
        <v>164734.88772</v>
      </c>
      <c r="W17" s="119">
        <v>179779991.16999999</v>
      </c>
      <c r="X17" s="108">
        <f>W17</f>
        <v>179779991.16999999</v>
      </c>
      <c r="Y17" s="110">
        <v>180044494.69999999</v>
      </c>
      <c r="Z17" s="111">
        <v>188494532.86000001</v>
      </c>
      <c r="AA17" s="111">
        <v>153244148.62</v>
      </c>
      <c r="AB17" s="123">
        <v>23822442.280000001</v>
      </c>
      <c r="AC17" s="88">
        <f t="shared" si="3"/>
        <v>0</v>
      </c>
      <c r="AD17" s="120">
        <v>189790422.63000003</v>
      </c>
      <c r="AE17" s="121">
        <v>184179393.68000001</v>
      </c>
      <c r="AF17" s="138">
        <f>AD17+500000</f>
        <v>190290422.63000003</v>
      </c>
      <c r="AG17" s="121">
        <f t="shared" si="1"/>
        <v>500000</v>
      </c>
      <c r="AH17" s="113">
        <v>1100122</v>
      </c>
      <c r="AI17" s="114">
        <v>180044494.69999999</v>
      </c>
      <c r="AJ17" s="114">
        <v>191657445.66999999</v>
      </c>
      <c r="AK17" s="114">
        <f>232772544-3000000</f>
        <v>229772544</v>
      </c>
    </row>
    <row r="18" spans="1:37" ht="16.5" thickTop="1" thickBot="1" x14ac:dyDescent="0.25">
      <c r="A18" s="101"/>
      <c r="B18" s="102"/>
      <c r="C18" s="103"/>
      <c r="D18" s="103">
        <v>2</v>
      </c>
      <c r="E18" s="104">
        <v>120102</v>
      </c>
      <c r="F18" s="105" t="s">
        <v>436</v>
      </c>
      <c r="G18" s="108">
        <v>2576577.31</v>
      </c>
      <c r="H18" s="131">
        <v>2756937</v>
      </c>
      <c r="I18" s="107">
        <v>2756937</v>
      </c>
      <c r="J18" s="108">
        <v>2756937</v>
      </c>
      <c r="K18" s="136">
        <v>1936541.72</v>
      </c>
      <c r="L18" s="136">
        <v>550415.97</v>
      </c>
      <c r="M18" s="136">
        <v>37732.559999999998</v>
      </c>
      <c r="N18" s="136">
        <v>5973.17</v>
      </c>
      <c r="O18" s="136">
        <v>1000.12</v>
      </c>
      <c r="P18" s="117">
        <v>2313.3000000000002</v>
      </c>
      <c r="Q18" s="137">
        <f>'[16]PREDIAL PROY'!J8</f>
        <v>3787.2629999999999</v>
      </c>
      <c r="R18" s="137">
        <f>'[16]PREDIAL PROY'!J9</f>
        <v>23810.058000000001</v>
      </c>
      <c r="S18" s="137">
        <f>'[16]PREDIAL PROY'!J10</f>
        <v>3116.5609999999997</v>
      </c>
      <c r="T18" s="137">
        <f>'[16]PREDIAL PROY'!J11</f>
        <v>2506.19823</v>
      </c>
      <c r="U18" s="137">
        <f>'[16]PREDIAL PROY'!J12</f>
        <v>2265.7217700000001</v>
      </c>
      <c r="V18" s="137">
        <f>'[16]PREDIAL PROY'!J13</f>
        <v>0</v>
      </c>
      <c r="W18" s="119">
        <v>2569462.64</v>
      </c>
      <c r="X18" s="108">
        <f>W18</f>
        <v>2569462.64</v>
      </c>
      <c r="Y18" s="110">
        <v>2578936.2200000002</v>
      </c>
      <c r="Z18" s="111">
        <v>2699779.04</v>
      </c>
      <c r="AA18" s="111">
        <v>2011104.98</v>
      </c>
      <c r="AB18" s="123">
        <v>524576.65</v>
      </c>
      <c r="AC18" s="88">
        <f t="shared" si="3"/>
        <v>0</v>
      </c>
      <c r="AD18" s="120">
        <v>2699779.04</v>
      </c>
      <c r="AE18" s="121">
        <v>2576974.2599999998</v>
      </c>
      <c r="AF18" s="138">
        <f>AD18+222804.74</f>
        <v>2922583.7800000003</v>
      </c>
      <c r="AG18" s="121">
        <f t="shared" si="1"/>
        <v>222804.74000000022</v>
      </c>
      <c r="AH18" s="113">
        <v>1100122</v>
      </c>
      <c r="AI18" s="114">
        <v>2578936.2200000002</v>
      </c>
      <c r="AJ18" s="114">
        <v>2609257.59</v>
      </c>
      <c r="AK18" s="114">
        <v>2712323</v>
      </c>
    </row>
    <row r="19" spans="1:37" ht="16.5" thickTop="1" thickBot="1" x14ac:dyDescent="0.25">
      <c r="A19" s="101"/>
      <c r="B19" s="102"/>
      <c r="C19" s="103"/>
      <c r="D19" s="103">
        <v>3</v>
      </c>
      <c r="E19" s="104">
        <v>120103</v>
      </c>
      <c r="F19" s="105" t="s">
        <v>437</v>
      </c>
      <c r="G19" s="108">
        <v>57369478.619999997</v>
      </c>
      <c r="H19" s="107">
        <f>57888755+3000000</f>
        <v>60888755</v>
      </c>
      <c r="I19" s="107">
        <f>57888755+3000000</f>
        <v>60888755</v>
      </c>
      <c r="J19" s="108">
        <f>57888755+3000000</f>
        <v>60888755</v>
      </c>
      <c r="K19" s="136">
        <v>7793105.9699999997</v>
      </c>
      <c r="L19" s="136">
        <v>4344564.59</v>
      </c>
      <c r="M19" s="136">
        <v>3472965.08</v>
      </c>
      <c r="N19" s="136">
        <v>1721686.67</v>
      </c>
      <c r="O19" s="136">
        <v>1879033.72</v>
      </c>
      <c r="P19" s="117">
        <v>2645821.42</v>
      </c>
      <c r="Q19" s="137">
        <f>'[16]PREDIAL PROY'!K8</f>
        <v>3259689.7410000004</v>
      </c>
      <c r="R19" s="137">
        <f>'[16]PREDIAL PROY'!K9</f>
        <v>3551724.0900000003</v>
      </c>
      <c r="S19" s="137">
        <f>'[16]PREDIAL PROY'!K10</f>
        <v>2445471.7629999998</v>
      </c>
      <c r="T19" s="137">
        <f>'[16]PREDIAL PROY'!K11</f>
        <v>3708485.6476499997</v>
      </c>
      <c r="U19" s="137">
        <f>'[16]PREDIAL PROY'!K12</f>
        <v>2968586.0457900004</v>
      </c>
      <c r="V19" s="137">
        <f>'[16]PREDIAL PROY'!K13</f>
        <v>12416352.313059971</v>
      </c>
      <c r="W19" s="119">
        <f>50207487.05+1600000</f>
        <v>51807487.049999997</v>
      </c>
      <c r="X19" s="108">
        <f>W19</f>
        <v>51807487.049999997</v>
      </c>
      <c r="Y19" s="110">
        <v>51028693.590000004</v>
      </c>
      <c r="Z19" s="111">
        <v>49713376.759999998</v>
      </c>
      <c r="AA19" s="111">
        <v>7568119.3399999999</v>
      </c>
      <c r="AB19" s="123">
        <v>5749379.5899999999</v>
      </c>
      <c r="AC19" s="88">
        <f t="shared" si="3"/>
        <v>0</v>
      </c>
      <c r="AD19" s="120">
        <v>55177673.540000007</v>
      </c>
      <c r="AE19" s="121">
        <v>22286378.449999999</v>
      </c>
      <c r="AF19" s="138">
        <f>AD19+1500000</f>
        <v>56677673.540000007</v>
      </c>
      <c r="AG19" s="121">
        <f t="shared" si="1"/>
        <v>1500000</v>
      </c>
      <c r="AH19" s="113">
        <v>1100122</v>
      </c>
      <c r="AI19" s="114">
        <v>51028693.590000004</v>
      </c>
      <c r="AJ19" s="114">
        <v>64748360.759999998</v>
      </c>
      <c r="AK19" s="114">
        <v>60000000</v>
      </c>
    </row>
    <row r="20" spans="1:37" ht="16.5" thickTop="1" thickBot="1" x14ac:dyDescent="0.25">
      <c r="A20" s="101"/>
      <c r="B20" s="102"/>
      <c r="C20" s="103"/>
      <c r="D20" s="103">
        <v>4</v>
      </c>
      <c r="E20" s="104">
        <v>120104</v>
      </c>
      <c r="F20" s="105" t="s">
        <v>438</v>
      </c>
      <c r="G20" s="108">
        <v>1056198.92</v>
      </c>
      <c r="H20" s="107">
        <v>1116975</v>
      </c>
      <c r="I20" s="139">
        <v>1116975</v>
      </c>
      <c r="J20" s="108">
        <v>1116975</v>
      </c>
      <c r="K20" s="140">
        <v>101693.91</v>
      </c>
      <c r="L20" s="141">
        <v>81918.37</v>
      </c>
      <c r="M20" s="136">
        <v>223469.13</v>
      </c>
      <c r="N20" s="136">
        <v>47969.63</v>
      </c>
      <c r="O20" s="142">
        <v>34068.519999999997</v>
      </c>
      <c r="P20" s="109">
        <v>30632.23</v>
      </c>
      <c r="Q20" s="137">
        <f>'[16]PREDIAL PROY'!L8</f>
        <v>53858.097000000002</v>
      </c>
      <c r="R20" s="137">
        <f>'[16]PREDIAL PROY'!L9</f>
        <v>45991.197</v>
      </c>
      <c r="S20" s="137">
        <f>'[16]PREDIAL PROY'!L10</f>
        <v>27823.46</v>
      </c>
      <c r="T20" s="137">
        <f>'[16]PREDIAL PROY'!L11</f>
        <v>81111.731310000003</v>
      </c>
      <c r="U20" s="137">
        <f>'[16]PREDIAL PROY'!L12</f>
        <v>38303.878320000003</v>
      </c>
      <c r="V20" s="137">
        <f>'[16]PREDIAL PROY'!L13</f>
        <v>117810.35394</v>
      </c>
      <c r="W20" s="119">
        <v>884650.5</v>
      </c>
      <c r="X20" s="108">
        <f>W20</f>
        <v>884650.5</v>
      </c>
      <c r="Y20" s="110">
        <v>975594.33</v>
      </c>
      <c r="Z20" s="111">
        <v>958997.4</v>
      </c>
      <c r="AA20" s="111">
        <v>207699.75</v>
      </c>
      <c r="AB20" s="123">
        <v>118042.92</v>
      </c>
      <c r="AC20" s="88">
        <f t="shared" si="3"/>
        <v>0</v>
      </c>
      <c r="AD20" s="120">
        <v>1147688.2599999998</v>
      </c>
      <c r="AE20" s="121">
        <v>708854.4</v>
      </c>
      <c r="AF20" s="138">
        <f>AD20+500000</f>
        <v>1647688.2599999998</v>
      </c>
      <c r="AG20" s="121">
        <f t="shared" si="1"/>
        <v>500000</v>
      </c>
      <c r="AH20" s="113">
        <v>1100122</v>
      </c>
      <c r="AI20" s="114">
        <v>975594.33</v>
      </c>
      <c r="AJ20" s="114">
        <v>1517505.02</v>
      </c>
      <c r="AK20" s="114">
        <v>1577446</v>
      </c>
    </row>
    <row r="21" spans="1:37" ht="16.5" thickTop="1" thickBot="1" x14ac:dyDescent="0.25">
      <c r="A21" s="101"/>
      <c r="B21" s="102"/>
      <c r="C21" s="103"/>
      <c r="D21" s="103">
        <v>5</v>
      </c>
      <c r="E21" s="104">
        <v>120105</v>
      </c>
      <c r="F21" s="105" t="s">
        <v>439</v>
      </c>
      <c r="G21" s="108"/>
      <c r="H21" s="107"/>
      <c r="I21" s="139"/>
      <c r="J21" s="108"/>
      <c r="K21" s="140"/>
      <c r="L21" s="141"/>
      <c r="M21" s="136"/>
      <c r="N21" s="136"/>
      <c r="O21" s="142"/>
      <c r="P21" s="109"/>
      <c r="Q21" s="137"/>
      <c r="R21" s="137"/>
      <c r="S21" s="137"/>
      <c r="T21" s="137"/>
      <c r="U21" s="137"/>
      <c r="V21" s="137"/>
      <c r="W21" s="119"/>
      <c r="X21" s="108"/>
      <c r="Y21" s="110"/>
      <c r="Z21" s="143">
        <v>28672.16</v>
      </c>
      <c r="AA21" s="143">
        <v>96669.29</v>
      </c>
      <c r="AB21" s="123">
        <v>97501.18</v>
      </c>
      <c r="AC21" s="88"/>
      <c r="AD21" s="112">
        <v>250000</v>
      </c>
      <c r="AE21" s="121">
        <v>320092.86</v>
      </c>
      <c r="AF21" s="138">
        <f>AD21+500000</f>
        <v>750000</v>
      </c>
      <c r="AG21" s="121">
        <f t="shared" si="1"/>
        <v>500000</v>
      </c>
      <c r="AH21" s="113">
        <v>1100122</v>
      </c>
      <c r="AI21" s="114">
        <v>169005.16</v>
      </c>
      <c r="AJ21" s="114">
        <v>1663383.98</v>
      </c>
      <c r="AK21" s="114">
        <v>1650000</v>
      </c>
    </row>
    <row r="22" spans="1:37" ht="16.5" thickTop="1" thickBot="1" x14ac:dyDescent="0.25">
      <c r="A22" s="101"/>
      <c r="B22" s="102"/>
      <c r="C22" s="103"/>
      <c r="D22" s="103">
        <v>6</v>
      </c>
      <c r="E22" s="104">
        <v>120106</v>
      </c>
      <c r="F22" s="105" t="s">
        <v>440</v>
      </c>
      <c r="G22" s="108"/>
      <c r="H22" s="107"/>
      <c r="I22" s="139"/>
      <c r="J22" s="108"/>
      <c r="K22" s="140"/>
      <c r="L22" s="141"/>
      <c r="M22" s="136"/>
      <c r="N22" s="136"/>
      <c r="O22" s="142"/>
      <c r="P22" s="109"/>
      <c r="Q22" s="137"/>
      <c r="R22" s="137"/>
      <c r="S22" s="137"/>
      <c r="T22" s="137"/>
      <c r="U22" s="137"/>
      <c r="V22" s="137"/>
      <c r="W22" s="119"/>
      <c r="X22" s="108"/>
      <c r="Y22" s="110"/>
      <c r="Z22" s="143">
        <v>240736.46</v>
      </c>
      <c r="AA22" s="143">
        <v>144364.04</v>
      </c>
      <c r="AB22" s="123">
        <v>41507.919999999998</v>
      </c>
      <c r="AC22" s="88"/>
      <c r="AD22" s="112">
        <v>240736.46</v>
      </c>
      <c r="AE22" s="121">
        <v>209253.88</v>
      </c>
      <c r="AF22" s="138">
        <f>AD22</f>
        <v>240736.46</v>
      </c>
      <c r="AG22" s="121">
        <f t="shared" si="1"/>
        <v>0</v>
      </c>
      <c r="AH22" s="113">
        <v>1100122</v>
      </c>
      <c r="AI22" s="114">
        <v>238636.82</v>
      </c>
      <c r="AJ22" s="114">
        <v>255238.93</v>
      </c>
      <c r="AK22" s="114">
        <v>260000</v>
      </c>
    </row>
    <row r="23" spans="1:37" ht="27" thickTop="1" thickBot="1" x14ac:dyDescent="0.25">
      <c r="A23" s="127"/>
      <c r="B23" s="128"/>
      <c r="C23" s="129">
        <v>2</v>
      </c>
      <c r="D23" s="129"/>
      <c r="E23" s="129"/>
      <c r="F23" s="130" t="s">
        <v>441</v>
      </c>
      <c r="G23" s="108">
        <f>G24+G25</f>
        <v>13623944.310000001</v>
      </c>
      <c r="H23" s="107">
        <f>H24</f>
        <v>4062146</v>
      </c>
      <c r="I23" s="108">
        <f t="shared" ref="I23:AB23" si="10">I24+I25</f>
        <v>4062146</v>
      </c>
      <c r="J23" s="108">
        <f t="shared" si="10"/>
        <v>4062146</v>
      </c>
      <c r="K23" s="108">
        <f t="shared" si="10"/>
        <v>45302.64</v>
      </c>
      <c r="L23" s="108">
        <f t="shared" si="10"/>
        <v>318298.49</v>
      </c>
      <c r="M23" s="108">
        <f t="shared" si="10"/>
        <v>686218.67</v>
      </c>
      <c r="N23" s="108">
        <f t="shared" si="10"/>
        <v>324015.75</v>
      </c>
      <c r="O23" s="108">
        <f t="shared" si="10"/>
        <v>201669.93</v>
      </c>
      <c r="P23" s="108">
        <f t="shared" si="10"/>
        <v>259142.94</v>
      </c>
      <c r="Q23" s="108">
        <f t="shared" si="10"/>
        <v>55908.11</v>
      </c>
      <c r="R23" s="108">
        <f t="shared" si="10"/>
        <v>98345</v>
      </c>
      <c r="S23" s="108">
        <f t="shared" si="10"/>
        <v>101218</v>
      </c>
      <c r="T23" s="108">
        <f t="shared" si="10"/>
        <v>130728</v>
      </c>
      <c r="U23" s="108">
        <f t="shared" si="10"/>
        <v>140920</v>
      </c>
      <c r="V23" s="108">
        <f t="shared" si="10"/>
        <v>234197</v>
      </c>
      <c r="W23" s="132">
        <f t="shared" si="10"/>
        <v>11030517.530000001</v>
      </c>
      <c r="X23" s="132">
        <f t="shared" si="10"/>
        <v>11030517.530000001</v>
      </c>
      <c r="Y23" s="133">
        <f t="shared" si="10"/>
        <v>11042452.380000001</v>
      </c>
      <c r="Z23" s="134">
        <f t="shared" si="10"/>
        <v>11391281.98</v>
      </c>
      <c r="AA23" s="134">
        <f t="shared" si="10"/>
        <v>0</v>
      </c>
      <c r="AB23" s="134">
        <f t="shared" si="10"/>
        <v>1563495.43</v>
      </c>
      <c r="AC23" s="88">
        <f t="shared" ref="AC23:AC42" si="11">W23-X23</f>
        <v>0</v>
      </c>
      <c r="AD23" s="132">
        <f>AD24+AD25</f>
        <v>11620087.34</v>
      </c>
      <c r="AE23" s="132">
        <f>AE24+AE25</f>
        <v>2759093.69</v>
      </c>
      <c r="AF23" s="132">
        <f>AF24+AF25</f>
        <v>11620087.65</v>
      </c>
      <c r="AG23" s="132">
        <f>AG24+AG25</f>
        <v>0.31000000052154064</v>
      </c>
      <c r="AH23" s="135"/>
      <c r="AI23" s="133">
        <f>AI24+AI25</f>
        <v>11042452.380000001</v>
      </c>
      <c r="AJ23" s="133">
        <f>AJ24+AJ25</f>
        <v>6619754.6400000006</v>
      </c>
      <c r="AK23" s="133">
        <f>AK24+AK25</f>
        <v>8826823</v>
      </c>
    </row>
    <row r="24" spans="1:37" ht="16.5" thickTop="1" thickBot="1" x14ac:dyDescent="0.25">
      <c r="A24" s="101"/>
      <c r="B24" s="102"/>
      <c r="C24" s="103"/>
      <c r="D24" s="103">
        <v>1</v>
      </c>
      <c r="E24" s="104">
        <v>120201</v>
      </c>
      <c r="F24" s="105" t="s">
        <v>442</v>
      </c>
      <c r="G24" s="108">
        <v>3915603.31</v>
      </c>
      <c r="H24" s="107">
        <v>4062146</v>
      </c>
      <c r="I24" s="107">
        <v>4062146</v>
      </c>
      <c r="J24" s="108">
        <v>4062146</v>
      </c>
      <c r="K24" s="136">
        <v>45302.64</v>
      </c>
      <c r="L24" s="136">
        <v>318298.49</v>
      </c>
      <c r="M24" s="136">
        <v>686218.67</v>
      </c>
      <c r="N24" s="136">
        <v>324015.75</v>
      </c>
      <c r="O24" s="136">
        <v>201669.93</v>
      </c>
      <c r="P24" s="117">
        <v>259142.94</v>
      </c>
      <c r="Q24" s="137">
        <v>55908.11</v>
      </c>
      <c r="R24" s="137">
        <v>98345</v>
      </c>
      <c r="S24" s="137">
        <v>101218</v>
      </c>
      <c r="T24" s="137">
        <v>130728</v>
      </c>
      <c r="U24" s="137">
        <v>140920</v>
      </c>
      <c r="V24" s="137">
        <v>234197</v>
      </c>
      <c r="W24" s="119">
        <f>SUM(K24:V24)</f>
        <v>2595964.5300000003</v>
      </c>
      <c r="X24" s="108">
        <f>W24</f>
        <v>2595964.5300000003</v>
      </c>
      <c r="Y24" s="110">
        <v>2915628.65</v>
      </c>
      <c r="Z24" s="111">
        <v>2686823.29</v>
      </c>
      <c r="AA24" s="111">
        <v>0</v>
      </c>
      <c r="AB24" s="123">
        <v>427512.28</v>
      </c>
      <c r="AC24" s="88">
        <f t="shared" si="11"/>
        <v>0</v>
      </c>
      <c r="AD24" s="120">
        <f>Y24</f>
        <v>2915628.65</v>
      </c>
      <c r="AE24" s="121">
        <v>1198214.97</v>
      </c>
      <c r="AF24" s="138">
        <f>AD24</f>
        <v>2915628.65</v>
      </c>
      <c r="AG24" s="144">
        <f>AF24-AD24</f>
        <v>0</v>
      </c>
      <c r="AH24" s="113">
        <v>1100122</v>
      </c>
      <c r="AI24" s="114">
        <v>2915628.65</v>
      </c>
      <c r="AJ24" s="114">
        <v>3523102.0200000005</v>
      </c>
      <c r="AK24" s="114">
        <v>3700000</v>
      </c>
    </row>
    <row r="25" spans="1:37" ht="16.5" thickTop="1" thickBot="1" x14ac:dyDescent="0.25">
      <c r="A25" s="101"/>
      <c r="B25" s="102"/>
      <c r="C25" s="103"/>
      <c r="D25" s="103"/>
      <c r="E25" s="104">
        <v>120202</v>
      </c>
      <c r="F25" s="105" t="s">
        <v>443</v>
      </c>
      <c r="G25" s="108">
        <v>9708341</v>
      </c>
      <c r="H25" s="131"/>
      <c r="I25" s="131"/>
      <c r="J25" s="97"/>
      <c r="K25" s="115"/>
      <c r="L25" s="145"/>
      <c r="M25" s="115"/>
      <c r="N25" s="115"/>
      <c r="O25" s="115"/>
      <c r="P25" s="117"/>
      <c r="Q25" s="122"/>
      <c r="R25" s="122"/>
      <c r="S25" s="122"/>
      <c r="T25" s="122"/>
      <c r="U25" s="122"/>
      <c r="V25" s="122"/>
      <c r="W25" s="119">
        <v>8434553</v>
      </c>
      <c r="X25" s="108">
        <f>W25</f>
        <v>8434553</v>
      </c>
      <c r="Y25" s="110">
        <v>8126823.7300000004</v>
      </c>
      <c r="Z25" s="143">
        <v>8704458.6899999995</v>
      </c>
      <c r="AA25" s="143">
        <v>0</v>
      </c>
      <c r="AB25" s="123">
        <v>1135983.1499999999</v>
      </c>
      <c r="AC25" s="88">
        <f t="shared" si="11"/>
        <v>0</v>
      </c>
      <c r="AD25" s="112">
        <f>Z25</f>
        <v>8704458.6899999995</v>
      </c>
      <c r="AE25" s="121">
        <v>1560878.72</v>
      </c>
      <c r="AF25" s="138">
        <v>8704459</v>
      </c>
      <c r="AG25" s="144">
        <f>AF25-AD25</f>
        <v>0.31000000052154064</v>
      </c>
      <c r="AH25" s="113">
        <v>1100122</v>
      </c>
      <c r="AI25" s="114">
        <v>8126823.7300000004</v>
      </c>
      <c r="AJ25" s="114">
        <v>3096652.6199999996</v>
      </c>
      <c r="AK25" s="114">
        <v>5126823</v>
      </c>
    </row>
    <row r="26" spans="1:37" ht="27" thickTop="1" thickBot="1" x14ac:dyDescent="0.25">
      <c r="A26" s="92"/>
      <c r="B26" s="93">
        <v>3</v>
      </c>
      <c r="C26" s="124"/>
      <c r="D26" s="124"/>
      <c r="E26" s="124"/>
      <c r="F26" s="95" t="s">
        <v>444</v>
      </c>
      <c r="G26" s="96">
        <f>G27+G28+G29</f>
        <v>55880357.300000004</v>
      </c>
      <c r="H26" s="96">
        <f t="shared" ref="H26:AB26" si="12">H27+H28+H29</f>
        <v>57926267.420000002</v>
      </c>
      <c r="I26" s="146">
        <f t="shared" si="12"/>
        <v>57926267.420000002</v>
      </c>
      <c r="J26" s="146">
        <f t="shared" si="12"/>
        <v>57926267.420000002</v>
      </c>
      <c r="K26" s="147">
        <f t="shared" si="12"/>
        <v>1047073.8099999999</v>
      </c>
      <c r="L26" s="147">
        <f t="shared" si="12"/>
        <v>11382959.73</v>
      </c>
      <c r="M26" s="147">
        <f t="shared" si="12"/>
        <v>8257965.75</v>
      </c>
      <c r="N26" s="147">
        <f t="shared" si="12"/>
        <v>4030622.5300000003</v>
      </c>
      <c r="O26" s="147">
        <f t="shared" si="12"/>
        <v>4797313.42</v>
      </c>
      <c r="P26" s="147">
        <f t="shared" si="12"/>
        <v>5428655.8799999999</v>
      </c>
      <c r="Q26" s="126">
        <f t="shared" si="12"/>
        <v>4123430.54</v>
      </c>
      <c r="R26" s="126">
        <f t="shared" si="12"/>
        <v>2994660.21</v>
      </c>
      <c r="S26" s="126">
        <f t="shared" si="12"/>
        <v>3027479.91</v>
      </c>
      <c r="T26" s="126">
        <f t="shared" si="12"/>
        <v>3106410.56</v>
      </c>
      <c r="U26" s="126">
        <f t="shared" si="12"/>
        <v>3790112.64</v>
      </c>
      <c r="V26" s="126">
        <f t="shared" si="12"/>
        <v>3677565.49</v>
      </c>
      <c r="W26" s="96">
        <f t="shared" si="12"/>
        <v>55664250.470000006</v>
      </c>
      <c r="X26" s="96">
        <f t="shared" si="12"/>
        <v>55664250.470000006</v>
      </c>
      <c r="Y26" s="98">
        <f t="shared" si="12"/>
        <v>76421383.350000009</v>
      </c>
      <c r="Z26" s="96">
        <f t="shared" si="12"/>
        <v>58904465.880000003</v>
      </c>
      <c r="AA26" s="96">
        <f t="shared" si="12"/>
        <v>481845.57</v>
      </c>
      <c r="AB26" s="96">
        <f t="shared" si="12"/>
        <v>10181858.539999999</v>
      </c>
      <c r="AC26" s="99">
        <f t="shared" si="11"/>
        <v>0</v>
      </c>
      <c r="AD26" s="96">
        <f>AD27+AD28+AD29</f>
        <v>58985377.050000004</v>
      </c>
      <c r="AE26" s="96">
        <f>AE27+AE28+AE29</f>
        <v>26614073.080000002</v>
      </c>
      <c r="AF26" s="96">
        <f>AF27+AF28+AF29</f>
        <v>59004465.880000003</v>
      </c>
      <c r="AG26" s="96">
        <f>AG27+AG28+AG29</f>
        <v>19088.829999999987</v>
      </c>
      <c r="AH26" s="100"/>
      <c r="AI26" s="98">
        <f>AI27+AI28+AI29</f>
        <v>76421383.350000009</v>
      </c>
      <c r="AJ26" s="98">
        <f>AJ27+AJ28+AJ29</f>
        <v>77026723.049999997</v>
      </c>
      <c r="AK26" s="98">
        <f>AK27+AK28+AK29</f>
        <v>70340000</v>
      </c>
    </row>
    <row r="27" spans="1:37" ht="27" thickTop="1" thickBot="1" x14ac:dyDescent="0.25">
      <c r="A27" s="101"/>
      <c r="B27" s="102"/>
      <c r="C27" s="103">
        <v>1</v>
      </c>
      <c r="D27" s="103">
        <v>1</v>
      </c>
      <c r="E27" s="104">
        <v>130101</v>
      </c>
      <c r="F27" s="105" t="s">
        <v>445</v>
      </c>
      <c r="G27" s="106">
        <v>0</v>
      </c>
      <c r="H27" s="131">
        <v>20000</v>
      </c>
      <c r="I27" s="131">
        <v>20000</v>
      </c>
      <c r="J27" s="97">
        <v>20000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11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131">
        <v>0</v>
      </c>
      <c r="X27" s="108">
        <f>W27</f>
        <v>0</v>
      </c>
      <c r="Y27" s="110"/>
      <c r="Z27" s="111">
        <v>10000</v>
      </c>
      <c r="AA27" s="111">
        <v>0</v>
      </c>
      <c r="AB27" s="111">
        <v>0</v>
      </c>
      <c r="AC27" s="88">
        <f t="shared" si="11"/>
        <v>0</v>
      </c>
      <c r="AD27" s="112">
        <f>Z27</f>
        <v>10000</v>
      </c>
      <c r="AE27" s="112">
        <v>0</v>
      </c>
      <c r="AF27" s="112">
        <v>10000</v>
      </c>
      <c r="AG27" s="112">
        <f>AF27-AD27</f>
        <v>0</v>
      </c>
      <c r="AH27" s="113">
        <v>1100122</v>
      </c>
      <c r="AI27" s="114">
        <v>0</v>
      </c>
      <c r="AJ27" s="114">
        <v>0</v>
      </c>
      <c r="AK27" s="114">
        <v>10000</v>
      </c>
    </row>
    <row r="28" spans="1:37" ht="27" thickTop="1" thickBot="1" x14ac:dyDescent="0.25">
      <c r="A28" s="101"/>
      <c r="B28" s="102"/>
      <c r="C28" s="103">
        <v>2</v>
      </c>
      <c r="D28" s="103">
        <v>2</v>
      </c>
      <c r="E28" s="104">
        <v>130201</v>
      </c>
      <c r="F28" s="105" t="s">
        <v>446</v>
      </c>
      <c r="G28" s="108">
        <v>55794465.880000003</v>
      </c>
      <c r="H28" s="131">
        <v>57611180.740000002</v>
      </c>
      <c r="I28" s="131">
        <v>57611180.740000002</v>
      </c>
      <c r="J28" s="97">
        <v>57611180.740000002</v>
      </c>
      <c r="K28" s="115">
        <v>1042443.47</v>
      </c>
      <c r="L28" s="145">
        <v>11382959.73</v>
      </c>
      <c r="M28" s="115">
        <v>8224305.0099999998</v>
      </c>
      <c r="N28" s="115">
        <v>4028134.16</v>
      </c>
      <c r="O28" s="148">
        <v>4797313.42</v>
      </c>
      <c r="P28" s="117">
        <v>5407945.3899999997</v>
      </c>
      <c r="Q28" s="122">
        <f>[16]ABI!D8</f>
        <v>4122462.84</v>
      </c>
      <c r="R28" s="122">
        <f>[16]ABI!D9</f>
        <v>2993540.21</v>
      </c>
      <c r="S28" s="122">
        <f>[16]ABI!D10</f>
        <v>3026714.7</v>
      </c>
      <c r="T28" s="122">
        <f>[16]ABI!D11</f>
        <v>3105587.56</v>
      </c>
      <c r="U28" s="122">
        <f>[16]ABI!D12</f>
        <v>3789792.64</v>
      </c>
      <c r="V28" s="122">
        <f>[16]ABI!D13</f>
        <v>3677025.49</v>
      </c>
      <c r="W28" s="119">
        <f>SUM(K28:V28)</f>
        <v>55598224.620000005</v>
      </c>
      <c r="X28" s="108">
        <f>W28</f>
        <v>55598224.620000005</v>
      </c>
      <c r="Y28" s="110">
        <v>76240472.180000007</v>
      </c>
      <c r="Z28" s="111">
        <v>58794465.880000003</v>
      </c>
      <c r="AA28" s="111">
        <v>481845.57</v>
      </c>
      <c r="AB28" s="123">
        <v>10181858.539999999</v>
      </c>
      <c r="AC28" s="88">
        <f t="shared" si="11"/>
        <v>0</v>
      </c>
      <c r="AD28" s="112">
        <f>Z28</f>
        <v>58794465.880000003</v>
      </c>
      <c r="AE28" s="121">
        <v>26482957.760000002</v>
      </c>
      <c r="AF28" s="112">
        <f>AD28</f>
        <v>58794465.880000003</v>
      </c>
      <c r="AG28" s="112">
        <f>AF28-AD28</f>
        <v>0</v>
      </c>
      <c r="AH28" s="113">
        <v>1100122</v>
      </c>
      <c r="AI28" s="114">
        <v>76240472.180000007</v>
      </c>
      <c r="AJ28" s="114">
        <v>76767151.789999992</v>
      </c>
      <c r="AK28" s="114">
        <v>70000000</v>
      </c>
    </row>
    <row r="29" spans="1:37" ht="16.5" thickTop="1" thickBot="1" x14ac:dyDescent="0.25">
      <c r="A29" s="101"/>
      <c r="B29" s="102"/>
      <c r="C29" s="103">
        <v>3</v>
      </c>
      <c r="D29" s="103">
        <v>3</v>
      </c>
      <c r="E29" s="104">
        <v>130301</v>
      </c>
      <c r="F29" s="105" t="s">
        <v>447</v>
      </c>
      <c r="G29" s="108">
        <v>85891.42</v>
      </c>
      <c r="H29" s="131">
        <v>295086.68</v>
      </c>
      <c r="I29" s="131">
        <v>295086.68</v>
      </c>
      <c r="J29" s="97">
        <v>295086.68</v>
      </c>
      <c r="K29" s="149">
        <v>4630.34</v>
      </c>
      <c r="L29" s="97">
        <v>0</v>
      </c>
      <c r="M29" s="115">
        <v>33660.74</v>
      </c>
      <c r="N29" s="115">
        <v>2488.37</v>
      </c>
      <c r="O29" s="115">
        <v>0</v>
      </c>
      <c r="P29" s="117">
        <v>20710.490000000002</v>
      </c>
      <c r="Q29" s="122">
        <v>967.7</v>
      </c>
      <c r="R29" s="122">
        <v>1120</v>
      </c>
      <c r="S29" s="122">
        <v>765.21</v>
      </c>
      <c r="T29" s="122">
        <v>823</v>
      </c>
      <c r="U29" s="122">
        <v>320</v>
      </c>
      <c r="V29" s="122">
        <v>540</v>
      </c>
      <c r="W29" s="119">
        <f>SUM(K29:V29)</f>
        <v>66025.850000000006</v>
      </c>
      <c r="X29" s="108">
        <f>W29</f>
        <v>66025.850000000006</v>
      </c>
      <c r="Y29" s="110">
        <v>180911.17</v>
      </c>
      <c r="Z29" s="111">
        <v>100000</v>
      </c>
      <c r="AA29" s="111">
        <v>0</v>
      </c>
      <c r="AB29" s="111">
        <v>0</v>
      </c>
      <c r="AC29" s="88">
        <f t="shared" si="11"/>
        <v>0</v>
      </c>
      <c r="AD29" s="112">
        <f>Y29</f>
        <v>180911.17</v>
      </c>
      <c r="AE29" s="121">
        <v>131115.32</v>
      </c>
      <c r="AF29" s="112">
        <v>200000</v>
      </c>
      <c r="AG29" s="112">
        <f>AF29-AD29</f>
        <v>19088.829999999987</v>
      </c>
      <c r="AH29" s="113">
        <v>1100122</v>
      </c>
      <c r="AI29" s="114">
        <v>180911.17</v>
      </c>
      <c r="AJ29" s="114">
        <v>259571.26</v>
      </c>
      <c r="AK29" s="114">
        <v>330000</v>
      </c>
    </row>
    <row r="30" spans="1:37" ht="14.25" thickTop="1" thickBot="1" x14ac:dyDescent="0.25">
      <c r="A30" s="92"/>
      <c r="B30" s="93">
        <v>7</v>
      </c>
      <c r="C30" s="124"/>
      <c r="D30" s="124"/>
      <c r="E30" s="124"/>
      <c r="F30" s="95" t="s">
        <v>448</v>
      </c>
      <c r="G30" s="96">
        <f>G31+G35+G37+G41</f>
        <v>27000904.580000002</v>
      </c>
      <c r="H30" s="96">
        <f>H31+H35+H37+H40+H41</f>
        <v>26800000</v>
      </c>
      <c r="I30" s="96">
        <f>I31+I35+I37+I39+I41</f>
        <v>27700000</v>
      </c>
      <c r="J30" s="96">
        <f t="shared" ref="J30:AB30" si="13">J31+J35+J37+J39+J41</f>
        <v>27720000</v>
      </c>
      <c r="K30" s="150">
        <f t="shared" si="13"/>
        <v>2900964.5200000005</v>
      </c>
      <c r="L30" s="150">
        <f t="shared" si="13"/>
        <v>2522111.3200000003</v>
      </c>
      <c r="M30" s="150">
        <f t="shared" si="13"/>
        <v>1973445.9299999997</v>
      </c>
      <c r="N30" s="150">
        <f t="shared" si="13"/>
        <v>784369.3600000001</v>
      </c>
      <c r="O30" s="150">
        <f t="shared" si="13"/>
        <v>789465.24000000011</v>
      </c>
      <c r="P30" s="150">
        <f t="shared" si="13"/>
        <v>1002880.7099999998</v>
      </c>
      <c r="Q30" s="126">
        <f t="shared" si="13"/>
        <v>187053.64</v>
      </c>
      <c r="R30" s="126">
        <f t="shared" si="13"/>
        <v>196634.31</v>
      </c>
      <c r="S30" s="126">
        <f t="shared" si="13"/>
        <v>630971.82499999984</v>
      </c>
      <c r="T30" s="126">
        <f t="shared" si="13"/>
        <v>725795.93499999982</v>
      </c>
      <c r="U30" s="126">
        <f t="shared" si="13"/>
        <v>628316.58499999985</v>
      </c>
      <c r="V30" s="126">
        <f t="shared" si="13"/>
        <v>1378691.915</v>
      </c>
      <c r="W30" s="96">
        <f t="shared" si="13"/>
        <v>13720701.290000001</v>
      </c>
      <c r="X30" s="96">
        <f t="shared" si="13"/>
        <v>13720701.290000001</v>
      </c>
      <c r="Y30" s="98">
        <f t="shared" si="13"/>
        <v>18307946.849999998</v>
      </c>
      <c r="Z30" s="96">
        <f t="shared" si="13"/>
        <v>21256095.419999998</v>
      </c>
      <c r="AA30" s="96">
        <f t="shared" si="13"/>
        <v>2411667.0199999996</v>
      </c>
      <c r="AB30" s="96">
        <f t="shared" si="13"/>
        <v>2683393.39</v>
      </c>
      <c r="AC30" s="99">
        <f t="shared" si="11"/>
        <v>0</v>
      </c>
      <c r="AD30" s="96">
        <f>AD31+AD35+AD37+AD39+AD41</f>
        <v>22208825.339999996</v>
      </c>
      <c r="AE30" s="96">
        <f>AE31+AE35+AE37+AE39+AE41</f>
        <v>9852851.25</v>
      </c>
      <c r="AF30" s="96">
        <f>AF31+AF35+AF37+AF39+AF41</f>
        <v>23208825.319999997</v>
      </c>
      <c r="AG30" s="96">
        <f>AG31+AG35+AG37+AG39+AG41</f>
        <v>999999.98</v>
      </c>
      <c r="AH30" s="100"/>
      <c r="AI30" s="98">
        <f>AI31+AI35+AI37+AI39+AI41</f>
        <v>17900304.869999997</v>
      </c>
      <c r="AJ30" s="98">
        <f>AJ31+AJ35+AJ37+AJ39+AJ41</f>
        <v>28356771.800000004</v>
      </c>
      <c r="AK30" s="98">
        <f>AK31+AK35+AK37+AK39+AK41</f>
        <v>28365714</v>
      </c>
    </row>
    <row r="31" spans="1:37" ht="16.5" thickTop="1" thickBot="1" x14ac:dyDescent="0.25">
      <c r="A31" s="127"/>
      <c r="B31" s="128"/>
      <c r="C31" s="129">
        <v>1</v>
      </c>
      <c r="D31" s="129"/>
      <c r="E31" s="129"/>
      <c r="F31" s="130" t="s">
        <v>449</v>
      </c>
      <c r="G31" s="108">
        <f>G32+G33</f>
        <v>18110717.25</v>
      </c>
      <c r="H31" s="131">
        <f>H32+H33</f>
        <v>17900000</v>
      </c>
      <c r="I31" s="131">
        <f>I32+I33</f>
        <v>17900000</v>
      </c>
      <c r="J31" s="97">
        <f>J32+J33+J34</f>
        <v>17920000</v>
      </c>
      <c r="K31" s="97">
        <f>K32+K33+K34</f>
        <v>2091000.1</v>
      </c>
      <c r="L31" s="97">
        <f t="shared" ref="L31:AB31" si="14">L32+L33+L34</f>
        <v>1665168.7100000002</v>
      </c>
      <c r="M31" s="97">
        <f t="shared" si="14"/>
        <v>1205604.5699999998</v>
      </c>
      <c r="N31" s="97">
        <f t="shared" si="14"/>
        <v>523866.89</v>
      </c>
      <c r="O31" s="97">
        <f t="shared" si="14"/>
        <v>558459.74000000011</v>
      </c>
      <c r="P31" s="97">
        <f t="shared" si="14"/>
        <v>605063.43999999994</v>
      </c>
      <c r="Q31" s="97">
        <f t="shared" si="14"/>
        <v>138256.99</v>
      </c>
      <c r="R31" s="97">
        <f t="shared" si="14"/>
        <v>147837.66</v>
      </c>
      <c r="S31" s="97">
        <f t="shared" si="14"/>
        <v>382191.72</v>
      </c>
      <c r="T31" s="97">
        <f t="shared" si="14"/>
        <v>433504.72</v>
      </c>
      <c r="U31" s="97">
        <f t="shared" si="14"/>
        <v>408935.08999999997</v>
      </c>
      <c r="V31" s="97">
        <f t="shared" si="14"/>
        <v>712581.76</v>
      </c>
      <c r="W31" s="151">
        <f t="shared" si="14"/>
        <v>8872471.3900000025</v>
      </c>
      <c r="X31" s="151">
        <f t="shared" si="14"/>
        <v>8872471.3900000025</v>
      </c>
      <c r="Y31" s="152">
        <f t="shared" si="14"/>
        <v>11379958.859999999</v>
      </c>
      <c r="Z31" s="151">
        <f t="shared" si="14"/>
        <v>15682596.649999999</v>
      </c>
      <c r="AA31" s="151">
        <f t="shared" si="14"/>
        <v>1962287.6999999997</v>
      </c>
      <c r="AB31" s="151">
        <f t="shared" si="14"/>
        <v>2028749.08</v>
      </c>
      <c r="AC31" s="88">
        <f t="shared" si="11"/>
        <v>0</v>
      </c>
      <c r="AD31" s="151">
        <f>AD32+AD33+AD34</f>
        <v>15688479.329999998</v>
      </c>
      <c r="AE31" s="151">
        <f>AE32+AE33+AE34</f>
        <v>7262342.5499999998</v>
      </c>
      <c r="AF31" s="151">
        <f>AF32+AF33+AF34</f>
        <v>16688479.309999999</v>
      </c>
      <c r="AG31" s="151">
        <f>AG32+AG33+AG34</f>
        <v>999999.98</v>
      </c>
      <c r="AH31" s="135"/>
      <c r="AI31" s="152">
        <f>AI32+AI33+AI34</f>
        <v>11379958.859999999</v>
      </c>
      <c r="AJ31" s="152">
        <f>AJ32+AJ33+AJ34</f>
        <v>20215486.300000004</v>
      </c>
      <c r="AK31" s="152">
        <f>AK32+AK33+AK34</f>
        <v>20040564</v>
      </c>
    </row>
    <row r="32" spans="1:37" ht="16.5" thickTop="1" thickBot="1" x14ac:dyDescent="0.25">
      <c r="A32" s="101"/>
      <c r="B32" s="102"/>
      <c r="C32" s="103"/>
      <c r="D32" s="103">
        <v>1</v>
      </c>
      <c r="E32" s="104">
        <v>170101</v>
      </c>
      <c r="F32" s="105" t="s">
        <v>450</v>
      </c>
      <c r="G32" s="108">
        <v>16233971.74</v>
      </c>
      <c r="H32" s="131">
        <f>15000000+1000000</f>
        <v>16000000</v>
      </c>
      <c r="I32" s="131">
        <f>15000000+1000000</f>
        <v>16000000</v>
      </c>
      <c r="J32" s="97">
        <v>16000000</v>
      </c>
      <c r="K32" s="115">
        <v>2041263.57</v>
      </c>
      <c r="L32" s="145">
        <v>1482338.12</v>
      </c>
      <c r="M32" s="115">
        <v>1023407.57</v>
      </c>
      <c r="N32" s="115">
        <v>439703.41</v>
      </c>
      <c r="O32" s="115">
        <v>408533.53</v>
      </c>
      <c r="P32" s="117">
        <v>458589.08</v>
      </c>
      <c r="Q32" s="122">
        <v>120653</v>
      </c>
      <c r="R32" s="122">
        <v>132926</v>
      </c>
      <c r="S32" s="122">
        <v>245761</v>
      </c>
      <c r="T32" s="122">
        <v>237829</v>
      </c>
      <c r="U32" s="122">
        <v>278683.69</v>
      </c>
      <c r="V32" s="122">
        <v>535528.49</v>
      </c>
      <c r="W32" s="119">
        <f>SUM(K32:V32)</f>
        <v>7405216.4600000018</v>
      </c>
      <c r="X32" s="108">
        <f>W32</f>
        <v>7405216.4600000018</v>
      </c>
      <c r="Y32" s="110">
        <v>9758933.4199999999</v>
      </c>
      <c r="Z32" s="111">
        <v>13664399.039999999</v>
      </c>
      <c r="AA32" s="111">
        <v>1953886.92</v>
      </c>
      <c r="AB32" s="123">
        <v>1658312.17</v>
      </c>
      <c r="AC32" s="88">
        <f t="shared" si="11"/>
        <v>0</v>
      </c>
      <c r="AD32" s="120">
        <f>Z32</f>
        <v>13664399.039999999</v>
      </c>
      <c r="AE32" s="121">
        <v>6505286.79</v>
      </c>
      <c r="AF32" s="138">
        <f>AD32+1000000</f>
        <v>14664399.039999999</v>
      </c>
      <c r="AG32" s="144">
        <f>AF32-AD32</f>
        <v>1000000</v>
      </c>
      <c r="AH32" s="113">
        <v>1100122</v>
      </c>
      <c r="AI32" s="114">
        <v>9758933.4199999999</v>
      </c>
      <c r="AJ32" s="114">
        <v>17733779.690000001</v>
      </c>
      <c r="AK32" s="114">
        <v>17522402</v>
      </c>
    </row>
    <row r="33" spans="1:37" ht="16.5" thickTop="1" thickBot="1" x14ac:dyDescent="0.25">
      <c r="A33" s="101"/>
      <c r="B33" s="102"/>
      <c r="C33" s="103"/>
      <c r="D33" s="103">
        <v>2</v>
      </c>
      <c r="E33" s="104">
        <v>170102</v>
      </c>
      <c r="F33" s="105" t="s">
        <v>451</v>
      </c>
      <c r="G33" s="108">
        <v>1876745.51</v>
      </c>
      <c r="H33" s="131">
        <v>1900000</v>
      </c>
      <c r="I33" s="131">
        <v>1900000</v>
      </c>
      <c r="J33" s="97">
        <v>1900000</v>
      </c>
      <c r="K33" s="115">
        <v>45518.42</v>
      </c>
      <c r="L33" s="145">
        <v>179892.73</v>
      </c>
      <c r="M33" s="115">
        <v>180026.54</v>
      </c>
      <c r="N33" s="115">
        <v>83367.100000000006</v>
      </c>
      <c r="O33" s="115">
        <v>149570.79</v>
      </c>
      <c r="P33" s="117">
        <v>145944.79</v>
      </c>
      <c r="Q33" s="122">
        <v>17353.990000000002</v>
      </c>
      <c r="R33" s="122">
        <v>14461.66</v>
      </c>
      <c r="S33" s="122">
        <v>135810.72</v>
      </c>
      <c r="T33" s="122">
        <v>195055.72</v>
      </c>
      <c r="U33" s="122">
        <v>129631.4</v>
      </c>
      <c r="V33" s="122">
        <v>176433.27</v>
      </c>
      <c r="W33" s="119">
        <f>SUM(K33:V33)</f>
        <v>1453067.1300000001</v>
      </c>
      <c r="X33" s="108">
        <f>W33</f>
        <v>1453067.1300000001</v>
      </c>
      <c r="Y33" s="110">
        <v>1596510.42</v>
      </c>
      <c r="Z33" s="111">
        <v>1999565.27</v>
      </c>
      <c r="AA33" s="111">
        <v>6924.38</v>
      </c>
      <c r="AB33" s="123">
        <v>368590.35</v>
      </c>
      <c r="AC33" s="88">
        <f t="shared" si="11"/>
        <v>0</v>
      </c>
      <c r="AD33" s="120">
        <f>Z33</f>
        <v>1999565.27</v>
      </c>
      <c r="AE33" s="121">
        <v>750152.34</v>
      </c>
      <c r="AF33" s="138">
        <f>AD33</f>
        <v>1999565.27</v>
      </c>
      <c r="AG33" s="144">
        <f>AF33-AD33</f>
        <v>0</v>
      </c>
      <c r="AH33" s="113">
        <v>1100122</v>
      </c>
      <c r="AI33" s="114">
        <v>1596510.42</v>
      </c>
      <c r="AJ33" s="114">
        <v>2459015.7599999998</v>
      </c>
      <c r="AK33" s="114">
        <v>2496297</v>
      </c>
    </row>
    <row r="34" spans="1:37" ht="16.5" thickTop="1" thickBot="1" x14ac:dyDescent="0.25">
      <c r="A34" s="101"/>
      <c r="B34" s="102"/>
      <c r="C34" s="103"/>
      <c r="D34" s="103">
        <v>3</v>
      </c>
      <c r="E34" s="104">
        <v>170103</v>
      </c>
      <c r="F34" s="105" t="s">
        <v>452</v>
      </c>
      <c r="G34" s="108"/>
      <c r="H34" s="131"/>
      <c r="I34" s="131">
        <v>0</v>
      </c>
      <c r="J34" s="97">
        <v>20000</v>
      </c>
      <c r="K34" s="115">
        <v>4218.1099999999997</v>
      </c>
      <c r="L34" s="145">
        <v>2937.86</v>
      </c>
      <c r="M34" s="115">
        <v>2170.46</v>
      </c>
      <c r="N34" s="115">
        <v>796.38</v>
      </c>
      <c r="O34" s="115">
        <v>355.42</v>
      </c>
      <c r="P34" s="117">
        <v>529.57000000000005</v>
      </c>
      <c r="Q34" s="122">
        <v>250</v>
      </c>
      <c r="R34" s="122">
        <v>450</v>
      </c>
      <c r="S34" s="122">
        <v>620</v>
      </c>
      <c r="T34" s="122">
        <v>620</v>
      </c>
      <c r="U34" s="122">
        <v>620</v>
      </c>
      <c r="V34" s="122">
        <v>620</v>
      </c>
      <c r="W34" s="119">
        <f>SUM(K34:V34)</f>
        <v>14187.8</v>
      </c>
      <c r="X34" s="108">
        <f>W34</f>
        <v>14187.8</v>
      </c>
      <c r="Y34" s="110">
        <v>24515.02</v>
      </c>
      <c r="Z34" s="143">
        <v>18632.34</v>
      </c>
      <c r="AA34" s="143">
        <v>1476.4</v>
      </c>
      <c r="AB34" s="123">
        <v>1846.56</v>
      </c>
      <c r="AC34" s="88">
        <f t="shared" si="11"/>
        <v>0</v>
      </c>
      <c r="AD34" s="112">
        <f>Y34</f>
        <v>24515.02</v>
      </c>
      <c r="AE34" s="121">
        <v>6903.42</v>
      </c>
      <c r="AF34" s="138">
        <v>24515</v>
      </c>
      <c r="AG34" s="144">
        <f>AF34-AD34</f>
        <v>-2.0000000000436557E-2</v>
      </c>
      <c r="AH34" s="113">
        <v>1100122</v>
      </c>
      <c r="AI34" s="114">
        <v>24515.02</v>
      </c>
      <c r="AJ34" s="114">
        <v>22690.85</v>
      </c>
      <c r="AK34" s="114">
        <v>21865</v>
      </c>
    </row>
    <row r="35" spans="1:37" ht="16.5" thickTop="1" thickBot="1" x14ac:dyDescent="0.25">
      <c r="A35" s="127"/>
      <c r="B35" s="128"/>
      <c r="C35" s="129">
        <v>2</v>
      </c>
      <c r="D35" s="129"/>
      <c r="E35" s="129"/>
      <c r="F35" s="130" t="s">
        <v>453</v>
      </c>
      <c r="G35" s="108">
        <f>G36</f>
        <v>2350623.2000000002</v>
      </c>
      <c r="H35" s="131">
        <f t="shared" ref="H35:AB35" si="15">H36</f>
        <v>2500000</v>
      </c>
      <c r="I35" s="131">
        <f t="shared" si="15"/>
        <v>2500000</v>
      </c>
      <c r="J35" s="131">
        <f t="shared" si="15"/>
        <v>2500000</v>
      </c>
      <c r="K35" s="131">
        <f t="shared" si="15"/>
        <v>92056.1</v>
      </c>
      <c r="L35" s="131">
        <f t="shared" si="15"/>
        <v>239951.02</v>
      </c>
      <c r="M35" s="131">
        <f t="shared" si="15"/>
        <v>402038.2</v>
      </c>
      <c r="N35" s="131">
        <f t="shared" si="15"/>
        <v>149254.15</v>
      </c>
      <c r="O35" s="131">
        <f t="shared" si="15"/>
        <v>159910.62</v>
      </c>
      <c r="P35" s="131">
        <f t="shared" si="15"/>
        <v>272167.69</v>
      </c>
      <c r="Q35" s="97">
        <f t="shared" si="15"/>
        <v>28095.73</v>
      </c>
      <c r="R35" s="97">
        <f t="shared" si="15"/>
        <v>28095.73</v>
      </c>
      <c r="S35" s="97">
        <f t="shared" si="15"/>
        <v>28095.73</v>
      </c>
      <c r="T35" s="97">
        <f t="shared" si="15"/>
        <v>28095.73</v>
      </c>
      <c r="U35" s="97">
        <f t="shared" si="15"/>
        <v>28095.73</v>
      </c>
      <c r="V35" s="97">
        <f t="shared" si="15"/>
        <v>28095.73</v>
      </c>
      <c r="W35" s="151">
        <f t="shared" si="15"/>
        <v>1483952.16</v>
      </c>
      <c r="X35" s="151">
        <f t="shared" si="15"/>
        <v>1483952.16</v>
      </c>
      <c r="Y35" s="152">
        <f t="shared" si="15"/>
        <v>2605940.9500000002</v>
      </c>
      <c r="Z35" s="151">
        <f t="shared" si="15"/>
        <v>2361663.11</v>
      </c>
      <c r="AA35" s="151">
        <f t="shared" si="15"/>
        <v>23509.599999999999</v>
      </c>
      <c r="AB35" s="151">
        <f t="shared" si="15"/>
        <v>189107.13</v>
      </c>
      <c r="AC35" s="88">
        <f t="shared" si="11"/>
        <v>0</v>
      </c>
      <c r="AD35" s="151">
        <f>AD36</f>
        <v>2605940.9500000002</v>
      </c>
      <c r="AE35" s="151">
        <f>AE36</f>
        <v>636728.36</v>
      </c>
      <c r="AF35" s="151">
        <f>AF36</f>
        <v>2605940.9500000002</v>
      </c>
      <c r="AG35" s="151">
        <f>AG36</f>
        <v>0</v>
      </c>
      <c r="AH35" s="135"/>
      <c r="AI35" s="152">
        <f>AI36</f>
        <v>2605940.9500000002</v>
      </c>
      <c r="AJ35" s="152">
        <f>AJ36</f>
        <v>2007594.89</v>
      </c>
      <c r="AK35" s="152">
        <f>AK36</f>
        <v>2054464</v>
      </c>
    </row>
    <row r="36" spans="1:37" ht="16.5" thickTop="1" thickBot="1" x14ac:dyDescent="0.25">
      <c r="A36" s="101"/>
      <c r="B36" s="102"/>
      <c r="C36" s="103"/>
      <c r="D36" s="103">
        <v>1</v>
      </c>
      <c r="E36" s="104">
        <v>170201</v>
      </c>
      <c r="F36" s="105" t="s">
        <v>454</v>
      </c>
      <c r="G36" s="108">
        <v>2350623.2000000002</v>
      </c>
      <c r="H36" s="107">
        <v>2500000</v>
      </c>
      <c r="I36" s="107">
        <v>2500000</v>
      </c>
      <c r="J36" s="108">
        <v>2500000</v>
      </c>
      <c r="K36" s="115">
        <v>92056.1</v>
      </c>
      <c r="L36" s="153">
        <v>239951.02</v>
      </c>
      <c r="M36" s="115">
        <v>402038.2</v>
      </c>
      <c r="N36" s="154">
        <v>149254.15</v>
      </c>
      <c r="O36" s="148">
        <v>159910.62</v>
      </c>
      <c r="P36" s="117">
        <v>272167.69</v>
      </c>
      <c r="Q36" s="155">
        <v>28095.73</v>
      </c>
      <c r="R36" s="155">
        <v>28095.73</v>
      </c>
      <c r="S36" s="155">
        <v>28095.73</v>
      </c>
      <c r="T36" s="155">
        <v>28095.73</v>
      </c>
      <c r="U36" s="155">
        <v>28095.73</v>
      </c>
      <c r="V36" s="155">
        <v>28095.73</v>
      </c>
      <c r="W36" s="119">
        <f>SUM(K36:V36)</f>
        <v>1483952.16</v>
      </c>
      <c r="X36" s="108">
        <f>W36</f>
        <v>1483952.16</v>
      </c>
      <c r="Y36" s="110">
        <v>2605940.9500000002</v>
      </c>
      <c r="Z36" s="111">
        <v>2361663.11</v>
      </c>
      <c r="AA36" s="111">
        <v>23509.599999999999</v>
      </c>
      <c r="AB36" s="123">
        <v>189107.13</v>
      </c>
      <c r="AC36" s="88">
        <f t="shared" si="11"/>
        <v>0</v>
      </c>
      <c r="AD36" s="120">
        <f>Y36</f>
        <v>2605940.9500000002</v>
      </c>
      <c r="AE36" s="121">
        <v>636728.36</v>
      </c>
      <c r="AF36" s="138">
        <f>AD36</f>
        <v>2605940.9500000002</v>
      </c>
      <c r="AG36" s="144">
        <f>AF36-AD36</f>
        <v>0</v>
      </c>
      <c r="AH36" s="113">
        <v>1100122</v>
      </c>
      <c r="AI36" s="114">
        <v>2605940.9500000002</v>
      </c>
      <c r="AJ36" s="114">
        <v>2007594.89</v>
      </c>
      <c r="AK36" s="114">
        <v>2054464</v>
      </c>
    </row>
    <row r="37" spans="1:37" ht="16.5" thickTop="1" thickBot="1" x14ac:dyDescent="0.25">
      <c r="A37" s="127"/>
      <c r="B37" s="128"/>
      <c r="C37" s="129">
        <v>3</v>
      </c>
      <c r="D37" s="129"/>
      <c r="E37" s="129"/>
      <c r="F37" s="130" t="s">
        <v>455</v>
      </c>
      <c r="G37" s="108">
        <f t="shared" ref="G37:AB37" si="16">G38</f>
        <v>6290784.0099999998</v>
      </c>
      <c r="H37" s="131">
        <f t="shared" si="16"/>
        <v>6000000</v>
      </c>
      <c r="I37" s="131">
        <f t="shared" si="16"/>
        <v>6000000</v>
      </c>
      <c r="J37" s="131">
        <f t="shared" si="16"/>
        <v>6000000</v>
      </c>
      <c r="K37" s="131">
        <f t="shared" si="16"/>
        <v>571901.81000000006</v>
      </c>
      <c r="L37" s="131">
        <f t="shared" si="16"/>
        <v>572815.61</v>
      </c>
      <c r="M37" s="131">
        <f t="shared" si="16"/>
        <v>345479.16</v>
      </c>
      <c r="N37" s="131">
        <f t="shared" si="16"/>
        <v>107033.42</v>
      </c>
      <c r="O37" s="131">
        <f t="shared" si="16"/>
        <v>68197.67</v>
      </c>
      <c r="P37" s="131">
        <f t="shared" si="16"/>
        <v>123911.97</v>
      </c>
      <c r="Q37" s="97">
        <f t="shared" si="16"/>
        <v>18916.669999999998</v>
      </c>
      <c r="R37" s="97">
        <f t="shared" si="16"/>
        <v>18916.669999999998</v>
      </c>
      <c r="S37" s="97">
        <f t="shared" si="16"/>
        <v>213774.845</v>
      </c>
      <c r="T37" s="97">
        <f t="shared" si="16"/>
        <v>254952.345</v>
      </c>
      <c r="U37" s="97">
        <f t="shared" si="16"/>
        <v>184734.095</v>
      </c>
      <c r="V37" s="97">
        <f t="shared" si="16"/>
        <v>622588.59499999997</v>
      </c>
      <c r="W37" s="151">
        <f t="shared" si="16"/>
        <v>3103222.8599999994</v>
      </c>
      <c r="X37" s="151">
        <f t="shared" si="16"/>
        <v>3103222.8599999994</v>
      </c>
      <c r="Y37" s="152">
        <f t="shared" si="16"/>
        <v>3914405.06</v>
      </c>
      <c r="Z37" s="151">
        <f t="shared" si="16"/>
        <v>3211835.66</v>
      </c>
      <c r="AA37" s="151">
        <f t="shared" si="16"/>
        <v>425869.72</v>
      </c>
      <c r="AB37" s="151">
        <f t="shared" si="16"/>
        <v>465537.18</v>
      </c>
      <c r="AC37" s="88">
        <f t="shared" si="11"/>
        <v>0</v>
      </c>
      <c r="AD37" s="151">
        <f>AD38</f>
        <v>3914405.06</v>
      </c>
      <c r="AE37" s="151">
        <f>AE38</f>
        <v>1953780.34</v>
      </c>
      <c r="AF37" s="151">
        <f>AF38</f>
        <v>3914405.06</v>
      </c>
      <c r="AG37" s="151">
        <f>AG38</f>
        <v>0</v>
      </c>
      <c r="AH37" s="135"/>
      <c r="AI37" s="152">
        <f>AI38</f>
        <v>3914405.06</v>
      </c>
      <c r="AJ37" s="152">
        <f>AJ38</f>
        <v>6133690.6099999994</v>
      </c>
      <c r="AK37" s="152">
        <f>AK38</f>
        <v>6270686</v>
      </c>
    </row>
    <row r="38" spans="1:37" ht="16.5" thickTop="1" thickBot="1" x14ac:dyDescent="0.25">
      <c r="A38" s="101"/>
      <c r="B38" s="102"/>
      <c r="C38" s="103"/>
      <c r="D38" s="103">
        <v>1</v>
      </c>
      <c r="E38" s="104">
        <v>170301</v>
      </c>
      <c r="F38" s="105" t="s">
        <v>456</v>
      </c>
      <c r="G38" s="108">
        <v>6290784.0099999998</v>
      </c>
      <c r="H38" s="156">
        <v>6000000</v>
      </c>
      <c r="I38" s="157">
        <v>6000000</v>
      </c>
      <c r="J38" s="108">
        <v>6000000</v>
      </c>
      <c r="K38" s="158">
        <v>571901.81000000006</v>
      </c>
      <c r="L38" s="159">
        <v>572815.61</v>
      </c>
      <c r="M38" s="160">
        <v>345479.16</v>
      </c>
      <c r="N38" s="115">
        <v>107033.42</v>
      </c>
      <c r="O38" s="148">
        <v>68197.67</v>
      </c>
      <c r="P38" s="117">
        <v>123911.97</v>
      </c>
      <c r="Q38" s="122">
        <v>18916.669999999998</v>
      </c>
      <c r="R38" s="122">
        <v>18916.669999999998</v>
      </c>
      <c r="S38" s="122">
        <v>213774.845</v>
      </c>
      <c r="T38" s="122">
        <v>254952.345</v>
      </c>
      <c r="U38" s="122">
        <v>184734.095</v>
      </c>
      <c r="V38" s="122">
        <v>622588.59499999997</v>
      </c>
      <c r="W38" s="119">
        <f>SUM(K38:V38)</f>
        <v>3103222.8599999994</v>
      </c>
      <c r="X38" s="108">
        <f>W38</f>
        <v>3103222.8599999994</v>
      </c>
      <c r="Y38" s="110">
        <v>3914405.06</v>
      </c>
      <c r="Z38" s="111">
        <v>3211835.66</v>
      </c>
      <c r="AA38" s="111">
        <v>425869.72</v>
      </c>
      <c r="AB38" s="123">
        <v>465537.18</v>
      </c>
      <c r="AC38" s="88">
        <f t="shared" si="11"/>
        <v>0</v>
      </c>
      <c r="AD38" s="120">
        <f>Y38</f>
        <v>3914405.06</v>
      </c>
      <c r="AE38" s="121">
        <v>1953780.34</v>
      </c>
      <c r="AF38" s="138">
        <f>AD38</f>
        <v>3914405.06</v>
      </c>
      <c r="AG38" s="144">
        <f>AF38-AD38</f>
        <v>0</v>
      </c>
      <c r="AH38" s="113">
        <v>1100122</v>
      </c>
      <c r="AI38" s="114">
        <v>3914405.06</v>
      </c>
      <c r="AJ38" s="114">
        <v>6133690.6099999994</v>
      </c>
      <c r="AK38" s="114">
        <v>6270686</v>
      </c>
    </row>
    <row r="39" spans="1:37" ht="16.5" thickTop="1" thickBot="1" x14ac:dyDescent="0.25">
      <c r="A39" s="101"/>
      <c r="B39" s="102"/>
      <c r="C39" s="103"/>
      <c r="D39" s="103"/>
      <c r="E39" s="161"/>
      <c r="F39" s="162" t="s">
        <v>457</v>
      </c>
      <c r="G39" s="163"/>
      <c r="H39" s="163"/>
      <c r="I39" s="163">
        <f>I40</f>
        <v>900000</v>
      </c>
      <c r="J39" s="163">
        <f t="shared" ref="J39:AB39" si="17">J40</f>
        <v>900000</v>
      </c>
      <c r="K39" s="163">
        <f t="shared" si="17"/>
        <v>0</v>
      </c>
      <c r="L39" s="163">
        <f t="shared" si="17"/>
        <v>0</v>
      </c>
      <c r="M39" s="163">
        <f t="shared" si="17"/>
        <v>3946.57</v>
      </c>
      <c r="N39" s="163">
        <f t="shared" si="17"/>
        <v>1336</v>
      </c>
      <c r="O39" s="163">
        <f t="shared" si="17"/>
        <v>837.83</v>
      </c>
      <c r="P39" s="163">
        <f t="shared" si="17"/>
        <v>0</v>
      </c>
      <c r="Q39" s="164">
        <f t="shared" si="17"/>
        <v>1100</v>
      </c>
      <c r="R39" s="164">
        <f t="shared" si="17"/>
        <v>1100</v>
      </c>
      <c r="S39" s="164">
        <f t="shared" si="17"/>
        <v>3946.57</v>
      </c>
      <c r="T39" s="164">
        <f t="shared" si="17"/>
        <v>3946.57</v>
      </c>
      <c r="U39" s="164">
        <f t="shared" si="17"/>
        <v>3946.57</v>
      </c>
      <c r="V39" s="164">
        <f t="shared" si="17"/>
        <v>7623</v>
      </c>
      <c r="W39" s="151">
        <f t="shared" si="17"/>
        <v>27783.11</v>
      </c>
      <c r="X39" s="151">
        <f t="shared" si="17"/>
        <v>27783.11</v>
      </c>
      <c r="Y39" s="152">
        <f t="shared" si="17"/>
        <v>169005.16</v>
      </c>
      <c r="Z39" s="151">
        <f t="shared" si="17"/>
        <v>0</v>
      </c>
      <c r="AA39" s="151">
        <f t="shared" si="17"/>
        <v>0</v>
      </c>
      <c r="AB39" s="151">
        <f t="shared" si="17"/>
        <v>0</v>
      </c>
      <c r="AC39" s="88">
        <f t="shared" si="11"/>
        <v>0</v>
      </c>
      <c r="AD39" s="151">
        <f>AD40</f>
        <v>0</v>
      </c>
      <c r="AE39" s="151">
        <f>AE40</f>
        <v>0</v>
      </c>
      <c r="AF39" s="151">
        <f>AF40</f>
        <v>0</v>
      </c>
      <c r="AG39" s="151"/>
      <c r="AH39" s="113"/>
      <c r="AI39" s="133"/>
      <c r="AJ39" s="133"/>
      <c r="AK39" s="110"/>
    </row>
    <row r="40" spans="1:37" ht="16.5" thickTop="1" thickBot="1" x14ac:dyDescent="0.25">
      <c r="A40" s="101"/>
      <c r="B40" s="102"/>
      <c r="C40" s="103"/>
      <c r="D40" s="103"/>
      <c r="E40" s="165">
        <v>170401</v>
      </c>
      <c r="F40" s="105" t="s">
        <v>458</v>
      </c>
      <c r="G40" s="108"/>
      <c r="H40" s="156"/>
      <c r="I40" s="107">
        <v>900000</v>
      </c>
      <c r="J40" s="108">
        <v>900000</v>
      </c>
      <c r="K40" s="115"/>
      <c r="L40" s="116"/>
      <c r="M40" s="160">
        <v>3946.57</v>
      </c>
      <c r="N40" s="115">
        <v>1336</v>
      </c>
      <c r="O40" s="148">
        <v>837.83</v>
      </c>
      <c r="P40" s="109">
        <v>0</v>
      </c>
      <c r="Q40" s="122">
        <v>1100</v>
      </c>
      <c r="R40" s="122">
        <v>1100</v>
      </c>
      <c r="S40" s="122">
        <v>3946.57</v>
      </c>
      <c r="T40" s="122">
        <v>3946.57</v>
      </c>
      <c r="U40" s="122">
        <v>3946.57</v>
      </c>
      <c r="V40" s="122">
        <v>7623</v>
      </c>
      <c r="W40" s="119">
        <f>SUM(K40:V40)</f>
        <v>27783.11</v>
      </c>
      <c r="X40" s="108">
        <f>W40</f>
        <v>27783.11</v>
      </c>
      <c r="Y40" s="110">
        <v>169005.16</v>
      </c>
      <c r="Z40" s="108"/>
      <c r="AA40" s="108"/>
      <c r="AB40" s="108"/>
      <c r="AC40" s="88">
        <f t="shared" si="11"/>
        <v>0</v>
      </c>
      <c r="AD40" s="108">
        <v>0</v>
      </c>
      <c r="AE40" s="108"/>
      <c r="AF40" s="108"/>
      <c r="AG40" s="108"/>
      <c r="AH40" s="113"/>
      <c r="AI40" s="87"/>
      <c r="AJ40" s="152"/>
      <c r="AK40" s="152"/>
    </row>
    <row r="41" spans="1:37" ht="16.5" thickTop="1" thickBot="1" x14ac:dyDescent="0.25">
      <c r="A41" s="127"/>
      <c r="B41" s="128"/>
      <c r="C41" s="166">
        <v>4</v>
      </c>
      <c r="D41" s="166"/>
      <c r="E41" s="166"/>
      <c r="F41" s="167" t="s">
        <v>459</v>
      </c>
      <c r="G41" s="108">
        <f>G42</f>
        <v>248780.12</v>
      </c>
      <c r="H41" s="131">
        <f>H42</f>
        <v>400000</v>
      </c>
      <c r="I41" s="131">
        <f>I42</f>
        <v>400000</v>
      </c>
      <c r="J41" s="131">
        <f t="shared" ref="J41:AB41" si="18">J42</f>
        <v>400000</v>
      </c>
      <c r="K41" s="131">
        <f t="shared" si="18"/>
        <v>146006.51</v>
      </c>
      <c r="L41" s="131">
        <f t="shared" si="18"/>
        <v>44175.98</v>
      </c>
      <c r="M41" s="131">
        <f t="shared" si="18"/>
        <v>16377.43</v>
      </c>
      <c r="N41" s="131">
        <f t="shared" si="18"/>
        <v>2878.9</v>
      </c>
      <c r="O41" s="131">
        <f t="shared" si="18"/>
        <v>2059.38</v>
      </c>
      <c r="P41" s="131">
        <f t="shared" si="18"/>
        <v>1737.61</v>
      </c>
      <c r="Q41" s="97">
        <f t="shared" si="18"/>
        <v>684.25</v>
      </c>
      <c r="R41" s="97">
        <f t="shared" si="18"/>
        <v>684.25</v>
      </c>
      <c r="S41" s="97">
        <f t="shared" si="18"/>
        <v>2962.96</v>
      </c>
      <c r="T41" s="97">
        <f t="shared" si="18"/>
        <v>5296.57</v>
      </c>
      <c r="U41" s="97">
        <f t="shared" si="18"/>
        <v>2605.1</v>
      </c>
      <c r="V41" s="97">
        <f t="shared" si="18"/>
        <v>7802.83</v>
      </c>
      <c r="W41" s="151">
        <f t="shared" si="18"/>
        <v>233271.77</v>
      </c>
      <c r="X41" s="151">
        <f t="shared" si="18"/>
        <v>233271.77</v>
      </c>
      <c r="Y41" s="152">
        <f t="shared" si="18"/>
        <v>238636.82</v>
      </c>
      <c r="Z41" s="151">
        <f t="shared" si="18"/>
        <v>0</v>
      </c>
      <c r="AA41" s="151">
        <f t="shared" si="18"/>
        <v>0</v>
      </c>
      <c r="AB41" s="151">
        <f t="shared" si="18"/>
        <v>0</v>
      </c>
      <c r="AC41" s="88">
        <f t="shared" si="11"/>
        <v>0</v>
      </c>
      <c r="AD41" s="151">
        <f>AD42</f>
        <v>0</v>
      </c>
      <c r="AE41" s="151">
        <f>AE42</f>
        <v>0</v>
      </c>
      <c r="AF41" s="151">
        <f>AF42</f>
        <v>0</v>
      </c>
      <c r="AG41" s="151"/>
      <c r="AH41" s="168"/>
      <c r="AI41" s="110"/>
      <c r="AJ41" s="110"/>
      <c r="AK41" s="110"/>
    </row>
    <row r="42" spans="1:37" ht="16.5" thickTop="1" thickBot="1" x14ac:dyDescent="0.25">
      <c r="A42" s="101"/>
      <c r="B42" s="102"/>
      <c r="C42" s="103"/>
      <c r="D42" s="103">
        <v>1</v>
      </c>
      <c r="E42" s="169">
        <v>170501</v>
      </c>
      <c r="F42" s="105" t="s">
        <v>460</v>
      </c>
      <c r="G42" s="108">
        <v>248780.12</v>
      </c>
      <c r="H42" s="107">
        <v>400000</v>
      </c>
      <c r="I42" s="107">
        <v>400000</v>
      </c>
      <c r="J42" s="108">
        <v>400000</v>
      </c>
      <c r="K42" s="115">
        <v>146006.51</v>
      </c>
      <c r="L42" s="145">
        <v>44175.98</v>
      </c>
      <c r="M42" s="115">
        <v>16377.43</v>
      </c>
      <c r="N42" s="115">
        <v>2878.9</v>
      </c>
      <c r="O42" s="148">
        <v>2059.38</v>
      </c>
      <c r="P42" s="109">
        <v>1737.61</v>
      </c>
      <c r="Q42" s="122">
        <v>684.25</v>
      </c>
      <c r="R42" s="122">
        <v>684.25</v>
      </c>
      <c r="S42" s="122">
        <v>2962.96</v>
      </c>
      <c r="T42" s="122">
        <v>5296.57</v>
      </c>
      <c r="U42" s="122">
        <v>2605.1</v>
      </c>
      <c r="V42" s="122">
        <v>7802.83</v>
      </c>
      <c r="W42" s="170">
        <f>SUM(K42:V42)</f>
        <v>233271.77</v>
      </c>
      <c r="X42" s="108">
        <f>W42</f>
        <v>233271.77</v>
      </c>
      <c r="Y42" s="110">
        <v>238636.82</v>
      </c>
      <c r="Z42" s="108"/>
      <c r="AA42" s="108"/>
      <c r="AB42" s="108"/>
      <c r="AC42" s="88">
        <f t="shared" si="11"/>
        <v>0</v>
      </c>
      <c r="AD42" s="108">
        <v>0</v>
      </c>
      <c r="AE42" s="108"/>
      <c r="AF42" s="108"/>
      <c r="AG42" s="108"/>
      <c r="AH42" s="113"/>
      <c r="AI42" s="110"/>
      <c r="AJ42" s="110"/>
      <c r="AK42" s="171"/>
    </row>
    <row r="43" spans="1:37" ht="14.25" thickTop="1" thickBot="1" x14ac:dyDescent="0.25">
      <c r="A43" s="172" t="s">
        <v>461</v>
      </c>
      <c r="B43" s="172" t="s">
        <v>462</v>
      </c>
      <c r="C43" s="75"/>
      <c r="D43" s="75"/>
      <c r="E43" s="75"/>
      <c r="F43" s="76" t="s">
        <v>463</v>
      </c>
      <c r="G43" s="77">
        <f>G44</f>
        <v>1253008.7</v>
      </c>
      <c r="H43" s="77">
        <f t="shared" ref="H43:V43" si="19">H44</f>
        <v>1900000</v>
      </c>
      <c r="I43" s="77">
        <f t="shared" si="19"/>
        <v>1900000</v>
      </c>
      <c r="J43" s="77">
        <f t="shared" si="19"/>
        <v>1900000</v>
      </c>
      <c r="K43" s="77">
        <f t="shared" si="19"/>
        <v>53473.36</v>
      </c>
      <c r="L43" s="77">
        <f t="shared" si="19"/>
        <v>30689.32</v>
      </c>
      <c r="M43" s="77">
        <f t="shared" si="19"/>
        <v>43652.66</v>
      </c>
      <c r="N43" s="77">
        <f t="shared" si="19"/>
        <v>146419.51</v>
      </c>
      <c r="O43" s="77">
        <f t="shared" si="19"/>
        <v>165202.72</v>
      </c>
      <c r="P43" s="77">
        <f t="shared" si="19"/>
        <v>14842.5</v>
      </c>
      <c r="Q43" s="77">
        <f t="shared" si="19"/>
        <v>45321</v>
      </c>
      <c r="R43" s="77">
        <f t="shared" si="19"/>
        <v>73291</v>
      </c>
      <c r="S43" s="77">
        <f t="shared" si="19"/>
        <v>132796.04</v>
      </c>
      <c r="T43" s="77">
        <f t="shared" si="19"/>
        <v>124981.31</v>
      </c>
      <c r="U43" s="77">
        <f t="shared" si="19"/>
        <v>52143.259999999995</v>
      </c>
      <c r="V43" s="77">
        <f t="shared" si="19"/>
        <v>83392.209999999992</v>
      </c>
      <c r="W43" s="77">
        <f>W44</f>
        <v>966205</v>
      </c>
      <c r="X43" s="77">
        <f t="shared" ref="W43:Z44" si="20">X44</f>
        <v>966205</v>
      </c>
      <c r="Y43" s="78">
        <f t="shared" si="20"/>
        <v>1760136.6</v>
      </c>
      <c r="Z43" s="79">
        <f t="shared" si="20"/>
        <v>0</v>
      </c>
      <c r="AA43" s="79"/>
      <c r="AB43" s="79"/>
      <c r="AC43" s="173"/>
      <c r="AD43" s="79">
        <f t="shared" ref="AD43:AF44" si="21">AD44</f>
        <v>1500000</v>
      </c>
      <c r="AE43" s="79">
        <f t="shared" si="21"/>
        <v>0</v>
      </c>
      <c r="AF43" s="79">
        <f t="shared" si="21"/>
        <v>1500000</v>
      </c>
      <c r="AG43" s="79">
        <f>AF43-AD43</f>
        <v>0</v>
      </c>
      <c r="AH43" s="81"/>
      <c r="AI43" s="78">
        <f t="shared" ref="AI43:AK44" si="22">AI44</f>
        <v>1760136.6</v>
      </c>
      <c r="AJ43" s="78">
        <f t="shared" si="22"/>
        <v>680081.57000000007</v>
      </c>
      <c r="AK43" s="78">
        <f t="shared" si="22"/>
        <v>900000</v>
      </c>
    </row>
    <row r="44" spans="1:37" ht="14.25" thickTop="1" thickBot="1" x14ac:dyDescent="0.25">
      <c r="A44" s="174"/>
      <c r="B44" s="82">
        <v>1</v>
      </c>
      <c r="C44" s="175"/>
      <c r="D44" s="175"/>
      <c r="E44" s="175"/>
      <c r="F44" s="176" t="s">
        <v>464</v>
      </c>
      <c r="G44" s="108">
        <f t="shared" ref="G44:V44" si="23">G45</f>
        <v>1253008.7</v>
      </c>
      <c r="H44" s="85">
        <f t="shared" si="23"/>
        <v>1900000</v>
      </c>
      <c r="I44" s="85">
        <f t="shared" si="23"/>
        <v>1900000</v>
      </c>
      <c r="J44" s="84">
        <f t="shared" si="23"/>
        <v>1900000</v>
      </c>
      <c r="K44" s="84">
        <f t="shared" si="23"/>
        <v>53473.36</v>
      </c>
      <c r="L44" s="84">
        <f t="shared" si="23"/>
        <v>30689.32</v>
      </c>
      <c r="M44" s="84">
        <f t="shared" si="23"/>
        <v>43652.66</v>
      </c>
      <c r="N44" s="84">
        <f t="shared" si="23"/>
        <v>146419.51</v>
      </c>
      <c r="O44" s="84">
        <f t="shared" si="23"/>
        <v>165202.72</v>
      </c>
      <c r="P44" s="84">
        <f t="shared" si="23"/>
        <v>14842.5</v>
      </c>
      <c r="Q44" s="84">
        <f t="shared" si="23"/>
        <v>45321</v>
      </c>
      <c r="R44" s="84">
        <f t="shared" si="23"/>
        <v>73291</v>
      </c>
      <c r="S44" s="84">
        <f t="shared" si="23"/>
        <v>132796.04</v>
      </c>
      <c r="T44" s="84">
        <f t="shared" si="23"/>
        <v>124981.31</v>
      </c>
      <c r="U44" s="84">
        <f t="shared" si="23"/>
        <v>52143.259999999995</v>
      </c>
      <c r="V44" s="84">
        <f t="shared" si="23"/>
        <v>83392.209999999992</v>
      </c>
      <c r="W44" s="86">
        <f t="shared" si="20"/>
        <v>966205</v>
      </c>
      <c r="X44" s="86">
        <f t="shared" si="20"/>
        <v>966205</v>
      </c>
      <c r="Y44" s="87">
        <f t="shared" si="20"/>
        <v>1760136.6</v>
      </c>
      <c r="Z44" s="86"/>
      <c r="AA44" s="86"/>
      <c r="AB44" s="86"/>
      <c r="AC44" s="88">
        <f>W44-X44</f>
        <v>0</v>
      </c>
      <c r="AD44" s="84">
        <f t="shared" si="21"/>
        <v>1500000</v>
      </c>
      <c r="AE44" s="84">
        <f t="shared" si="21"/>
        <v>0</v>
      </c>
      <c r="AF44" s="84">
        <f t="shared" si="21"/>
        <v>1500000</v>
      </c>
      <c r="AG44" s="84">
        <f>AF44-AD44</f>
        <v>0</v>
      </c>
      <c r="AH44" s="113"/>
      <c r="AI44" s="87">
        <f t="shared" si="22"/>
        <v>1760136.6</v>
      </c>
      <c r="AJ44" s="87">
        <f t="shared" si="22"/>
        <v>680081.57000000007</v>
      </c>
      <c r="AK44" s="87">
        <f t="shared" si="22"/>
        <v>900000</v>
      </c>
    </row>
    <row r="45" spans="1:37" ht="16.5" thickTop="1" thickBot="1" x14ac:dyDescent="0.25">
      <c r="A45" s="101"/>
      <c r="B45" s="102"/>
      <c r="C45" s="103">
        <v>1</v>
      </c>
      <c r="D45" s="103">
        <v>1</v>
      </c>
      <c r="E45" s="177">
        <v>390101</v>
      </c>
      <c r="F45" s="105" t="s">
        <v>465</v>
      </c>
      <c r="G45" s="108">
        <v>1253008.7</v>
      </c>
      <c r="H45" s="131">
        <v>1900000</v>
      </c>
      <c r="I45" s="131">
        <v>1900000</v>
      </c>
      <c r="J45" s="97">
        <v>1900000</v>
      </c>
      <c r="K45" s="115">
        <v>53473.36</v>
      </c>
      <c r="L45" s="145">
        <v>30689.32</v>
      </c>
      <c r="M45" s="115">
        <v>43652.66</v>
      </c>
      <c r="N45" s="115">
        <v>146419.51</v>
      </c>
      <c r="O45" s="178">
        <v>165202.72</v>
      </c>
      <c r="P45" s="109">
        <v>14842.5</v>
      </c>
      <c r="Q45" s="122">
        <v>45321</v>
      </c>
      <c r="R45" s="122">
        <v>73291</v>
      </c>
      <c r="S45" s="122">
        <v>132796.04</v>
      </c>
      <c r="T45" s="122">
        <v>124981.31</v>
      </c>
      <c r="U45" s="122">
        <v>52143.259999999995</v>
      </c>
      <c r="V45" s="122">
        <v>83392.209999999992</v>
      </c>
      <c r="W45" s="170">
        <v>966205</v>
      </c>
      <c r="X45" s="108">
        <f>W45</f>
        <v>966205</v>
      </c>
      <c r="Y45" s="110">
        <v>1760136.6</v>
      </c>
      <c r="Z45" s="108"/>
      <c r="AA45" s="108"/>
      <c r="AB45" s="108"/>
      <c r="AC45" s="88">
        <f>W45-X45</f>
        <v>0</v>
      </c>
      <c r="AD45" s="108">
        <v>1500000</v>
      </c>
      <c r="AE45" s="179"/>
      <c r="AF45" s="108">
        <v>1500000</v>
      </c>
      <c r="AG45" s="108">
        <f>AF45-AD45</f>
        <v>0</v>
      </c>
      <c r="AH45" s="113">
        <v>1100122</v>
      </c>
      <c r="AI45" s="114">
        <v>1760136.6</v>
      </c>
      <c r="AJ45" s="114">
        <v>680081.57000000007</v>
      </c>
      <c r="AK45" s="114">
        <v>900000</v>
      </c>
    </row>
    <row r="46" spans="1:37" ht="14.25" thickTop="1" thickBot="1" x14ac:dyDescent="0.25">
      <c r="A46" s="172" t="s">
        <v>466</v>
      </c>
      <c r="B46" s="172" t="s">
        <v>462</v>
      </c>
      <c r="C46" s="75"/>
      <c r="D46" s="75"/>
      <c r="E46" s="75"/>
      <c r="F46" s="76" t="s">
        <v>10</v>
      </c>
      <c r="G46" s="77">
        <f>G52+G67+G68+G69+G73+G74+G82+G91+G96+G103+G107+G109+G113+G123+G129+G135+G137+G141+G142+G143+G144+G147+G160+G188+G234</f>
        <v>143359943.88999999</v>
      </c>
      <c r="H46" s="77">
        <f>H47+H65</f>
        <v>183855179.38000003</v>
      </c>
      <c r="I46" s="77">
        <f>I47+I65</f>
        <v>187355179.38000003</v>
      </c>
      <c r="J46" s="77">
        <f>J47+J65</f>
        <v>192305813.54000002</v>
      </c>
      <c r="K46" s="77">
        <f t="shared" ref="K46:AB46" si="24">K47+K65</f>
        <v>9778586.5099999979</v>
      </c>
      <c r="L46" s="77">
        <f t="shared" si="24"/>
        <v>13015059.109999999</v>
      </c>
      <c r="M46" s="77">
        <f t="shared" si="24"/>
        <v>14427126.449999999</v>
      </c>
      <c r="N46" s="77">
        <f t="shared" si="24"/>
        <v>10506067.74</v>
      </c>
      <c r="O46" s="77">
        <f t="shared" si="24"/>
        <v>12540602.979999999</v>
      </c>
      <c r="P46" s="77">
        <f t="shared" si="24"/>
        <v>12246211.91</v>
      </c>
      <c r="Q46" s="77">
        <f t="shared" si="24"/>
        <v>9372369.0741399974</v>
      </c>
      <c r="R46" s="77">
        <f t="shared" si="24"/>
        <v>10067415.032779999</v>
      </c>
      <c r="S46" s="77">
        <f t="shared" si="24"/>
        <v>11448051.195179999</v>
      </c>
      <c r="T46" s="77">
        <f t="shared" si="24"/>
        <v>12326371.417859999</v>
      </c>
      <c r="U46" s="77">
        <f t="shared" si="24"/>
        <v>12191098.32054</v>
      </c>
      <c r="V46" s="77">
        <f t="shared" si="24"/>
        <v>12267994.226059999</v>
      </c>
      <c r="W46" s="77">
        <f t="shared" si="24"/>
        <v>132805415.00000001</v>
      </c>
      <c r="X46" s="77">
        <f t="shared" si="24"/>
        <v>132805415.00000001</v>
      </c>
      <c r="Y46" s="78">
        <f t="shared" si="24"/>
        <v>149592455.81</v>
      </c>
      <c r="Z46" s="79">
        <f t="shared" si="24"/>
        <v>159938489.99000004</v>
      </c>
      <c r="AA46" s="79">
        <f t="shared" si="24"/>
        <v>7703269.25</v>
      </c>
      <c r="AB46" s="79">
        <f t="shared" si="24"/>
        <v>12788477.790000001</v>
      </c>
      <c r="AC46" s="173"/>
      <c r="AD46" s="79">
        <f>AD47+AD65</f>
        <v>162313330.91407001</v>
      </c>
      <c r="AE46" s="79">
        <f>AE47+AE65</f>
        <v>47044428.449999996</v>
      </c>
      <c r="AF46" s="79">
        <f>AF47+AF65</f>
        <v>162658514.43000001</v>
      </c>
      <c r="AG46" s="79">
        <f>AG47+AG65</f>
        <v>345183.51593001513</v>
      </c>
      <c r="AH46" s="81"/>
      <c r="AI46" s="78">
        <f>AI47+AI65</f>
        <v>149592455.81</v>
      </c>
      <c r="AJ46" s="78">
        <f>AJ47+AJ65</f>
        <v>155088224.50833333</v>
      </c>
      <c r="AK46" s="78">
        <f>AK47+AK65</f>
        <v>167703807</v>
      </c>
    </row>
    <row r="47" spans="1:37" ht="27" thickTop="1" thickBot="1" x14ac:dyDescent="0.25">
      <c r="A47" s="174"/>
      <c r="B47" s="82" t="s">
        <v>423</v>
      </c>
      <c r="C47" s="175"/>
      <c r="D47" s="175"/>
      <c r="E47" s="175"/>
      <c r="F47" s="176" t="s">
        <v>467</v>
      </c>
      <c r="G47" s="84">
        <f>G48+G53</f>
        <v>7823040.4000000004</v>
      </c>
      <c r="H47" s="85">
        <f>H48+H53</f>
        <v>8645287.9000000004</v>
      </c>
      <c r="I47" s="85">
        <f>I48+I53</f>
        <v>8645287.9000000004</v>
      </c>
      <c r="J47" s="84">
        <f>J48+J53</f>
        <v>8645287.9000000004</v>
      </c>
      <c r="K47" s="126">
        <f t="shared" ref="K47:AB47" si="25">K48+K53</f>
        <v>726079.2</v>
      </c>
      <c r="L47" s="85">
        <f t="shared" si="25"/>
        <v>527254.19999999995</v>
      </c>
      <c r="M47" s="85">
        <f t="shared" si="25"/>
        <v>488089.7</v>
      </c>
      <c r="N47" s="85">
        <f t="shared" si="25"/>
        <v>293667.20000000001</v>
      </c>
      <c r="O47" s="85">
        <f t="shared" si="25"/>
        <v>29392.2</v>
      </c>
      <c r="P47" s="85">
        <f t="shared" si="25"/>
        <v>26681.200000000001</v>
      </c>
      <c r="Q47" s="85">
        <f t="shared" si="25"/>
        <v>42165.2</v>
      </c>
      <c r="R47" s="85">
        <f t="shared" si="25"/>
        <v>316357.2</v>
      </c>
      <c r="S47" s="85">
        <f t="shared" si="25"/>
        <v>655484.39999999991</v>
      </c>
      <c r="T47" s="85">
        <f t="shared" si="25"/>
        <v>601906.39999999991</v>
      </c>
      <c r="U47" s="85">
        <f t="shared" si="25"/>
        <v>885379.39999999991</v>
      </c>
      <c r="V47" s="85">
        <f t="shared" si="25"/>
        <v>691837.6</v>
      </c>
      <c r="W47" s="134">
        <f t="shared" si="25"/>
        <v>5284293.9000000004</v>
      </c>
      <c r="X47" s="134">
        <f t="shared" si="25"/>
        <v>5284293.9000000004</v>
      </c>
      <c r="Y47" s="133">
        <f t="shared" si="25"/>
        <v>4140648.26</v>
      </c>
      <c r="Z47" s="134">
        <f t="shared" si="25"/>
        <v>5464247.0800000001</v>
      </c>
      <c r="AA47" s="134">
        <f t="shared" si="25"/>
        <v>470996.2</v>
      </c>
      <c r="AB47" s="134">
        <f t="shared" si="25"/>
        <v>444033.5</v>
      </c>
      <c r="AC47" s="88">
        <f t="shared" ref="AC47:AC110" si="26">W47-X47</f>
        <v>0</v>
      </c>
      <c r="AD47" s="134">
        <f>AD48+AD53</f>
        <v>5339691.08</v>
      </c>
      <c r="AE47" s="134">
        <f>AE48+AE53</f>
        <v>1843772.4000000001</v>
      </c>
      <c r="AF47" s="132">
        <f>AF48+AF53</f>
        <v>6039690.9000000004</v>
      </c>
      <c r="AG47" s="134">
        <f t="shared" ref="AG47:AG62" si="27">AF47-AD47</f>
        <v>699999.8200000003</v>
      </c>
      <c r="AH47" s="135"/>
      <c r="AI47" s="133">
        <f>AI48+AI53</f>
        <v>4140648.26</v>
      </c>
      <c r="AJ47" s="133">
        <f>AJ48+AJ53</f>
        <v>6004810.3594444431</v>
      </c>
      <c r="AK47" s="133">
        <f>AK48+AK53+AK63</f>
        <v>6065075</v>
      </c>
    </row>
    <row r="48" spans="1:37" ht="27" thickTop="1" thickBot="1" x14ac:dyDescent="0.25">
      <c r="A48" s="127"/>
      <c r="B48" s="128"/>
      <c r="C48" s="129">
        <v>1</v>
      </c>
      <c r="D48" s="129"/>
      <c r="E48" s="129"/>
      <c r="F48" s="130" t="s">
        <v>468</v>
      </c>
      <c r="G48" s="84">
        <f>SUM(G49:G52)</f>
        <v>7390428</v>
      </c>
      <c r="H48" s="131">
        <f>SUM(H49:H52)</f>
        <v>8166287.9000000004</v>
      </c>
      <c r="I48" s="131">
        <f>SUM(I49:I52)</f>
        <v>8166287.9000000004</v>
      </c>
      <c r="J48" s="97">
        <f>SUM(J49:J52)</f>
        <v>8166287.9000000004</v>
      </c>
      <c r="K48" s="97">
        <f t="shared" ref="K48:AB48" si="28">SUM(K49:K52)</f>
        <v>696042</v>
      </c>
      <c r="L48" s="131">
        <f t="shared" si="28"/>
        <v>492549</v>
      </c>
      <c r="M48" s="131">
        <f t="shared" si="28"/>
        <v>455444.5</v>
      </c>
      <c r="N48" s="131">
        <f t="shared" si="28"/>
        <v>279604</v>
      </c>
      <c r="O48" s="131">
        <f t="shared" si="28"/>
        <v>12505</v>
      </c>
      <c r="P48" s="131">
        <f t="shared" si="28"/>
        <v>11206</v>
      </c>
      <c r="Q48" s="131">
        <f t="shared" si="28"/>
        <v>1100</v>
      </c>
      <c r="R48" s="131">
        <f t="shared" si="28"/>
        <v>280292</v>
      </c>
      <c r="S48" s="131">
        <f t="shared" si="28"/>
        <v>621152.19999999995</v>
      </c>
      <c r="T48" s="131">
        <f t="shared" si="28"/>
        <v>573216.19999999995</v>
      </c>
      <c r="U48" s="131">
        <f t="shared" si="28"/>
        <v>858747.2</v>
      </c>
      <c r="V48" s="131">
        <f t="shared" si="28"/>
        <v>655912.4</v>
      </c>
      <c r="W48" s="151">
        <f t="shared" si="28"/>
        <v>4937770.5</v>
      </c>
      <c r="X48" s="151">
        <f t="shared" si="28"/>
        <v>4937770.5</v>
      </c>
      <c r="Y48" s="152">
        <f t="shared" si="28"/>
        <v>3897673.86</v>
      </c>
      <c r="Z48" s="151">
        <f t="shared" si="28"/>
        <v>4982438.68</v>
      </c>
      <c r="AA48" s="151">
        <f t="shared" si="28"/>
        <v>455046</v>
      </c>
      <c r="AB48" s="151">
        <f t="shared" si="28"/>
        <v>428183.5</v>
      </c>
      <c r="AC48" s="88">
        <f t="shared" si="26"/>
        <v>0</v>
      </c>
      <c r="AD48" s="151">
        <f>SUM(AD49:AD52)</f>
        <v>4982438.68</v>
      </c>
      <c r="AE48" s="151">
        <f>SUM(AE49:AE52)</f>
        <v>1777157.1200000001</v>
      </c>
      <c r="AF48" s="151">
        <f>SUM(AF49:AF52)</f>
        <v>5682438.5</v>
      </c>
      <c r="AG48" s="151">
        <f t="shared" si="27"/>
        <v>699999.8200000003</v>
      </c>
      <c r="AH48" s="135"/>
      <c r="AI48" s="152">
        <f>SUM(AI49:AI52)</f>
        <v>3897673.86</v>
      </c>
      <c r="AJ48" s="152">
        <f>SUM(AJ49:AJ52)</f>
        <v>5781233.7511111097</v>
      </c>
      <c r="AK48" s="152">
        <f>SUM(AK49:AK52)</f>
        <v>110000</v>
      </c>
    </row>
    <row r="49" spans="1:37" ht="16.5" thickTop="1" thickBot="1" x14ac:dyDescent="0.25">
      <c r="A49" s="101"/>
      <c r="B49" s="102"/>
      <c r="C49" s="103"/>
      <c r="D49" s="103">
        <v>1</v>
      </c>
      <c r="E49" s="104">
        <v>410101</v>
      </c>
      <c r="F49" s="105" t="s">
        <v>469</v>
      </c>
      <c r="G49" s="108">
        <v>5465371</v>
      </c>
      <c r="H49" s="107">
        <v>6000000</v>
      </c>
      <c r="I49" s="107">
        <v>6000000</v>
      </c>
      <c r="J49" s="108">
        <v>6000000</v>
      </c>
      <c r="K49" s="115">
        <v>475747</v>
      </c>
      <c r="L49" s="145">
        <v>425853</v>
      </c>
      <c r="M49" s="180">
        <v>424958.5</v>
      </c>
      <c r="N49" s="181">
        <v>279292</v>
      </c>
      <c r="O49" s="178">
        <v>10081</v>
      </c>
      <c r="P49" s="117">
        <v>3786</v>
      </c>
      <c r="Q49" s="182">
        <v>0</v>
      </c>
      <c r="R49" s="182">
        <v>279292</v>
      </c>
      <c r="S49" s="182">
        <v>467111</v>
      </c>
      <c r="T49" s="182">
        <f>448840+50000</f>
        <v>498840</v>
      </c>
      <c r="U49" s="182">
        <f>425854+50000</f>
        <v>475854</v>
      </c>
      <c r="V49" s="182">
        <f>432791+50000</f>
        <v>482791</v>
      </c>
      <c r="W49" s="119">
        <f>SUM(K49:V49)</f>
        <v>3823605.5</v>
      </c>
      <c r="X49" s="108">
        <f>W49</f>
        <v>3823605.5</v>
      </c>
      <c r="Y49" s="110">
        <v>3274982.86</v>
      </c>
      <c r="Z49" s="111">
        <v>3823605.5</v>
      </c>
      <c r="AA49" s="111">
        <v>454780</v>
      </c>
      <c r="AB49" s="123">
        <v>425723.5</v>
      </c>
      <c r="AC49" s="88">
        <f t="shared" si="26"/>
        <v>0</v>
      </c>
      <c r="AD49" s="120">
        <f>Z49</f>
        <v>3823605.5</v>
      </c>
      <c r="AE49" s="121">
        <v>1771853.07</v>
      </c>
      <c r="AF49" s="112">
        <f>AD49+1000000</f>
        <v>4823605.5</v>
      </c>
      <c r="AG49" s="120">
        <f t="shared" si="27"/>
        <v>1000000</v>
      </c>
      <c r="AH49" s="113">
        <v>1100122</v>
      </c>
      <c r="AI49" s="114">
        <v>3274982.86</v>
      </c>
      <c r="AJ49" s="114">
        <v>5430856.6411111103</v>
      </c>
      <c r="AK49" s="114"/>
    </row>
    <row r="50" spans="1:37" ht="16.5" thickTop="1" thickBot="1" x14ac:dyDescent="0.25">
      <c r="A50" s="101"/>
      <c r="B50" s="102"/>
      <c r="C50" s="103"/>
      <c r="D50" s="103">
        <v>2</v>
      </c>
      <c r="E50" s="104">
        <v>410102</v>
      </c>
      <c r="F50" s="105" t="s">
        <v>470</v>
      </c>
      <c r="G50" s="108">
        <v>1850489</v>
      </c>
      <c r="H50" s="107">
        <v>2069287.9</v>
      </c>
      <c r="I50" s="183">
        <v>2069287.9</v>
      </c>
      <c r="J50" s="108">
        <v>2069287.9</v>
      </c>
      <c r="K50" s="115">
        <v>216551</v>
      </c>
      <c r="L50" s="145">
        <v>64512</v>
      </c>
      <c r="M50" s="115">
        <v>29550</v>
      </c>
      <c r="N50" s="115">
        <v>0</v>
      </c>
      <c r="O50" s="178">
        <v>1800</v>
      </c>
      <c r="P50" s="117">
        <v>7420</v>
      </c>
      <c r="Q50" s="115">
        <v>0</v>
      </c>
      <c r="R50" s="115">
        <v>0</v>
      </c>
      <c r="S50" s="122">
        <v>142778</v>
      </c>
      <c r="T50" s="122">
        <v>68807</v>
      </c>
      <c r="U50" s="122">
        <v>381458</v>
      </c>
      <c r="V50" s="122">
        <v>169003</v>
      </c>
      <c r="W50" s="119">
        <f>SUM(K50:V50)</f>
        <v>1081879</v>
      </c>
      <c r="X50" s="108">
        <f>W50</f>
        <v>1081879</v>
      </c>
      <c r="Y50" s="110">
        <v>613331</v>
      </c>
      <c r="Z50" s="111">
        <v>1081879</v>
      </c>
      <c r="AA50" s="111">
        <v>266</v>
      </c>
      <c r="AB50" s="123">
        <v>1836</v>
      </c>
      <c r="AC50" s="88">
        <f t="shared" si="26"/>
        <v>0</v>
      </c>
      <c r="AD50" s="120">
        <f>Z50</f>
        <v>1081879</v>
      </c>
      <c r="AE50" s="121">
        <v>4368.05</v>
      </c>
      <c r="AF50" s="112">
        <f>AD50-300000</f>
        <v>781879</v>
      </c>
      <c r="AG50" s="120">
        <f t="shared" si="27"/>
        <v>-300000</v>
      </c>
      <c r="AH50" s="113">
        <v>1100122</v>
      </c>
      <c r="AI50" s="114">
        <v>613331</v>
      </c>
      <c r="AJ50" s="114">
        <v>347514.50999999995</v>
      </c>
      <c r="AK50" s="114">
        <v>100000</v>
      </c>
    </row>
    <row r="51" spans="1:37" ht="15" customHeight="1" thickTop="1" thickBot="1" x14ac:dyDescent="0.25">
      <c r="A51" s="101"/>
      <c r="B51" s="102"/>
      <c r="C51" s="103"/>
      <c r="D51" s="103">
        <v>3</v>
      </c>
      <c r="E51" s="104">
        <v>410103</v>
      </c>
      <c r="F51" s="105" t="s">
        <v>471</v>
      </c>
      <c r="G51" s="108">
        <v>0</v>
      </c>
      <c r="H51" s="107">
        <v>10000</v>
      </c>
      <c r="I51" s="107">
        <v>10000</v>
      </c>
      <c r="J51" s="108">
        <v>10000</v>
      </c>
      <c r="K51" s="84">
        <v>0</v>
      </c>
      <c r="L51" s="145">
        <v>0</v>
      </c>
      <c r="M51" s="145">
        <v>0</v>
      </c>
      <c r="N51" s="115">
        <v>0</v>
      </c>
      <c r="O51" s="178">
        <v>0</v>
      </c>
      <c r="P51" s="117">
        <v>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9">
        <f>SUM(K51:V51)</f>
        <v>0</v>
      </c>
      <c r="X51" s="108">
        <f>W51</f>
        <v>0</v>
      </c>
      <c r="Y51" s="110"/>
      <c r="Z51" s="108"/>
      <c r="AA51" s="108"/>
      <c r="AB51" s="108"/>
      <c r="AC51" s="88">
        <f t="shared" si="26"/>
        <v>0</v>
      </c>
      <c r="AD51" s="108">
        <v>0</v>
      </c>
      <c r="AE51" s="108">
        <v>0</v>
      </c>
      <c r="AF51" s="108">
        <v>0</v>
      </c>
      <c r="AG51" s="108">
        <f t="shared" si="27"/>
        <v>0</v>
      </c>
      <c r="AH51" s="113"/>
      <c r="AI51" s="114"/>
      <c r="AJ51" s="114"/>
      <c r="AK51" s="114"/>
    </row>
    <row r="52" spans="1:37" ht="16.5" thickTop="1" thickBot="1" x14ac:dyDescent="0.25">
      <c r="A52" s="101"/>
      <c r="B52" s="102"/>
      <c r="C52" s="103"/>
      <c r="D52" s="103">
        <v>4</v>
      </c>
      <c r="E52" s="104">
        <v>410104</v>
      </c>
      <c r="F52" s="105" t="s">
        <v>472</v>
      </c>
      <c r="G52" s="108">
        <v>74568</v>
      </c>
      <c r="H52" s="107">
        <v>87000</v>
      </c>
      <c r="I52" s="107">
        <v>87000</v>
      </c>
      <c r="J52" s="108">
        <v>87000</v>
      </c>
      <c r="K52" s="115">
        <v>3744</v>
      </c>
      <c r="L52" s="145">
        <v>2184</v>
      </c>
      <c r="M52" s="115">
        <v>936</v>
      </c>
      <c r="N52" s="115">
        <v>312</v>
      </c>
      <c r="O52" s="178">
        <v>624</v>
      </c>
      <c r="P52" s="117">
        <v>0</v>
      </c>
      <c r="Q52" s="122">
        <v>1100</v>
      </c>
      <c r="R52" s="122">
        <v>1000</v>
      </c>
      <c r="S52" s="122">
        <v>11263.199999999999</v>
      </c>
      <c r="T52" s="122">
        <v>5569.2</v>
      </c>
      <c r="U52" s="122">
        <v>1435.1999999999998</v>
      </c>
      <c r="V52" s="122">
        <v>4118.3999999999996</v>
      </c>
      <c r="W52" s="119">
        <f>SUM(K52:V52)</f>
        <v>32286</v>
      </c>
      <c r="X52" s="108">
        <f>W52</f>
        <v>32286</v>
      </c>
      <c r="Y52" s="110">
        <v>9360</v>
      </c>
      <c r="Z52" s="111">
        <v>76954.179999999993</v>
      </c>
      <c r="AA52" s="111">
        <v>0</v>
      </c>
      <c r="AB52" s="123">
        <v>624</v>
      </c>
      <c r="AC52" s="88">
        <f t="shared" si="26"/>
        <v>0</v>
      </c>
      <c r="AD52" s="120">
        <f>Z52</f>
        <v>76954.179999999993</v>
      </c>
      <c r="AE52" s="121">
        <v>936</v>
      </c>
      <c r="AF52" s="112">
        <v>76954</v>
      </c>
      <c r="AG52" s="120">
        <f t="shared" si="27"/>
        <v>-0.17999999999301508</v>
      </c>
      <c r="AH52" s="113">
        <v>1100122</v>
      </c>
      <c r="AI52" s="114">
        <v>9360</v>
      </c>
      <c r="AJ52" s="114">
        <v>2862.6</v>
      </c>
      <c r="AK52" s="114">
        <v>10000</v>
      </c>
    </row>
    <row r="53" spans="1:37" ht="27" thickTop="1" thickBot="1" x14ac:dyDescent="0.25">
      <c r="A53" s="127"/>
      <c r="B53" s="128"/>
      <c r="C53" s="129">
        <v>2</v>
      </c>
      <c r="D53" s="129"/>
      <c r="E53" s="129"/>
      <c r="F53" s="130" t="s">
        <v>473</v>
      </c>
      <c r="G53" s="84">
        <f>G54+G55+G56+G57+G58+G59+G60+G61+G62</f>
        <v>432612.4</v>
      </c>
      <c r="H53" s="150">
        <f>H54+H55+H56+H57+H58+H59+H60+H61+H62</f>
        <v>479000</v>
      </c>
      <c r="I53" s="150">
        <f>I54+I55+I56+I57+I58+I59+I60+I61+I62</f>
        <v>479000</v>
      </c>
      <c r="J53" s="126">
        <f>J54+J55+J56+J57+J58+J59+J60+J61+J62</f>
        <v>479000</v>
      </c>
      <c r="K53" s="126">
        <f t="shared" ref="K53:AB53" si="29">K54+K55+K56+K57+K58+K59+K60+K61+K62</f>
        <v>30037.200000000001</v>
      </c>
      <c r="L53" s="150">
        <f t="shared" si="29"/>
        <v>34705.199999999997</v>
      </c>
      <c r="M53" s="150">
        <f t="shared" si="29"/>
        <v>32645.200000000001</v>
      </c>
      <c r="N53" s="150">
        <f t="shared" si="29"/>
        <v>14063.2</v>
      </c>
      <c r="O53" s="150">
        <f t="shared" si="29"/>
        <v>16887.2</v>
      </c>
      <c r="P53" s="150">
        <f t="shared" si="29"/>
        <v>15475.2</v>
      </c>
      <c r="Q53" s="150">
        <f t="shared" si="29"/>
        <v>41065.199999999997</v>
      </c>
      <c r="R53" s="150">
        <f t="shared" si="29"/>
        <v>36065.199999999997</v>
      </c>
      <c r="S53" s="150">
        <f t="shared" si="29"/>
        <v>34332.199999999997</v>
      </c>
      <c r="T53" s="150">
        <f t="shared" si="29"/>
        <v>28690.2</v>
      </c>
      <c r="U53" s="150">
        <f t="shared" si="29"/>
        <v>26632.2</v>
      </c>
      <c r="V53" s="150">
        <f t="shared" si="29"/>
        <v>35925.199999999997</v>
      </c>
      <c r="W53" s="151">
        <f t="shared" si="29"/>
        <v>346523.4</v>
      </c>
      <c r="X53" s="151">
        <f t="shared" si="29"/>
        <v>346523.4</v>
      </c>
      <c r="Y53" s="152">
        <f t="shared" si="29"/>
        <v>242974.4</v>
      </c>
      <c r="Z53" s="151">
        <f t="shared" si="29"/>
        <v>481808.4</v>
      </c>
      <c r="AA53" s="151">
        <f t="shared" si="29"/>
        <v>15950.2</v>
      </c>
      <c r="AB53" s="151">
        <f t="shared" si="29"/>
        <v>15850</v>
      </c>
      <c r="AC53" s="88">
        <f t="shared" si="26"/>
        <v>0</v>
      </c>
      <c r="AD53" s="151">
        <f>AD54+AD55+AD56+AD57+AD58+AD59+AD60+AD61+AD62</f>
        <v>357252.4</v>
      </c>
      <c r="AE53" s="151">
        <f>AE54+AE55+AE56+AE57+AE58+AE59+AE60+AE61+AE62</f>
        <v>66615.28</v>
      </c>
      <c r="AF53" s="151">
        <f>AF54+AF55+AF56+AF57+AF58+AF59+AF60+AF61+AF62</f>
        <v>357252.4</v>
      </c>
      <c r="AG53" s="151">
        <f t="shared" si="27"/>
        <v>0</v>
      </c>
      <c r="AH53" s="135"/>
      <c r="AI53" s="152">
        <f>AI54+AI55+AI56+AI57+AI58+AI59+AI60+AI61+AI62</f>
        <v>242974.4</v>
      </c>
      <c r="AJ53" s="152">
        <f>AJ54+AJ55+AJ56+AJ57+AJ58+AJ59+AJ60+AJ61+AJ62</f>
        <v>223576.60833333331</v>
      </c>
      <c r="AK53" s="152">
        <f>AK54+AK55+AK56+AK57+AK58+AK59+AK60+AK61+AK62</f>
        <v>309700</v>
      </c>
    </row>
    <row r="54" spans="1:37" ht="16.5" thickTop="1" thickBot="1" x14ac:dyDescent="0.25">
      <c r="A54" s="101"/>
      <c r="B54" s="102"/>
      <c r="C54" s="103"/>
      <c r="D54" s="103">
        <v>1</v>
      </c>
      <c r="E54" s="104">
        <v>410201</v>
      </c>
      <c r="F54" s="105" t="s">
        <v>474</v>
      </c>
      <c r="G54" s="108">
        <v>16944</v>
      </c>
      <c r="H54" s="107">
        <v>18000</v>
      </c>
      <c r="I54" s="107">
        <v>18000</v>
      </c>
      <c r="J54" s="108">
        <v>18000</v>
      </c>
      <c r="K54" s="115">
        <v>1412</v>
      </c>
      <c r="L54" s="145">
        <v>1412</v>
      </c>
      <c r="M54" s="115">
        <v>1412</v>
      </c>
      <c r="N54" s="115">
        <v>0</v>
      </c>
      <c r="O54" s="178">
        <v>2824</v>
      </c>
      <c r="P54" s="117">
        <v>1412</v>
      </c>
      <c r="Q54" s="115">
        <v>1412</v>
      </c>
      <c r="R54" s="115">
        <v>1412</v>
      </c>
      <c r="S54" s="115">
        <v>1412</v>
      </c>
      <c r="T54" s="115">
        <v>1412</v>
      </c>
      <c r="U54" s="115">
        <v>1412</v>
      </c>
      <c r="V54" s="115">
        <v>1412</v>
      </c>
      <c r="W54" s="119">
        <f t="shared" ref="W54:W62" si="30">SUM(K54:V54)</f>
        <v>16944</v>
      </c>
      <c r="X54" s="108">
        <f t="shared" ref="X54:X62" si="31">W54</f>
        <v>16944</v>
      </c>
      <c r="Y54" s="110">
        <v>16944</v>
      </c>
      <c r="Z54" s="111">
        <v>17537.04</v>
      </c>
      <c r="AA54" s="111">
        <v>1412</v>
      </c>
      <c r="AB54" s="123">
        <v>1412</v>
      </c>
      <c r="AC54" s="88">
        <f t="shared" si="26"/>
        <v>0</v>
      </c>
      <c r="AD54" s="120">
        <f>Y54</f>
        <v>16944</v>
      </c>
      <c r="AE54" s="121">
        <v>5648</v>
      </c>
      <c r="AF54" s="112">
        <v>16944</v>
      </c>
      <c r="AG54" s="151">
        <f t="shared" si="27"/>
        <v>0</v>
      </c>
      <c r="AH54" s="113">
        <v>1100122</v>
      </c>
      <c r="AI54" s="114">
        <v>16944</v>
      </c>
      <c r="AJ54" s="114">
        <v>16944</v>
      </c>
      <c r="AK54" s="114">
        <v>17613</v>
      </c>
    </row>
    <row r="55" spans="1:37" ht="16.5" thickTop="1" thickBot="1" x14ac:dyDescent="0.25">
      <c r="A55" s="101"/>
      <c r="B55" s="102"/>
      <c r="C55" s="103"/>
      <c r="D55" s="103">
        <v>2</v>
      </c>
      <c r="E55" s="104">
        <v>410202</v>
      </c>
      <c r="F55" s="105" t="s">
        <v>475</v>
      </c>
      <c r="G55" s="108">
        <v>47678.400000000001</v>
      </c>
      <c r="H55" s="107">
        <v>50000</v>
      </c>
      <c r="I55" s="107">
        <v>50000</v>
      </c>
      <c r="J55" s="108">
        <v>50000</v>
      </c>
      <c r="K55" s="115">
        <v>3973.2</v>
      </c>
      <c r="L55" s="145">
        <v>3973.2</v>
      </c>
      <c r="M55" s="115">
        <v>3973.2</v>
      </c>
      <c r="N55" s="115">
        <v>3973.2</v>
      </c>
      <c r="O55" s="178">
        <v>3973.2</v>
      </c>
      <c r="P55" s="117">
        <v>3973.2</v>
      </c>
      <c r="Q55" s="115">
        <v>3973.2</v>
      </c>
      <c r="R55" s="115">
        <v>3973.2</v>
      </c>
      <c r="S55" s="115">
        <v>3973.2</v>
      </c>
      <c r="T55" s="115">
        <v>3973.2</v>
      </c>
      <c r="U55" s="115">
        <v>3973.2</v>
      </c>
      <c r="V55" s="115">
        <v>3973.2</v>
      </c>
      <c r="W55" s="119">
        <f t="shared" si="30"/>
        <v>47678.399999999994</v>
      </c>
      <c r="X55" s="108">
        <f t="shared" si="31"/>
        <v>47678.399999999994</v>
      </c>
      <c r="Y55" s="171">
        <v>47678.400000000001</v>
      </c>
      <c r="Z55" s="111">
        <v>47678.400000000001</v>
      </c>
      <c r="AA55" s="111">
        <v>3973.2</v>
      </c>
      <c r="AB55" s="123">
        <v>3973</v>
      </c>
      <c r="AC55" s="88">
        <f t="shared" si="26"/>
        <v>0</v>
      </c>
      <c r="AD55" s="120">
        <f>Y55</f>
        <v>47678.400000000001</v>
      </c>
      <c r="AE55" s="121">
        <v>15892.4</v>
      </c>
      <c r="AF55" s="112">
        <f>AD55</f>
        <v>47678.400000000001</v>
      </c>
      <c r="AG55" s="152">
        <f t="shared" si="27"/>
        <v>0</v>
      </c>
      <c r="AH55" s="113">
        <v>1100122</v>
      </c>
      <c r="AI55" s="114">
        <v>47678.400000000001</v>
      </c>
      <c r="AJ55" s="114">
        <v>47676.799999999996</v>
      </c>
      <c r="AK55" s="114">
        <v>49560</v>
      </c>
    </row>
    <row r="56" spans="1:37" ht="16.5" thickTop="1" thickBot="1" x14ac:dyDescent="0.25">
      <c r="A56" s="101"/>
      <c r="B56" s="102"/>
      <c r="C56" s="103"/>
      <c r="D56" s="103">
        <v>3</v>
      </c>
      <c r="E56" s="104">
        <v>410203</v>
      </c>
      <c r="F56" s="105" t="s">
        <v>476</v>
      </c>
      <c r="G56" s="108">
        <v>63140</v>
      </c>
      <c r="H56" s="107">
        <v>65000</v>
      </c>
      <c r="I56" s="107">
        <v>65000</v>
      </c>
      <c r="J56" s="108">
        <v>65000</v>
      </c>
      <c r="K56" s="115">
        <v>5090</v>
      </c>
      <c r="L56" s="145">
        <v>5090</v>
      </c>
      <c r="M56" s="115">
        <v>5680</v>
      </c>
      <c r="N56" s="115">
        <v>5090</v>
      </c>
      <c r="O56" s="178">
        <v>5090</v>
      </c>
      <c r="P56" s="117">
        <v>5090</v>
      </c>
      <c r="Q56" s="115">
        <v>5680</v>
      </c>
      <c r="R56" s="115">
        <v>5680</v>
      </c>
      <c r="S56" s="115">
        <v>5680</v>
      </c>
      <c r="T56" s="115">
        <v>5680</v>
      </c>
      <c r="U56" s="115">
        <v>5680</v>
      </c>
      <c r="V56" s="115">
        <v>5680</v>
      </c>
      <c r="W56" s="119">
        <f t="shared" si="30"/>
        <v>65210</v>
      </c>
      <c r="X56" s="108">
        <f t="shared" si="31"/>
        <v>65210</v>
      </c>
      <c r="Y56" s="110">
        <v>56680</v>
      </c>
      <c r="Z56" s="111">
        <v>65210</v>
      </c>
      <c r="AA56" s="111">
        <v>5090</v>
      </c>
      <c r="AB56" s="123">
        <v>5090</v>
      </c>
      <c r="AC56" s="88">
        <f t="shared" si="26"/>
        <v>0</v>
      </c>
      <c r="AD56" s="120">
        <v>61080</v>
      </c>
      <c r="AE56" s="121">
        <v>20360</v>
      </c>
      <c r="AF56" s="112">
        <v>61080</v>
      </c>
      <c r="AG56" s="151">
        <f t="shared" si="27"/>
        <v>0</v>
      </c>
      <c r="AH56" s="113">
        <v>1100122</v>
      </c>
      <c r="AI56" s="114">
        <v>56680</v>
      </c>
      <c r="AJ56" s="114">
        <v>61080</v>
      </c>
      <c r="AK56" s="114">
        <v>63492</v>
      </c>
    </row>
    <row r="57" spans="1:37" ht="16.5" thickTop="1" thickBot="1" x14ac:dyDescent="0.25">
      <c r="A57" s="101"/>
      <c r="B57" s="102"/>
      <c r="C57" s="103"/>
      <c r="D57" s="103">
        <v>4</v>
      </c>
      <c r="E57" s="104">
        <v>410204</v>
      </c>
      <c r="F57" s="105" t="s">
        <v>477</v>
      </c>
      <c r="G57" s="108">
        <v>60000</v>
      </c>
      <c r="H57" s="107">
        <v>65000</v>
      </c>
      <c r="I57" s="107">
        <v>65000</v>
      </c>
      <c r="J57" s="108">
        <v>65000</v>
      </c>
      <c r="K57" s="115">
        <v>5000</v>
      </c>
      <c r="L57" s="145">
        <v>5590</v>
      </c>
      <c r="M57" s="115">
        <v>5000</v>
      </c>
      <c r="N57" s="184">
        <v>5000</v>
      </c>
      <c r="O57" s="178">
        <v>5000</v>
      </c>
      <c r="P57" s="117">
        <v>5000</v>
      </c>
      <c r="Q57" s="115">
        <v>5000</v>
      </c>
      <c r="R57" s="115">
        <v>5000</v>
      </c>
      <c r="S57" s="115">
        <v>5000</v>
      </c>
      <c r="T57" s="115">
        <v>5000</v>
      </c>
      <c r="U57" s="115">
        <v>5000</v>
      </c>
      <c r="V57" s="115">
        <v>5000</v>
      </c>
      <c r="W57" s="119">
        <f t="shared" si="30"/>
        <v>60590</v>
      </c>
      <c r="X57" s="108">
        <f t="shared" si="31"/>
        <v>60590</v>
      </c>
      <c r="Y57" s="110">
        <v>65680</v>
      </c>
      <c r="Z57" s="111">
        <v>60590</v>
      </c>
      <c r="AA57" s="111">
        <v>5000</v>
      </c>
      <c r="AB57" s="123">
        <v>5000</v>
      </c>
      <c r="AC57" s="88">
        <f t="shared" si="26"/>
        <v>0</v>
      </c>
      <c r="AD57" s="120">
        <v>60000</v>
      </c>
      <c r="AE57" s="121">
        <v>20000</v>
      </c>
      <c r="AF57" s="112">
        <v>60000</v>
      </c>
      <c r="AG57" s="151">
        <f t="shared" si="27"/>
        <v>0</v>
      </c>
      <c r="AH57" s="113">
        <v>1100122</v>
      </c>
      <c r="AI57" s="114">
        <v>65680</v>
      </c>
      <c r="AJ57" s="114">
        <v>60000</v>
      </c>
      <c r="AK57" s="114">
        <v>62370</v>
      </c>
    </row>
    <row r="58" spans="1:37" ht="16.5" thickTop="1" thickBot="1" x14ac:dyDescent="0.25">
      <c r="A58" s="101"/>
      <c r="B58" s="102"/>
      <c r="C58" s="103"/>
      <c r="D58" s="103">
        <v>5</v>
      </c>
      <c r="E58" s="104">
        <v>410205</v>
      </c>
      <c r="F58" s="105" t="s">
        <v>478</v>
      </c>
      <c r="G58" s="185">
        <v>11069</v>
      </c>
      <c r="H58" s="107">
        <v>10000</v>
      </c>
      <c r="I58" s="183">
        <v>10000</v>
      </c>
      <c r="J58" s="108">
        <v>10000</v>
      </c>
      <c r="K58" s="149">
        <v>900</v>
      </c>
      <c r="L58" s="145">
        <v>550</v>
      </c>
      <c r="M58" s="115">
        <v>1750</v>
      </c>
      <c r="N58" s="115">
        <v>0</v>
      </c>
      <c r="O58" s="178">
        <v>0</v>
      </c>
      <c r="P58" s="117">
        <v>0</v>
      </c>
      <c r="Q58" s="122">
        <v>0</v>
      </c>
      <c r="R58" s="122"/>
      <c r="S58" s="122">
        <v>1400</v>
      </c>
      <c r="T58" s="122">
        <v>2625</v>
      </c>
      <c r="U58" s="122">
        <v>700</v>
      </c>
      <c r="V58" s="122">
        <v>2625</v>
      </c>
      <c r="W58" s="119">
        <f t="shared" si="30"/>
        <v>10550</v>
      </c>
      <c r="X58" s="108">
        <f t="shared" si="31"/>
        <v>10550</v>
      </c>
      <c r="Y58" s="110">
        <v>9200</v>
      </c>
      <c r="Z58" s="111">
        <v>10550</v>
      </c>
      <c r="AA58" s="111">
        <v>475</v>
      </c>
      <c r="AB58" s="123">
        <v>375</v>
      </c>
      <c r="AC58" s="88">
        <f t="shared" si="26"/>
        <v>0</v>
      </c>
      <c r="AD58" s="120">
        <f>Z58</f>
        <v>10550</v>
      </c>
      <c r="AE58" s="121">
        <v>2114.88</v>
      </c>
      <c r="AF58" s="112">
        <v>10550</v>
      </c>
      <c r="AG58" s="151">
        <f t="shared" si="27"/>
        <v>0</v>
      </c>
      <c r="AH58" s="113">
        <v>1100122</v>
      </c>
      <c r="AI58" s="114">
        <v>9200</v>
      </c>
      <c r="AJ58" s="114">
        <v>8006.4</v>
      </c>
      <c r="AK58" s="114">
        <v>8322</v>
      </c>
    </row>
    <row r="59" spans="1:37" ht="16.5" thickTop="1" thickBot="1" x14ac:dyDescent="0.25">
      <c r="A59" s="101"/>
      <c r="B59" s="102"/>
      <c r="C59" s="103"/>
      <c r="D59" s="103">
        <v>6</v>
      </c>
      <c r="E59" s="104">
        <v>410206</v>
      </c>
      <c r="F59" s="105" t="s">
        <v>479</v>
      </c>
      <c r="G59" s="108">
        <v>3447</v>
      </c>
      <c r="H59" s="107">
        <v>5000</v>
      </c>
      <c r="I59" s="107">
        <v>5000</v>
      </c>
      <c r="J59" s="108">
        <v>5000</v>
      </c>
      <c r="K59" s="106"/>
      <c r="L59" s="145">
        <v>0</v>
      </c>
      <c r="M59" s="115">
        <v>0</v>
      </c>
      <c r="N59" s="115">
        <v>0</v>
      </c>
      <c r="O59" s="178">
        <v>0</v>
      </c>
      <c r="P59" s="117">
        <v>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5000</v>
      </c>
      <c r="W59" s="119">
        <f t="shared" si="30"/>
        <v>5000</v>
      </c>
      <c r="X59" s="108">
        <f t="shared" si="31"/>
        <v>5000</v>
      </c>
      <c r="Y59" s="110"/>
      <c r="Z59" s="111">
        <v>5000</v>
      </c>
      <c r="AA59" s="111">
        <v>0</v>
      </c>
      <c r="AB59" s="111">
        <v>0</v>
      </c>
      <c r="AC59" s="88">
        <f t="shared" si="26"/>
        <v>0</v>
      </c>
      <c r="AD59" s="120">
        <f>Z59</f>
        <v>5000</v>
      </c>
      <c r="AE59" s="121">
        <v>0</v>
      </c>
      <c r="AF59" s="112">
        <v>5000</v>
      </c>
      <c r="AG59" s="151">
        <f t="shared" si="27"/>
        <v>0</v>
      </c>
      <c r="AH59" s="113">
        <v>1100122</v>
      </c>
      <c r="AI59" s="114">
        <v>0</v>
      </c>
      <c r="AJ59" s="114">
        <v>0</v>
      </c>
      <c r="AK59" s="114">
        <v>5000</v>
      </c>
    </row>
    <row r="60" spans="1:37" ht="16.5" thickTop="1" thickBot="1" x14ac:dyDescent="0.25">
      <c r="A60" s="101"/>
      <c r="B60" s="102"/>
      <c r="C60" s="103"/>
      <c r="D60" s="103">
        <v>7</v>
      </c>
      <c r="E60" s="104">
        <v>410207</v>
      </c>
      <c r="F60" s="105" t="s">
        <v>480</v>
      </c>
      <c r="G60" s="108">
        <v>217265</v>
      </c>
      <c r="H60" s="107">
        <v>250000</v>
      </c>
      <c r="I60" s="107">
        <v>250000</v>
      </c>
      <c r="J60" s="108">
        <v>250000</v>
      </c>
      <c r="K60" s="115">
        <v>11795</v>
      </c>
      <c r="L60" s="145">
        <v>18090</v>
      </c>
      <c r="M60" s="115">
        <v>14830</v>
      </c>
      <c r="N60" s="115">
        <v>0</v>
      </c>
      <c r="O60" s="178">
        <v>0</v>
      </c>
      <c r="P60" s="117">
        <v>0</v>
      </c>
      <c r="Q60" s="122">
        <v>25000</v>
      </c>
      <c r="R60" s="122">
        <v>20000</v>
      </c>
      <c r="S60" s="122">
        <v>15000</v>
      </c>
      <c r="T60" s="122">
        <v>10000</v>
      </c>
      <c r="U60" s="122">
        <v>8000</v>
      </c>
      <c r="V60" s="122">
        <v>5000</v>
      </c>
      <c r="W60" s="119">
        <f t="shared" si="30"/>
        <v>127715</v>
      </c>
      <c r="X60" s="108">
        <f t="shared" si="31"/>
        <v>127715</v>
      </c>
      <c r="Y60" s="110">
        <v>44925</v>
      </c>
      <c r="Z60" s="111">
        <v>262406.96000000002</v>
      </c>
      <c r="AA60" s="111">
        <v>0</v>
      </c>
      <c r="AB60" s="111">
        <v>0</v>
      </c>
      <c r="AC60" s="88">
        <f t="shared" si="26"/>
        <v>0</v>
      </c>
      <c r="AD60" s="120">
        <v>150000</v>
      </c>
      <c r="AE60" s="121">
        <v>2600</v>
      </c>
      <c r="AF60" s="112">
        <v>150000</v>
      </c>
      <c r="AG60" s="151">
        <f t="shared" si="27"/>
        <v>0</v>
      </c>
      <c r="AH60" s="113">
        <v>1100122</v>
      </c>
      <c r="AI60" s="114">
        <v>44925</v>
      </c>
      <c r="AJ60" s="114">
        <v>27615</v>
      </c>
      <c r="AK60" s="114">
        <v>100000</v>
      </c>
    </row>
    <row r="61" spans="1:37" ht="16.5" thickTop="1" thickBot="1" x14ac:dyDescent="0.25">
      <c r="A61" s="101"/>
      <c r="B61" s="102"/>
      <c r="C61" s="103"/>
      <c r="D61" s="103">
        <v>8</v>
      </c>
      <c r="E61" s="104">
        <v>410208</v>
      </c>
      <c r="F61" s="105" t="s">
        <v>481</v>
      </c>
      <c r="G61" s="108">
        <v>13069</v>
      </c>
      <c r="H61" s="107">
        <v>15000</v>
      </c>
      <c r="I61" s="183">
        <v>15000</v>
      </c>
      <c r="J61" s="108">
        <v>15000</v>
      </c>
      <c r="K61" s="149">
        <v>1867</v>
      </c>
      <c r="L61" s="145">
        <v>0</v>
      </c>
      <c r="M61" s="115">
        <v>0</v>
      </c>
      <c r="N61" s="115">
        <v>0</v>
      </c>
      <c r="O61" s="178">
        <v>0</v>
      </c>
      <c r="P61" s="117">
        <v>0</v>
      </c>
      <c r="Q61" s="122">
        <v>0</v>
      </c>
      <c r="R61" s="122">
        <v>0</v>
      </c>
      <c r="S61" s="122">
        <v>1867</v>
      </c>
      <c r="T61" s="122">
        <v>0</v>
      </c>
      <c r="U61" s="122">
        <v>1867</v>
      </c>
      <c r="V61" s="122">
        <v>6235</v>
      </c>
      <c r="W61" s="119">
        <f t="shared" si="30"/>
        <v>11836</v>
      </c>
      <c r="X61" s="108">
        <f t="shared" si="31"/>
        <v>11836</v>
      </c>
      <c r="Y61" s="110">
        <v>1867</v>
      </c>
      <c r="Z61" s="111">
        <v>11836</v>
      </c>
      <c r="AA61" s="111">
        <v>0</v>
      </c>
      <c r="AB61" s="111">
        <v>0</v>
      </c>
      <c r="AC61" s="88">
        <f t="shared" si="26"/>
        <v>0</v>
      </c>
      <c r="AD61" s="120">
        <v>5000</v>
      </c>
      <c r="AE61" s="121">
        <v>0</v>
      </c>
      <c r="AF61" s="112">
        <v>5000</v>
      </c>
      <c r="AG61" s="151">
        <f t="shared" si="27"/>
        <v>0</v>
      </c>
      <c r="AH61" s="113">
        <v>1100122</v>
      </c>
      <c r="AI61" s="114">
        <v>1867</v>
      </c>
      <c r="AJ61" s="114">
        <v>2254.4083333333333</v>
      </c>
      <c r="AK61" s="114">
        <v>2343</v>
      </c>
    </row>
    <row r="62" spans="1:37" ht="16.5" thickTop="1" thickBot="1" x14ac:dyDescent="0.25">
      <c r="A62" s="101"/>
      <c r="B62" s="102"/>
      <c r="C62" s="103"/>
      <c r="D62" s="103">
        <v>9</v>
      </c>
      <c r="E62" s="104">
        <v>410209</v>
      </c>
      <c r="F62" s="105" t="s">
        <v>482</v>
      </c>
      <c r="G62" s="106">
        <v>0</v>
      </c>
      <c r="H62" s="107">
        <v>1000</v>
      </c>
      <c r="I62" s="107">
        <v>1000</v>
      </c>
      <c r="J62" s="108">
        <v>1000</v>
      </c>
      <c r="K62" s="106"/>
      <c r="L62" s="186">
        <v>0</v>
      </c>
      <c r="M62" s="115">
        <v>0</v>
      </c>
      <c r="N62" s="115">
        <v>0</v>
      </c>
      <c r="O62" s="178">
        <v>0</v>
      </c>
      <c r="P62" s="117">
        <v>0</v>
      </c>
      <c r="Q62" s="115">
        <v>0</v>
      </c>
      <c r="R62" s="115">
        <v>0</v>
      </c>
      <c r="S62" s="115">
        <v>0</v>
      </c>
      <c r="T62" s="115">
        <v>0</v>
      </c>
      <c r="U62" s="115">
        <v>0</v>
      </c>
      <c r="V62" s="115">
        <v>1000</v>
      </c>
      <c r="W62" s="119">
        <f t="shared" si="30"/>
        <v>1000</v>
      </c>
      <c r="X62" s="108">
        <f t="shared" si="31"/>
        <v>1000</v>
      </c>
      <c r="Y62" s="110"/>
      <c r="Z62" s="111">
        <v>1000</v>
      </c>
      <c r="AA62" s="111">
        <v>0</v>
      </c>
      <c r="AB62" s="111">
        <v>0</v>
      </c>
      <c r="AC62" s="88">
        <f t="shared" si="26"/>
        <v>0</v>
      </c>
      <c r="AD62" s="120">
        <v>1000</v>
      </c>
      <c r="AE62" s="121">
        <v>0</v>
      </c>
      <c r="AF62" s="112">
        <v>1000</v>
      </c>
      <c r="AG62" s="151">
        <f t="shared" si="27"/>
        <v>0</v>
      </c>
      <c r="AH62" s="113">
        <v>1100122</v>
      </c>
      <c r="AI62" s="114">
        <v>0</v>
      </c>
      <c r="AJ62" s="114">
        <v>0</v>
      </c>
      <c r="AK62" s="114">
        <v>1000</v>
      </c>
    </row>
    <row r="63" spans="1:37" ht="16.5" thickTop="1" thickBot="1" x14ac:dyDescent="0.25">
      <c r="A63" s="101"/>
      <c r="B63" s="102"/>
      <c r="C63" s="129">
        <v>3</v>
      </c>
      <c r="D63" s="103"/>
      <c r="E63" s="103"/>
      <c r="F63" s="176" t="s">
        <v>483</v>
      </c>
      <c r="G63" s="106"/>
      <c r="H63" s="107"/>
      <c r="I63" s="107"/>
      <c r="J63" s="108"/>
      <c r="K63" s="106"/>
      <c r="L63" s="186"/>
      <c r="M63" s="115"/>
      <c r="N63" s="115"/>
      <c r="O63" s="178"/>
      <c r="P63" s="117"/>
      <c r="Q63" s="115"/>
      <c r="R63" s="115"/>
      <c r="S63" s="115"/>
      <c r="T63" s="115"/>
      <c r="U63" s="115"/>
      <c r="V63" s="115"/>
      <c r="W63" s="119"/>
      <c r="X63" s="108"/>
      <c r="Y63" s="110"/>
      <c r="Z63" s="187"/>
      <c r="AA63" s="187"/>
      <c r="AB63" s="187"/>
      <c r="AC63" s="88"/>
      <c r="AD63" s="120"/>
      <c r="AE63" s="121"/>
      <c r="AF63" s="112"/>
      <c r="AG63" s="151"/>
      <c r="AH63" s="113"/>
      <c r="AI63" s="114"/>
      <c r="AJ63" s="114"/>
      <c r="AK63" s="188">
        <f>AK64</f>
        <v>5645375</v>
      </c>
    </row>
    <row r="64" spans="1:37" ht="16.5" thickTop="1" thickBot="1" x14ac:dyDescent="0.25">
      <c r="A64" s="101"/>
      <c r="B64" s="102"/>
      <c r="C64" s="103"/>
      <c r="D64" s="103">
        <v>1</v>
      </c>
      <c r="E64" s="189">
        <v>410301</v>
      </c>
      <c r="F64" s="105" t="s">
        <v>469</v>
      </c>
      <c r="G64" s="106"/>
      <c r="H64" s="107"/>
      <c r="I64" s="107"/>
      <c r="J64" s="108"/>
      <c r="K64" s="106"/>
      <c r="L64" s="186"/>
      <c r="M64" s="115"/>
      <c r="N64" s="115"/>
      <c r="O64" s="178"/>
      <c r="P64" s="117"/>
      <c r="Q64" s="115"/>
      <c r="R64" s="115"/>
      <c r="S64" s="115"/>
      <c r="T64" s="115"/>
      <c r="U64" s="115"/>
      <c r="V64" s="115"/>
      <c r="W64" s="119"/>
      <c r="X64" s="108"/>
      <c r="Y64" s="110"/>
      <c r="Z64" s="187"/>
      <c r="AA64" s="187"/>
      <c r="AB64" s="187"/>
      <c r="AC64" s="88"/>
      <c r="AD64" s="120"/>
      <c r="AE64" s="121"/>
      <c r="AF64" s="112"/>
      <c r="AG64" s="151"/>
      <c r="AH64" s="113">
        <v>1100122</v>
      </c>
      <c r="AI64" s="114"/>
      <c r="AJ64" s="114"/>
      <c r="AK64" s="114">
        <v>5645375</v>
      </c>
    </row>
    <row r="65" spans="1:37" ht="14.25" thickTop="1" thickBot="1" x14ac:dyDescent="0.25">
      <c r="A65" s="174"/>
      <c r="B65" s="82" t="s">
        <v>461</v>
      </c>
      <c r="C65" s="175"/>
      <c r="D65" s="175"/>
      <c r="E65" s="175"/>
      <c r="F65" s="176" t="s">
        <v>484</v>
      </c>
      <c r="G65" s="84">
        <f>G66+G74+G82+G96+G91+G102+G105+G107+G109+G113+G123+G129+G135+G137+G140+G147+G157+G161+G164</f>
        <v>123666300.33</v>
      </c>
      <c r="H65" s="84">
        <f t="shared" ref="H65:AB65" si="32">H66+H74+H82+H96+H91+H102+H105+H107+H109+H113+H123+H129+H135+H137+H140+H147+H157+H160+H161+H164</f>
        <v>175209891.48000002</v>
      </c>
      <c r="I65" s="84">
        <f t="shared" si="32"/>
        <v>178709891.48000002</v>
      </c>
      <c r="J65" s="84">
        <f t="shared" si="32"/>
        <v>183660525.64000002</v>
      </c>
      <c r="K65" s="84">
        <f t="shared" si="32"/>
        <v>9052507.3099999987</v>
      </c>
      <c r="L65" s="84">
        <f t="shared" si="32"/>
        <v>12487804.91</v>
      </c>
      <c r="M65" s="84">
        <f t="shared" si="32"/>
        <v>13939036.75</v>
      </c>
      <c r="N65" s="84">
        <f t="shared" si="32"/>
        <v>10212400.540000001</v>
      </c>
      <c r="O65" s="84">
        <f t="shared" si="32"/>
        <v>12511210.779999999</v>
      </c>
      <c r="P65" s="84">
        <f t="shared" si="32"/>
        <v>12219530.710000001</v>
      </c>
      <c r="Q65" s="84">
        <f t="shared" si="32"/>
        <v>9330203.8741399981</v>
      </c>
      <c r="R65" s="84">
        <f t="shared" si="32"/>
        <v>9751057.8327799998</v>
      </c>
      <c r="S65" s="84">
        <f t="shared" si="32"/>
        <v>10792566.795179999</v>
      </c>
      <c r="T65" s="84">
        <f t="shared" si="32"/>
        <v>11724465.017859999</v>
      </c>
      <c r="U65" s="84">
        <f t="shared" si="32"/>
        <v>11305718.920539999</v>
      </c>
      <c r="V65" s="84">
        <f t="shared" si="32"/>
        <v>11576156.62606</v>
      </c>
      <c r="W65" s="132">
        <f t="shared" si="32"/>
        <v>127521121.10000001</v>
      </c>
      <c r="X65" s="134">
        <f t="shared" si="32"/>
        <v>127521121.10000001</v>
      </c>
      <c r="Y65" s="133">
        <f t="shared" si="32"/>
        <v>145451807.55000001</v>
      </c>
      <c r="Z65" s="134">
        <f t="shared" si="32"/>
        <v>154474242.91000003</v>
      </c>
      <c r="AA65" s="134">
        <f t="shared" si="32"/>
        <v>7232273.0499999998</v>
      </c>
      <c r="AB65" s="134">
        <f t="shared" si="32"/>
        <v>12344444.290000001</v>
      </c>
      <c r="AC65" s="88">
        <f t="shared" si="26"/>
        <v>0</v>
      </c>
      <c r="AD65" s="134">
        <f>AD66+AD74+AD82+AD96+AD91+AD102+AD105+AD107+AD109+AD113+AD123+AD129+AD135+AD137+AD140+AD147+AD157+AD160+AD161+AD164</f>
        <v>156973639.83407</v>
      </c>
      <c r="AE65" s="134">
        <f>AE66+AE74+AE82+AE96+AE91+AE102+AE105+AE107+AE109+AE113+AE123+AE129+AE135+AE137+AE140+AE147+AE157+AE160+AE161+AE164</f>
        <v>45200656.049999997</v>
      </c>
      <c r="AF65" s="132">
        <f>AF66+AF74+AF82+AF96+AF91+AF102+AF105+AF107+AF109+AF113+AF123+AF129+AF135+AF137+AF140+AF147+AF157+AF160+AF161+AF164</f>
        <v>156618823.53</v>
      </c>
      <c r="AG65" s="134">
        <f>AG66+AG74+AG82+AG96+AG91+AG102+AG105+AG107+AG109+AG113+AG123+AG129+AG135+AG137+AG140+AG147+AG157+AG160+AG161+AG164</f>
        <v>-354816.30406998517</v>
      </c>
      <c r="AH65" s="135"/>
      <c r="AI65" s="133">
        <f>AI66+AI74+AI82+AI96+AI91+AI102+AI105+AI107+AI109+AI113+AI123+AI129+AI135+AI137+AI140+AI147+AI157+AI159+AI161+AI164</f>
        <v>145451807.55000001</v>
      </c>
      <c r="AJ65" s="133">
        <f>AJ66+AJ74+AJ82+AJ96+AJ91+AJ102+AJ105+AJ107+AJ109+AJ113+AJ123+AJ129+AJ135+AJ137+AJ140+AJ147+AJ157+AJ159+AJ161+AJ164</f>
        <v>149083414.14888889</v>
      </c>
      <c r="AK65" s="133">
        <f>AK66+AK74+AK82+AK96+AK91+AK102+AK105+AK107+AK109+AK113+AK123+AK129+AK135+AK137+AK140+AK147+AK157+AK159+AK161+AK164</f>
        <v>161638732</v>
      </c>
    </row>
    <row r="66" spans="1:37" ht="16.5" thickTop="1" thickBot="1" x14ac:dyDescent="0.25">
      <c r="A66" s="127"/>
      <c r="B66" s="128"/>
      <c r="C66" s="129">
        <v>1</v>
      </c>
      <c r="D66" s="129"/>
      <c r="E66" s="129"/>
      <c r="F66" s="130" t="s">
        <v>485</v>
      </c>
      <c r="G66" s="84">
        <f>G67+G68+G69+G70+G71+G72+G73</f>
        <v>4509237.0799999991</v>
      </c>
      <c r="H66" s="85">
        <f>H67+H68+H69+H70+H71+H72+H73</f>
        <v>5299155.5299999993</v>
      </c>
      <c r="I66" s="85">
        <f>I67+I68+I69+I70+I71+I72+I73</f>
        <v>5299155.5299999993</v>
      </c>
      <c r="J66" s="84">
        <f>J67+J68+J69+J70+J71+J72+J73</f>
        <v>5843155.5299999993</v>
      </c>
      <c r="K66" s="84">
        <f t="shared" ref="K66:AB66" si="33">K67+K68+K69+K70+K71+K72+K73</f>
        <v>641153.78</v>
      </c>
      <c r="L66" s="84">
        <f t="shared" si="33"/>
        <v>518727.06000000006</v>
      </c>
      <c r="M66" s="84">
        <f t="shared" si="33"/>
        <v>343470.5</v>
      </c>
      <c r="N66" s="84">
        <f t="shared" si="33"/>
        <v>274167.64</v>
      </c>
      <c r="O66" s="84">
        <f t="shared" si="33"/>
        <v>297375.62</v>
      </c>
      <c r="P66" s="84">
        <f t="shared" si="33"/>
        <v>301926.34999999998</v>
      </c>
      <c r="Q66" s="84">
        <f t="shared" si="33"/>
        <v>230392.785</v>
      </c>
      <c r="R66" s="84">
        <f t="shared" si="33"/>
        <v>260581.74500000002</v>
      </c>
      <c r="S66" s="84">
        <f t="shared" si="33"/>
        <v>225529.29100000006</v>
      </c>
      <c r="T66" s="84">
        <f t="shared" si="33"/>
        <v>225503.16500000004</v>
      </c>
      <c r="U66" s="84">
        <f t="shared" si="33"/>
        <v>225492.33500000002</v>
      </c>
      <c r="V66" s="84">
        <f t="shared" si="33"/>
        <v>220991.17500000005</v>
      </c>
      <c r="W66" s="151">
        <f t="shared" si="33"/>
        <v>3784324.09</v>
      </c>
      <c r="X66" s="151">
        <f t="shared" si="33"/>
        <v>3784324.09</v>
      </c>
      <c r="Y66" s="152">
        <f t="shared" si="33"/>
        <v>4170139.72</v>
      </c>
      <c r="Z66" s="151">
        <f t="shared" si="33"/>
        <v>4619706.7399999993</v>
      </c>
      <c r="AA66" s="151">
        <f t="shared" si="33"/>
        <v>456877.7</v>
      </c>
      <c r="AB66" s="151">
        <f t="shared" si="33"/>
        <v>276191.39</v>
      </c>
      <c r="AC66" s="88">
        <f t="shared" si="26"/>
        <v>0</v>
      </c>
      <c r="AD66" s="151">
        <f>AD67+AD68+AD69+AD70+AD71+AD72+AD73</f>
        <v>4860516.1399999997</v>
      </c>
      <c r="AE66" s="151">
        <f>AE67+AE68+AE69+AE70+AE71+AE72+AE73</f>
        <v>1620949.0899999999</v>
      </c>
      <c r="AF66" s="151">
        <f>AF67+AF68+AF69+AF70+AF71+AF72+AF73</f>
        <v>5010516.5</v>
      </c>
      <c r="AG66" s="151">
        <f t="shared" ref="AG66:AG129" si="34">AF66-AD66</f>
        <v>150000.36000000034</v>
      </c>
      <c r="AH66" s="135"/>
      <c r="AI66" s="152">
        <f>AI67+AI68+AI69+AI70+AI71+AI72+AI73</f>
        <v>4170139.72</v>
      </c>
      <c r="AJ66" s="152">
        <f>AJ67+AJ68+AJ69+AJ70+AJ71+AJ72+AJ73</f>
        <v>4903497.6577777788</v>
      </c>
      <c r="AK66" s="152">
        <f>AK67+AK68+AK69+AK70+AK71+AK72+AK73</f>
        <v>5157183</v>
      </c>
    </row>
    <row r="67" spans="1:37" ht="16.5" thickTop="1" thickBot="1" x14ac:dyDescent="0.25">
      <c r="A67" s="101"/>
      <c r="B67" s="102"/>
      <c r="C67" s="103"/>
      <c r="D67" s="103">
        <v>1</v>
      </c>
      <c r="E67" s="104">
        <v>430101</v>
      </c>
      <c r="F67" s="105" t="s">
        <v>486</v>
      </c>
      <c r="G67" s="108">
        <v>3039782.36</v>
      </c>
      <c r="H67" s="107">
        <v>3300000</v>
      </c>
      <c r="I67" s="107">
        <v>3300000</v>
      </c>
      <c r="J67" s="108">
        <v>3800000</v>
      </c>
      <c r="K67" s="136">
        <v>526333.66</v>
      </c>
      <c r="L67" s="136">
        <v>393113.63</v>
      </c>
      <c r="M67" s="136">
        <v>185222.8</v>
      </c>
      <c r="N67" s="136">
        <v>149462.97</v>
      </c>
      <c r="O67" s="190">
        <v>182586.94</v>
      </c>
      <c r="P67" s="117">
        <v>190390.01</v>
      </c>
      <c r="Q67" s="137">
        <v>144624.07999999999</v>
      </c>
      <c r="R67" s="137">
        <v>154624.07999999999</v>
      </c>
      <c r="S67" s="137">
        <v>119570.376</v>
      </c>
      <c r="T67" s="137">
        <v>119570.38</v>
      </c>
      <c r="U67" s="137">
        <v>119570.38</v>
      </c>
      <c r="V67" s="137">
        <v>119570.29</v>
      </c>
      <c r="W67" s="119">
        <v>2404639.59</v>
      </c>
      <c r="X67" s="108">
        <f t="shared" ref="X67:X73" si="35">W67</f>
        <v>2404639.59</v>
      </c>
      <c r="Y67" s="110">
        <v>2700094.08</v>
      </c>
      <c r="Z67" s="111">
        <v>3200656</v>
      </c>
      <c r="AA67" s="111">
        <v>382262.46</v>
      </c>
      <c r="AB67" s="123">
        <v>170895.3</v>
      </c>
      <c r="AC67" s="88">
        <f t="shared" si="26"/>
        <v>0</v>
      </c>
      <c r="AD67" s="120">
        <f>Z67</f>
        <v>3200656</v>
      </c>
      <c r="AE67" s="121">
        <v>1048946.92</v>
      </c>
      <c r="AF67" s="112">
        <v>3200656</v>
      </c>
      <c r="AG67" s="120">
        <f t="shared" si="34"/>
        <v>0</v>
      </c>
      <c r="AH67" s="113">
        <v>1100122</v>
      </c>
      <c r="AI67" s="114">
        <v>2700094.08</v>
      </c>
      <c r="AJ67" s="114">
        <v>2940508.9577777782</v>
      </c>
      <c r="AK67" s="114">
        <v>3056659</v>
      </c>
    </row>
    <row r="68" spans="1:37" ht="16.5" thickTop="1" thickBot="1" x14ac:dyDescent="0.25">
      <c r="A68" s="101"/>
      <c r="B68" s="102"/>
      <c r="C68" s="103"/>
      <c r="D68" s="103">
        <v>2</v>
      </c>
      <c r="E68" s="104">
        <v>430102</v>
      </c>
      <c r="F68" s="105" t="s">
        <v>487</v>
      </c>
      <c r="G68" s="108">
        <v>1009419.34</v>
      </c>
      <c r="H68" s="107">
        <v>1371312.69</v>
      </c>
      <c r="I68" s="183">
        <v>1371312.69</v>
      </c>
      <c r="J68" s="108">
        <v>1371312.69</v>
      </c>
      <c r="K68" s="136">
        <v>79491.399999999994</v>
      </c>
      <c r="L68" s="136">
        <v>68016.7</v>
      </c>
      <c r="M68" s="191">
        <v>106786.88</v>
      </c>
      <c r="N68" s="136">
        <v>82961.42</v>
      </c>
      <c r="O68" s="190">
        <v>91173.78</v>
      </c>
      <c r="P68" s="117">
        <v>67517.8</v>
      </c>
      <c r="Q68" s="137">
        <v>67451.28</v>
      </c>
      <c r="R68" s="137">
        <v>67451.28</v>
      </c>
      <c r="S68" s="137">
        <v>67451.28</v>
      </c>
      <c r="T68" s="137">
        <v>67451.28</v>
      </c>
      <c r="U68" s="137">
        <v>67451.28</v>
      </c>
      <c r="V68" s="137">
        <v>67451.28</v>
      </c>
      <c r="W68" s="119">
        <f>SUM(K68:V68)</f>
        <v>900655.66</v>
      </c>
      <c r="X68" s="108">
        <f t="shared" si="35"/>
        <v>900655.66</v>
      </c>
      <c r="Y68" s="110">
        <v>945623.2</v>
      </c>
      <c r="Z68" s="111">
        <v>850000</v>
      </c>
      <c r="AA68" s="111">
        <v>44361.16</v>
      </c>
      <c r="AB68" s="123">
        <v>69548.479999999996</v>
      </c>
      <c r="AC68" s="88">
        <f t="shared" si="26"/>
        <v>0</v>
      </c>
      <c r="AD68" s="120">
        <f>Y68</f>
        <v>945623.2</v>
      </c>
      <c r="AE68" s="121">
        <v>311989.68</v>
      </c>
      <c r="AF68" s="112">
        <v>945623</v>
      </c>
      <c r="AG68" s="120">
        <f t="shared" si="34"/>
        <v>-0.19999999995343387</v>
      </c>
      <c r="AH68" s="113">
        <v>1100122</v>
      </c>
      <c r="AI68" s="114">
        <v>945623.2</v>
      </c>
      <c r="AJ68" s="114">
        <v>1059976.02</v>
      </c>
      <c r="AK68" s="114">
        <v>1101845</v>
      </c>
    </row>
    <row r="69" spans="1:37" ht="16.5" thickTop="1" thickBot="1" x14ac:dyDescent="0.25">
      <c r="A69" s="101"/>
      <c r="B69" s="102"/>
      <c r="C69" s="103"/>
      <c r="D69" s="103">
        <v>3</v>
      </c>
      <c r="E69" s="104">
        <v>430103</v>
      </c>
      <c r="F69" s="105" t="s">
        <v>488</v>
      </c>
      <c r="G69" s="108">
        <v>17385.78</v>
      </c>
      <c r="H69" s="107">
        <v>29842.84</v>
      </c>
      <c r="I69" s="107">
        <v>29842.84</v>
      </c>
      <c r="J69" s="108">
        <v>29842.84</v>
      </c>
      <c r="K69" s="106"/>
      <c r="L69" s="136">
        <v>10688</v>
      </c>
      <c r="M69" s="136">
        <v>0</v>
      </c>
      <c r="N69" s="136">
        <v>0</v>
      </c>
      <c r="O69" s="190">
        <v>0</v>
      </c>
      <c r="P69" s="117">
        <v>0</v>
      </c>
      <c r="Q69" s="137">
        <v>38.71</v>
      </c>
      <c r="R69" s="137">
        <v>39.92</v>
      </c>
      <c r="S69" s="137">
        <v>41.17</v>
      </c>
      <c r="T69" s="137">
        <v>15.04</v>
      </c>
      <c r="U69" s="137">
        <v>4.21</v>
      </c>
      <c r="V69" s="137">
        <v>3.14</v>
      </c>
      <c r="W69" s="119">
        <f>I69</f>
        <v>29842.84</v>
      </c>
      <c r="X69" s="108">
        <f t="shared" si="35"/>
        <v>29842.84</v>
      </c>
      <c r="Y69" s="110">
        <v>10688</v>
      </c>
      <c r="Z69" s="111">
        <v>29842.84</v>
      </c>
      <c r="AA69" s="111">
        <v>0</v>
      </c>
      <c r="AB69" s="123">
        <v>0</v>
      </c>
      <c r="AC69" s="88">
        <f t="shared" si="26"/>
        <v>0</v>
      </c>
      <c r="AD69" s="112">
        <f>Z69</f>
        <v>29842.84</v>
      </c>
      <c r="AE69" s="121">
        <v>0</v>
      </c>
      <c r="AF69" s="112">
        <v>29843</v>
      </c>
      <c r="AG69" s="112">
        <f t="shared" si="34"/>
        <v>0.15999999999985448</v>
      </c>
      <c r="AH69" s="113">
        <v>1100122</v>
      </c>
      <c r="AI69" s="114">
        <v>10688</v>
      </c>
      <c r="AJ69" s="114">
        <v>15611.33</v>
      </c>
      <c r="AK69" s="114">
        <v>16227</v>
      </c>
    </row>
    <row r="70" spans="1:37" ht="16.5" thickTop="1" thickBot="1" x14ac:dyDescent="0.25">
      <c r="A70" s="101"/>
      <c r="B70" s="102"/>
      <c r="C70" s="103"/>
      <c r="D70" s="103">
        <v>4</v>
      </c>
      <c r="E70" s="104">
        <v>430104</v>
      </c>
      <c r="F70" s="105" t="s">
        <v>489</v>
      </c>
      <c r="G70" s="108">
        <v>0</v>
      </c>
      <c r="H70" s="107">
        <v>52000</v>
      </c>
      <c r="I70" s="107">
        <v>52000</v>
      </c>
      <c r="J70" s="108">
        <v>52000</v>
      </c>
      <c r="K70" s="106"/>
      <c r="L70" s="136">
        <v>0</v>
      </c>
      <c r="M70" s="136">
        <v>0</v>
      </c>
      <c r="N70" s="136">
        <v>0</v>
      </c>
      <c r="O70" s="190">
        <v>0</v>
      </c>
      <c r="P70" s="117">
        <v>0</v>
      </c>
      <c r="Q70" s="137">
        <v>0</v>
      </c>
      <c r="R70" s="137">
        <v>5000</v>
      </c>
      <c r="S70" s="137">
        <v>5000</v>
      </c>
      <c r="T70" s="137">
        <v>5000</v>
      </c>
      <c r="U70" s="137">
        <v>5000</v>
      </c>
      <c r="V70" s="137">
        <v>500</v>
      </c>
      <c r="W70" s="119">
        <f>SUM(K70:V70)</f>
        <v>20500</v>
      </c>
      <c r="X70" s="108">
        <f t="shared" si="35"/>
        <v>20500</v>
      </c>
      <c r="Y70" s="110"/>
      <c r="Z70" s="111">
        <v>60000</v>
      </c>
      <c r="AA70" s="111">
        <v>0</v>
      </c>
      <c r="AB70" s="123">
        <v>0</v>
      </c>
      <c r="AC70" s="88">
        <f t="shared" si="26"/>
        <v>0</v>
      </c>
      <c r="AD70" s="120">
        <f>Z70</f>
        <v>60000</v>
      </c>
      <c r="AE70" s="121">
        <v>0</v>
      </c>
      <c r="AF70" s="112">
        <v>60000</v>
      </c>
      <c r="AG70" s="120">
        <f t="shared" si="34"/>
        <v>0</v>
      </c>
      <c r="AH70" s="113">
        <v>1100122</v>
      </c>
      <c r="AI70" s="114">
        <v>0</v>
      </c>
      <c r="AJ70" s="114">
        <v>0</v>
      </c>
      <c r="AK70" s="114">
        <v>60000</v>
      </c>
    </row>
    <row r="71" spans="1:37" ht="16.5" thickTop="1" thickBot="1" x14ac:dyDescent="0.25">
      <c r="A71" s="101"/>
      <c r="B71" s="102"/>
      <c r="C71" s="103"/>
      <c r="D71" s="103">
        <v>5</v>
      </c>
      <c r="E71" s="104">
        <v>430105</v>
      </c>
      <c r="F71" s="105" t="s">
        <v>490</v>
      </c>
      <c r="G71" s="108">
        <v>147502.79999999999</v>
      </c>
      <c r="H71" s="107">
        <v>170000</v>
      </c>
      <c r="I71" s="107">
        <v>170000</v>
      </c>
      <c r="J71" s="108">
        <v>170000</v>
      </c>
      <c r="K71" s="136">
        <v>5743</v>
      </c>
      <c r="L71" s="136">
        <v>20451.400000000001</v>
      </c>
      <c r="M71" s="136">
        <v>12863.2</v>
      </c>
      <c r="N71" s="136">
        <v>10400.799999999999</v>
      </c>
      <c r="O71" s="190">
        <v>0</v>
      </c>
      <c r="P71" s="117">
        <v>20756</v>
      </c>
      <c r="Q71" s="137">
        <v>12310.074999999999</v>
      </c>
      <c r="R71" s="137">
        <v>12310.074999999999</v>
      </c>
      <c r="S71" s="137">
        <v>12310.074999999999</v>
      </c>
      <c r="T71" s="137">
        <v>12310.074999999999</v>
      </c>
      <c r="U71" s="137">
        <v>12310.074999999999</v>
      </c>
      <c r="V71" s="137">
        <v>12310.074999999999</v>
      </c>
      <c r="W71" s="119">
        <f>SUM(K71:V71)</f>
        <v>144074.85</v>
      </c>
      <c r="X71" s="108">
        <f t="shared" si="35"/>
        <v>144074.85</v>
      </c>
      <c r="Y71" s="110">
        <v>172364.79999999999</v>
      </c>
      <c r="Z71" s="111">
        <v>167268.18</v>
      </c>
      <c r="AA71" s="111">
        <v>5049</v>
      </c>
      <c r="AB71" s="123">
        <v>5159.6000000000004</v>
      </c>
      <c r="AC71" s="88">
        <f t="shared" si="26"/>
        <v>0</v>
      </c>
      <c r="AD71" s="120">
        <f>Y71</f>
        <v>172364.79999999999</v>
      </c>
      <c r="AE71" s="121">
        <v>37218.199999999997</v>
      </c>
      <c r="AF71" s="112">
        <v>172365</v>
      </c>
      <c r="AG71" s="120">
        <f t="shared" si="34"/>
        <v>0.20000000001164153</v>
      </c>
      <c r="AH71" s="113">
        <v>1100122</v>
      </c>
      <c r="AI71" s="114">
        <v>172364.79999999999</v>
      </c>
      <c r="AJ71" s="114">
        <v>188045.2</v>
      </c>
      <c r="AK71" s="114">
        <v>195472</v>
      </c>
    </row>
    <row r="72" spans="1:37" ht="16.5" thickTop="1" thickBot="1" x14ac:dyDescent="0.25">
      <c r="A72" s="101"/>
      <c r="B72" s="102"/>
      <c r="C72" s="103"/>
      <c r="D72" s="103">
        <v>6</v>
      </c>
      <c r="E72" s="104">
        <v>430106</v>
      </c>
      <c r="F72" s="105" t="s">
        <v>491</v>
      </c>
      <c r="G72" s="108">
        <v>229882</v>
      </c>
      <c r="H72" s="107">
        <v>300000</v>
      </c>
      <c r="I72" s="107">
        <v>300000</v>
      </c>
      <c r="J72" s="108">
        <v>300000</v>
      </c>
      <c r="K72" s="136">
        <v>20699</v>
      </c>
      <c r="L72" s="136">
        <v>15468</v>
      </c>
      <c r="M72" s="136">
        <v>23460</v>
      </c>
      <c r="N72" s="136">
        <v>27295</v>
      </c>
      <c r="O72" s="190">
        <v>21690</v>
      </c>
      <c r="P72" s="117">
        <v>20852</v>
      </c>
      <c r="Q72" s="137">
        <v>4612.5</v>
      </c>
      <c r="R72" s="137">
        <v>19800.25</v>
      </c>
      <c r="S72" s="137">
        <v>19800.25</v>
      </c>
      <c r="T72" s="137">
        <v>19800.25</v>
      </c>
      <c r="U72" s="137">
        <v>19800.25</v>
      </c>
      <c r="V72" s="137">
        <v>19800.25</v>
      </c>
      <c r="W72" s="119">
        <f>SUM(K72:V72)</f>
        <v>233077.75</v>
      </c>
      <c r="X72" s="108">
        <f t="shared" si="35"/>
        <v>233077.75</v>
      </c>
      <c r="Y72" s="110">
        <v>284270</v>
      </c>
      <c r="Z72" s="111">
        <v>243674.92</v>
      </c>
      <c r="AA72" s="111">
        <v>18790</v>
      </c>
      <c r="AB72" s="123">
        <v>23204</v>
      </c>
      <c r="AC72" s="88">
        <f t="shared" si="26"/>
        <v>0</v>
      </c>
      <c r="AD72" s="120">
        <f>Y72*1.35</f>
        <v>383764.5</v>
      </c>
      <c r="AE72" s="121">
        <v>201006</v>
      </c>
      <c r="AF72" s="112">
        <f>AD72+150000</f>
        <v>533764.5</v>
      </c>
      <c r="AG72" s="120">
        <f t="shared" si="34"/>
        <v>150000</v>
      </c>
      <c r="AH72" s="113">
        <v>1100122</v>
      </c>
      <c r="AI72" s="114">
        <v>284270</v>
      </c>
      <c r="AJ72" s="114">
        <v>636816</v>
      </c>
      <c r="AK72" s="114">
        <v>661970</v>
      </c>
    </row>
    <row r="73" spans="1:37" ht="16.5" thickTop="1" thickBot="1" x14ac:dyDescent="0.25">
      <c r="A73" s="101"/>
      <c r="B73" s="102"/>
      <c r="C73" s="103"/>
      <c r="D73" s="103">
        <v>7</v>
      </c>
      <c r="E73" s="104">
        <v>430107</v>
      </c>
      <c r="F73" s="105" t="s">
        <v>492</v>
      </c>
      <c r="G73" s="108">
        <v>65264.800000000003</v>
      </c>
      <c r="H73" s="107">
        <v>76000</v>
      </c>
      <c r="I73" s="107">
        <v>76000</v>
      </c>
      <c r="J73" s="108">
        <v>120000</v>
      </c>
      <c r="K73" s="136">
        <v>8886.7199999999993</v>
      </c>
      <c r="L73" s="141">
        <v>10989.33</v>
      </c>
      <c r="M73" s="136">
        <v>15137.62</v>
      </c>
      <c r="N73" s="136">
        <v>4047.45</v>
      </c>
      <c r="O73" s="190">
        <v>1924.9</v>
      </c>
      <c r="P73" s="117">
        <v>2410.54</v>
      </c>
      <c r="Q73" s="137">
        <v>1356.14</v>
      </c>
      <c r="R73" s="137">
        <v>1356.14</v>
      </c>
      <c r="S73" s="137">
        <v>1356.14</v>
      </c>
      <c r="T73" s="137">
        <v>1356.14</v>
      </c>
      <c r="U73" s="137">
        <v>1356.14</v>
      </c>
      <c r="V73" s="137">
        <v>1356.14</v>
      </c>
      <c r="W73" s="119">
        <f>SUM(K73:V73)</f>
        <v>51533.399999999994</v>
      </c>
      <c r="X73" s="108">
        <f t="shared" si="35"/>
        <v>51533.399999999994</v>
      </c>
      <c r="Y73" s="110">
        <v>57099.64</v>
      </c>
      <c r="Z73" s="111">
        <v>68264.800000000003</v>
      </c>
      <c r="AA73" s="111">
        <v>6415.08</v>
      </c>
      <c r="AB73" s="123">
        <v>7384.01</v>
      </c>
      <c r="AC73" s="88">
        <f t="shared" si="26"/>
        <v>0</v>
      </c>
      <c r="AD73" s="120">
        <f>Z73</f>
        <v>68264.800000000003</v>
      </c>
      <c r="AE73" s="121">
        <v>21788.29</v>
      </c>
      <c r="AF73" s="112">
        <v>68265</v>
      </c>
      <c r="AG73" s="120">
        <f t="shared" si="34"/>
        <v>0.19999999999708962</v>
      </c>
      <c r="AH73" s="113">
        <v>1100122</v>
      </c>
      <c r="AI73" s="114">
        <v>57099.64</v>
      </c>
      <c r="AJ73" s="114">
        <v>62540.15</v>
      </c>
      <c r="AK73" s="114">
        <v>65010</v>
      </c>
    </row>
    <row r="74" spans="1:37" ht="14.25" thickTop="1" thickBot="1" x14ac:dyDescent="0.25">
      <c r="A74" s="127"/>
      <c r="B74" s="128"/>
      <c r="C74" s="129">
        <v>2</v>
      </c>
      <c r="D74" s="129"/>
      <c r="E74" s="129"/>
      <c r="F74" s="130" t="s">
        <v>493</v>
      </c>
      <c r="G74" s="84">
        <f>G75+G76+G77+G78+G79</f>
        <v>5699237.4699999997</v>
      </c>
      <c r="H74" s="85">
        <f>H75+H76+H77+H78+H79</f>
        <v>7053233.1799999997</v>
      </c>
      <c r="I74" s="85">
        <f>I75+I76+I77+I78+I79</f>
        <v>7053233.1799999997</v>
      </c>
      <c r="J74" s="84">
        <f>J75+J76+J77+J78+J79</f>
        <v>8605635.1400000006</v>
      </c>
      <c r="K74" s="84">
        <f t="shared" ref="K74:AB74" si="36">K75+K76+K77+K78+K79</f>
        <v>766596.1</v>
      </c>
      <c r="L74" s="85">
        <f t="shared" si="36"/>
        <v>592792.86</v>
      </c>
      <c r="M74" s="85">
        <f t="shared" si="36"/>
        <v>595986.01</v>
      </c>
      <c r="N74" s="85">
        <f t="shared" si="36"/>
        <v>577340.5</v>
      </c>
      <c r="O74" s="85">
        <f t="shared" si="36"/>
        <v>585110.55000000005</v>
      </c>
      <c r="P74" s="85">
        <f t="shared" si="36"/>
        <v>626353.88</v>
      </c>
      <c r="Q74" s="85">
        <f t="shared" si="36"/>
        <v>351700.00299999997</v>
      </c>
      <c r="R74" s="85">
        <f t="shared" si="36"/>
        <v>328909.33960000001</v>
      </c>
      <c r="S74" s="85">
        <f t="shared" si="36"/>
        <v>443277.36939999997</v>
      </c>
      <c r="T74" s="85">
        <f t="shared" si="36"/>
        <v>426650.52579999994</v>
      </c>
      <c r="U74" s="85">
        <f t="shared" si="36"/>
        <v>366512.71299999999</v>
      </c>
      <c r="V74" s="85">
        <f t="shared" si="36"/>
        <v>576262.47119999991</v>
      </c>
      <c r="W74" s="132">
        <f t="shared" si="36"/>
        <v>6237492.3000000007</v>
      </c>
      <c r="X74" s="134">
        <f t="shared" si="36"/>
        <v>6237492.3000000007</v>
      </c>
      <c r="Y74" s="133">
        <f t="shared" si="36"/>
        <v>8332981.9200000009</v>
      </c>
      <c r="Z74" s="134">
        <f t="shared" si="36"/>
        <v>6865331.5300000003</v>
      </c>
      <c r="AA74" s="134">
        <f t="shared" si="36"/>
        <v>1440208.1600000001</v>
      </c>
      <c r="AB74" s="134">
        <f t="shared" si="36"/>
        <v>875735.09</v>
      </c>
      <c r="AC74" s="88">
        <f t="shared" si="26"/>
        <v>0</v>
      </c>
      <c r="AD74" s="132">
        <f>AD75+AD76+AD77+AD78+AD79</f>
        <v>8492448.8472000007</v>
      </c>
      <c r="AE74" s="132">
        <f>AE75+AE76+AE77+AE78+AE79</f>
        <v>3579816.63</v>
      </c>
      <c r="AF74" s="132">
        <f>AF75+AF76+AF77+AF78+AF79</f>
        <v>9598601.4399999995</v>
      </c>
      <c r="AG74" s="132">
        <f t="shared" si="34"/>
        <v>1106152.5927999988</v>
      </c>
      <c r="AH74" s="135"/>
      <c r="AI74" s="133">
        <f>AI75+AI76+AI77+AI78+AI79</f>
        <v>8332981.9200000009</v>
      </c>
      <c r="AJ74" s="133">
        <f>AJ75+AJ76+AJ77+AJ78+AJ79</f>
        <v>9607038.7700000014</v>
      </c>
      <c r="AK74" s="133">
        <f>AK75+AK76+AK77+AK78+AK79+AK80+AK81</f>
        <v>9986514</v>
      </c>
    </row>
    <row r="75" spans="1:37" ht="16.5" thickTop="1" thickBot="1" x14ac:dyDescent="0.25">
      <c r="A75" s="101"/>
      <c r="B75" s="102"/>
      <c r="C75" s="103"/>
      <c r="D75" s="103">
        <v>1</v>
      </c>
      <c r="E75" s="104">
        <v>430201</v>
      </c>
      <c r="F75" s="105" t="s">
        <v>494</v>
      </c>
      <c r="G75" s="108">
        <v>3903697.13</v>
      </c>
      <c r="H75" s="107">
        <v>5349635.1399999997</v>
      </c>
      <c r="I75" s="107">
        <v>5349635.1399999997</v>
      </c>
      <c r="J75" s="108">
        <v>5349635.1399999997</v>
      </c>
      <c r="K75" s="136">
        <v>453435.04</v>
      </c>
      <c r="L75" s="136">
        <v>389279.25</v>
      </c>
      <c r="M75" s="136">
        <v>349149.07</v>
      </c>
      <c r="N75" s="136">
        <v>307337.69</v>
      </c>
      <c r="O75" s="190">
        <v>348248.13</v>
      </c>
      <c r="P75" s="117">
        <v>302932.62</v>
      </c>
      <c r="Q75" s="137">
        <v>257642.97500000001</v>
      </c>
      <c r="R75" s="137">
        <v>235438.31</v>
      </c>
      <c r="S75" s="137">
        <v>350433.02299999999</v>
      </c>
      <c r="T75" s="137">
        <v>323903.39299999998</v>
      </c>
      <c r="U75" s="137">
        <v>240060.67300000001</v>
      </c>
      <c r="V75" s="137">
        <v>416508.092</v>
      </c>
      <c r="W75" s="119">
        <v>3974368.26</v>
      </c>
      <c r="X75" s="108">
        <f>W75</f>
        <v>3974368.26</v>
      </c>
      <c r="Y75" s="110">
        <v>4556197.92</v>
      </c>
      <c r="Z75" s="111">
        <v>4522998.1500000004</v>
      </c>
      <c r="AA75" s="111">
        <v>779917.26</v>
      </c>
      <c r="AB75" s="123">
        <v>475956.77</v>
      </c>
      <c r="AC75" s="88">
        <f t="shared" si="26"/>
        <v>0</v>
      </c>
      <c r="AD75" s="192">
        <f>Y75*1.035</f>
        <v>4715664.8471999997</v>
      </c>
      <c r="AE75" s="121">
        <v>1966289.23</v>
      </c>
      <c r="AF75" s="112">
        <v>5315664.84</v>
      </c>
      <c r="AG75" s="120">
        <f t="shared" si="34"/>
        <v>599999.99280000012</v>
      </c>
      <c r="AH75" s="113">
        <v>1100122</v>
      </c>
      <c r="AI75" s="114">
        <v>4556197.92</v>
      </c>
      <c r="AJ75" s="114">
        <v>5222426.3900000006</v>
      </c>
      <c r="AK75" s="114">
        <v>5428712</v>
      </c>
    </row>
    <row r="76" spans="1:37" ht="16.5" thickTop="1" thickBot="1" x14ac:dyDescent="0.25">
      <c r="A76" s="101"/>
      <c r="B76" s="102"/>
      <c r="C76" s="103"/>
      <c r="D76" s="103">
        <v>2</v>
      </c>
      <c r="E76" s="104">
        <v>430202</v>
      </c>
      <c r="F76" s="105" t="s">
        <v>495</v>
      </c>
      <c r="G76" s="108">
        <v>258493.91</v>
      </c>
      <c r="H76" s="107">
        <v>273598.03999999998</v>
      </c>
      <c r="I76" s="107">
        <v>273598.03999999998</v>
      </c>
      <c r="J76" s="108">
        <v>306000</v>
      </c>
      <c r="K76" s="136">
        <v>31631.34</v>
      </c>
      <c r="L76" s="136">
        <v>22762.720000000001</v>
      </c>
      <c r="M76" s="136">
        <v>30153.24</v>
      </c>
      <c r="N76" s="136">
        <v>18032.82</v>
      </c>
      <c r="O76" s="190">
        <v>23945.22</v>
      </c>
      <c r="P76" s="117">
        <v>22171.5</v>
      </c>
      <c r="Q76" s="137">
        <v>26747.6976</v>
      </c>
      <c r="R76" s="137">
        <v>23058.36</v>
      </c>
      <c r="S76" s="137">
        <v>23673.249600000003</v>
      </c>
      <c r="T76" s="137">
        <v>27362.587200000002</v>
      </c>
      <c r="U76" s="137">
        <v>24595.583999999999</v>
      </c>
      <c r="V76" s="137">
        <v>22750.915199999999</v>
      </c>
      <c r="W76" s="119">
        <v>296885.23</v>
      </c>
      <c r="X76" s="108">
        <f>W76</f>
        <v>296885.23</v>
      </c>
      <c r="Y76" s="110">
        <v>331094.40000000002</v>
      </c>
      <c r="Z76" s="111">
        <v>307276.21000000002</v>
      </c>
      <c r="AA76" s="111">
        <v>54462.66</v>
      </c>
      <c r="AB76" s="123">
        <v>30597</v>
      </c>
      <c r="AC76" s="88">
        <f t="shared" si="26"/>
        <v>0</v>
      </c>
      <c r="AD76" s="120">
        <f>Y76</f>
        <v>331094.40000000002</v>
      </c>
      <c r="AE76" s="121">
        <v>145749.85999999999</v>
      </c>
      <c r="AF76" s="112">
        <v>437247</v>
      </c>
      <c r="AG76" s="120">
        <f t="shared" si="34"/>
        <v>106152.59999999998</v>
      </c>
      <c r="AH76" s="113">
        <v>1100122</v>
      </c>
      <c r="AI76" s="114">
        <v>331094.40000000002</v>
      </c>
      <c r="AJ76" s="114">
        <v>387026.36</v>
      </c>
      <c r="AK76" s="114">
        <v>402313</v>
      </c>
    </row>
    <row r="77" spans="1:37" ht="16.5" thickTop="1" thickBot="1" x14ac:dyDescent="0.25">
      <c r="A77" s="101"/>
      <c r="B77" s="102"/>
      <c r="C77" s="103"/>
      <c r="D77" s="103">
        <v>3</v>
      </c>
      <c r="E77" s="104">
        <v>430203</v>
      </c>
      <c r="F77" s="105" t="s">
        <v>496</v>
      </c>
      <c r="G77" s="108">
        <v>56137.3</v>
      </c>
      <c r="H77" s="107">
        <v>50000</v>
      </c>
      <c r="I77" s="107">
        <v>50000</v>
      </c>
      <c r="J77" s="108">
        <v>50000</v>
      </c>
      <c r="K77" s="136">
        <v>17947.8</v>
      </c>
      <c r="L77" s="136">
        <v>0</v>
      </c>
      <c r="M77" s="136">
        <v>0</v>
      </c>
      <c r="N77" s="136">
        <v>0</v>
      </c>
      <c r="O77" s="190">
        <v>33380.32</v>
      </c>
      <c r="P77" s="117">
        <v>22435.85</v>
      </c>
      <c r="Q77" s="137">
        <v>7753.5328</v>
      </c>
      <c r="R77" s="137">
        <v>15507.0656</v>
      </c>
      <c r="S77" s="137">
        <v>7753.5328</v>
      </c>
      <c r="T77" s="137">
        <v>15507.0656</v>
      </c>
      <c r="U77" s="137">
        <v>31014.1312</v>
      </c>
      <c r="V77" s="137">
        <v>69781.795200000008</v>
      </c>
      <c r="W77" s="119">
        <v>221081.09</v>
      </c>
      <c r="X77" s="108">
        <f>W77</f>
        <v>221081.09</v>
      </c>
      <c r="Y77" s="110">
        <v>143064.62</v>
      </c>
      <c r="Z77" s="111">
        <v>228818.93</v>
      </c>
      <c r="AA77" s="111">
        <v>10156.52</v>
      </c>
      <c r="AB77" s="123">
        <v>10156.52</v>
      </c>
      <c r="AC77" s="88">
        <f t="shared" si="26"/>
        <v>0</v>
      </c>
      <c r="AD77" s="120">
        <f>Y77</f>
        <v>143064.62</v>
      </c>
      <c r="AE77" s="121">
        <v>76173.899999999994</v>
      </c>
      <c r="AF77" s="112">
        <v>143064.62</v>
      </c>
      <c r="AG77" s="120">
        <f t="shared" si="34"/>
        <v>0</v>
      </c>
      <c r="AH77" s="113">
        <v>1100122</v>
      </c>
      <c r="AI77" s="114">
        <v>143064.62</v>
      </c>
      <c r="AJ77" s="114">
        <v>282408.40999999997</v>
      </c>
      <c r="AK77" s="114">
        <v>0</v>
      </c>
    </row>
    <row r="78" spans="1:37" ht="16.5" thickTop="1" thickBot="1" x14ac:dyDescent="0.25">
      <c r="A78" s="101"/>
      <c r="B78" s="102"/>
      <c r="C78" s="103"/>
      <c r="D78" s="103">
        <v>4</v>
      </c>
      <c r="E78" s="104">
        <v>430204</v>
      </c>
      <c r="F78" s="105" t="s">
        <v>497</v>
      </c>
      <c r="G78" s="108">
        <v>678387.27</v>
      </c>
      <c r="H78" s="107">
        <v>700000</v>
      </c>
      <c r="I78" s="107">
        <v>700000</v>
      </c>
      <c r="J78" s="108">
        <v>1000000</v>
      </c>
      <c r="K78" s="136">
        <v>75620.789999999994</v>
      </c>
      <c r="L78" s="136">
        <v>75220.679999999993</v>
      </c>
      <c r="M78" s="136">
        <v>62417.16</v>
      </c>
      <c r="N78" s="136">
        <v>74020.13</v>
      </c>
      <c r="O78" s="190">
        <v>72420.13</v>
      </c>
      <c r="P78" s="117">
        <v>92825.52</v>
      </c>
      <c r="Q78" s="137">
        <v>57839.901599999997</v>
      </c>
      <c r="R78" s="137">
        <v>52846.5288</v>
      </c>
      <c r="S78" s="137">
        <v>58672.130400000002</v>
      </c>
      <c r="T78" s="137">
        <v>55759.329600000005</v>
      </c>
      <c r="U78" s="137">
        <v>67410.532800000001</v>
      </c>
      <c r="V78" s="137">
        <v>62417.16</v>
      </c>
      <c r="W78" s="119">
        <v>807469.99</v>
      </c>
      <c r="X78" s="108">
        <f>W78</f>
        <v>807469.99</v>
      </c>
      <c r="Y78" s="110">
        <v>1313161.07</v>
      </c>
      <c r="Z78" s="111">
        <v>835731.44</v>
      </c>
      <c r="AA78" s="111">
        <v>322177.96999999997</v>
      </c>
      <c r="AB78" s="123">
        <v>218650.08</v>
      </c>
      <c r="AC78" s="88">
        <f t="shared" si="26"/>
        <v>0</v>
      </c>
      <c r="AD78" s="120">
        <f>Y78</f>
        <v>1313161.07</v>
      </c>
      <c r="AE78" s="121">
        <v>740843.29</v>
      </c>
      <c r="AF78" s="112">
        <f>AD78+400000</f>
        <v>1713161.07</v>
      </c>
      <c r="AG78" s="120">
        <f t="shared" si="34"/>
        <v>400000</v>
      </c>
      <c r="AH78" s="113">
        <v>1100122</v>
      </c>
      <c r="AI78" s="114">
        <v>1313161.07</v>
      </c>
      <c r="AJ78" s="114">
        <v>1636478.5199999998</v>
      </c>
      <c r="AK78" s="114">
        <v>1701119</v>
      </c>
    </row>
    <row r="79" spans="1:37" ht="16.5" thickTop="1" thickBot="1" x14ac:dyDescent="0.25">
      <c r="A79" s="101"/>
      <c r="B79" s="102"/>
      <c r="C79" s="103"/>
      <c r="D79" s="103">
        <v>5</v>
      </c>
      <c r="E79" s="193">
        <v>430205</v>
      </c>
      <c r="F79" s="105" t="s">
        <v>498</v>
      </c>
      <c r="G79" s="108">
        <v>802521.86</v>
      </c>
      <c r="H79" s="107">
        <v>680000</v>
      </c>
      <c r="I79" s="107">
        <v>680000</v>
      </c>
      <c r="J79" s="108">
        <v>1900000</v>
      </c>
      <c r="K79" s="136">
        <v>187961.13</v>
      </c>
      <c r="L79" s="141">
        <v>105530.21</v>
      </c>
      <c r="M79" s="136">
        <v>154266.54</v>
      </c>
      <c r="N79" s="136">
        <v>177949.86</v>
      </c>
      <c r="O79" s="190">
        <v>107116.75</v>
      </c>
      <c r="P79" s="117">
        <v>185988.39</v>
      </c>
      <c r="Q79" s="137">
        <v>1715.8960000000002</v>
      </c>
      <c r="R79" s="137">
        <v>2059.0752000000002</v>
      </c>
      <c r="S79" s="137">
        <v>2745.4336000000003</v>
      </c>
      <c r="T79" s="137">
        <v>4118.1504000000004</v>
      </c>
      <c r="U79" s="137">
        <v>3431.7920000000004</v>
      </c>
      <c r="V79" s="137">
        <v>4804.5088000000005</v>
      </c>
      <c r="W79" s="119">
        <v>937687.73</v>
      </c>
      <c r="X79" s="108">
        <f>W79</f>
        <v>937687.73</v>
      </c>
      <c r="Y79" s="110">
        <v>1989463.91</v>
      </c>
      <c r="Z79" s="111">
        <v>970506.8</v>
      </c>
      <c r="AA79" s="111">
        <v>273493.75</v>
      </c>
      <c r="AB79" s="123">
        <v>140374.72</v>
      </c>
      <c r="AC79" s="88">
        <f t="shared" si="26"/>
        <v>0</v>
      </c>
      <c r="AD79" s="120">
        <f>Y79</f>
        <v>1989463.91</v>
      </c>
      <c r="AE79" s="121">
        <v>650760.35</v>
      </c>
      <c r="AF79" s="112">
        <v>1989463.91</v>
      </c>
      <c r="AG79" s="120">
        <f t="shared" si="34"/>
        <v>0</v>
      </c>
      <c r="AH79" s="113">
        <v>1100122</v>
      </c>
      <c r="AI79" s="114">
        <v>1989463.91</v>
      </c>
      <c r="AJ79" s="114">
        <v>2078699.09</v>
      </c>
      <c r="AK79" s="114">
        <v>0</v>
      </c>
    </row>
    <row r="80" spans="1:37" ht="16.5" thickTop="1" thickBot="1" x14ac:dyDescent="0.25">
      <c r="A80" s="101"/>
      <c r="B80" s="102"/>
      <c r="C80" s="103"/>
      <c r="D80" s="103">
        <v>6</v>
      </c>
      <c r="E80" s="194">
        <v>430206</v>
      </c>
      <c r="F80" s="195" t="s">
        <v>499</v>
      </c>
      <c r="G80" s="108"/>
      <c r="H80" s="107"/>
      <c r="I80" s="107"/>
      <c r="J80" s="108"/>
      <c r="K80" s="136"/>
      <c r="L80" s="141"/>
      <c r="M80" s="136"/>
      <c r="N80" s="136"/>
      <c r="O80" s="190"/>
      <c r="P80" s="117"/>
      <c r="Q80" s="137"/>
      <c r="R80" s="137"/>
      <c r="S80" s="137"/>
      <c r="T80" s="137"/>
      <c r="U80" s="137"/>
      <c r="V80" s="137"/>
      <c r="W80" s="119"/>
      <c r="X80" s="108"/>
      <c r="Y80" s="110"/>
      <c r="Z80" s="187"/>
      <c r="AA80" s="187"/>
      <c r="AB80" s="184"/>
      <c r="AC80" s="88"/>
      <c r="AD80" s="120"/>
      <c r="AE80" s="121"/>
      <c r="AF80" s="112"/>
      <c r="AG80" s="120"/>
      <c r="AH80" s="113"/>
      <c r="AI80" s="114"/>
      <c r="AJ80" s="114"/>
      <c r="AK80" s="114">
        <v>293563</v>
      </c>
    </row>
    <row r="81" spans="1:37" ht="16.5" thickTop="1" thickBot="1" x14ac:dyDescent="0.25">
      <c r="A81" s="101"/>
      <c r="B81" s="102"/>
      <c r="C81" s="103"/>
      <c r="D81" s="103">
        <v>7</v>
      </c>
      <c r="E81" s="196">
        <v>430207</v>
      </c>
      <c r="F81" s="197" t="s">
        <v>500</v>
      </c>
      <c r="G81" s="108"/>
      <c r="H81" s="107"/>
      <c r="I81" s="107"/>
      <c r="J81" s="108"/>
      <c r="K81" s="136"/>
      <c r="L81" s="141"/>
      <c r="M81" s="136"/>
      <c r="N81" s="136"/>
      <c r="O81" s="190"/>
      <c r="P81" s="117"/>
      <c r="Q81" s="137"/>
      <c r="R81" s="137"/>
      <c r="S81" s="137"/>
      <c r="T81" s="137"/>
      <c r="U81" s="137"/>
      <c r="V81" s="137"/>
      <c r="W81" s="119"/>
      <c r="X81" s="108"/>
      <c r="Y81" s="110"/>
      <c r="Z81" s="187"/>
      <c r="AA81" s="187"/>
      <c r="AB81" s="184"/>
      <c r="AC81" s="88"/>
      <c r="AD81" s="120"/>
      <c r="AE81" s="121"/>
      <c r="AF81" s="112"/>
      <c r="AG81" s="120"/>
      <c r="AH81" s="113"/>
      <c r="AI81" s="114"/>
      <c r="AJ81" s="114"/>
      <c r="AK81" s="114">
        <v>2160807</v>
      </c>
    </row>
    <row r="82" spans="1:37" ht="14.25" thickTop="1" thickBot="1" x14ac:dyDescent="0.25">
      <c r="A82" s="127"/>
      <c r="B82" s="128"/>
      <c r="C82" s="129">
        <v>3</v>
      </c>
      <c r="D82" s="129"/>
      <c r="E82" s="129"/>
      <c r="F82" s="130" t="s">
        <v>501</v>
      </c>
      <c r="G82" s="84">
        <f>G83+G84+G85+G86+G87+G88+G89+G90</f>
        <v>8648811.5800000001</v>
      </c>
      <c r="H82" s="85">
        <f>H83+H84+H85+H86+H87+H88+H89+H90</f>
        <v>9361046.8200000003</v>
      </c>
      <c r="I82" s="85">
        <f>I83+I84+I85+I86+I87+I88+I89+I90</f>
        <v>9361046.8200000003</v>
      </c>
      <c r="J82" s="84">
        <f>J83+J84+J85+J86+J87+J88+J89+J90</f>
        <v>9361046.8200000003</v>
      </c>
      <c r="K82" s="84">
        <f t="shared" ref="K82:AB82" si="37">K83+K84+K85+K86+K87+K88+K89+K90</f>
        <v>765470.29</v>
      </c>
      <c r="L82" s="85">
        <f t="shared" si="37"/>
        <v>666991.25</v>
      </c>
      <c r="M82" s="85">
        <f t="shared" si="37"/>
        <v>668536.8899999999</v>
      </c>
      <c r="N82" s="85">
        <f t="shared" si="37"/>
        <v>611938.32000000007</v>
      </c>
      <c r="O82" s="85">
        <f t="shared" si="37"/>
        <v>716149.75999999989</v>
      </c>
      <c r="P82" s="85">
        <f t="shared" si="37"/>
        <v>752407.69000000006</v>
      </c>
      <c r="Q82" s="85">
        <f t="shared" si="37"/>
        <v>656980.19999999995</v>
      </c>
      <c r="R82" s="85">
        <f t="shared" si="37"/>
        <v>656275</v>
      </c>
      <c r="S82" s="85">
        <f t="shared" si="37"/>
        <v>625620.73</v>
      </c>
      <c r="T82" s="85">
        <f t="shared" si="37"/>
        <v>612642.39999999991</v>
      </c>
      <c r="U82" s="85">
        <f t="shared" si="37"/>
        <v>579091.37</v>
      </c>
      <c r="V82" s="85">
        <f t="shared" si="37"/>
        <v>746197.30999999994</v>
      </c>
      <c r="W82" s="132">
        <f t="shared" si="37"/>
        <v>8058301.21</v>
      </c>
      <c r="X82" s="134">
        <f t="shared" si="37"/>
        <v>8058301.21</v>
      </c>
      <c r="Y82" s="133">
        <f t="shared" si="37"/>
        <v>8956229.2799999993</v>
      </c>
      <c r="Z82" s="134">
        <f t="shared" si="37"/>
        <v>8791837.5399999991</v>
      </c>
      <c r="AA82" s="134">
        <f t="shared" si="37"/>
        <v>748857.9</v>
      </c>
      <c r="AB82" s="134">
        <f t="shared" si="37"/>
        <v>695599.82</v>
      </c>
      <c r="AC82" s="88">
        <f t="shared" si="26"/>
        <v>0</v>
      </c>
      <c r="AD82" s="132">
        <f>AD83+AD84+AD85+AD86+AD87+AD88+AD89+AD90</f>
        <v>9116870.0299999993</v>
      </c>
      <c r="AE82" s="132">
        <f>AE83+AE84+AE85+AE86+AE87+AE88+AE89+AE90</f>
        <v>2969895.2199999993</v>
      </c>
      <c r="AF82" s="132">
        <f>AF83+AF84+AF85+AF86+AF87+AF88+AF89+AF90</f>
        <v>9116870.0299999993</v>
      </c>
      <c r="AG82" s="132">
        <f t="shared" si="34"/>
        <v>0</v>
      </c>
      <c r="AH82" s="135"/>
      <c r="AI82" s="133">
        <f>AI83+AI84+AI85+AI86+AI87+AI88+AI89+AI90</f>
        <v>8956229.2799999993</v>
      </c>
      <c r="AJ82" s="133">
        <f>AJ83+AJ84+AJ85+AJ86+AJ87+AJ88+AJ89+AJ90</f>
        <v>8883518.4900000002</v>
      </c>
      <c r="AK82" s="133">
        <f>AK83+AK84+AK85+AK86+AK87+AK88+AK89+AK90</f>
        <v>9237105</v>
      </c>
    </row>
    <row r="83" spans="1:37" ht="16.5" thickTop="1" thickBot="1" x14ac:dyDescent="0.25">
      <c r="A83" s="101"/>
      <c r="B83" s="102"/>
      <c r="C83" s="103"/>
      <c r="D83" s="103">
        <v>1</v>
      </c>
      <c r="E83" s="104">
        <v>430301</v>
      </c>
      <c r="F83" s="105" t="s">
        <v>502</v>
      </c>
      <c r="G83" s="108">
        <v>2629296.3199999998</v>
      </c>
      <c r="H83" s="107">
        <v>2971287.57</v>
      </c>
      <c r="I83" s="107">
        <v>2971287.57</v>
      </c>
      <c r="J83" s="108">
        <v>2971287.57</v>
      </c>
      <c r="K83" s="136">
        <v>238601.16</v>
      </c>
      <c r="L83" s="136">
        <v>208891.17</v>
      </c>
      <c r="M83" s="136">
        <v>216261.09</v>
      </c>
      <c r="N83" s="136">
        <v>213267.06</v>
      </c>
      <c r="O83" s="190">
        <v>244358.91</v>
      </c>
      <c r="P83" s="117">
        <v>256335.03</v>
      </c>
      <c r="Q83" s="137">
        <v>183356.48</v>
      </c>
      <c r="R83" s="137">
        <v>180864.26</v>
      </c>
      <c r="S83" s="137">
        <v>163952.74</v>
      </c>
      <c r="T83" s="137">
        <v>180330.21</v>
      </c>
      <c r="U83" s="137">
        <v>173565.6</v>
      </c>
      <c r="V83" s="137">
        <v>205430.46</v>
      </c>
      <c r="W83" s="119">
        <f t="shared" ref="W83:W90" si="38">SUM(K83:V83)</f>
        <v>2465214.17</v>
      </c>
      <c r="X83" s="108">
        <f t="shared" ref="X83:X90" si="39">W83</f>
        <v>2465214.17</v>
      </c>
      <c r="Y83" s="110">
        <v>2974683.96</v>
      </c>
      <c r="Z83" s="111">
        <v>3135324.71</v>
      </c>
      <c r="AA83" s="111">
        <v>254817.53</v>
      </c>
      <c r="AB83" s="123">
        <v>240753.7</v>
      </c>
      <c r="AC83" s="88">
        <f t="shared" si="26"/>
        <v>0</v>
      </c>
      <c r="AD83" s="120">
        <f>Z83</f>
        <v>3135324.71</v>
      </c>
      <c r="AE83" s="121">
        <v>1007589.99</v>
      </c>
      <c r="AF83" s="112">
        <v>3135324.71</v>
      </c>
      <c r="AG83" s="120">
        <f t="shared" si="34"/>
        <v>0</v>
      </c>
      <c r="AH83" s="113">
        <v>1100122</v>
      </c>
      <c r="AI83" s="114">
        <v>2974683.96</v>
      </c>
      <c r="AJ83" s="114">
        <v>3164202.5900000003</v>
      </c>
      <c r="AK83" s="114">
        <v>3289188</v>
      </c>
    </row>
    <row r="84" spans="1:37" ht="16.5" thickTop="1" thickBot="1" x14ac:dyDescent="0.25">
      <c r="A84" s="101"/>
      <c r="B84" s="102"/>
      <c r="C84" s="103"/>
      <c r="D84" s="103">
        <v>2</v>
      </c>
      <c r="E84" s="104">
        <v>430302</v>
      </c>
      <c r="F84" s="105" t="s">
        <v>503</v>
      </c>
      <c r="G84" s="108">
        <v>4894932.03</v>
      </c>
      <c r="H84" s="107">
        <v>5240540.3600000003</v>
      </c>
      <c r="I84" s="107">
        <v>5240540.3600000003</v>
      </c>
      <c r="J84" s="108">
        <v>5240540.3600000003</v>
      </c>
      <c r="K84" s="136">
        <v>417159.6</v>
      </c>
      <c r="L84" s="136">
        <v>363924.6</v>
      </c>
      <c r="M84" s="136">
        <v>357435</v>
      </c>
      <c r="N84" s="136">
        <v>321235.20000000001</v>
      </c>
      <c r="O84" s="190">
        <v>373659</v>
      </c>
      <c r="P84" s="117">
        <v>392012.4</v>
      </c>
      <c r="Q84" s="137">
        <f>60000+334665.52</f>
        <v>394665.52</v>
      </c>
      <c r="R84" s="137">
        <f>60000+337408.68</f>
        <v>397408.68</v>
      </c>
      <c r="S84" s="137">
        <f>60000+321184.85</f>
        <v>381184.85</v>
      </c>
      <c r="T84" s="137">
        <f>297907.18+60000</f>
        <v>357907.18</v>
      </c>
      <c r="U84" s="137">
        <f>60000+275726.77</f>
        <v>335726.77</v>
      </c>
      <c r="V84" s="137">
        <f>367269.94+80000</f>
        <v>447269.94</v>
      </c>
      <c r="W84" s="119">
        <f t="shared" si="38"/>
        <v>4539588.74</v>
      </c>
      <c r="X84" s="108">
        <f t="shared" si="39"/>
        <v>4539588.74</v>
      </c>
      <c r="Y84" s="110">
        <v>4748845.6399999997</v>
      </c>
      <c r="Z84" s="111">
        <v>4542475.83</v>
      </c>
      <c r="AA84" s="111">
        <v>391568.45</v>
      </c>
      <c r="AB84" s="123">
        <v>363127</v>
      </c>
      <c r="AC84" s="88">
        <f t="shared" si="26"/>
        <v>0</v>
      </c>
      <c r="AD84" s="120">
        <f t="shared" ref="AD84:AD90" si="40">Y84</f>
        <v>4748845.6399999997</v>
      </c>
      <c r="AE84" s="121">
        <v>1565749.05</v>
      </c>
      <c r="AF84" s="112">
        <v>4748845.6399999997</v>
      </c>
      <c r="AG84" s="120">
        <f t="shared" si="34"/>
        <v>0</v>
      </c>
      <c r="AH84" s="113">
        <v>1100122</v>
      </c>
      <c r="AI84" s="114">
        <v>4748845.6399999997</v>
      </c>
      <c r="AJ84" s="114">
        <v>4441435.9000000004</v>
      </c>
      <c r="AK84" s="114">
        <v>4616872</v>
      </c>
    </row>
    <row r="85" spans="1:37" ht="16.5" thickTop="1" thickBot="1" x14ac:dyDescent="0.25">
      <c r="A85" s="101"/>
      <c r="B85" s="102"/>
      <c r="C85" s="103"/>
      <c r="D85" s="103">
        <v>3</v>
      </c>
      <c r="E85" s="104">
        <v>430303</v>
      </c>
      <c r="F85" s="105" t="s">
        <v>504</v>
      </c>
      <c r="G85" s="108">
        <v>2982.06</v>
      </c>
      <c r="H85" s="107">
        <v>3993.31</v>
      </c>
      <c r="I85" s="107">
        <v>3993.31</v>
      </c>
      <c r="J85" s="108">
        <v>3993.31</v>
      </c>
      <c r="K85" s="136">
        <v>256.55</v>
      </c>
      <c r="L85" s="136">
        <v>403.15</v>
      </c>
      <c r="M85" s="136">
        <v>146.6</v>
      </c>
      <c r="N85" s="136">
        <v>146.6</v>
      </c>
      <c r="O85" s="190">
        <v>293.2</v>
      </c>
      <c r="P85" s="117">
        <v>329.85</v>
      </c>
      <c r="Q85" s="137">
        <v>226.62</v>
      </c>
      <c r="R85" s="137">
        <v>141.63999999999999</v>
      </c>
      <c r="S85" s="137">
        <v>169.97</v>
      </c>
      <c r="T85" s="137">
        <v>113.31</v>
      </c>
      <c r="U85" s="137">
        <v>254.95</v>
      </c>
      <c r="V85" s="137">
        <v>339.94</v>
      </c>
      <c r="W85" s="119">
        <f t="shared" si="38"/>
        <v>2822.3799999999997</v>
      </c>
      <c r="X85" s="108">
        <f t="shared" si="39"/>
        <v>2822.3799999999997</v>
      </c>
      <c r="Y85" s="110">
        <v>3628.35</v>
      </c>
      <c r="Z85" s="111">
        <v>2998.54</v>
      </c>
      <c r="AA85" s="111">
        <v>0</v>
      </c>
      <c r="AB85" s="123">
        <v>0</v>
      </c>
      <c r="AC85" s="88">
        <f t="shared" si="26"/>
        <v>0</v>
      </c>
      <c r="AD85" s="120">
        <f t="shared" si="40"/>
        <v>3628.35</v>
      </c>
      <c r="AE85" s="121">
        <v>0</v>
      </c>
      <c r="AF85" s="112">
        <v>3628.35</v>
      </c>
      <c r="AG85" s="120">
        <f t="shared" si="34"/>
        <v>0</v>
      </c>
      <c r="AH85" s="113">
        <v>1100122</v>
      </c>
      <c r="AI85" s="114">
        <v>3628.35</v>
      </c>
      <c r="AJ85" s="114">
        <v>297.04000000000002</v>
      </c>
      <c r="AK85" s="114">
        <v>3000</v>
      </c>
    </row>
    <row r="86" spans="1:37" ht="16.5" thickTop="1" thickBot="1" x14ac:dyDescent="0.25">
      <c r="A86" s="101"/>
      <c r="B86" s="102"/>
      <c r="C86" s="103"/>
      <c r="D86" s="103">
        <v>4</v>
      </c>
      <c r="E86" s="104">
        <v>430304</v>
      </c>
      <c r="F86" s="105" t="s">
        <v>505</v>
      </c>
      <c r="G86" s="108">
        <v>209406.12</v>
      </c>
      <c r="H86" s="107">
        <v>238762.37</v>
      </c>
      <c r="I86" s="107">
        <v>238762.37</v>
      </c>
      <c r="J86" s="108">
        <v>238762.37</v>
      </c>
      <c r="K86" s="136">
        <v>21924</v>
      </c>
      <c r="L86" s="136">
        <v>23176.799999999999</v>
      </c>
      <c r="M86" s="136">
        <v>21402</v>
      </c>
      <c r="N86" s="136">
        <v>18270</v>
      </c>
      <c r="O86" s="190">
        <v>20358</v>
      </c>
      <c r="P86" s="117">
        <v>19209.599999999999</v>
      </c>
      <c r="Q86" s="137">
        <v>14041.1</v>
      </c>
      <c r="R86" s="137">
        <v>14605.98</v>
      </c>
      <c r="S86" s="137">
        <v>13960.41</v>
      </c>
      <c r="T86" s="137">
        <v>15412.94</v>
      </c>
      <c r="U86" s="137">
        <v>15574.33</v>
      </c>
      <c r="V86" s="137">
        <v>15574.33</v>
      </c>
      <c r="W86" s="119">
        <f t="shared" si="38"/>
        <v>213509.49</v>
      </c>
      <c r="X86" s="108">
        <f t="shared" si="39"/>
        <v>213509.49</v>
      </c>
      <c r="Y86" s="110">
        <v>229496.2</v>
      </c>
      <c r="Z86" s="111">
        <v>224921.06</v>
      </c>
      <c r="AA86" s="111">
        <v>14046.5</v>
      </c>
      <c r="AB86" s="123">
        <v>14046.5</v>
      </c>
      <c r="AC86" s="88">
        <f t="shared" si="26"/>
        <v>0</v>
      </c>
      <c r="AD86" s="120">
        <f t="shared" si="40"/>
        <v>229496.2</v>
      </c>
      <c r="AE86" s="121">
        <v>56834.3</v>
      </c>
      <c r="AF86" s="112">
        <v>229496.2</v>
      </c>
      <c r="AG86" s="120">
        <f t="shared" si="34"/>
        <v>0</v>
      </c>
      <c r="AH86" s="113">
        <v>1100122</v>
      </c>
      <c r="AI86" s="114">
        <v>229496.2</v>
      </c>
      <c r="AJ86" s="114">
        <v>183338.5</v>
      </c>
      <c r="AK86" s="114">
        <v>190580</v>
      </c>
    </row>
    <row r="87" spans="1:37" ht="16.5" thickTop="1" thickBot="1" x14ac:dyDescent="0.25">
      <c r="A87" s="101"/>
      <c r="B87" s="102"/>
      <c r="C87" s="103"/>
      <c r="D87" s="103">
        <v>5</v>
      </c>
      <c r="E87" s="104">
        <v>430305</v>
      </c>
      <c r="F87" s="105" t="s">
        <v>506</v>
      </c>
      <c r="G87" s="108">
        <v>812901.9</v>
      </c>
      <c r="H87" s="107">
        <v>805000</v>
      </c>
      <c r="I87" s="107">
        <v>805000</v>
      </c>
      <c r="J87" s="108">
        <v>805000</v>
      </c>
      <c r="K87" s="136">
        <v>77341.08</v>
      </c>
      <c r="L87" s="136">
        <v>63631.56</v>
      </c>
      <c r="M87" s="136">
        <v>66124.2</v>
      </c>
      <c r="N87" s="136">
        <v>52345.440000000002</v>
      </c>
      <c r="O87" s="190">
        <v>68755.320000000007</v>
      </c>
      <c r="P87" s="117">
        <v>73325.16</v>
      </c>
      <c r="Q87" s="137">
        <v>58818.48</v>
      </c>
      <c r="R87" s="137">
        <v>56303.040000000001</v>
      </c>
      <c r="S87" s="137">
        <v>59888.88</v>
      </c>
      <c r="T87" s="137">
        <v>52342.559999999998</v>
      </c>
      <c r="U87" s="137">
        <v>46722.96</v>
      </c>
      <c r="V87" s="137">
        <v>68666.16</v>
      </c>
      <c r="W87" s="119">
        <f t="shared" si="38"/>
        <v>744264.84</v>
      </c>
      <c r="X87" s="108">
        <f t="shared" si="39"/>
        <v>744264.84</v>
      </c>
      <c r="Y87" s="110">
        <v>888141.48</v>
      </c>
      <c r="Z87" s="111">
        <v>787912.82</v>
      </c>
      <c r="AA87" s="111">
        <v>80904.14</v>
      </c>
      <c r="AB87" s="123">
        <v>70298.460000000006</v>
      </c>
      <c r="AC87" s="88">
        <f t="shared" si="26"/>
        <v>0</v>
      </c>
      <c r="AD87" s="120">
        <f t="shared" si="40"/>
        <v>888141.48</v>
      </c>
      <c r="AE87" s="121">
        <v>310717.76</v>
      </c>
      <c r="AF87" s="112">
        <v>888141.48</v>
      </c>
      <c r="AG87" s="120">
        <f t="shared" si="34"/>
        <v>0</v>
      </c>
      <c r="AH87" s="113">
        <v>1100122</v>
      </c>
      <c r="AI87" s="114">
        <v>888141.48</v>
      </c>
      <c r="AJ87" s="114">
        <v>1000978.8400000001</v>
      </c>
      <c r="AK87" s="114">
        <v>1040517</v>
      </c>
    </row>
    <row r="88" spans="1:37" ht="16.5" thickTop="1" thickBot="1" x14ac:dyDescent="0.25">
      <c r="A88" s="101"/>
      <c r="B88" s="102"/>
      <c r="C88" s="103"/>
      <c r="D88" s="103">
        <v>6</v>
      </c>
      <c r="E88" s="104">
        <v>430306</v>
      </c>
      <c r="F88" s="105" t="s">
        <v>507</v>
      </c>
      <c r="G88" s="108">
        <v>12243.15</v>
      </c>
      <c r="H88" s="107">
        <v>15463.21</v>
      </c>
      <c r="I88" s="107">
        <v>15463.21</v>
      </c>
      <c r="J88" s="108">
        <v>15463.21</v>
      </c>
      <c r="K88" s="136">
        <v>1507.9</v>
      </c>
      <c r="L88" s="136">
        <v>703.97</v>
      </c>
      <c r="M88" s="136">
        <v>593</v>
      </c>
      <c r="N88" s="136">
        <v>909.02</v>
      </c>
      <c r="O88" s="190">
        <v>685.33</v>
      </c>
      <c r="P88" s="117">
        <v>2315.65</v>
      </c>
      <c r="Q88" s="137">
        <v>228</v>
      </c>
      <c r="R88" s="137">
        <v>1487.4</v>
      </c>
      <c r="S88" s="137">
        <v>1475.88</v>
      </c>
      <c r="T88" s="137">
        <v>1156.2</v>
      </c>
      <c r="U88" s="137">
        <v>1394.76</v>
      </c>
      <c r="V88" s="137">
        <v>1008.48</v>
      </c>
      <c r="W88" s="119">
        <f t="shared" si="38"/>
        <v>13465.590000000002</v>
      </c>
      <c r="X88" s="108">
        <f t="shared" si="39"/>
        <v>13465.590000000002</v>
      </c>
      <c r="Y88" s="110">
        <v>14238.65</v>
      </c>
      <c r="Z88" s="111">
        <v>12567.68</v>
      </c>
      <c r="AA88" s="111">
        <v>556.28</v>
      </c>
      <c r="AB88" s="123">
        <v>699.16</v>
      </c>
      <c r="AC88" s="88">
        <f t="shared" si="26"/>
        <v>0</v>
      </c>
      <c r="AD88" s="120">
        <f t="shared" si="40"/>
        <v>14238.65</v>
      </c>
      <c r="AE88" s="121">
        <v>2848.84</v>
      </c>
      <c r="AF88" s="112">
        <v>14238.65</v>
      </c>
      <c r="AG88" s="120">
        <f t="shared" si="34"/>
        <v>0</v>
      </c>
      <c r="AH88" s="113">
        <v>1100122</v>
      </c>
      <c r="AI88" s="114">
        <v>14238.65</v>
      </c>
      <c r="AJ88" s="114">
        <v>10351.239999999998</v>
      </c>
      <c r="AK88" s="114">
        <v>10760</v>
      </c>
    </row>
    <row r="89" spans="1:37" ht="16.5" thickTop="1" thickBot="1" x14ac:dyDescent="0.25">
      <c r="A89" s="101"/>
      <c r="B89" s="102"/>
      <c r="C89" s="103"/>
      <c r="D89" s="103">
        <v>7</v>
      </c>
      <c r="E89" s="104">
        <v>430307</v>
      </c>
      <c r="F89" s="105" t="s">
        <v>508</v>
      </c>
      <c r="G89" s="108">
        <v>59605</v>
      </c>
      <c r="H89" s="107">
        <v>60000</v>
      </c>
      <c r="I89" s="107">
        <v>60000</v>
      </c>
      <c r="J89" s="108">
        <v>60000</v>
      </c>
      <c r="K89" s="136">
        <v>5230</v>
      </c>
      <c r="L89" s="136">
        <v>4485</v>
      </c>
      <c r="M89" s="136">
        <v>4795</v>
      </c>
      <c r="N89" s="136">
        <v>4520</v>
      </c>
      <c r="O89" s="190">
        <v>5315</v>
      </c>
      <c r="P89" s="117">
        <v>5565</v>
      </c>
      <c r="Q89" s="137">
        <v>4092</v>
      </c>
      <c r="R89" s="137">
        <v>4096</v>
      </c>
      <c r="S89" s="137">
        <v>3724</v>
      </c>
      <c r="T89" s="137">
        <v>4112</v>
      </c>
      <c r="U89" s="137">
        <v>3900</v>
      </c>
      <c r="V89" s="137">
        <v>4616</v>
      </c>
      <c r="W89" s="119">
        <f t="shared" si="38"/>
        <v>54450</v>
      </c>
      <c r="X89" s="108">
        <f t="shared" si="39"/>
        <v>54450</v>
      </c>
      <c r="Y89" s="110">
        <v>64550</v>
      </c>
      <c r="Z89" s="111">
        <v>58265</v>
      </c>
      <c r="AA89" s="111">
        <v>5365</v>
      </c>
      <c r="AB89" s="123">
        <v>5050</v>
      </c>
      <c r="AC89" s="88">
        <f t="shared" si="26"/>
        <v>0</v>
      </c>
      <c r="AD89" s="120">
        <f t="shared" si="40"/>
        <v>64550</v>
      </c>
      <c r="AE89" s="121">
        <v>21370.28</v>
      </c>
      <c r="AF89" s="112">
        <v>64550</v>
      </c>
      <c r="AG89" s="120">
        <f t="shared" si="34"/>
        <v>0</v>
      </c>
      <c r="AH89" s="113">
        <v>1100122</v>
      </c>
      <c r="AI89" s="114">
        <v>64550</v>
      </c>
      <c r="AJ89" s="114">
        <v>68193.86</v>
      </c>
      <c r="AK89" s="114">
        <v>70887</v>
      </c>
    </row>
    <row r="90" spans="1:37" ht="16.5" thickTop="1" thickBot="1" x14ac:dyDescent="0.25">
      <c r="A90" s="101"/>
      <c r="B90" s="102"/>
      <c r="C90" s="103"/>
      <c r="D90" s="103">
        <v>8</v>
      </c>
      <c r="E90" s="104">
        <v>430308</v>
      </c>
      <c r="F90" s="105" t="s">
        <v>509</v>
      </c>
      <c r="G90" s="108">
        <v>27445</v>
      </c>
      <c r="H90" s="107">
        <v>26000</v>
      </c>
      <c r="I90" s="107">
        <v>26000</v>
      </c>
      <c r="J90" s="108">
        <v>26000</v>
      </c>
      <c r="K90" s="136">
        <v>3450</v>
      </c>
      <c r="L90" s="141">
        <v>1775</v>
      </c>
      <c r="M90" s="136">
        <v>1780</v>
      </c>
      <c r="N90" s="136">
        <v>1245</v>
      </c>
      <c r="O90" s="190">
        <v>2725</v>
      </c>
      <c r="P90" s="117">
        <v>3315</v>
      </c>
      <c r="Q90" s="137">
        <v>1552</v>
      </c>
      <c r="R90" s="137">
        <v>1368</v>
      </c>
      <c r="S90" s="137">
        <v>1264</v>
      </c>
      <c r="T90" s="137">
        <v>1268</v>
      </c>
      <c r="U90" s="137">
        <v>1952</v>
      </c>
      <c r="V90" s="137">
        <v>3292</v>
      </c>
      <c r="W90" s="119">
        <f t="shared" si="38"/>
        <v>24986</v>
      </c>
      <c r="X90" s="108">
        <f t="shared" si="39"/>
        <v>24986</v>
      </c>
      <c r="Y90" s="110">
        <v>32645</v>
      </c>
      <c r="Z90" s="111">
        <v>27371.9</v>
      </c>
      <c r="AA90" s="111">
        <v>1600</v>
      </c>
      <c r="AB90" s="123">
        <v>1625</v>
      </c>
      <c r="AC90" s="88">
        <f t="shared" si="26"/>
        <v>0</v>
      </c>
      <c r="AD90" s="120">
        <f t="shared" si="40"/>
        <v>32645</v>
      </c>
      <c r="AE90" s="121">
        <v>4785</v>
      </c>
      <c r="AF90" s="112">
        <v>32645</v>
      </c>
      <c r="AG90" s="120">
        <f t="shared" si="34"/>
        <v>0</v>
      </c>
      <c r="AH90" s="113">
        <v>1100122</v>
      </c>
      <c r="AI90" s="114">
        <v>32645</v>
      </c>
      <c r="AJ90" s="114">
        <v>14720.52</v>
      </c>
      <c r="AK90" s="114">
        <v>15301</v>
      </c>
    </row>
    <row r="91" spans="1:37" ht="14.25" thickTop="1" thickBot="1" x14ac:dyDescent="0.25">
      <c r="A91" s="127"/>
      <c r="B91" s="128"/>
      <c r="C91" s="129">
        <v>4</v>
      </c>
      <c r="D91" s="129"/>
      <c r="E91" s="129"/>
      <c r="F91" s="130" t="s">
        <v>510</v>
      </c>
      <c r="G91" s="84">
        <f>G92+G93+G94+G95</f>
        <v>7628476.2000000002</v>
      </c>
      <c r="H91" s="85">
        <f>H92+H93+H94+H95</f>
        <v>8503062.8699999992</v>
      </c>
      <c r="I91" s="85">
        <f>I92+I93+I94+I95</f>
        <v>8503062.8699999992</v>
      </c>
      <c r="J91" s="84">
        <f>J92+J93+J94+J95</f>
        <v>8985062.8699999992</v>
      </c>
      <c r="K91" s="84">
        <f t="shared" ref="K91:AB91" si="41">K92+K93+K94+K95</f>
        <v>666856.02</v>
      </c>
      <c r="L91" s="85">
        <f t="shared" si="41"/>
        <v>807337.92999999993</v>
      </c>
      <c r="M91" s="85">
        <f t="shared" si="41"/>
        <v>712438.53</v>
      </c>
      <c r="N91" s="85">
        <f t="shared" si="41"/>
        <v>510471.2</v>
      </c>
      <c r="O91" s="85">
        <f t="shared" si="41"/>
        <v>394899.14</v>
      </c>
      <c r="P91" s="85">
        <f t="shared" si="41"/>
        <v>518185.10000000003</v>
      </c>
      <c r="Q91" s="85">
        <f t="shared" si="41"/>
        <v>583056.41</v>
      </c>
      <c r="R91" s="85">
        <f t="shared" si="41"/>
        <v>583056.41</v>
      </c>
      <c r="S91" s="85">
        <f t="shared" si="41"/>
        <v>779855.77999999991</v>
      </c>
      <c r="T91" s="85">
        <f t="shared" si="41"/>
        <v>764095.15</v>
      </c>
      <c r="U91" s="85">
        <f t="shared" si="41"/>
        <v>783274.09000000008</v>
      </c>
      <c r="V91" s="85">
        <f t="shared" si="41"/>
        <v>723052.63</v>
      </c>
      <c r="W91" s="132">
        <f t="shared" si="41"/>
        <v>7826578.3899999997</v>
      </c>
      <c r="X91" s="134">
        <f t="shared" si="41"/>
        <v>7826578.3899999997</v>
      </c>
      <c r="Y91" s="133">
        <f t="shared" si="41"/>
        <v>7213071.8700000001</v>
      </c>
      <c r="Z91" s="134">
        <f t="shared" si="41"/>
        <v>8631724.7799999993</v>
      </c>
      <c r="AA91" s="134">
        <f t="shared" si="41"/>
        <v>483123.06</v>
      </c>
      <c r="AB91" s="134">
        <f t="shared" si="41"/>
        <v>374260.69</v>
      </c>
      <c r="AC91" s="88">
        <f t="shared" si="26"/>
        <v>0</v>
      </c>
      <c r="AD91" s="132">
        <f>AD92+AD93+AD94+AD95</f>
        <v>7748678.7267000005</v>
      </c>
      <c r="AE91" s="132">
        <f>AE92+AE93+AE94+AE95</f>
        <v>1949065.04</v>
      </c>
      <c r="AF91" s="132">
        <f>AF92+AF93+AF94+AF95</f>
        <v>7748678.7199999997</v>
      </c>
      <c r="AG91" s="132">
        <f t="shared" si="34"/>
        <v>-6.7000007256865501E-3</v>
      </c>
      <c r="AH91" s="135"/>
      <c r="AI91" s="133">
        <f>AI92+AI93+AI94+AI95</f>
        <v>7213071.8700000001</v>
      </c>
      <c r="AJ91" s="133">
        <f>AJ92+AJ93+AJ94+AJ95</f>
        <v>5284504.1411111113</v>
      </c>
      <c r="AK91" s="133">
        <f>AK92+AK93+AK94+AK95</f>
        <v>5296619</v>
      </c>
    </row>
    <row r="92" spans="1:37" ht="16.5" thickTop="1" thickBot="1" x14ac:dyDescent="0.25">
      <c r="A92" s="101"/>
      <c r="B92" s="102"/>
      <c r="C92" s="103"/>
      <c r="D92" s="103">
        <v>1</v>
      </c>
      <c r="E92" s="104">
        <v>430401</v>
      </c>
      <c r="F92" s="105" t="s">
        <v>511</v>
      </c>
      <c r="G92" s="108">
        <v>5058005.26</v>
      </c>
      <c r="H92" s="107">
        <v>5300000</v>
      </c>
      <c r="I92" s="107">
        <v>5300000</v>
      </c>
      <c r="J92" s="108">
        <v>5700000</v>
      </c>
      <c r="K92" s="136">
        <v>451278.1</v>
      </c>
      <c r="L92" s="136">
        <v>543586.68999999994</v>
      </c>
      <c r="M92" s="136">
        <v>533056.41</v>
      </c>
      <c r="N92" s="136">
        <v>345766.32</v>
      </c>
      <c r="O92" s="190">
        <v>345766.32</v>
      </c>
      <c r="P92" s="117">
        <v>432207.9</v>
      </c>
      <c r="Q92" s="137">
        <v>533056.41</v>
      </c>
      <c r="R92" s="137">
        <v>533056.41</v>
      </c>
      <c r="S92" s="137">
        <v>533056.41</v>
      </c>
      <c r="T92" s="137">
        <v>533056.41</v>
      </c>
      <c r="U92" s="137">
        <v>533056.41</v>
      </c>
      <c r="V92" s="137">
        <v>533056.41</v>
      </c>
      <c r="W92" s="119">
        <f>SUM(K92:V92)</f>
        <v>5850000.2000000002</v>
      </c>
      <c r="X92" s="108">
        <f>W92</f>
        <v>5850000.2000000002</v>
      </c>
      <c r="Y92" s="110">
        <v>5633896.25</v>
      </c>
      <c r="Z92" s="111">
        <v>6160000.2000000002</v>
      </c>
      <c r="AA92" s="111">
        <v>321662.37</v>
      </c>
      <c r="AB92" s="123">
        <v>304000</v>
      </c>
      <c r="AC92" s="88">
        <f t="shared" si="26"/>
        <v>0</v>
      </c>
      <c r="AD92" s="120">
        <f>Z92</f>
        <v>6160000.2000000002</v>
      </c>
      <c r="AE92" s="121">
        <v>1409662.37</v>
      </c>
      <c r="AF92" s="112">
        <v>6160000.2000000002</v>
      </c>
      <c r="AG92" s="120">
        <f t="shared" si="34"/>
        <v>0</v>
      </c>
      <c r="AH92" s="113">
        <v>1100122</v>
      </c>
      <c r="AI92" s="114">
        <v>5633896.25</v>
      </c>
      <c r="AJ92" s="114">
        <v>3655111.151111111</v>
      </c>
      <c r="AK92" s="114">
        <v>3655111</v>
      </c>
    </row>
    <row r="93" spans="1:37" ht="16.5" thickTop="1" thickBot="1" x14ac:dyDescent="0.25">
      <c r="A93" s="101"/>
      <c r="B93" s="102"/>
      <c r="C93" s="103"/>
      <c r="D93" s="103">
        <v>2</v>
      </c>
      <c r="E93" s="104">
        <v>430402</v>
      </c>
      <c r="F93" s="105" t="s">
        <v>512</v>
      </c>
      <c r="G93" s="108">
        <v>2324030.92</v>
      </c>
      <c r="H93" s="107">
        <v>2825024.83</v>
      </c>
      <c r="I93" s="107">
        <v>2825024.83</v>
      </c>
      <c r="J93" s="108">
        <v>2825024.83</v>
      </c>
      <c r="K93" s="136">
        <v>191889.7</v>
      </c>
      <c r="L93" s="136">
        <v>244262.64</v>
      </c>
      <c r="M93" s="136">
        <v>154440.48000000001</v>
      </c>
      <c r="N93" s="136">
        <v>125654.88</v>
      </c>
      <c r="O93" s="190">
        <v>42032.82</v>
      </c>
      <c r="P93" s="117">
        <v>64677.2</v>
      </c>
      <c r="Q93" s="137">
        <v>35000</v>
      </c>
      <c r="R93" s="137">
        <v>35000</v>
      </c>
      <c r="S93" s="137">
        <v>215284.05</v>
      </c>
      <c r="T93" s="137">
        <v>166939.14000000001</v>
      </c>
      <c r="U93" s="137">
        <v>220934.16</v>
      </c>
      <c r="V93" s="137">
        <v>168300.82</v>
      </c>
      <c r="W93" s="119">
        <f>SUM(K93:V93)</f>
        <v>1664415.8900000001</v>
      </c>
      <c r="X93" s="108">
        <f>W93</f>
        <v>1664415.8900000001</v>
      </c>
      <c r="Y93" s="110">
        <v>1307664</v>
      </c>
      <c r="Z93" s="111">
        <v>2064415.89</v>
      </c>
      <c r="AA93" s="111">
        <v>140400</v>
      </c>
      <c r="AB93" s="123">
        <v>49200</v>
      </c>
      <c r="AC93" s="88">
        <f t="shared" si="26"/>
        <v>0</v>
      </c>
      <c r="AD93" s="120">
        <f>Y93</f>
        <v>1307664</v>
      </c>
      <c r="AE93" s="121">
        <v>454800</v>
      </c>
      <c r="AF93" s="112">
        <v>1307664</v>
      </c>
      <c r="AG93" s="120">
        <f t="shared" si="34"/>
        <v>0</v>
      </c>
      <c r="AH93" s="113">
        <v>1100122</v>
      </c>
      <c r="AI93" s="114">
        <v>1307664</v>
      </c>
      <c r="AJ93" s="114">
        <v>1322660.06</v>
      </c>
      <c r="AK93" s="114">
        <v>1322660</v>
      </c>
    </row>
    <row r="94" spans="1:37" ht="16.5" thickTop="1" thickBot="1" x14ac:dyDescent="0.25">
      <c r="A94" s="101"/>
      <c r="B94" s="102"/>
      <c r="C94" s="103"/>
      <c r="D94" s="103">
        <v>3</v>
      </c>
      <c r="E94" s="104">
        <v>430403</v>
      </c>
      <c r="F94" s="105" t="s">
        <v>513</v>
      </c>
      <c r="G94" s="108">
        <v>18088.580000000002</v>
      </c>
      <c r="H94" s="107">
        <v>18000</v>
      </c>
      <c r="I94" s="107">
        <v>18000</v>
      </c>
      <c r="J94" s="108">
        <v>100000</v>
      </c>
      <c r="K94" s="136">
        <v>3550</v>
      </c>
      <c r="L94" s="136">
        <v>0</v>
      </c>
      <c r="M94" s="136">
        <v>10650</v>
      </c>
      <c r="N94" s="136">
        <v>39050</v>
      </c>
      <c r="O94" s="190">
        <v>7100</v>
      </c>
      <c r="P94" s="117">
        <v>21300</v>
      </c>
      <c r="Q94" s="137">
        <v>15000</v>
      </c>
      <c r="R94" s="137">
        <v>15000</v>
      </c>
      <c r="S94" s="137">
        <v>15000</v>
      </c>
      <c r="T94" s="137">
        <v>15000</v>
      </c>
      <c r="U94" s="137">
        <v>15000</v>
      </c>
      <c r="V94" s="137">
        <v>15000</v>
      </c>
      <c r="W94" s="119">
        <f>SUM(K94:V94)</f>
        <v>171650</v>
      </c>
      <c r="X94" s="108">
        <f>W94</f>
        <v>171650</v>
      </c>
      <c r="Y94" s="110">
        <v>205900</v>
      </c>
      <c r="Z94" s="111">
        <v>171650</v>
      </c>
      <c r="AA94" s="111">
        <v>18371.25</v>
      </c>
      <c r="AB94" s="123">
        <v>18371.25</v>
      </c>
      <c r="AC94" s="88">
        <f t="shared" si="26"/>
        <v>0</v>
      </c>
      <c r="AD94" s="120">
        <f>Y94*1.035</f>
        <v>213106.49999999997</v>
      </c>
      <c r="AE94" s="121">
        <v>69810.75</v>
      </c>
      <c r="AF94" s="112">
        <v>213106.49999999997</v>
      </c>
      <c r="AG94" s="120">
        <f t="shared" si="34"/>
        <v>0</v>
      </c>
      <c r="AH94" s="113">
        <v>1100122</v>
      </c>
      <c r="AI94" s="114">
        <v>205900</v>
      </c>
      <c r="AJ94" s="114">
        <v>262930.75</v>
      </c>
      <c r="AK94" s="114">
        <v>273316</v>
      </c>
    </row>
    <row r="95" spans="1:37" ht="16.5" thickTop="1" thickBot="1" x14ac:dyDescent="0.25">
      <c r="A95" s="101"/>
      <c r="B95" s="102"/>
      <c r="C95" s="103"/>
      <c r="D95" s="103">
        <v>4</v>
      </c>
      <c r="E95" s="104">
        <v>430404</v>
      </c>
      <c r="F95" s="105" t="s">
        <v>514</v>
      </c>
      <c r="G95" s="108">
        <v>228351.44</v>
      </c>
      <c r="H95" s="107">
        <v>360038.04</v>
      </c>
      <c r="I95" s="107">
        <v>360038.04</v>
      </c>
      <c r="J95" s="108">
        <v>360038.04</v>
      </c>
      <c r="K95" s="136">
        <v>20138.22</v>
      </c>
      <c r="L95" s="141">
        <v>19488.599999999999</v>
      </c>
      <c r="M95" s="136">
        <v>14291.64</v>
      </c>
      <c r="N95" s="136">
        <v>0</v>
      </c>
      <c r="O95" s="190">
        <v>0</v>
      </c>
      <c r="P95" s="117">
        <v>0</v>
      </c>
      <c r="Q95" s="136">
        <v>0</v>
      </c>
      <c r="R95" s="136">
        <v>0</v>
      </c>
      <c r="S95" s="137">
        <v>16515.32</v>
      </c>
      <c r="T95" s="137">
        <v>49099.6</v>
      </c>
      <c r="U95" s="137">
        <v>14283.52</v>
      </c>
      <c r="V95" s="137">
        <v>6695.4</v>
      </c>
      <c r="W95" s="119">
        <f>SUM(K95:V95)</f>
        <v>140512.29999999999</v>
      </c>
      <c r="X95" s="108">
        <f>W95</f>
        <v>140512.29999999999</v>
      </c>
      <c r="Y95" s="110">
        <v>65611.62</v>
      </c>
      <c r="Z95" s="111">
        <v>235658.69</v>
      </c>
      <c r="AA95" s="111">
        <v>2689.44</v>
      </c>
      <c r="AB95" s="123">
        <v>2689.44</v>
      </c>
      <c r="AC95" s="88">
        <f t="shared" si="26"/>
        <v>0</v>
      </c>
      <c r="AD95" s="120">
        <f>Y95*1.035</f>
        <v>67908.026699999988</v>
      </c>
      <c r="AE95" s="121">
        <v>14791.92</v>
      </c>
      <c r="AF95" s="112">
        <v>67908.02</v>
      </c>
      <c r="AG95" s="120">
        <f t="shared" si="34"/>
        <v>-6.6999999835388735E-3</v>
      </c>
      <c r="AH95" s="113">
        <v>1100122</v>
      </c>
      <c r="AI95" s="114">
        <v>65611.62</v>
      </c>
      <c r="AJ95" s="114">
        <v>43802.179999999993</v>
      </c>
      <c r="AK95" s="114">
        <v>45532</v>
      </c>
    </row>
    <row r="96" spans="1:37" ht="14.25" thickTop="1" thickBot="1" x14ac:dyDescent="0.25">
      <c r="A96" s="127"/>
      <c r="B96" s="128"/>
      <c r="C96" s="129">
        <v>5</v>
      </c>
      <c r="D96" s="129"/>
      <c r="E96" s="129"/>
      <c r="F96" s="130" t="s">
        <v>515</v>
      </c>
      <c r="G96" s="84">
        <f>G97+G98+G99+G100</f>
        <v>1299095.8199999998</v>
      </c>
      <c r="H96" s="85">
        <f>H97+H98+H99+H100</f>
        <v>2505107.84</v>
      </c>
      <c r="I96" s="85">
        <f>I97+I98+I99+I100</f>
        <v>2505107.84</v>
      </c>
      <c r="J96" s="84">
        <f>J97+J98+J99+J100</f>
        <v>2505107.84</v>
      </c>
      <c r="K96" s="84">
        <f t="shared" ref="K96:AB96" si="42">K97+K98+K99+K100+K101</f>
        <v>90951.61</v>
      </c>
      <c r="L96" s="84">
        <f t="shared" si="42"/>
        <v>165954.63</v>
      </c>
      <c r="M96" s="85">
        <f t="shared" si="42"/>
        <v>90971.62</v>
      </c>
      <c r="N96" s="85">
        <f t="shared" si="42"/>
        <v>67945.239999999991</v>
      </c>
      <c r="O96" s="85">
        <f t="shared" si="42"/>
        <v>57960</v>
      </c>
      <c r="P96" s="85">
        <f t="shared" si="42"/>
        <v>59798.93</v>
      </c>
      <c r="Q96" s="85">
        <f t="shared" si="42"/>
        <v>133372.48749999999</v>
      </c>
      <c r="R96" s="85">
        <f t="shared" si="42"/>
        <v>133372.48749999999</v>
      </c>
      <c r="S96" s="85">
        <f t="shared" si="42"/>
        <v>141431.5675</v>
      </c>
      <c r="T96" s="85">
        <f t="shared" si="42"/>
        <v>280896.56749999995</v>
      </c>
      <c r="U96" s="85">
        <f t="shared" si="42"/>
        <v>219416.0675</v>
      </c>
      <c r="V96" s="85">
        <f t="shared" si="42"/>
        <v>219415.5675</v>
      </c>
      <c r="W96" s="132">
        <f t="shared" si="42"/>
        <v>1671486.7699999998</v>
      </c>
      <c r="X96" s="134">
        <f t="shared" si="42"/>
        <v>1671486.7699999998</v>
      </c>
      <c r="Y96" s="133">
        <f t="shared" si="42"/>
        <v>1156798.2500000002</v>
      </c>
      <c r="Z96" s="134">
        <f t="shared" si="42"/>
        <v>1405992.75</v>
      </c>
      <c r="AA96" s="134">
        <f t="shared" si="42"/>
        <v>43057.38</v>
      </c>
      <c r="AB96" s="134">
        <f t="shared" si="42"/>
        <v>51348.69</v>
      </c>
      <c r="AC96" s="88">
        <f t="shared" si="26"/>
        <v>0</v>
      </c>
      <c r="AD96" s="132">
        <f>AD97+AD98+AD99+AD100+AD101</f>
        <v>1418565.51975</v>
      </c>
      <c r="AE96" s="132">
        <f>AE97+AE98+AE99+AE100+AE101</f>
        <v>589814.63</v>
      </c>
      <c r="AF96" s="132">
        <f>AF97+AF98+AF99+AF100+AF101</f>
        <v>1418565.51</v>
      </c>
      <c r="AG96" s="132">
        <f t="shared" si="34"/>
        <v>-9.7499999683350325E-3</v>
      </c>
      <c r="AH96" s="135"/>
      <c r="AI96" s="133">
        <f>AI97+AI98+AI99+AI100+AI101</f>
        <v>1156798.2500000002</v>
      </c>
      <c r="AJ96" s="133">
        <f>AJ97+AJ98+AJ99+AJ100+AJ101</f>
        <v>1117425.73</v>
      </c>
      <c r="AK96" s="133">
        <f>AK97+AK98+AK99+AK100+AK101</f>
        <v>1171483</v>
      </c>
    </row>
    <row r="97" spans="1:37" ht="16.5" thickTop="1" thickBot="1" x14ac:dyDescent="0.25">
      <c r="A97" s="101"/>
      <c r="B97" s="102"/>
      <c r="C97" s="103"/>
      <c r="D97" s="103">
        <v>1</v>
      </c>
      <c r="E97" s="104">
        <v>430501</v>
      </c>
      <c r="F97" s="105" t="s">
        <v>516</v>
      </c>
      <c r="G97" s="108">
        <v>299758.18</v>
      </c>
      <c r="H97" s="107">
        <v>923663.4</v>
      </c>
      <c r="I97" s="107">
        <v>923663.4</v>
      </c>
      <c r="J97" s="108">
        <v>923663.4</v>
      </c>
      <c r="K97" s="136">
        <v>14051.16</v>
      </c>
      <c r="L97" s="136">
        <v>104224.26</v>
      </c>
      <c r="M97" s="136">
        <v>32852.339999999997</v>
      </c>
      <c r="N97" s="136">
        <v>37165.24</v>
      </c>
      <c r="O97" s="136"/>
      <c r="P97" s="117">
        <v>0</v>
      </c>
      <c r="Q97" s="137">
        <v>0</v>
      </c>
      <c r="R97" s="137">
        <v>0</v>
      </c>
      <c r="S97" s="137">
        <v>0</v>
      </c>
      <c r="T97" s="137">
        <v>0</v>
      </c>
      <c r="U97" s="137">
        <v>77984.5</v>
      </c>
      <c r="V97" s="137">
        <v>77984</v>
      </c>
      <c r="W97" s="119">
        <f>SUM(K97:V97)</f>
        <v>344261.5</v>
      </c>
      <c r="X97" s="108">
        <f>W97</f>
        <v>344261.5</v>
      </c>
      <c r="Y97" s="110">
        <v>354728.64</v>
      </c>
      <c r="Z97" s="111">
        <v>444261.5</v>
      </c>
      <c r="AA97" s="111">
        <v>0</v>
      </c>
      <c r="AB97" s="111">
        <v>0</v>
      </c>
      <c r="AC97" s="88">
        <f t="shared" si="26"/>
        <v>0</v>
      </c>
      <c r="AD97" s="120">
        <f>Z97</f>
        <v>444261.5</v>
      </c>
      <c r="AE97" s="121">
        <v>199020.36</v>
      </c>
      <c r="AF97" s="112">
        <v>444261.5</v>
      </c>
      <c r="AG97" s="120">
        <f t="shared" si="34"/>
        <v>0</v>
      </c>
      <c r="AH97" s="113">
        <v>1100122</v>
      </c>
      <c r="AI97" s="114">
        <v>354728.64</v>
      </c>
      <c r="AJ97" s="114">
        <v>229649.42</v>
      </c>
      <c r="AK97" s="114">
        <v>238720</v>
      </c>
    </row>
    <row r="98" spans="1:37" ht="16.5" thickTop="1" thickBot="1" x14ac:dyDescent="0.25">
      <c r="A98" s="101"/>
      <c r="B98" s="102"/>
      <c r="C98" s="103"/>
      <c r="D98" s="103">
        <v>2</v>
      </c>
      <c r="E98" s="104">
        <v>430502</v>
      </c>
      <c r="F98" s="105" t="s">
        <v>517</v>
      </c>
      <c r="G98" s="108">
        <v>293471.5</v>
      </c>
      <c r="H98" s="107">
        <v>336327.26</v>
      </c>
      <c r="I98" s="107">
        <v>336327.26</v>
      </c>
      <c r="J98" s="108">
        <v>336327.26</v>
      </c>
      <c r="K98" s="136">
        <v>278.93</v>
      </c>
      <c r="L98" s="136">
        <v>2510.37</v>
      </c>
      <c r="M98" s="136">
        <v>2231.44</v>
      </c>
      <c r="N98" s="136">
        <v>0</v>
      </c>
      <c r="O98" s="136"/>
      <c r="P98" s="117">
        <v>278.93</v>
      </c>
      <c r="Q98" s="137">
        <v>0</v>
      </c>
      <c r="R98" s="137">
        <v>0</v>
      </c>
      <c r="S98" s="137">
        <v>0</v>
      </c>
      <c r="T98" s="137">
        <v>139465</v>
      </c>
      <c r="U98" s="137">
        <v>0</v>
      </c>
      <c r="V98" s="137">
        <v>0</v>
      </c>
      <c r="W98" s="119">
        <f>SUM(K98:V98)</f>
        <v>144764.67000000001</v>
      </c>
      <c r="X98" s="108">
        <f>W98</f>
        <v>144764.67000000001</v>
      </c>
      <c r="Y98" s="110">
        <v>152016.85</v>
      </c>
      <c r="Z98" s="111">
        <v>144764.67000000001</v>
      </c>
      <c r="AA98" s="111">
        <v>577.38</v>
      </c>
      <c r="AB98" s="123">
        <v>288.69</v>
      </c>
      <c r="AC98" s="88">
        <f t="shared" si="26"/>
        <v>0</v>
      </c>
      <c r="AD98" s="120">
        <f>Y98*1.035</f>
        <v>157337.43974999999</v>
      </c>
      <c r="AE98" s="121">
        <v>113166.48</v>
      </c>
      <c r="AF98" s="112">
        <v>157337.43</v>
      </c>
      <c r="AG98" s="120">
        <f t="shared" si="34"/>
        <v>-9.7499999974388629E-3</v>
      </c>
      <c r="AH98" s="113">
        <v>1100122</v>
      </c>
      <c r="AI98" s="114">
        <v>152016.85</v>
      </c>
      <c r="AJ98" s="114">
        <v>187582.42</v>
      </c>
      <c r="AK98" s="114">
        <v>194991</v>
      </c>
    </row>
    <row r="99" spans="1:37" ht="16.5" thickTop="1" thickBot="1" x14ac:dyDescent="0.25">
      <c r="A99" s="101"/>
      <c r="B99" s="102"/>
      <c r="C99" s="103"/>
      <c r="D99" s="103">
        <v>3</v>
      </c>
      <c r="E99" s="104">
        <v>430503</v>
      </c>
      <c r="F99" s="105" t="s">
        <v>518</v>
      </c>
      <c r="G99" s="108">
        <v>705866.14</v>
      </c>
      <c r="H99" s="107">
        <v>1235117.18</v>
      </c>
      <c r="I99" s="107">
        <v>1235117.18</v>
      </c>
      <c r="J99" s="108">
        <v>1235117.18</v>
      </c>
      <c r="K99" s="136">
        <v>58680</v>
      </c>
      <c r="L99" s="136">
        <v>59220</v>
      </c>
      <c r="M99" s="136">
        <v>51840</v>
      </c>
      <c r="N99" s="136">
        <v>30780</v>
      </c>
      <c r="O99" s="190">
        <v>57960</v>
      </c>
      <c r="P99" s="117">
        <v>59520</v>
      </c>
      <c r="Q99" s="137">
        <v>129324.64749999999</v>
      </c>
      <c r="R99" s="137">
        <v>129324.64749999999</v>
      </c>
      <c r="S99" s="137">
        <v>129324.64749999999</v>
      </c>
      <c r="T99" s="137">
        <v>129324.64749999999</v>
      </c>
      <c r="U99" s="137">
        <v>129324.64749999999</v>
      </c>
      <c r="V99" s="137">
        <v>129324.64749999999</v>
      </c>
      <c r="W99" s="119">
        <v>1093947.8799999999</v>
      </c>
      <c r="X99" s="108">
        <f>W99</f>
        <v>1093947.8799999999</v>
      </c>
      <c r="Y99" s="110">
        <v>628063.4</v>
      </c>
      <c r="Z99" s="111">
        <v>728453.86</v>
      </c>
      <c r="AA99" s="111">
        <v>42480</v>
      </c>
      <c r="AB99" s="123">
        <v>51060</v>
      </c>
      <c r="AC99" s="88">
        <f t="shared" si="26"/>
        <v>0</v>
      </c>
      <c r="AD99" s="120">
        <f>Z99</f>
        <v>728453.86</v>
      </c>
      <c r="AE99" s="121">
        <v>200181.54</v>
      </c>
      <c r="AF99" s="112">
        <v>728453.86</v>
      </c>
      <c r="AG99" s="120">
        <f t="shared" si="34"/>
        <v>0</v>
      </c>
      <c r="AH99" s="113">
        <v>1100122</v>
      </c>
      <c r="AI99" s="114">
        <v>628063.4</v>
      </c>
      <c r="AJ99" s="114">
        <v>586038.64</v>
      </c>
      <c r="AK99" s="114">
        <v>609187</v>
      </c>
    </row>
    <row r="100" spans="1:37" ht="15.75" thickTop="1" thickBot="1" x14ac:dyDescent="0.25">
      <c r="A100" s="101"/>
      <c r="B100" s="102"/>
      <c r="C100" s="103"/>
      <c r="D100" s="103">
        <v>4</v>
      </c>
      <c r="E100" s="104">
        <v>430504</v>
      </c>
      <c r="F100" s="105" t="s">
        <v>519</v>
      </c>
      <c r="G100" s="108">
        <v>0</v>
      </c>
      <c r="H100" s="107">
        <v>10000</v>
      </c>
      <c r="I100" s="107">
        <v>10000</v>
      </c>
      <c r="J100" s="108">
        <v>10000</v>
      </c>
      <c r="K100" s="108">
        <v>0</v>
      </c>
      <c r="L100" s="136">
        <v>0</v>
      </c>
      <c r="M100" s="136">
        <v>0</v>
      </c>
      <c r="N100" s="136">
        <v>0</v>
      </c>
      <c r="O100" s="136"/>
      <c r="P100" s="117">
        <v>0</v>
      </c>
      <c r="Q100" s="136">
        <v>0</v>
      </c>
      <c r="R100" s="136">
        <v>0</v>
      </c>
      <c r="S100" s="136">
        <v>0</v>
      </c>
      <c r="T100" s="136">
        <v>0</v>
      </c>
      <c r="U100" s="136">
        <v>0</v>
      </c>
      <c r="V100" s="136">
        <v>0</v>
      </c>
      <c r="W100" s="107">
        <f>I100</f>
        <v>10000</v>
      </c>
      <c r="X100" s="108">
        <f>W100</f>
        <v>10000</v>
      </c>
      <c r="Y100" s="110"/>
      <c r="Z100" s="111">
        <v>10000</v>
      </c>
      <c r="AA100" s="111">
        <v>0</v>
      </c>
      <c r="AB100" s="111">
        <v>0</v>
      </c>
      <c r="AC100" s="88">
        <f t="shared" si="26"/>
        <v>0</v>
      </c>
      <c r="AD100" s="120">
        <f>Z100</f>
        <v>10000</v>
      </c>
      <c r="AE100" s="121">
        <v>0</v>
      </c>
      <c r="AF100" s="112">
        <v>10000</v>
      </c>
      <c r="AG100" s="120">
        <f t="shared" si="34"/>
        <v>0</v>
      </c>
      <c r="AH100" s="113">
        <v>1100122</v>
      </c>
      <c r="AI100" s="114">
        <v>0</v>
      </c>
      <c r="AJ100" s="114">
        <v>75.56</v>
      </c>
      <c r="AK100" s="114">
        <v>10000</v>
      </c>
    </row>
    <row r="101" spans="1:37" ht="16.5" thickTop="1" thickBot="1" x14ac:dyDescent="0.25">
      <c r="A101" s="101"/>
      <c r="B101" s="102"/>
      <c r="C101" s="103"/>
      <c r="D101" s="103">
        <v>5</v>
      </c>
      <c r="E101" s="189">
        <v>430505</v>
      </c>
      <c r="F101" s="105" t="s">
        <v>520</v>
      </c>
      <c r="G101" s="108"/>
      <c r="H101" s="107"/>
      <c r="I101" s="107">
        <v>0</v>
      </c>
      <c r="J101" s="108">
        <v>50000</v>
      </c>
      <c r="K101" s="136">
        <v>17941.52</v>
      </c>
      <c r="L101" s="141">
        <v>0</v>
      </c>
      <c r="M101" s="136">
        <v>4047.84</v>
      </c>
      <c r="N101" s="136">
        <v>0</v>
      </c>
      <c r="O101" s="136"/>
      <c r="P101" s="117">
        <v>0</v>
      </c>
      <c r="Q101" s="137">
        <v>4047.84</v>
      </c>
      <c r="R101" s="137">
        <v>4047.84</v>
      </c>
      <c r="S101" s="137">
        <v>12106.92</v>
      </c>
      <c r="T101" s="137">
        <v>12106.92</v>
      </c>
      <c r="U101" s="137">
        <v>12106.92</v>
      </c>
      <c r="V101" s="137">
        <v>12106.92</v>
      </c>
      <c r="W101" s="119">
        <f>SUM(K101:V101)</f>
        <v>78512.72</v>
      </c>
      <c r="X101" s="108">
        <f>W101</f>
        <v>78512.72</v>
      </c>
      <c r="Y101" s="110">
        <v>21989.360000000001</v>
      </c>
      <c r="Z101" s="111">
        <v>78512.72</v>
      </c>
      <c r="AA101" s="111">
        <v>0</v>
      </c>
      <c r="AB101" s="111">
        <v>0</v>
      </c>
      <c r="AC101" s="88">
        <f t="shared" si="26"/>
        <v>0</v>
      </c>
      <c r="AD101" s="120">
        <f>Z101</f>
        <v>78512.72</v>
      </c>
      <c r="AE101" s="121">
        <v>77446.25</v>
      </c>
      <c r="AF101" s="112">
        <v>78512.72</v>
      </c>
      <c r="AG101" s="120">
        <f t="shared" si="34"/>
        <v>0</v>
      </c>
      <c r="AH101" s="113">
        <v>1100122</v>
      </c>
      <c r="AI101" s="114">
        <v>21989.360000000001</v>
      </c>
      <c r="AJ101" s="114">
        <v>114079.69</v>
      </c>
      <c r="AK101" s="114">
        <v>118585</v>
      </c>
    </row>
    <row r="102" spans="1:37" ht="14.25" thickTop="1" thickBot="1" x14ac:dyDescent="0.25">
      <c r="A102" s="127"/>
      <c r="B102" s="128"/>
      <c r="C102" s="129">
        <v>6</v>
      </c>
      <c r="D102" s="129"/>
      <c r="E102" s="129"/>
      <c r="F102" s="130" t="s">
        <v>521</v>
      </c>
      <c r="G102" s="84">
        <f>SUM(G103:G104)</f>
        <v>1559167.8900000001</v>
      </c>
      <c r="H102" s="107">
        <f>SUM(H103:H104)</f>
        <v>1598513.6</v>
      </c>
      <c r="I102" s="107">
        <f>SUM(I103:I104)</f>
        <v>1598513.6</v>
      </c>
      <c r="J102" s="85">
        <f>SUM(J103:J104)</f>
        <v>1698513.6</v>
      </c>
      <c r="K102" s="108">
        <f t="shared" ref="K102:AB102" si="43">SUM(K103:K104)</f>
        <v>225581.64</v>
      </c>
      <c r="L102" s="85">
        <f t="shared" si="43"/>
        <v>116773.22</v>
      </c>
      <c r="M102" s="85">
        <f t="shared" si="43"/>
        <v>115038.74</v>
      </c>
      <c r="N102" s="85">
        <f t="shared" si="43"/>
        <v>72226.52</v>
      </c>
      <c r="O102" s="85">
        <f t="shared" si="43"/>
        <v>49167.75</v>
      </c>
      <c r="P102" s="85">
        <f t="shared" si="43"/>
        <v>100508.01999999999</v>
      </c>
      <c r="Q102" s="85">
        <f t="shared" si="43"/>
        <v>51875.259999999995</v>
      </c>
      <c r="R102" s="85">
        <f t="shared" si="43"/>
        <v>96474.377999999997</v>
      </c>
      <c r="S102" s="85">
        <f t="shared" si="43"/>
        <v>109255.81399999998</v>
      </c>
      <c r="T102" s="85">
        <f t="shared" si="43"/>
        <v>133848.24600000001</v>
      </c>
      <c r="U102" s="85">
        <f t="shared" si="43"/>
        <v>143625.24799999999</v>
      </c>
      <c r="V102" s="85">
        <f t="shared" si="43"/>
        <v>141528.25200000001</v>
      </c>
      <c r="W102" s="132">
        <f t="shared" si="43"/>
        <v>1355903.08</v>
      </c>
      <c r="X102" s="134">
        <f t="shared" si="43"/>
        <v>1355903.08</v>
      </c>
      <c r="Y102" s="133">
        <f t="shared" si="43"/>
        <v>1710715.62</v>
      </c>
      <c r="Z102" s="134">
        <f t="shared" si="43"/>
        <v>1609061.26</v>
      </c>
      <c r="AA102" s="134">
        <f t="shared" si="43"/>
        <v>238132.12</v>
      </c>
      <c r="AB102" s="134">
        <f t="shared" si="43"/>
        <v>139051.72</v>
      </c>
      <c r="AC102" s="88">
        <f t="shared" si="26"/>
        <v>0</v>
      </c>
      <c r="AD102" s="132">
        <f>SUM(AD103:AD104)</f>
        <v>1749483.6400000001</v>
      </c>
      <c r="AE102" s="132">
        <f>SUM(AE103:AE104)</f>
        <v>661590.33000000007</v>
      </c>
      <c r="AF102" s="132">
        <f>SUM(AF103:AF104)</f>
        <v>1749483.6400000001</v>
      </c>
      <c r="AG102" s="132">
        <f t="shared" si="34"/>
        <v>0</v>
      </c>
      <c r="AH102" s="135"/>
      <c r="AI102" s="133">
        <f>SUM(AI103:AI104)</f>
        <v>1710715.62</v>
      </c>
      <c r="AJ102" s="133">
        <f>SUM(AJ103:AJ104)</f>
        <v>1860927.02</v>
      </c>
      <c r="AK102" s="133">
        <f>SUM(AK103:AK104)</f>
        <v>1934433</v>
      </c>
    </row>
    <row r="103" spans="1:37" ht="16.5" thickTop="1" thickBot="1" x14ac:dyDescent="0.25">
      <c r="A103" s="101"/>
      <c r="B103" s="102"/>
      <c r="C103" s="103"/>
      <c r="D103" s="103">
        <v>1</v>
      </c>
      <c r="E103" s="104">
        <v>430601</v>
      </c>
      <c r="F103" s="105" t="s">
        <v>522</v>
      </c>
      <c r="G103" s="108">
        <v>922635.89</v>
      </c>
      <c r="H103" s="107">
        <f>1000+97513.6+800000</f>
        <v>898513.6</v>
      </c>
      <c r="I103" s="107">
        <f>1000+97513.6+800000</f>
        <v>898513.6</v>
      </c>
      <c r="J103" s="108">
        <v>898513.6</v>
      </c>
      <c r="K103" s="136">
        <v>99368.639999999999</v>
      </c>
      <c r="L103" s="136">
        <v>76730.22</v>
      </c>
      <c r="M103" s="136">
        <v>68983.740000000005</v>
      </c>
      <c r="N103" s="136">
        <v>15626.52</v>
      </c>
      <c r="O103" s="190">
        <v>23773.75</v>
      </c>
      <c r="P103" s="117">
        <v>54020.02</v>
      </c>
      <c r="Q103" s="137">
        <v>30679.26</v>
      </c>
      <c r="R103" s="137">
        <v>61106.87799999999</v>
      </c>
      <c r="S103" s="137">
        <v>67791.16399999999</v>
      </c>
      <c r="T103" s="137">
        <v>81362.946000000011</v>
      </c>
      <c r="U103" s="137">
        <v>94676.648000000001</v>
      </c>
      <c r="V103" s="137">
        <v>113039.05200000001</v>
      </c>
      <c r="W103" s="119">
        <v>787158.83</v>
      </c>
      <c r="X103" s="108">
        <f>W103</f>
        <v>787158.83</v>
      </c>
      <c r="Y103" s="110">
        <v>1092582.6200000001</v>
      </c>
      <c r="Z103" s="111">
        <v>952160.24</v>
      </c>
      <c r="AA103" s="111">
        <v>98565.119999999995</v>
      </c>
      <c r="AB103" s="123">
        <v>72990.720000000001</v>
      </c>
      <c r="AC103" s="88">
        <f t="shared" si="26"/>
        <v>0</v>
      </c>
      <c r="AD103" s="120">
        <f>Y103</f>
        <v>1092582.6200000001</v>
      </c>
      <c r="AE103" s="121">
        <v>315809.28000000003</v>
      </c>
      <c r="AF103" s="112">
        <v>1092582.6200000001</v>
      </c>
      <c r="AG103" s="120">
        <f t="shared" si="34"/>
        <v>0</v>
      </c>
      <c r="AH103" s="113">
        <v>1100122</v>
      </c>
      <c r="AI103" s="114">
        <v>1092582.6200000001</v>
      </c>
      <c r="AJ103" s="114">
        <v>1145023.1000000001</v>
      </c>
      <c r="AK103" s="114">
        <v>1190251</v>
      </c>
    </row>
    <row r="104" spans="1:37" ht="16.5" thickTop="1" thickBot="1" x14ac:dyDescent="0.25">
      <c r="A104" s="101"/>
      <c r="B104" s="102"/>
      <c r="C104" s="103"/>
      <c r="D104" s="103">
        <v>2</v>
      </c>
      <c r="E104" s="104">
        <v>430602</v>
      </c>
      <c r="F104" s="105" t="s">
        <v>523</v>
      </c>
      <c r="G104" s="108">
        <v>636532</v>
      </c>
      <c r="H104" s="107">
        <v>700000</v>
      </c>
      <c r="I104" s="107">
        <v>700000</v>
      </c>
      <c r="J104" s="108">
        <v>800000</v>
      </c>
      <c r="K104" s="136">
        <v>126213</v>
      </c>
      <c r="L104" s="141">
        <v>40043</v>
      </c>
      <c r="M104" s="136">
        <v>46055</v>
      </c>
      <c r="N104" s="136">
        <v>56600</v>
      </c>
      <c r="O104" s="190">
        <v>25394</v>
      </c>
      <c r="P104" s="117">
        <v>46488</v>
      </c>
      <c r="Q104" s="137">
        <v>21196</v>
      </c>
      <c r="R104" s="137">
        <v>35367.5</v>
      </c>
      <c r="S104" s="137">
        <v>41464.65</v>
      </c>
      <c r="T104" s="137">
        <v>52485.3</v>
      </c>
      <c r="U104" s="137">
        <v>48948.6</v>
      </c>
      <c r="V104" s="137">
        <v>28489.200000000001</v>
      </c>
      <c r="W104" s="119">
        <f>SUM(K104:V104)</f>
        <v>568744.25</v>
      </c>
      <c r="X104" s="108">
        <f>W104</f>
        <v>568744.25</v>
      </c>
      <c r="Y104" s="110">
        <v>618133</v>
      </c>
      <c r="Z104" s="111">
        <v>656901.02</v>
      </c>
      <c r="AA104" s="111">
        <v>139567</v>
      </c>
      <c r="AB104" s="123">
        <v>66061</v>
      </c>
      <c r="AC104" s="88">
        <f t="shared" si="26"/>
        <v>0</v>
      </c>
      <c r="AD104" s="120">
        <f>Z104</f>
        <v>656901.02</v>
      </c>
      <c r="AE104" s="121">
        <v>345781.05</v>
      </c>
      <c r="AF104" s="112">
        <v>656901.02</v>
      </c>
      <c r="AG104" s="120">
        <f t="shared" si="34"/>
        <v>0</v>
      </c>
      <c r="AH104" s="113">
        <v>1100122</v>
      </c>
      <c r="AI104" s="114">
        <v>618133</v>
      </c>
      <c r="AJ104" s="114">
        <v>715903.92</v>
      </c>
      <c r="AK104" s="114">
        <v>744182</v>
      </c>
    </row>
    <row r="105" spans="1:37" ht="14.25" thickTop="1" thickBot="1" x14ac:dyDescent="0.25">
      <c r="A105" s="127"/>
      <c r="B105" s="128"/>
      <c r="C105" s="129">
        <v>7</v>
      </c>
      <c r="D105" s="129"/>
      <c r="E105" s="129"/>
      <c r="F105" s="130" t="s">
        <v>524</v>
      </c>
      <c r="G105" s="84">
        <f>G106</f>
        <v>28865.09</v>
      </c>
      <c r="H105" s="85">
        <f>H106</f>
        <v>40000</v>
      </c>
      <c r="I105" s="85">
        <f>I106</f>
        <v>40000</v>
      </c>
      <c r="J105" s="84">
        <f>J106</f>
        <v>40000</v>
      </c>
      <c r="K105" s="84">
        <f t="shared" ref="K105:AB105" si="44">K106</f>
        <v>0</v>
      </c>
      <c r="L105" s="84">
        <f t="shared" si="44"/>
        <v>0</v>
      </c>
      <c r="M105" s="84">
        <f t="shared" si="44"/>
        <v>36895.69</v>
      </c>
      <c r="N105" s="84">
        <f t="shared" si="44"/>
        <v>0</v>
      </c>
      <c r="O105" s="84">
        <f t="shared" si="44"/>
        <v>0</v>
      </c>
      <c r="P105" s="84">
        <f t="shared" si="44"/>
        <v>0</v>
      </c>
      <c r="Q105" s="84">
        <f t="shared" si="44"/>
        <v>0</v>
      </c>
      <c r="R105" s="84">
        <f t="shared" si="44"/>
        <v>0</v>
      </c>
      <c r="S105" s="84">
        <f t="shared" si="44"/>
        <v>0</v>
      </c>
      <c r="T105" s="84">
        <f t="shared" si="44"/>
        <v>0</v>
      </c>
      <c r="U105" s="84">
        <f t="shared" si="44"/>
        <v>0</v>
      </c>
      <c r="V105" s="84">
        <f t="shared" si="44"/>
        <v>0</v>
      </c>
      <c r="W105" s="132">
        <f t="shared" si="44"/>
        <v>36895.69</v>
      </c>
      <c r="X105" s="134">
        <f t="shared" si="44"/>
        <v>36895.69</v>
      </c>
      <c r="Y105" s="133">
        <f t="shared" si="44"/>
        <v>36895.69</v>
      </c>
      <c r="Z105" s="134">
        <f t="shared" si="44"/>
        <v>36895.69</v>
      </c>
      <c r="AA105" s="134">
        <f t="shared" si="44"/>
        <v>0</v>
      </c>
      <c r="AB105" s="134">
        <f t="shared" si="44"/>
        <v>0</v>
      </c>
      <c r="AC105" s="88">
        <f t="shared" si="26"/>
        <v>0</v>
      </c>
      <c r="AD105" s="132">
        <f>AD106</f>
        <v>36895.69</v>
      </c>
      <c r="AE105" s="132">
        <f>AE106</f>
        <v>0</v>
      </c>
      <c r="AF105" s="132">
        <f>AF106</f>
        <v>36895.69</v>
      </c>
      <c r="AG105" s="132">
        <f t="shared" si="34"/>
        <v>0</v>
      </c>
      <c r="AH105" s="135"/>
      <c r="AI105" s="133">
        <f>AI106</f>
        <v>36895.69</v>
      </c>
      <c r="AJ105" s="133">
        <f>AJ106</f>
        <v>0</v>
      </c>
      <c r="AK105" s="133">
        <f>AK106</f>
        <v>0</v>
      </c>
    </row>
    <row r="106" spans="1:37" ht="16.5" thickTop="1" thickBot="1" x14ac:dyDescent="0.25">
      <c r="A106" s="101"/>
      <c r="B106" s="102"/>
      <c r="C106" s="103"/>
      <c r="D106" s="103">
        <v>1</v>
      </c>
      <c r="E106" s="104">
        <v>430701</v>
      </c>
      <c r="F106" s="105" t="s">
        <v>525</v>
      </c>
      <c r="G106" s="108">
        <v>28865.09</v>
      </c>
      <c r="H106" s="107">
        <v>40000</v>
      </c>
      <c r="I106" s="107">
        <v>40000</v>
      </c>
      <c r="J106" s="108">
        <v>40000</v>
      </c>
      <c r="K106" s="108">
        <v>0</v>
      </c>
      <c r="L106" s="141">
        <v>0</v>
      </c>
      <c r="M106" s="136">
        <v>36895.69</v>
      </c>
      <c r="N106" s="136">
        <v>0</v>
      </c>
      <c r="O106" s="136"/>
      <c r="P106" s="117">
        <v>0</v>
      </c>
      <c r="Q106" s="136">
        <v>0</v>
      </c>
      <c r="R106" s="136">
        <v>0</v>
      </c>
      <c r="S106" s="136">
        <v>0</v>
      </c>
      <c r="T106" s="136">
        <v>0</v>
      </c>
      <c r="U106" s="136">
        <v>0</v>
      </c>
      <c r="V106" s="136">
        <v>0</v>
      </c>
      <c r="W106" s="119">
        <f>SUM(K106:V106)</f>
        <v>36895.69</v>
      </c>
      <c r="X106" s="108">
        <f>W106</f>
        <v>36895.69</v>
      </c>
      <c r="Y106" s="110">
        <v>36895.69</v>
      </c>
      <c r="Z106" s="111">
        <v>36895.69</v>
      </c>
      <c r="AA106" s="111">
        <v>0</v>
      </c>
      <c r="AB106" s="111">
        <v>0</v>
      </c>
      <c r="AC106" s="88">
        <f t="shared" si="26"/>
        <v>0</v>
      </c>
      <c r="AD106" s="120">
        <f>Z106</f>
        <v>36895.69</v>
      </c>
      <c r="AE106" s="121">
        <v>0</v>
      </c>
      <c r="AF106" s="112">
        <v>36895.69</v>
      </c>
      <c r="AG106" s="120">
        <f t="shared" si="34"/>
        <v>0</v>
      </c>
      <c r="AH106" s="113">
        <v>1100122</v>
      </c>
      <c r="AI106" s="114">
        <v>36895.69</v>
      </c>
      <c r="AJ106" s="114">
        <v>0</v>
      </c>
      <c r="AK106" s="114">
        <v>0</v>
      </c>
    </row>
    <row r="107" spans="1:37" ht="14.25" thickTop="1" thickBot="1" x14ac:dyDescent="0.25">
      <c r="A107" s="127"/>
      <c r="B107" s="128"/>
      <c r="C107" s="129">
        <v>8</v>
      </c>
      <c r="D107" s="129"/>
      <c r="E107" s="129"/>
      <c r="F107" s="130" t="s">
        <v>526</v>
      </c>
      <c r="G107" s="84">
        <f>G108</f>
        <v>501659.57</v>
      </c>
      <c r="H107" s="85">
        <f>H108</f>
        <v>601035.6</v>
      </c>
      <c r="I107" s="85">
        <f>I108</f>
        <v>601035.6</v>
      </c>
      <c r="J107" s="84">
        <f>J108</f>
        <v>601035.6</v>
      </c>
      <c r="K107" s="84">
        <f t="shared" ref="K107:AB107" si="45">K108</f>
        <v>59630.879999999997</v>
      </c>
      <c r="L107" s="85">
        <f t="shared" si="45"/>
        <v>35274.639999999999</v>
      </c>
      <c r="M107" s="85">
        <f t="shared" si="45"/>
        <v>51480.85</v>
      </c>
      <c r="N107" s="85">
        <f t="shared" si="45"/>
        <v>8160.09</v>
      </c>
      <c r="O107" s="85">
        <f t="shared" si="45"/>
        <v>4560.9799999999996</v>
      </c>
      <c r="P107" s="85">
        <f t="shared" si="45"/>
        <v>7887.76</v>
      </c>
      <c r="Q107" s="85">
        <f t="shared" si="45"/>
        <v>25000</v>
      </c>
      <c r="R107" s="85">
        <f t="shared" si="45"/>
        <v>30000</v>
      </c>
      <c r="S107" s="85">
        <f t="shared" si="45"/>
        <v>30000</v>
      </c>
      <c r="T107" s="85">
        <f t="shared" si="45"/>
        <v>30000</v>
      </c>
      <c r="U107" s="85">
        <f t="shared" si="45"/>
        <v>20000</v>
      </c>
      <c r="V107" s="85">
        <f t="shared" si="45"/>
        <v>20000</v>
      </c>
      <c r="W107" s="132">
        <f t="shared" si="45"/>
        <v>321995.2</v>
      </c>
      <c r="X107" s="134">
        <f t="shared" si="45"/>
        <v>321995.2</v>
      </c>
      <c r="Y107" s="133">
        <f t="shared" si="45"/>
        <v>346197.2</v>
      </c>
      <c r="Z107" s="134">
        <f t="shared" si="45"/>
        <v>321995.2</v>
      </c>
      <c r="AA107" s="134">
        <f t="shared" si="45"/>
        <v>27031.07</v>
      </c>
      <c r="AB107" s="134">
        <f t="shared" si="45"/>
        <v>52439.87</v>
      </c>
      <c r="AC107" s="88">
        <f t="shared" si="26"/>
        <v>0</v>
      </c>
      <c r="AD107" s="132">
        <f>AD108</f>
        <v>358314.10199999996</v>
      </c>
      <c r="AE107" s="132">
        <f>AE108</f>
        <v>185485.07</v>
      </c>
      <c r="AF107" s="132">
        <f>AF108</f>
        <v>358314.1</v>
      </c>
      <c r="AG107" s="132">
        <f t="shared" si="34"/>
        <v>-1.9999999785795808E-3</v>
      </c>
      <c r="AH107" s="135"/>
      <c r="AI107" s="133">
        <f>AI108</f>
        <v>346197.2</v>
      </c>
      <c r="AJ107" s="133">
        <f>AJ108</f>
        <v>528543.27</v>
      </c>
      <c r="AK107" s="133">
        <f>AK108</f>
        <v>549420</v>
      </c>
    </row>
    <row r="108" spans="1:37" ht="16.5" thickTop="1" thickBot="1" x14ac:dyDescent="0.25">
      <c r="A108" s="101"/>
      <c r="B108" s="102"/>
      <c r="C108" s="103"/>
      <c r="D108" s="103">
        <v>1</v>
      </c>
      <c r="E108" s="104">
        <v>430801</v>
      </c>
      <c r="F108" s="105" t="s">
        <v>527</v>
      </c>
      <c r="G108" s="108">
        <v>501659.57</v>
      </c>
      <c r="H108" s="107">
        <v>601035.6</v>
      </c>
      <c r="I108" s="107">
        <v>601035.6</v>
      </c>
      <c r="J108" s="108">
        <v>601035.6</v>
      </c>
      <c r="K108" s="136">
        <v>59630.879999999997</v>
      </c>
      <c r="L108" s="141">
        <v>35274.639999999999</v>
      </c>
      <c r="M108" s="136">
        <v>51480.85</v>
      </c>
      <c r="N108" s="136">
        <v>8160.09</v>
      </c>
      <c r="O108" s="190">
        <v>4560.9799999999996</v>
      </c>
      <c r="P108" s="117">
        <v>7887.76</v>
      </c>
      <c r="Q108" s="137">
        <v>25000</v>
      </c>
      <c r="R108" s="137">
        <v>30000</v>
      </c>
      <c r="S108" s="137">
        <v>30000</v>
      </c>
      <c r="T108" s="137">
        <v>30000</v>
      </c>
      <c r="U108" s="137">
        <v>20000</v>
      </c>
      <c r="V108" s="137">
        <v>20000</v>
      </c>
      <c r="W108" s="119">
        <f>SUM(K108:V108)</f>
        <v>321995.2</v>
      </c>
      <c r="X108" s="108">
        <f>W108</f>
        <v>321995.2</v>
      </c>
      <c r="Y108" s="110">
        <v>346197.2</v>
      </c>
      <c r="Z108" s="111">
        <v>321995.2</v>
      </c>
      <c r="AA108" s="111">
        <v>27031.07</v>
      </c>
      <c r="AB108" s="123">
        <v>52439.87</v>
      </c>
      <c r="AC108" s="88">
        <f t="shared" si="26"/>
        <v>0</v>
      </c>
      <c r="AD108" s="120">
        <f>Y108*1.035</f>
        <v>358314.10199999996</v>
      </c>
      <c r="AE108" s="121">
        <v>185485.07</v>
      </c>
      <c r="AF108" s="112">
        <v>358314.1</v>
      </c>
      <c r="AG108" s="120">
        <f t="shared" si="34"/>
        <v>-1.9999999785795808E-3</v>
      </c>
      <c r="AH108" s="113">
        <v>1100122</v>
      </c>
      <c r="AI108" s="114">
        <v>346197.2</v>
      </c>
      <c r="AJ108" s="114">
        <v>528543.27</v>
      </c>
      <c r="AK108" s="114">
        <v>549420</v>
      </c>
    </row>
    <row r="109" spans="1:37" ht="14.25" thickTop="1" thickBot="1" x14ac:dyDescent="0.25">
      <c r="A109" s="127"/>
      <c r="B109" s="128"/>
      <c r="C109" s="129">
        <v>9</v>
      </c>
      <c r="D109" s="129"/>
      <c r="E109" s="129"/>
      <c r="F109" s="130" t="s">
        <v>528</v>
      </c>
      <c r="G109" s="84">
        <f>G110+G111+G112</f>
        <v>1814275.07</v>
      </c>
      <c r="H109" s="107">
        <f>H110+H111+H112</f>
        <v>1900000</v>
      </c>
      <c r="I109" s="107">
        <f>I110+I111+I112</f>
        <v>1900000</v>
      </c>
      <c r="J109" s="85">
        <f>J110+J111+J112</f>
        <v>1900000</v>
      </c>
      <c r="K109" s="108">
        <f t="shared" ref="K109:AB109" si="46">K110+K111+K112</f>
        <v>129753.62000000001</v>
      </c>
      <c r="L109" s="85">
        <f t="shared" si="46"/>
        <v>147088.09</v>
      </c>
      <c r="M109" s="85">
        <f t="shared" si="46"/>
        <v>149617.44999999998</v>
      </c>
      <c r="N109" s="85">
        <f t="shared" si="46"/>
        <v>0</v>
      </c>
      <c r="O109" s="85">
        <f t="shared" si="46"/>
        <v>4851.87</v>
      </c>
      <c r="P109" s="85">
        <f t="shared" si="46"/>
        <v>125099.32999999999</v>
      </c>
      <c r="Q109" s="85">
        <f t="shared" si="46"/>
        <v>0</v>
      </c>
      <c r="R109" s="85">
        <f t="shared" si="46"/>
        <v>0</v>
      </c>
      <c r="S109" s="85">
        <f t="shared" si="46"/>
        <v>164275.81</v>
      </c>
      <c r="T109" s="85">
        <f t="shared" si="46"/>
        <v>201580.96000000002</v>
      </c>
      <c r="U109" s="85">
        <f t="shared" si="46"/>
        <v>142623.53</v>
      </c>
      <c r="V109" s="85">
        <f t="shared" si="46"/>
        <v>90216.01</v>
      </c>
      <c r="W109" s="132">
        <f t="shared" si="46"/>
        <v>1155106.6700000002</v>
      </c>
      <c r="X109" s="134">
        <f t="shared" si="46"/>
        <v>1155106.6700000002</v>
      </c>
      <c r="Y109" s="133">
        <f t="shared" si="46"/>
        <v>1476282</v>
      </c>
      <c r="Z109" s="134">
        <f t="shared" si="46"/>
        <v>1930000</v>
      </c>
      <c r="AA109" s="134">
        <f t="shared" si="46"/>
        <v>128213.34999999999</v>
      </c>
      <c r="AB109" s="134">
        <f t="shared" si="46"/>
        <v>162148.06000000003</v>
      </c>
      <c r="AC109" s="88">
        <f t="shared" si="26"/>
        <v>0</v>
      </c>
      <c r="AD109" s="132">
        <f>AD110+AD111+AD112</f>
        <v>1930000</v>
      </c>
      <c r="AE109" s="132">
        <f>AE110+AE111+AE112</f>
        <v>678033.31</v>
      </c>
      <c r="AF109" s="132">
        <f>AF110+AF111+AF112</f>
        <v>1930000</v>
      </c>
      <c r="AG109" s="132">
        <f t="shared" si="34"/>
        <v>0</v>
      </c>
      <c r="AH109" s="135"/>
      <c r="AI109" s="133">
        <f>AI110+AI111+AI112</f>
        <v>1476282</v>
      </c>
      <c r="AJ109" s="133">
        <f>AJ110+AJ111+AJ112</f>
        <v>2012065.3499999999</v>
      </c>
      <c r="AK109" s="133">
        <f>AK110+AK111+AK112</f>
        <v>2091540</v>
      </c>
    </row>
    <row r="110" spans="1:37" ht="16.5" thickTop="1" thickBot="1" x14ac:dyDescent="0.25">
      <c r="A110" s="101"/>
      <c r="B110" s="102"/>
      <c r="C110" s="103"/>
      <c r="D110" s="103">
        <v>1</v>
      </c>
      <c r="E110" s="104">
        <v>430901</v>
      </c>
      <c r="F110" s="105" t="s">
        <v>529</v>
      </c>
      <c r="G110" s="108">
        <v>1626407.15</v>
      </c>
      <c r="H110" s="107">
        <v>1700000</v>
      </c>
      <c r="I110" s="107">
        <v>1700000</v>
      </c>
      <c r="J110" s="108">
        <v>1700000</v>
      </c>
      <c r="K110" s="136">
        <v>117237.11</v>
      </c>
      <c r="L110" s="136">
        <v>122902.43</v>
      </c>
      <c r="M110" s="136">
        <v>129126.9</v>
      </c>
      <c r="N110" s="136">
        <v>0</v>
      </c>
      <c r="O110" s="190">
        <v>3592.77</v>
      </c>
      <c r="P110" s="117">
        <v>120062.93</v>
      </c>
      <c r="Q110" s="137">
        <v>0</v>
      </c>
      <c r="R110" s="137">
        <v>0</v>
      </c>
      <c r="S110" s="137">
        <v>152131.72</v>
      </c>
      <c r="T110" s="137">
        <v>169669.14</v>
      </c>
      <c r="U110" s="137">
        <v>127915.67</v>
      </c>
      <c r="V110" s="137">
        <v>87399.19</v>
      </c>
      <c r="W110" s="119">
        <f>SUM(K110:V110)</f>
        <v>1030037.8600000001</v>
      </c>
      <c r="X110" s="108">
        <f>W110</f>
        <v>1030037.8600000001</v>
      </c>
      <c r="Y110" s="110">
        <v>1369578.98</v>
      </c>
      <c r="Z110" s="111">
        <v>1780000</v>
      </c>
      <c r="AA110" s="111">
        <v>119929.19</v>
      </c>
      <c r="AB110" s="123">
        <v>144741.38</v>
      </c>
      <c r="AC110" s="88">
        <f t="shared" si="26"/>
        <v>0</v>
      </c>
      <c r="AD110" s="120">
        <f>Z110</f>
        <v>1780000</v>
      </c>
      <c r="AE110" s="121">
        <v>617737.12</v>
      </c>
      <c r="AF110" s="112">
        <v>1780000</v>
      </c>
      <c r="AG110" s="120">
        <f t="shared" si="34"/>
        <v>0</v>
      </c>
      <c r="AH110" s="113">
        <v>1100122</v>
      </c>
      <c r="AI110" s="114">
        <v>1369578.98</v>
      </c>
      <c r="AJ110" s="114">
        <v>1911216.27</v>
      </c>
      <c r="AK110" s="114">
        <v>1986709</v>
      </c>
    </row>
    <row r="111" spans="1:37" ht="16.5" thickTop="1" thickBot="1" x14ac:dyDescent="0.25">
      <c r="A111" s="101"/>
      <c r="B111" s="102"/>
      <c r="C111" s="103"/>
      <c r="D111" s="103">
        <v>2</v>
      </c>
      <c r="E111" s="104">
        <v>430902</v>
      </c>
      <c r="F111" s="105" t="s">
        <v>530</v>
      </c>
      <c r="G111" s="108">
        <v>137987.87</v>
      </c>
      <c r="H111" s="107">
        <v>150000</v>
      </c>
      <c r="I111" s="107">
        <v>150000</v>
      </c>
      <c r="J111" s="108">
        <v>150000</v>
      </c>
      <c r="K111" s="136">
        <v>11886.96</v>
      </c>
      <c r="L111" s="136">
        <v>5299.16</v>
      </c>
      <c r="M111" s="136">
        <v>7270</v>
      </c>
      <c r="N111" s="136">
        <v>0</v>
      </c>
      <c r="O111" s="136"/>
      <c r="P111" s="117">
        <v>0</v>
      </c>
      <c r="Q111" s="137">
        <v>0</v>
      </c>
      <c r="R111" s="137">
        <v>0</v>
      </c>
      <c r="S111" s="137">
        <v>12144.09</v>
      </c>
      <c r="T111" s="137">
        <v>13055.76</v>
      </c>
      <c r="U111" s="137">
        <v>12883.08</v>
      </c>
      <c r="V111" s="137">
        <v>992.04</v>
      </c>
      <c r="W111" s="119">
        <f>SUM(K111:V111)</f>
        <v>63531.090000000004</v>
      </c>
      <c r="X111" s="108">
        <f>W111</f>
        <v>63531.090000000004</v>
      </c>
      <c r="Y111" s="110">
        <v>37452.519999999997</v>
      </c>
      <c r="Z111" s="111">
        <v>75000</v>
      </c>
      <c r="AA111" s="111">
        <v>1768.76</v>
      </c>
      <c r="AB111" s="123">
        <v>1768.76</v>
      </c>
      <c r="AC111" s="88">
        <f t="shared" ref="AC111:AC126" si="47">W111-X111</f>
        <v>0</v>
      </c>
      <c r="AD111" s="120">
        <f>Z111</f>
        <v>75000</v>
      </c>
      <c r="AE111" s="121">
        <v>12731.25</v>
      </c>
      <c r="AF111" s="112">
        <v>75000</v>
      </c>
      <c r="AG111" s="120">
        <f t="shared" si="34"/>
        <v>0</v>
      </c>
      <c r="AH111" s="113">
        <v>1100122</v>
      </c>
      <c r="AI111" s="114">
        <v>37452.519999999997</v>
      </c>
      <c r="AJ111" s="114">
        <v>31892.149999999998</v>
      </c>
      <c r="AK111" s="114">
        <v>33151</v>
      </c>
    </row>
    <row r="112" spans="1:37" ht="16.5" thickTop="1" thickBot="1" x14ac:dyDescent="0.25">
      <c r="A112" s="101"/>
      <c r="B112" s="102"/>
      <c r="C112" s="103"/>
      <c r="D112" s="103">
        <v>3</v>
      </c>
      <c r="E112" s="104">
        <v>430903</v>
      </c>
      <c r="F112" s="105" t="s">
        <v>531</v>
      </c>
      <c r="G112" s="108">
        <v>49880.05</v>
      </c>
      <c r="H112" s="107">
        <v>50000</v>
      </c>
      <c r="I112" s="107">
        <v>50000</v>
      </c>
      <c r="J112" s="108">
        <v>50000</v>
      </c>
      <c r="K112" s="136">
        <v>629.54999999999995</v>
      </c>
      <c r="L112" s="141">
        <v>18886.5</v>
      </c>
      <c r="M112" s="136">
        <v>13220.55</v>
      </c>
      <c r="N112" s="136">
        <v>0</v>
      </c>
      <c r="O112" s="190">
        <v>1259.0999999999999</v>
      </c>
      <c r="P112" s="117">
        <v>5036.3999999999996</v>
      </c>
      <c r="Q112" s="137">
        <v>0</v>
      </c>
      <c r="R112" s="137">
        <v>0</v>
      </c>
      <c r="S112" s="137">
        <v>0</v>
      </c>
      <c r="T112" s="137">
        <v>18856.060000000001</v>
      </c>
      <c r="U112" s="137">
        <v>1824.78</v>
      </c>
      <c r="V112" s="137">
        <v>1824.78</v>
      </c>
      <c r="W112" s="119">
        <f>SUM(K112:V112)</f>
        <v>61537.72</v>
      </c>
      <c r="X112" s="108">
        <f>W112</f>
        <v>61537.72</v>
      </c>
      <c r="Y112" s="110">
        <v>69250.5</v>
      </c>
      <c r="Z112" s="111">
        <v>75000</v>
      </c>
      <c r="AA112" s="111">
        <v>6515.4</v>
      </c>
      <c r="AB112" s="123">
        <v>15637.92</v>
      </c>
      <c r="AC112" s="88">
        <f t="shared" si="47"/>
        <v>0</v>
      </c>
      <c r="AD112" s="120">
        <f>Z112</f>
        <v>75000</v>
      </c>
      <c r="AE112" s="121">
        <v>47564.94</v>
      </c>
      <c r="AF112" s="112">
        <v>75000</v>
      </c>
      <c r="AG112" s="120">
        <f t="shared" si="34"/>
        <v>0</v>
      </c>
      <c r="AH112" s="113">
        <v>1100122</v>
      </c>
      <c r="AI112" s="114">
        <v>69250.5</v>
      </c>
      <c r="AJ112" s="114">
        <v>68956.929999999993</v>
      </c>
      <c r="AK112" s="114">
        <v>71680</v>
      </c>
    </row>
    <row r="113" spans="1:37" ht="27" thickTop="1" thickBot="1" x14ac:dyDescent="0.25">
      <c r="A113" s="127"/>
      <c r="B113" s="128"/>
      <c r="C113" s="129">
        <v>10</v>
      </c>
      <c r="D113" s="129"/>
      <c r="E113" s="129"/>
      <c r="F113" s="130" t="s">
        <v>532</v>
      </c>
      <c r="G113" s="84">
        <f>G114+G115+G116+G117+G118+G119+G120</f>
        <v>9810732.6699999999</v>
      </c>
      <c r="H113" s="85">
        <f>H114+H115+H116+H117+H118+H119+H120</f>
        <v>22131281</v>
      </c>
      <c r="I113" s="84">
        <f>I115+I116+I117+I118+I119+I120+I114</f>
        <v>22131281</v>
      </c>
      <c r="J113" s="84">
        <f>J114+J115+J116+J117+J118+J119+J120</f>
        <v>22531281</v>
      </c>
      <c r="K113" s="85">
        <f t="shared" ref="K113:AB113" si="48">K114+K115+K116+K117+K118+K119+K120</f>
        <v>769558.34</v>
      </c>
      <c r="L113" s="85">
        <f t="shared" si="48"/>
        <v>1839989.18</v>
      </c>
      <c r="M113" s="85">
        <f t="shared" si="48"/>
        <v>3637334.7200000007</v>
      </c>
      <c r="N113" s="85">
        <f t="shared" si="48"/>
        <v>209855.76</v>
      </c>
      <c r="O113" s="85">
        <f t="shared" si="48"/>
        <v>3098314.5599999996</v>
      </c>
      <c r="P113" s="85">
        <f t="shared" si="48"/>
        <v>1117091.19</v>
      </c>
      <c r="Q113" s="85">
        <f t="shared" si="48"/>
        <v>289094.39607999998</v>
      </c>
      <c r="R113" s="85">
        <f t="shared" si="48"/>
        <v>469377.73839999997</v>
      </c>
      <c r="S113" s="85">
        <f t="shared" si="48"/>
        <v>383783.68624000001</v>
      </c>
      <c r="T113" s="85">
        <f t="shared" si="48"/>
        <v>993700.55960000004</v>
      </c>
      <c r="U113" s="85">
        <f t="shared" si="48"/>
        <v>1155924.3216799998</v>
      </c>
      <c r="V113" s="85">
        <f t="shared" si="48"/>
        <v>1252440.9146400001</v>
      </c>
      <c r="W113" s="132">
        <f t="shared" si="48"/>
        <v>7774065.0599999996</v>
      </c>
      <c r="X113" s="134">
        <f t="shared" si="48"/>
        <v>7774065.0599999996</v>
      </c>
      <c r="Y113" s="133">
        <f t="shared" si="48"/>
        <v>10445471.890000001</v>
      </c>
      <c r="Z113" s="134">
        <f t="shared" si="48"/>
        <v>8046157.3399999999</v>
      </c>
      <c r="AA113" s="134">
        <f t="shared" si="48"/>
        <v>310830.88</v>
      </c>
      <c r="AB113" s="134">
        <f t="shared" si="48"/>
        <v>694405.2</v>
      </c>
      <c r="AC113" s="88">
        <f t="shared" si="47"/>
        <v>0</v>
      </c>
      <c r="AD113" s="132">
        <f>AD114+AD115+AD116+AD117+AD118+AD119+AD120</f>
        <v>10762989.6645</v>
      </c>
      <c r="AE113" s="132">
        <f>AE114+AE115+AE116+AE117+AE118+AE119+AE120</f>
        <v>2468637.33</v>
      </c>
      <c r="AF113" s="132">
        <f>AF114+AF115+AF116+AF117+AF118+AF119+AF120</f>
        <v>11262989.27</v>
      </c>
      <c r="AG113" s="132">
        <f t="shared" si="34"/>
        <v>499999.6054999996</v>
      </c>
      <c r="AH113" s="135"/>
      <c r="AI113" s="133">
        <f>AI114+AI115+AI116+AI117+AI118+AI119+AI120</f>
        <v>10445471.890000001</v>
      </c>
      <c r="AJ113" s="133">
        <f>AJ114+AJ115+AJ116+AJ117+AJ118+AJ119+AJ120</f>
        <v>8296732.8133333344</v>
      </c>
      <c r="AK113" s="133">
        <f>AK114+AK115+AK116+AK117+AK118+AK119+AK120+AK121+AK122</f>
        <v>8527775</v>
      </c>
    </row>
    <row r="114" spans="1:37" ht="16.5" thickTop="1" thickBot="1" x14ac:dyDescent="0.25">
      <c r="A114" s="101"/>
      <c r="B114" s="102"/>
      <c r="C114" s="103"/>
      <c r="D114" s="103">
        <v>1</v>
      </c>
      <c r="E114" s="104">
        <v>431001</v>
      </c>
      <c r="F114" s="198" t="s">
        <v>443</v>
      </c>
      <c r="G114" s="108"/>
      <c r="H114" s="107">
        <f>11179281-800000</f>
        <v>10379281</v>
      </c>
      <c r="I114" s="107">
        <f>11179281-800000</f>
        <v>10379281</v>
      </c>
      <c r="J114" s="108">
        <f>11179281-800000</f>
        <v>10379281</v>
      </c>
      <c r="K114" s="106">
        <v>0</v>
      </c>
      <c r="L114" s="136">
        <v>376896.34</v>
      </c>
      <c r="M114" s="136">
        <v>3321198.18</v>
      </c>
      <c r="N114" s="136">
        <v>0</v>
      </c>
      <c r="O114" s="190">
        <v>2636458.62</v>
      </c>
      <c r="P114" s="117">
        <v>107847.16</v>
      </c>
      <c r="Q114" s="137">
        <v>0</v>
      </c>
      <c r="R114" s="137">
        <v>0</v>
      </c>
      <c r="S114" s="137">
        <v>0</v>
      </c>
      <c r="T114" s="137">
        <v>300000</v>
      </c>
      <c r="U114" s="137">
        <v>300000</v>
      </c>
      <c r="V114" s="137">
        <v>400000</v>
      </c>
      <c r="W114" s="170">
        <v>0</v>
      </c>
      <c r="X114" s="108">
        <f t="shared" ref="X114:X120" si="49">W114</f>
        <v>0</v>
      </c>
      <c r="Y114" s="110"/>
      <c r="Z114" s="108"/>
      <c r="AA114" s="108"/>
      <c r="AB114" s="108"/>
      <c r="AC114" s="88">
        <f t="shared" si="47"/>
        <v>0</v>
      </c>
      <c r="AD114" s="108"/>
      <c r="AE114" s="179"/>
      <c r="AF114" s="108"/>
      <c r="AG114" s="108">
        <f t="shared" si="34"/>
        <v>0</v>
      </c>
      <c r="AH114" s="113"/>
      <c r="AI114" s="110"/>
      <c r="AJ114" s="110"/>
      <c r="AK114" s="133"/>
    </row>
    <row r="115" spans="1:37" ht="16.5" thickTop="1" thickBot="1" x14ac:dyDescent="0.25">
      <c r="A115" s="101"/>
      <c r="B115" s="102"/>
      <c r="C115" s="103"/>
      <c r="D115" s="103">
        <v>2</v>
      </c>
      <c r="E115" s="104">
        <v>431002</v>
      </c>
      <c r="F115" s="105" t="s">
        <v>533</v>
      </c>
      <c r="G115" s="108">
        <v>2905810.49</v>
      </c>
      <c r="H115" s="107">
        <v>3800000</v>
      </c>
      <c r="I115" s="107">
        <v>3800000</v>
      </c>
      <c r="J115" s="108">
        <v>3800000</v>
      </c>
      <c r="K115" s="136">
        <v>142518.21</v>
      </c>
      <c r="L115" s="136">
        <v>72334.789999999994</v>
      </c>
      <c r="M115" s="136">
        <v>41665.449999999997</v>
      </c>
      <c r="N115" s="136">
        <v>17572.7</v>
      </c>
      <c r="O115" s="190">
        <v>105169.58</v>
      </c>
      <c r="P115" s="117">
        <v>413323.45</v>
      </c>
      <c r="Q115" s="137">
        <v>64880.08</v>
      </c>
      <c r="R115" s="137">
        <v>145313.34</v>
      </c>
      <c r="S115" s="137">
        <v>124982.68</v>
      </c>
      <c r="T115" s="137">
        <v>240280.66</v>
      </c>
      <c r="U115" s="137">
        <v>306452.68</v>
      </c>
      <c r="V115" s="137">
        <v>365874.84</v>
      </c>
      <c r="W115" s="119">
        <f t="shared" ref="W115:W120" si="50">SUM(K115:V115)</f>
        <v>2040368.46</v>
      </c>
      <c r="X115" s="108">
        <f t="shared" si="49"/>
        <v>2040368.46</v>
      </c>
      <c r="Y115" s="110">
        <v>1711970.77</v>
      </c>
      <c r="Z115" s="111">
        <v>2111781.36</v>
      </c>
      <c r="AA115" s="111">
        <v>55591.32</v>
      </c>
      <c r="AB115" s="123">
        <v>301333.31</v>
      </c>
      <c r="AC115" s="88">
        <f t="shared" si="47"/>
        <v>0</v>
      </c>
      <c r="AD115" s="112">
        <f>Y115</f>
        <v>1711970.77</v>
      </c>
      <c r="AE115" s="121">
        <v>974209.11</v>
      </c>
      <c r="AF115" s="112">
        <f>AD115+500000</f>
        <v>2211970.77</v>
      </c>
      <c r="AG115" s="112">
        <f t="shared" si="34"/>
        <v>500000</v>
      </c>
      <c r="AH115" s="113">
        <v>1100122</v>
      </c>
      <c r="AI115" s="114">
        <v>1711970.77</v>
      </c>
      <c r="AJ115" s="114">
        <v>2311934.04</v>
      </c>
      <c r="AK115" s="114"/>
    </row>
    <row r="116" spans="1:37" ht="16.5" thickTop="1" thickBot="1" x14ac:dyDescent="0.25">
      <c r="A116" s="101"/>
      <c r="B116" s="102"/>
      <c r="C116" s="103"/>
      <c r="D116" s="103">
        <v>3</v>
      </c>
      <c r="E116" s="104">
        <v>431003</v>
      </c>
      <c r="F116" s="105" t="s">
        <v>534</v>
      </c>
      <c r="G116" s="108">
        <v>1547319.28</v>
      </c>
      <c r="H116" s="107">
        <v>1700000</v>
      </c>
      <c r="I116" s="107">
        <v>1700000</v>
      </c>
      <c r="J116" s="108">
        <v>1700000</v>
      </c>
      <c r="K116" s="136">
        <v>202688.25</v>
      </c>
      <c r="L116" s="136">
        <v>56979.97</v>
      </c>
      <c r="M116" s="136">
        <v>26397.89</v>
      </c>
      <c r="N116" s="136">
        <v>133643.85</v>
      </c>
      <c r="O116" s="190">
        <v>294406.23</v>
      </c>
      <c r="P116" s="117">
        <v>323505.08</v>
      </c>
      <c r="Q116" s="137">
        <v>103604.58</v>
      </c>
      <c r="R116" s="137">
        <v>118060.27</v>
      </c>
      <c r="S116" s="137">
        <v>106820.81</v>
      </c>
      <c r="T116" s="137">
        <v>147667.5</v>
      </c>
      <c r="U116" s="137">
        <v>254670.7</v>
      </c>
      <c r="V116" s="137">
        <v>79986.39</v>
      </c>
      <c r="W116" s="119">
        <f t="shared" si="50"/>
        <v>1848431.52</v>
      </c>
      <c r="X116" s="108">
        <f t="shared" si="49"/>
        <v>1848431.52</v>
      </c>
      <c r="Y116" s="110">
        <v>1894678.83</v>
      </c>
      <c r="Z116" s="111">
        <v>1913126.62</v>
      </c>
      <c r="AA116" s="111">
        <v>79326.720000000001</v>
      </c>
      <c r="AB116" s="123">
        <v>180794.84</v>
      </c>
      <c r="AC116" s="88">
        <f t="shared" si="47"/>
        <v>0</v>
      </c>
      <c r="AD116" s="112">
        <f>Z116</f>
        <v>1913126.62</v>
      </c>
      <c r="AE116" s="121">
        <v>358675.81</v>
      </c>
      <c r="AF116" s="112">
        <v>1913127</v>
      </c>
      <c r="AG116" s="112">
        <f t="shared" si="34"/>
        <v>0.37999999988824129</v>
      </c>
      <c r="AH116" s="113">
        <v>1100122</v>
      </c>
      <c r="AI116" s="114">
        <v>1894678.83</v>
      </c>
      <c r="AJ116" s="114">
        <v>1271867.48</v>
      </c>
      <c r="AK116" s="114"/>
    </row>
    <row r="117" spans="1:37" ht="16.5" thickTop="1" thickBot="1" x14ac:dyDescent="0.25">
      <c r="A117" s="101"/>
      <c r="B117" s="102"/>
      <c r="C117" s="103"/>
      <c r="D117" s="103">
        <v>4</v>
      </c>
      <c r="E117" s="104">
        <v>431004</v>
      </c>
      <c r="F117" s="105" t="s">
        <v>535</v>
      </c>
      <c r="G117" s="108">
        <v>1505419.87</v>
      </c>
      <c r="H117" s="107">
        <v>1600000</v>
      </c>
      <c r="I117" s="107">
        <v>1600000</v>
      </c>
      <c r="J117" s="108">
        <v>1600000</v>
      </c>
      <c r="K117" s="136">
        <v>102711.31</v>
      </c>
      <c r="L117" s="136">
        <v>89865.1</v>
      </c>
      <c r="M117" s="136">
        <v>88555.79</v>
      </c>
      <c r="N117" s="136">
        <v>30342.92</v>
      </c>
      <c r="O117" s="190">
        <v>44290.94</v>
      </c>
      <c r="P117" s="117">
        <v>192159.84</v>
      </c>
      <c r="Q117" s="137">
        <v>61699.59</v>
      </c>
      <c r="R117" s="137">
        <v>63473.62</v>
      </c>
      <c r="S117" s="137">
        <v>60671.76</v>
      </c>
      <c r="T117" s="137">
        <v>130690.92</v>
      </c>
      <c r="U117" s="137">
        <v>111960.66</v>
      </c>
      <c r="V117" s="137">
        <v>94438.37</v>
      </c>
      <c r="W117" s="119">
        <f t="shared" si="50"/>
        <v>1070860.82</v>
      </c>
      <c r="X117" s="108">
        <f t="shared" si="49"/>
        <v>1070860.82</v>
      </c>
      <c r="Y117" s="110">
        <v>1157300.28</v>
      </c>
      <c r="Z117" s="111">
        <v>1108340.95</v>
      </c>
      <c r="AA117" s="111">
        <v>77379.929999999993</v>
      </c>
      <c r="AB117" s="123">
        <v>99080.6</v>
      </c>
      <c r="AC117" s="88">
        <f t="shared" si="47"/>
        <v>0</v>
      </c>
      <c r="AD117" s="112">
        <f>Y117</f>
        <v>1157300.28</v>
      </c>
      <c r="AE117" s="121">
        <v>502626.7</v>
      </c>
      <c r="AF117" s="112">
        <v>1157300</v>
      </c>
      <c r="AG117" s="112">
        <f t="shared" si="34"/>
        <v>-0.28000000002793968</v>
      </c>
      <c r="AH117" s="113">
        <v>1100122</v>
      </c>
      <c r="AI117" s="114">
        <v>1157300.28</v>
      </c>
      <c r="AJ117" s="114">
        <v>1534560.38</v>
      </c>
      <c r="AK117" s="114">
        <v>1595175</v>
      </c>
    </row>
    <row r="118" spans="1:37" ht="16.5" thickTop="1" thickBot="1" x14ac:dyDescent="0.25">
      <c r="A118" s="101"/>
      <c r="B118" s="102"/>
      <c r="C118" s="103"/>
      <c r="D118" s="103">
        <v>5</v>
      </c>
      <c r="E118" s="104">
        <v>431005</v>
      </c>
      <c r="F118" s="105" t="s">
        <v>536</v>
      </c>
      <c r="G118" s="108">
        <v>1069363.94</v>
      </c>
      <c r="H118" s="107">
        <v>1252000</v>
      </c>
      <c r="I118" s="107">
        <v>1252000</v>
      </c>
      <c r="J118" s="108">
        <v>1252000</v>
      </c>
      <c r="K118" s="136">
        <v>59327.63</v>
      </c>
      <c r="L118" s="136">
        <v>92493.85</v>
      </c>
      <c r="M118" s="136">
        <v>33254.43</v>
      </c>
      <c r="N118" s="136">
        <v>5310.08</v>
      </c>
      <c r="O118" s="190">
        <v>6132.28</v>
      </c>
      <c r="P118" s="117">
        <v>40110.550000000003</v>
      </c>
      <c r="Q118" s="137">
        <v>20900.986079999999</v>
      </c>
      <c r="R118" s="137">
        <v>63432.678399999997</v>
      </c>
      <c r="S118" s="137">
        <v>65367.516240000004</v>
      </c>
      <c r="T118" s="137">
        <v>91506.729600000006</v>
      </c>
      <c r="U118" s="137">
        <v>111223.83168</v>
      </c>
      <c r="V118" s="137">
        <v>156852.86464000001</v>
      </c>
      <c r="W118" s="119">
        <v>745913.42</v>
      </c>
      <c r="X118" s="108">
        <f t="shared" si="49"/>
        <v>745913.42</v>
      </c>
      <c r="Y118" s="110">
        <v>572849.81000000006</v>
      </c>
      <c r="Z118" s="111">
        <v>772020.39</v>
      </c>
      <c r="AA118" s="111">
        <v>52456.1</v>
      </c>
      <c r="AB118" s="123">
        <v>54822.55</v>
      </c>
      <c r="AC118" s="88">
        <f t="shared" si="47"/>
        <v>0</v>
      </c>
      <c r="AD118" s="112">
        <f>Z118</f>
        <v>772020.39</v>
      </c>
      <c r="AE118" s="121">
        <v>201413.84</v>
      </c>
      <c r="AF118" s="112">
        <v>772020</v>
      </c>
      <c r="AG118" s="112">
        <f t="shared" si="34"/>
        <v>-0.39000000001396984</v>
      </c>
      <c r="AH118" s="113">
        <v>1100122</v>
      </c>
      <c r="AI118" s="114">
        <v>572849.81000000006</v>
      </c>
      <c r="AJ118" s="114">
        <v>730864.40999999992</v>
      </c>
      <c r="AK118" s="114">
        <v>759733</v>
      </c>
    </row>
    <row r="119" spans="1:37" ht="16.5" thickTop="1" thickBot="1" x14ac:dyDescent="0.25">
      <c r="A119" s="101"/>
      <c r="B119" s="102"/>
      <c r="C119" s="103"/>
      <c r="D119" s="103">
        <v>6</v>
      </c>
      <c r="E119" s="104">
        <v>431006</v>
      </c>
      <c r="F119" s="105" t="s">
        <v>537</v>
      </c>
      <c r="G119" s="108">
        <v>1953375.62</v>
      </c>
      <c r="H119" s="107">
        <v>2500000</v>
      </c>
      <c r="I119" s="107">
        <v>2500000</v>
      </c>
      <c r="J119" s="108">
        <v>2500000</v>
      </c>
      <c r="K119" s="136">
        <v>9960.6</v>
      </c>
      <c r="L119" s="136">
        <v>344433.87</v>
      </c>
      <c r="M119" s="136">
        <v>114163.88</v>
      </c>
      <c r="N119" s="136">
        <v>1751.9</v>
      </c>
      <c r="O119" s="190">
        <v>3757.05</v>
      </c>
      <c r="P119" s="117">
        <v>3339.6</v>
      </c>
      <c r="Q119" s="137">
        <v>1974.24</v>
      </c>
      <c r="R119" s="137">
        <v>43499.32</v>
      </c>
      <c r="S119" s="137">
        <v>14826.88</v>
      </c>
      <c r="T119" s="137">
        <v>60376.02</v>
      </c>
      <c r="U119" s="137">
        <v>34931.69</v>
      </c>
      <c r="V119" s="137">
        <v>124061.71</v>
      </c>
      <c r="W119" s="119">
        <f t="shared" si="50"/>
        <v>757076.76</v>
      </c>
      <c r="X119" s="108">
        <f t="shared" si="49"/>
        <v>757076.76</v>
      </c>
      <c r="Y119" s="110">
        <v>2854268.7</v>
      </c>
      <c r="Z119" s="111">
        <v>783574.45</v>
      </c>
      <c r="AA119" s="111">
        <v>13264.18</v>
      </c>
      <c r="AB119" s="123">
        <v>26560.45</v>
      </c>
      <c r="AC119" s="88">
        <f t="shared" si="47"/>
        <v>0</v>
      </c>
      <c r="AD119" s="112">
        <f>Y119*1.035</f>
        <v>2954168.1044999999</v>
      </c>
      <c r="AE119" s="121">
        <v>259351.23</v>
      </c>
      <c r="AF119" s="112">
        <v>2954168</v>
      </c>
      <c r="AG119" s="112">
        <f t="shared" si="34"/>
        <v>-0.10449999989941716</v>
      </c>
      <c r="AH119" s="113">
        <v>1100122</v>
      </c>
      <c r="AI119" s="114">
        <v>2854268.7</v>
      </c>
      <c r="AJ119" s="114">
        <v>920781.29</v>
      </c>
      <c r="AK119" s="114">
        <v>920781</v>
      </c>
    </row>
    <row r="120" spans="1:37" ht="16.5" thickTop="1" thickBot="1" x14ac:dyDescent="0.25">
      <c r="A120" s="101"/>
      <c r="B120" s="102"/>
      <c r="C120" s="103"/>
      <c r="D120" s="103">
        <v>7</v>
      </c>
      <c r="E120" s="104">
        <v>431007</v>
      </c>
      <c r="F120" s="105" t="s">
        <v>538</v>
      </c>
      <c r="G120" s="108">
        <v>829443.47</v>
      </c>
      <c r="H120" s="107">
        <v>900000</v>
      </c>
      <c r="I120" s="107">
        <v>900000</v>
      </c>
      <c r="J120" s="108">
        <v>1300000</v>
      </c>
      <c r="K120" s="136">
        <v>252352.34</v>
      </c>
      <c r="L120" s="141">
        <v>806985.26</v>
      </c>
      <c r="M120" s="136">
        <v>12099.1</v>
      </c>
      <c r="N120" s="136">
        <v>21234.31</v>
      </c>
      <c r="O120" s="190">
        <v>8099.86</v>
      </c>
      <c r="P120" s="117">
        <v>36805.51</v>
      </c>
      <c r="Q120" s="137">
        <v>36034.92</v>
      </c>
      <c r="R120" s="137">
        <v>35598.51</v>
      </c>
      <c r="S120" s="137">
        <v>11114.04</v>
      </c>
      <c r="T120" s="137">
        <v>23178.73</v>
      </c>
      <c r="U120" s="137">
        <v>36684.76</v>
      </c>
      <c r="V120" s="137">
        <v>31226.74</v>
      </c>
      <c r="W120" s="119">
        <f t="shared" si="50"/>
        <v>1311414.0800000003</v>
      </c>
      <c r="X120" s="108">
        <f t="shared" si="49"/>
        <v>1311414.0800000003</v>
      </c>
      <c r="Y120" s="110">
        <v>2254403.5</v>
      </c>
      <c r="Z120" s="111">
        <v>1357313.57</v>
      </c>
      <c r="AA120" s="111">
        <v>32812.629999999997</v>
      </c>
      <c r="AB120" s="123">
        <v>31813.45</v>
      </c>
      <c r="AC120" s="88">
        <f t="shared" si="47"/>
        <v>0</v>
      </c>
      <c r="AD120" s="112">
        <f>Y120</f>
        <v>2254403.5</v>
      </c>
      <c r="AE120" s="121">
        <v>172360.64</v>
      </c>
      <c r="AF120" s="112">
        <f>AD120</f>
        <v>2254403.5</v>
      </c>
      <c r="AG120" s="112">
        <f t="shared" si="34"/>
        <v>0</v>
      </c>
      <c r="AH120" s="113">
        <v>1100122</v>
      </c>
      <c r="AI120" s="114">
        <v>2254403.5</v>
      </c>
      <c r="AJ120" s="114">
        <v>1526725.2133333334</v>
      </c>
      <c r="AK120" s="114">
        <v>1526725</v>
      </c>
    </row>
    <row r="121" spans="1:37" ht="16.5" thickTop="1" thickBot="1" x14ac:dyDescent="0.25">
      <c r="A121" s="101"/>
      <c r="B121" s="102"/>
      <c r="C121" s="103"/>
      <c r="D121" s="103">
        <v>8</v>
      </c>
      <c r="E121" s="104">
        <v>431008</v>
      </c>
      <c r="F121" s="195" t="s">
        <v>539</v>
      </c>
      <c r="G121" s="108"/>
      <c r="H121" s="107"/>
      <c r="I121" s="107"/>
      <c r="J121" s="108"/>
      <c r="K121" s="136"/>
      <c r="L121" s="141"/>
      <c r="M121" s="136"/>
      <c r="N121" s="136"/>
      <c r="O121" s="190"/>
      <c r="P121" s="117"/>
      <c r="Q121" s="137"/>
      <c r="R121" s="137"/>
      <c r="S121" s="137"/>
      <c r="T121" s="137"/>
      <c r="U121" s="137"/>
      <c r="V121" s="137"/>
      <c r="W121" s="119"/>
      <c r="X121" s="108"/>
      <c r="Y121" s="110"/>
      <c r="Z121" s="187"/>
      <c r="AA121" s="187"/>
      <c r="AB121" s="184"/>
      <c r="AC121" s="88"/>
      <c r="AD121" s="112"/>
      <c r="AE121" s="121"/>
      <c r="AF121" s="112"/>
      <c r="AG121" s="112"/>
      <c r="AH121" s="113">
        <v>1100122</v>
      </c>
      <c r="AI121" s="114"/>
      <c r="AJ121" s="114"/>
      <c r="AK121" s="114">
        <v>2403255</v>
      </c>
    </row>
    <row r="122" spans="1:37" ht="16.5" thickTop="1" thickBot="1" x14ac:dyDescent="0.25">
      <c r="A122" s="101"/>
      <c r="B122" s="102"/>
      <c r="C122" s="103"/>
      <c r="D122" s="103">
        <v>9</v>
      </c>
      <c r="E122" s="104">
        <v>431009</v>
      </c>
      <c r="F122" s="197" t="s">
        <v>540</v>
      </c>
      <c r="G122" s="108"/>
      <c r="H122" s="107"/>
      <c r="I122" s="107"/>
      <c r="J122" s="108"/>
      <c r="K122" s="136"/>
      <c r="L122" s="141"/>
      <c r="M122" s="136"/>
      <c r="N122" s="136"/>
      <c r="O122" s="190"/>
      <c r="P122" s="117"/>
      <c r="Q122" s="137"/>
      <c r="R122" s="137"/>
      <c r="S122" s="137"/>
      <c r="T122" s="137"/>
      <c r="U122" s="137"/>
      <c r="V122" s="137"/>
      <c r="W122" s="119"/>
      <c r="X122" s="108"/>
      <c r="Y122" s="110"/>
      <c r="Z122" s="187"/>
      <c r="AA122" s="187"/>
      <c r="AB122" s="184"/>
      <c r="AC122" s="88"/>
      <c r="AD122" s="112"/>
      <c r="AE122" s="121"/>
      <c r="AF122" s="112"/>
      <c r="AG122" s="112"/>
      <c r="AH122" s="113">
        <v>1100122</v>
      </c>
      <c r="AI122" s="114"/>
      <c r="AJ122" s="114"/>
      <c r="AK122" s="114">
        <v>1322106</v>
      </c>
    </row>
    <row r="123" spans="1:37" ht="27" thickTop="1" thickBot="1" x14ac:dyDescent="0.25">
      <c r="A123" s="127"/>
      <c r="B123" s="128"/>
      <c r="C123" s="129">
        <v>11</v>
      </c>
      <c r="D123" s="129"/>
      <c r="E123" s="129"/>
      <c r="F123" s="130" t="s">
        <v>541</v>
      </c>
      <c r="G123" s="84">
        <f>G124+G125+G126</f>
        <v>5260884.16</v>
      </c>
      <c r="H123" s="85">
        <f>H124+H125+H126</f>
        <v>5661856.2199999997</v>
      </c>
      <c r="I123" s="85">
        <f>I124+I125+I126</f>
        <v>5661856.2199999997</v>
      </c>
      <c r="J123" s="84">
        <f>J124+J125+J126</f>
        <v>7032988.4199999999</v>
      </c>
      <c r="K123" s="84">
        <f t="shared" ref="K123:V123" si="51">K124+K125+K126</f>
        <v>3236719.03</v>
      </c>
      <c r="L123" s="85">
        <f t="shared" si="51"/>
        <v>741928.09000000008</v>
      </c>
      <c r="M123" s="85">
        <f t="shared" si="51"/>
        <v>315360.32</v>
      </c>
      <c r="N123" s="85">
        <f t="shared" si="51"/>
        <v>135856.87</v>
      </c>
      <c r="O123" s="85">
        <f t="shared" si="51"/>
        <v>142612.99</v>
      </c>
      <c r="P123" s="85">
        <f t="shared" si="51"/>
        <v>179813.01</v>
      </c>
      <c r="Q123" s="85">
        <f t="shared" si="51"/>
        <v>136893.41999999998</v>
      </c>
      <c r="R123" s="85">
        <f t="shared" si="51"/>
        <v>181997.16999999998</v>
      </c>
      <c r="S123" s="85">
        <f t="shared" si="51"/>
        <v>266006.45999999996</v>
      </c>
      <c r="T123" s="85">
        <f t="shared" si="51"/>
        <v>326757.69</v>
      </c>
      <c r="U123" s="85">
        <f t="shared" si="51"/>
        <v>321310.04000000004</v>
      </c>
      <c r="V123" s="85">
        <f t="shared" si="51"/>
        <v>521969.11</v>
      </c>
      <c r="W123" s="132">
        <f>W124+W125+W126</f>
        <v>6507224.2000000002</v>
      </c>
      <c r="X123" s="134">
        <f>X124+X125+X126</f>
        <v>6507224.2000000002</v>
      </c>
      <c r="Y123" s="133">
        <f>Y124+Y125+Y126</f>
        <v>6127382.9399999995</v>
      </c>
      <c r="Z123" s="134">
        <f>Z124+Z125+Z126+Z127+Z128</f>
        <v>6716997.9899999993</v>
      </c>
      <c r="AA123" s="134">
        <f>AA124+AA125+AA126+AA127+AA128</f>
        <v>1559812.56</v>
      </c>
      <c r="AB123" s="134">
        <f>AB124+AB125+AB126+AB127+AB128</f>
        <v>760015.10000000009</v>
      </c>
      <c r="AC123" s="88">
        <f t="shared" si="47"/>
        <v>0</v>
      </c>
      <c r="AD123" s="132">
        <f>AD124+AD125+AD126+AD127+AD128</f>
        <v>6736455.3599999994</v>
      </c>
      <c r="AE123" s="132">
        <f>AE124+AE125+AE126+AE127+AE128</f>
        <v>3096397.32</v>
      </c>
      <c r="AF123" s="132">
        <f>AF124+AF125+AF126+AF127+AF128</f>
        <v>7763455.3599999994</v>
      </c>
      <c r="AG123" s="132">
        <f t="shared" si="34"/>
        <v>1027000</v>
      </c>
      <c r="AH123" s="135"/>
      <c r="AI123" s="133">
        <f>AI124+AI125+AI126+AI127+AI128</f>
        <v>6128015.4199999999</v>
      </c>
      <c r="AJ123" s="133">
        <f>AJ124+AJ125+AJ126+AJ127+AJ128</f>
        <v>5288702.29</v>
      </c>
      <c r="AK123" s="133">
        <f>AK124+AK125+AK126+AK127+AK128</f>
        <v>5497976</v>
      </c>
    </row>
    <row r="124" spans="1:37" ht="16.5" thickTop="1" thickBot="1" x14ac:dyDescent="0.25">
      <c r="A124" s="101"/>
      <c r="B124" s="102"/>
      <c r="C124" s="103"/>
      <c r="D124" s="103">
        <v>1</v>
      </c>
      <c r="E124" s="104">
        <v>431101</v>
      </c>
      <c r="F124" s="105" t="s">
        <v>542</v>
      </c>
      <c r="G124" s="108">
        <v>108373.84</v>
      </c>
      <c r="H124" s="107">
        <v>132988.42000000001</v>
      </c>
      <c r="I124" s="107">
        <v>132988.42000000001</v>
      </c>
      <c r="J124" s="108">
        <v>132988.42000000001</v>
      </c>
      <c r="K124" s="136">
        <v>2276.44</v>
      </c>
      <c r="L124" s="136">
        <v>12629.44</v>
      </c>
      <c r="M124" s="136">
        <v>11475.34</v>
      </c>
      <c r="N124" s="136">
        <v>8810.0300000000007</v>
      </c>
      <c r="O124" s="190">
        <v>7293.7</v>
      </c>
      <c r="P124" s="117">
        <v>7884.2</v>
      </c>
      <c r="Q124" s="137">
        <v>6202.48</v>
      </c>
      <c r="R124" s="137">
        <v>7801.12</v>
      </c>
      <c r="S124" s="137">
        <v>11198.48</v>
      </c>
      <c r="T124" s="137">
        <v>7201.88</v>
      </c>
      <c r="U124" s="137">
        <v>8202.2800000000007</v>
      </c>
      <c r="V124" s="137">
        <v>9142.6</v>
      </c>
      <c r="W124" s="119">
        <f>SUM(K124:V124)</f>
        <v>100117.99</v>
      </c>
      <c r="X124" s="108">
        <f>W124</f>
        <v>100117.99</v>
      </c>
      <c r="Y124" s="110">
        <v>94013.35</v>
      </c>
      <c r="Z124" s="111">
        <v>104321.76</v>
      </c>
      <c r="AA124" s="111">
        <v>224.06</v>
      </c>
      <c r="AB124" s="123">
        <v>10089.82</v>
      </c>
      <c r="AC124" s="88">
        <f t="shared" si="47"/>
        <v>0</v>
      </c>
      <c r="AD124" s="120">
        <f>Z124</f>
        <v>104321.76</v>
      </c>
      <c r="AE124" s="121">
        <v>28953.72</v>
      </c>
      <c r="AF124" s="112">
        <v>104321.76</v>
      </c>
      <c r="AG124" s="120">
        <f t="shared" si="34"/>
        <v>0</v>
      </c>
      <c r="AH124" s="113">
        <v>1100122</v>
      </c>
      <c r="AI124" s="114">
        <v>94013.35</v>
      </c>
      <c r="AJ124" s="114">
        <v>91852.98</v>
      </c>
      <c r="AK124" s="114">
        <v>95481</v>
      </c>
    </row>
    <row r="125" spans="1:37" ht="16.5" thickTop="1" thickBot="1" x14ac:dyDescent="0.25">
      <c r="A125" s="101"/>
      <c r="B125" s="102"/>
      <c r="C125" s="103"/>
      <c r="D125" s="103">
        <v>2</v>
      </c>
      <c r="E125" s="104">
        <v>431102</v>
      </c>
      <c r="F125" s="105" t="s">
        <v>543</v>
      </c>
      <c r="G125" s="108">
        <v>3348891.65</v>
      </c>
      <c r="H125" s="107">
        <v>3628867.8</v>
      </c>
      <c r="I125" s="107">
        <v>3628867.8</v>
      </c>
      <c r="J125" s="108">
        <v>5000000</v>
      </c>
      <c r="K125" s="136">
        <v>3211435.69</v>
      </c>
      <c r="L125" s="136">
        <v>493904.46</v>
      </c>
      <c r="M125" s="191">
        <v>166925.70000000001</v>
      </c>
      <c r="N125" s="136">
        <v>53086.32</v>
      </c>
      <c r="O125" s="190">
        <v>38229.08</v>
      </c>
      <c r="P125" s="117">
        <v>45195.53</v>
      </c>
      <c r="Q125" s="137">
        <v>52392</v>
      </c>
      <c r="R125" s="137">
        <v>75342</v>
      </c>
      <c r="S125" s="137">
        <v>89336.71</v>
      </c>
      <c r="T125" s="137">
        <v>167373.1</v>
      </c>
      <c r="U125" s="137">
        <v>176195.42</v>
      </c>
      <c r="V125" s="137">
        <v>399801.18</v>
      </c>
      <c r="W125" s="119">
        <f>SUM(K125:V125)</f>
        <v>4969217.1899999995</v>
      </c>
      <c r="X125" s="108">
        <f>W125</f>
        <v>4969217.1899999995</v>
      </c>
      <c r="Y125" s="110">
        <v>4616711.71</v>
      </c>
      <c r="Z125" s="111">
        <v>5128232.1399999997</v>
      </c>
      <c r="AA125" s="111">
        <v>1525088.93</v>
      </c>
      <c r="AB125" s="123">
        <v>493746.83</v>
      </c>
      <c r="AC125" s="88">
        <f t="shared" si="47"/>
        <v>0</v>
      </c>
      <c r="AD125" s="112">
        <f>Z125</f>
        <v>5128232.1399999997</v>
      </c>
      <c r="AE125" s="121">
        <v>2491260.84</v>
      </c>
      <c r="AF125" s="138">
        <f>AD125+1000000</f>
        <v>6128232.1399999997</v>
      </c>
      <c r="AG125" s="138">
        <f t="shared" si="34"/>
        <v>1000000</v>
      </c>
      <c r="AH125" s="113">
        <v>1100122</v>
      </c>
      <c r="AI125" s="114">
        <v>4616711.71</v>
      </c>
      <c r="AJ125" s="114">
        <v>3566824.4400000004</v>
      </c>
      <c r="AK125" s="114">
        <v>3707714</v>
      </c>
    </row>
    <row r="126" spans="1:37" ht="16.5" thickTop="1" thickBot="1" x14ac:dyDescent="0.25">
      <c r="A126" s="101"/>
      <c r="B126" s="102"/>
      <c r="C126" s="103"/>
      <c r="D126" s="103">
        <v>3</v>
      </c>
      <c r="E126" s="104">
        <v>431103</v>
      </c>
      <c r="F126" s="105" t="s">
        <v>544</v>
      </c>
      <c r="G126" s="108">
        <v>1803618.67</v>
      </c>
      <c r="H126" s="107">
        <v>1900000</v>
      </c>
      <c r="I126" s="107">
        <v>1900000</v>
      </c>
      <c r="J126" s="108">
        <v>1900000</v>
      </c>
      <c r="K126" s="136">
        <v>23006.9</v>
      </c>
      <c r="L126" s="141">
        <v>235394.19</v>
      </c>
      <c r="M126" s="136">
        <v>136959.28</v>
      </c>
      <c r="N126" s="136">
        <v>73960.52</v>
      </c>
      <c r="O126" s="190">
        <v>97090.21</v>
      </c>
      <c r="P126" s="117">
        <v>126733.28</v>
      </c>
      <c r="Q126" s="137">
        <v>78298.94</v>
      </c>
      <c r="R126" s="137">
        <v>98854.05</v>
      </c>
      <c r="S126" s="137">
        <v>165471.26999999999</v>
      </c>
      <c r="T126" s="137">
        <v>152182.71</v>
      </c>
      <c r="U126" s="137">
        <v>136912.34</v>
      </c>
      <c r="V126" s="137">
        <v>113025.33</v>
      </c>
      <c r="W126" s="119">
        <f>SUM(K126:V126)</f>
        <v>1437889.0200000003</v>
      </c>
      <c r="X126" s="108">
        <f>W126</f>
        <v>1437889.0200000003</v>
      </c>
      <c r="Y126" s="110">
        <v>1416657.88</v>
      </c>
      <c r="Z126" s="111">
        <v>1483901.46</v>
      </c>
      <c r="AA126" s="111">
        <v>32766.87</v>
      </c>
      <c r="AB126" s="123">
        <v>250413.15</v>
      </c>
      <c r="AC126" s="88">
        <f t="shared" si="47"/>
        <v>0</v>
      </c>
      <c r="AD126" s="112">
        <f>Z126</f>
        <v>1483901.46</v>
      </c>
      <c r="AE126" s="121">
        <v>566911.63</v>
      </c>
      <c r="AF126" s="112">
        <v>1483901.46</v>
      </c>
      <c r="AG126" s="112">
        <f t="shared" si="34"/>
        <v>0</v>
      </c>
      <c r="AH126" s="113">
        <v>1100122</v>
      </c>
      <c r="AI126" s="114">
        <v>1416657.88</v>
      </c>
      <c r="AJ126" s="114">
        <v>1593116.28</v>
      </c>
      <c r="AK126" s="114">
        <v>1656044</v>
      </c>
    </row>
    <row r="127" spans="1:37" ht="27" customHeight="1" thickTop="1" thickBot="1" x14ac:dyDescent="0.25">
      <c r="A127" s="101"/>
      <c r="B127" s="102"/>
      <c r="C127" s="103"/>
      <c r="D127" s="103">
        <v>4</v>
      </c>
      <c r="E127" s="104">
        <v>431104</v>
      </c>
      <c r="F127" s="105" t="s">
        <v>545</v>
      </c>
      <c r="G127" s="108"/>
      <c r="H127" s="107"/>
      <c r="I127" s="107"/>
      <c r="J127" s="108"/>
      <c r="K127" s="136"/>
      <c r="L127" s="141"/>
      <c r="M127" s="136"/>
      <c r="N127" s="136"/>
      <c r="O127" s="190"/>
      <c r="P127" s="117"/>
      <c r="Q127" s="137"/>
      <c r="R127" s="137"/>
      <c r="S127" s="137"/>
      <c r="T127" s="137"/>
      <c r="U127" s="137"/>
      <c r="V127" s="137"/>
      <c r="W127" s="119"/>
      <c r="X127" s="108"/>
      <c r="Y127" s="110"/>
      <c r="Z127" s="199">
        <v>542.63</v>
      </c>
      <c r="AA127" s="143">
        <v>0</v>
      </c>
      <c r="AB127" s="143"/>
      <c r="AC127" s="88"/>
      <c r="AD127" s="112">
        <v>0</v>
      </c>
      <c r="AE127" s="121">
        <v>0</v>
      </c>
      <c r="AF127" s="112">
        <v>20000</v>
      </c>
      <c r="AG127" s="112">
        <f t="shared" si="34"/>
        <v>20000</v>
      </c>
      <c r="AH127" s="113">
        <v>1100122</v>
      </c>
      <c r="AI127" s="114">
        <v>632.48</v>
      </c>
      <c r="AJ127" s="114">
        <v>316.24</v>
      </c>
      <c r="AK127" s="114">
        <v>700</v>
      </c>
    </row>
    <row r="128" spans="1:37" ht="30.75" customHeight="1" thickTop="1" thickBot="1" x14ac:dyDescent="0.25">
      <c r="A128" s="101"/>
      <c r="B128" s="102"/>
      <c r="C128" s="103"/>
      <c r="D128" s="103">
        <v>5</v>
      </c>
      <c r="E128" s="104">
        <v>431105</v>
      </c>
      <c r="F128" s="105" t="s">
        <v>546</v>
      </c>
      <c r="G128" s="108"/>
      <c r="H128" s="107"/>
      <c r="I128" s="107"/>
      <c r="J128" s="108"/>
      <c r="K128" s="136"/>
      <c r="L128" s="141"/>
      <c r="M128" s="136"/>
      <c r="N128" s="136"/>
      <c r="O128" s="190"/>
      <c r="P128" s="117"/>
      <c r="Q128" s="137"/>
      <c r="R128" s="137"/>
      <c r="S128" s="137"/>
      <c r="T128" s="137"/>
      <c r="U128" s="137"/>
      <c r="V128" s="137"/>
      <c r="W128" s="119"/>
      <c r="X128" s="108"/>
      <c r="Y128" s="110"/>
      <c r="Z128" s="143">
        <v>0</v>
      </c>
      <c r="AA128" s="143">
        <v>1732.7</v>
      </c>
      <c r="AB128" s="123">
        <v>5765.3</v>
      </c>
      <c r="AC128" s="88"/>
      <c r="AD128" s="112">
        <v>20000</v>
      </c>
      <c r="AE128" s="121">
        <v>9271.1299999999992</v>
      </c>
      <c r="AF128" s="112">
        <v>27000</v>
      </c>
      <c r="AG128" s="112">
        <f t="shared" si="34"/>
        <v>7000</v>
      </c>
      <c r="AH128" s="113">
        <v>1100122</v>
      </c>
      <c r="AI128" s="114">
        <v>0</v>
      </c>
      <c r="AJ128" s="114">
        <v>36592.35</v>
      </c>
      <c r="AK128" s="114">
        <v>38037</v>
      </c>
    </row>
    <row r="129" spans="1:37" ht="27" thickTop="1" thickBot="1" x14ac:dyDescent="0.25">
      <c r="A129" s="127"/>
      <c r="B129" s="128"/>
      <c r="C129" s="129">
        <v>12</v>
      </c>
      <c r="D129" s="129"/>
      <c r="E129" s="129"/>
      <c r="F129" s="130" t="s">
        <v>547</v>
      </c>
      <c r="G129" s="84">
        <f t="shared" ref="G129:X129" si="52">G131+G132+G133</f>
        <v>3399164.43</v>
      </c>
      <c r="H129" s="85">
        <f t="shared" si="52"/>
        <v>4831345.6500000004</v>
      </c>
      <c r="I129" s="85">
        <f t="shared" si="52"/>
        <v>4831345.6500000004</v>
      </c>
      <c r="J129" s="84">
        <f t="shared" si="52"/>
        <v>4831345.6500000004</v>
      </c>
      <c r="K129" s="84">
        <f t="shared" si="52"/>
        <v>172762.72999999998</v>
      </c>
      <c r="L129" s="85">
        <f t="shared" si="52"/>
        <v>164746.89000000001</v>
      </c>
      <c r="M129" s="85">
        <f t="shared" si="52"/>
        <v>213236.41999999998</v>
      </c>
      <c r="N129" s="85">
        <f t="shared" si="52"/>
        <v>128389.57</v>
      </c>
      <c r="O129" s="85">
        <f t="shared" si="52"/>
        <v>69023.91</v>
      </c>
      <c r="P129" s="85">
        <f t="shared" si="52"/>
        <v>421270.61</v>
      </c>
      <c r="Q129" s="85">
        <f t="shared" si="52"/>
        <v>97852.14499999999</v>
      </c>
      <c r="R129" s="85">
        <f t="shared" si="52"/>
        <v>129087.16799999999</v>
      </c>
      <c r="S129" s="85">
        <f t="shared" si="52"/>
        <v>394231.67499999993</v>
      </c>
      <c r="T129" s="85">
        <f t="shared" si="52"/>
        <v>406177.98999999987</v>
      </c>
      <c r="U129" s="85">
        <f t="shared" si="52"/>
        <v>479708.10499999986</v>
      </c>
      <c r="V129" s="85">
        <f t="shared" si="52"/>
        <v>317221.10999999993</v>
      </c>
      <c r="W129" s="132">
        <f t="shared" si="52"/>
        <v>2993708.32</v>
      </c>
      <c r="X129" s="134">
        <f t="shared" si="52"/>
        <v>2993708.32</v>
      </c>
      <c r="Y129" s="133">
        <f>Y131+Y132+Y133+Y130</f>
        <v>3007799.06</v>
      </c>
      <c r="Z129" s="134">
        <f>Z131+Z132+Z133+Z130+Z134</f>
        <v>3157485.3099999996</v>
      </c>
      <c r="AA129" s="134">
        <f>AA131+AA132+AA133+AA130+AA134</f>
        <v>13442.279999999999</v>
      </c>
      <c r="AB129" s="134">
        <f>AB131+AB132+AB133+AB130+AB134</f>
        <v>176402.65000000002</v>
      </c>
      <c r="AC129" s="88">
        <f>W129-X129</f>
        <v>0</v>
      </c>
      <c r="AD129" s="132">
        <f>AD131+AD132+AD133+AD130+AD134</f>
        <v>3201361.4441499999</v>
      </c>
      <c r="AE129" s="132">
        <f>AE131+AE132+AE133+AE130+AE134</f>
        <v>2004761.7400000002</v>
      </c>
      <c r="AF129" s="132">
        <f>AF131+AF132+AF133+AF130+AF134</f>
        <v>3681361.44</v>
      </c>
      <c r="AG129" s="132">
        <f t="shared" si="34"/>
        <v>479999.99585000006</v>
      </c>
      <c r="AH129" s="135"/>
      <c r="AI129" s="133">
        <f t="shared" ref="AI129:AK129" si="53">AI131+AI132+AI133+AI130+AI134</f>
        <v>3007166.58</v>
      </c>
      <c r="AJ129" s="133">
        <f t="shared" si="53"/>
        <v>4479331.9266666668</v>
      </c>
      <c r="AK129" s="133">
        <f t="shared" si="53"/>
        <v>4656764</v>
      </c>
    </row>
    <row r="130" spans="1:37" ht="15.75" customHeight="1" thickTop="1" thickBot="1" x14ac:dyDescent="0.25">
      <c r="A130" s="127"/>
      <c r="B130" s="128"/>
      <c r="C130" s="166"/>
      <c r="D130" s="129"/>
      <c r="E130" s="200">
        <v>431104</v>
      </c>
      <c r="F130" s="105" t="s">
        <v>548</v>
      </c>
      <c r="G130" s="84"/>
      <c r="H130" s="85"/>
      <c r="I130" s="85"/>
      <c r="J130" s="84"/>
      <c r="K130" s="84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132"/>
      <c r="X130" s="134"/>
      <c r="Y130" s="201">
        <v>632.48</v>
      </c>
      <c r="Z130" s="131"/>
      <c r="AA130" s="131"/>
      <c r="AB130" s="131"/>
      <c r="AC130" s="88"/>
      <c r="AD130" s="107">
        <v>20000</v>
      </c>
      <c r="AE130" s="107"/>
      <c r="AF130" s="107">
        <v>0</v>
      </c>
      <c r="AG130" s="107">
        <f t="shared" ref="AG130:AG166" si="54">AF130-AD130</f>
        <v>-20000</v>
      </c>
      <c r="AH130" s="113">
        <v>1100121</v>
      </c>
      <c r="AI130" s="133"/>
      <c r="AJ130" s="110"/>
      <c r="AK130" s="202">
        <v>0</v>
      </c>
    </row>
    <row r="131" spans="1:37" ht="16.5" thickTop="1" thickBot="1" x14ac:dyDescent="0.25">
      <c r="A131" s="101"/>
      <c r="B131" s="102"/>
      <c r="C131" s="103"/>
      <c r="D131" s="103">
        <v>1</v>
      </c>
      <c r="E131" s="104">
        <v>431201</v>
      </c>
      <c r="F131" s="105" t="s">
        <v>549</v>
      </c>
      <c r="G131" s="108">
        <v>559243.51</v>
      </c>
      <c r="H131" s="107">
        <f>197632.18+799585.76</f>
        <v>997217.94</v>
      </c>
      <c r="I131" s="107">
        <f>197632.18+799585.76</f>
        <v>997217.94</v>
      </c>
      <c r="J131" s="108">
        <v>997217.94</v>
      </c>
      <c r="K131" s="136">
        <v>26163.96</v>
      </c>
      <c r="L131" s="136">
        <v>107862.05</v>
      </c>
      <c r="M131" s="136">
        <v>26559.3</v>
      </c>
      <c r="N131" s="136">
        <v>10799.56</v>
      </c>
      <c r="O131" s="190">
        <v>21599.08</v>
      </c>
      <c r="P131" s="117">
        <v>11903.24</v>
      </c>
      <c r="Q131" s="137">
        <v>4724.1450000000004</v>
      </c>
      <c r="R131" s="137">
        <v>15105.168</v>
      </c>
      <c r="S131" s="137">
        <v>31234.044999999998</v>
      </c>
      <c r="T131" s="137">
        <v>33561.18</v>
      </c>
      <c r="U131" s="137">
        <v>29896.815000000002</v>
      </c>
      <c r="V131" s="137">
        <v>37138.410000000003</v>
      </c>
      <c r="W131" s="119">
        <v>356546.95</v>
      </c>
      <c r="X131" s="108">
        <f>W131</f>
        <v>356546.95</v>
      </c>
      <c r="Y131" s="110">
        <v>437586.69</v>
      </c>
      <c r="Z131" s="111">
        <v>429026.09</v>
      </c>
      <c r="AA131" s="111">
        <v>5385.48</v>
      </c>
      <c r="AB131" s="123">
        <v>11701.21</v>
      </c>
      <c r="AC131" s="88">
        <f>W131-X131</f>
        <v>0</v>
      </c>
      <c r="AD131" s="112">
        <f>Y131*1.035</f>
        <v>452902.22414999997</v>
      </c>
      <c r="AE131" s="121">
        <v>188858.8</v>
      </c>
      <c r="AF131" s="112">
        <v>452902.22</v>
      </c>
      <c r="AG131" s="112">
        <f t="shared" si="54"/>
        <v>-4.1499999933876097E-3</v>
      </c>
      <c r="AH131" s="113">
        <v>1100122</v>
      </c>
      <c r="AI131" s="114">
        <v>437586.69</v>
      </c>
      <c r="AJ131" s="114">
        <v>810173.87999999989</v>
      </c>
      <c r="AK131" s="114">
        <v>842175</v>
      </c>
    </row>
    <row r="132" spans="1:37" ht="16.5" thickTop="1" thickBot="1" x14ac:dyDescent="0.25">
      <c r="A132" s="101"/>
      <c r="B132" s="102"/>
      <c r="C132" s="103"/>
      <c r="D132" s="103">
        <v>2</v>
      </c>
      <c r="E132" s="104">
        <v>431202</v>
      </c>
      <c r="F132" s="105" t="s">
        <v>550</v>
      </c>
      <c r="G132" s="108">
        <v>2253369.56</v>
      </c>
      <c r="H132" s="107">
        <v>3184127.71</v>
      </c>
      <c r="I132" s="107">
        <v>3184127.71</v>
      </c>
      <c r="J132" s="108">
        <v>3184127.71</v>
      </c>
      <c r="K132" s="136">
        <v>131470.54999999999</v>
      </c>
      <c r="L132" s="136">
        <v>15949.19</v>
      </c>
      <c r="M132" s="136">
        <v>128826.04</v>
      </c>
      <c r="N132" s="136">
        <v>71305.36</v>
      </c>
      <c r="O132" s="190">
        <v>0</v>
      </c>
      <c r="P132" s="117">
        <v>383573.81</v>
      </c>
      <c r="Q132" s="137">
        <v>57474.999999999985</v>
      </c>
      <c r="R132" s="137">
        <v>68969.999999999985</v>
      </c>
      <c r="S132" s="137">
        <v>287374.99999999994</v>
      </c>
      <c r="T132" s="137">
        <v>344849.99999999988</v>
      </c>
      <c r="U132" s="137">
        <v>402324.99999999988</v>
      </c>
      <c r="V132" s="137">
        <v>229899.99999999994</v>
      </c>
      <c r="W132" s="119">
        <f>SUM(K132:V132)</f>
        <v>2122019.9499999997</v>
      </c>
      <c r="X132" s="108">
        <f>W132</f>
        <v>2122019.9499999997</v>
      </c>
      <c r="Y132" s="110">
        <v>2097115.76</v>
      </c>
      <c r="Z132" s="111">
        <v>2196290.65</v>
      </c>
      <c r="AA132" s="111">
        <v>0</v>
      </c>
      <c r="AB132" s="123">
        <v>122375.24</v>
      </c>
      <c r="AC132" s="88">
        <f>W132-X132</f>
        <v>0</v>
      </c>
      <c r="AD132" s="112">
        <f>Z132</f>
        <v>2196290.65</v>
      </c>
      <c r="AE132" s="121">
        <v>1673013.31</v>
      </c>
      <c r="AF132" s="112">
        <f>AD132+500000</f>
        <v>2696290.65</v>
      </c>
      <c r="AG132" s="112">
        <f t="shared" si="54"/>
        <v>500000</v>
      </c>
      <c r="AH132" s="113">
        <v>1100122</v>
      </c>
      <c r="AI132" s="114">
        <v>2097115.76</v>
      </c>
      <c r="AJ132" s="114">
        <v>3210835.5766666671</v>
      </c>
      <c r="AK132" s="114">
        <v>3337663</v>
      </c>
    </row>
    <row r="133" spans="1:37" ht="16.5" thickTop="1" thickBot="1" x14ac:dyDescent="0.25">
      <c r="A133" s="101"/>
      <c r="B133" s="102"/>
      <c r="C133" s="103"/>
      <c r="D133" s="103">
        <v>3</v>
      </c>
      <c r="E133" s="104">
        <v>431203</v>
      </c>
      <c r="F133" s="105" t="s">
        <v>551</v>
      </c>
      <c r="G133" s="108">
        <v>586551.36</v>
      </c>
      <c r="H133" s="107">
        <v>650000</v>
      </c>
      <c r="I133" s="107">
        <v>650000</v>
      </c>
      <c r="J133" s="108">
        <v>650000</v>
      </c>
      <c r="K133" s="136">
        <v>15128.22</v>
      </c>
      <c r="L133" s="141">
        <v>40935.65</v>
      </c>
      <c r="M133" s="136">
        <v>57851.08</v>
      </c>
      <c r="N133" s="136">
        <v>46284.65</v>
      </c>
      <c r="O133" s="190">
        <v>47424.83</v>
      </c>
      <c r="P133" s="117">
        <v>25793.56</v>
      </c>
      <c r="Q133" s="137">
        <v>35653</v>
      </c>
      <c r="R133" s="137">
        <v>45012</v>
      </c>
      <c r="S133" s="137">
        <v>75622.63</v>
      </c>
      <c r="T133" s="137">
        <v>27766.81</v>
      </c>
      <c r="U133" s="137">
        <v>47486.29</v>
      </c>
      <c r="V133" s="137">
        <v>50182.7</v>
      </c>
      <c r="W133" s="119">
        <f>SUM(K133:V133)</f>
        <v>515141.42</v>
      </c>
      <c r="X133" s="108">
        <f>W133</f>
        <v>515141.42</v>
      </c>
      <c r="Y133" s="110">
        <v>472464.13</v>
      </c>
      <c r="Z133" s="111">
        <v>531625.93999999994</v>
      </c>
      <c r="AA133" s="111">
        <v>8056.8</v>
      </c>
      <c r="AB133" s="123">
        <v>42326.2</v>
      </c>
      <c r="AC133" s="88">
        <f>W133-X133</f>
        <v>0</v>
      </c>
      <c r="AD133" s="112">
        <f>Z133</f>
        <v>531625.93999999994</v>
      </c>
      <c r="AE133" s="121">
        <v>142889.63</v>
      </c>
      <c r="AF133" s="112">
        <v>531625.93999999994</v>
      </c>
      <c r="AG133" s="112">
        <f t="shared" si="54"/>
        <v>0</v>
      </c>
      <c r="AH133" s="113">
        <v>1100122</v>
      </c>
      <c r="AI133" s="114">
        <v>472464.13</v>
      </c>
      <c r="AJ133" s="114">
        <v>458322.47000000003</v>
      </c>
      <c r="AK133" s="114">
        <v>476426</v>
      </c>
    </row>
    <row r="134" spans="1:37" ht="16.5" thickTop="1" thickBot="1" x14ac:dyDescent="0.25">
      <c r="A134" s="101"/>
      <c r="B134" s="102"/>
      <c r="C134" s="103"/>
      <c r="D134" s="103">
        <v>4</v>
      </c>
      <c r="E134" s="104">
        <v>431204</v>
      </c>
      <c r="F134" s="105" t="s">
        <v>552</v>
      </c>
      <c r="G134" s="108"/>
      <c r="H134" s="107"/>
      <c r="I134" s="107"/>
      <c r="J134" s="108"/>
      <c r="K134" s="136"/>
      <c r="L134" s="141"/>
      <c r="M134" s="136"/>
      <c r="N134" s="136"/>
      <c r="O134" s="190"/>
      <c r="P134" s="117"/>
      <c r="Q134" s="137"/>
      <c r="R134" s="137"/>
      <c r="S134" s="137"/>
      <c r="T134" s="137"/>
      <c r="U134" s="137"/>
      <c r="V134" s="137"/>
      <c r="W134" s="119"/>
      <c r="X134" s="108"/>
      <c r="Y134" s="110"/>
      <c r="Z134" s="199">
        <v>542.63</v>
      </c>
      <c r="AA134" s="143">
        <v>0</v>
      </c>
      <c r="AB134" s="143">
        <v>0</v>
      </c>
      <c r="AC134" s="88"/>
      <c r="AD134" s="112">
        <f>Z134</f>
        <v>542.63</v>
      </c>
      <c r="AE134" s="121">
        <v>0</v>
      </c>
      <c r="AF134" s="112">
        <v>542.63</v>
      </c>
      <c r="AG134" s="112">
        <f t="shared" si="54"/>
        <v>0</v>
      </c>
      <c r="AH134" s="113">
        <v>1100122</v>
      </c>
      <c r="AI134" s="114">
        <v>0</v>
      </c>
      <c r="AJ134" s="114">
        <v>0</v>
      </c>
      <c r="AK134" s="114">
        <v>500</v>
      </c>
    </row>
    <row r="135" spans="1:37" ht="27" thickTop="1" thickBot="1" x14ac:dyDescent="0.25">
      <c r="A135" s="127"/>
      <c r="B135" s="128"/>
      <c r="C135" s="129">
        <v>13</v>
      </c>
      <c r="D135" s="129"/>
      <c r="E135" s="129"/>
      <c r="F135" s="130" t="s">
        <v>553</v>
      </c>
      <c r="G135" s="84">
        <f>G136</f>
        <v>2860851.36</v>
      </c>
      <c r="H135" s="85">
        <f>H136</f>
        <v>2800000</v>
      </c>
      <c r="I135" s="85">
        <f>I136</f>
        <v>2800000</v>
      </c>
      <c r="J135" s="84">
        <f>J136</f>
        <v>2800000</v>
      </c>
      <c r="K135" s="84">
        <f t="shared" ref="K135:AB135" si="55">K136</f>
        <v>82123.81</v>
      </c>
      <c r="L135" s="85">
        <f t="shared" si="55"/>
        <v>329156.24</v>
      </c>
      <c r="M135" s="85">
        <f t="shared" si="55"/>
        <v>97290.92</v>
      </c>
      <c r="N135" s="85">
        <f t="shared" si="55"/>
        <v>211674.54</v>
      </c>
      <c r="O135" s="85">
        <f t="shared" si="55"/>
        <v>429130.38</v>
      </c>
      <c r="P135" s="85">
        <f t="shared" si="55"/>
        <v>51246.16</v>
      </c>
      <c r="Q135" s="85">
        <f t="shared" si="55"/>
        <v>130142.22</v>
      </c>
      <c r="R135" s="85">
        <f t="shared" si="55"/>
        <v>150676.15</v>
      </c>
      <c r="S135" s="85">
        <f t="shared" si="55"/>
        <v>182329.71</v>
      </c>
      <c r="T135" s="85">
        <f t="shared" si="55"/>
        <v>369565.43</v>
      </c>
      <c r="U135" s="85">
        <f t="shared" si="55"/>
        <v>69535.570000000007</v>
      </c>
      <c r="V135" s="85">
        <f t="shared" si="55"/>
        <v>58268.24</v>
      </c>
      <c r="W135" s="132">
        <f t="shared" si="55"/>
        <v>2161139.37</v>
      </c>
      <c r="X135" s="134">
        <f t="shared" si="55"/>
        <v>2161139.37</v>
      </c>
      <c r="Y135" s="133">
        <f t="shared" si="55"/>
        <v>3546385.73</v>
      </c>
      <c r="Z135" s="134">
        <f t="shared" si="55"/>
        <v>2836779.25</v>
      </c>
      <c r="AA135" s="134">
        <f t="shared" si="55"/>
        <v>72892.33</v>
      </c>
      <c r="AB135" s="134">
        <f t="shared" si="55"/>
        <v>478504.9</v>
      </c>
      <c r="AC135" s="88">
        <f t="shared" ref="AC135:AC180" si="56">W135-X135</f>
        <v>0</v>
      </c>
      <c r="AD135" s="132">
        <f>AD136</f>
        <v>3546385.73</v>
      </c>
      <c r="AE135" s="132">
        <f>AE136</f>
        <v>1476261.49</v>
      </c>
      <c r="AF135" s="132">
        <f>AF136</f>
        <v>3546385.73</v>
      </c>
      <c r="AG135" s="132">
        <f t="shared" si="54"/>
        <v>0</v>
      </c>
      <c r="AH135" s="135"/>
      <c r="AI135" s="133">
        <f>AI136</f>
        <v>3546385.73</v>
      </c>
      <c r="AJ135" s="133">
        <f>AJ136</f>
        <v>4211561.8499999996</v>
      </c>
      <c r="AK135" s="133">
        <f>AK136</f>
        <v>4377918</v>
      </c>
    </row>
    <row r="136" spans="1:37" ht="16.5" thickTop="1" thickBot="1" x14ac:dyDescent="0.25">
      <c r="A136" s="101"/>
      <c r="B136" s="102"/>
      <c r="C136" s="103"/>
      <c r="D136" s="103">
        <v>1</v>
      </c>
      <c r="E136" s="104">
        <v>431301</v>
      </c>
      <c r="F136" s="105" t="s">
        <v>554</v>
      </c>
      <c r="G136" s="108">
        <v>2860851.36</v>
      </c>
      <c r="H136" s="107">
        <v>2800000</v>
      </c>
      <c r="I136" s="107">
        <v>2800000</v>
      </c>
      <c r="J136" s="108">
        <v>2800000</v>
      </c>
      <c r="K136" s="136">
        <v>82123.81</v>
      </c>
      <c r="L136" s="141">
        <v>329156.24</v>
      </c>
      <c r="M136" s="136">
        <v>97290.92</v>
      </c>
      <c r="N136" s="136">
        <v>211674.54</v>
      </c>
      <c r="O136" s="190">
        <v>429130.38</v>
      </c>
      <c r="P136" s="117">
        <v>51246.16</v>
      </c>
      <c r="Q136" s="137">
        <v>130142.22</v>
      </c>
      <c r="R136" s="137">
        <v>150676.15</v>
      </c>
      <c r="S136" s="137">
        <v>182329.71</v>
      </c>
      <c r="T136" s="137">
        <v>369565.43</v>
      </c>
      <c r="U136" s="137">
        <v>69535.570000000007</v>
      </c>
      <c r="V136" s="137">
        <v>58268.24</v>
      </c>
      <c r="W136" s="119">
        <f>SUM(K136:V136)</f>
        <v>2161139.37</v>
      </c>
      <c r="X136" s="108">
        <f>W136</f>
        <v>2161139.37</v>
      </c>
      <c r="Y136" s="110">
        <v>3546385.73</v>
      </c>
      <c r="Z136" s="111">
        <v>2836779.25</v>
      </c>
      <c r="AA136" s="111">
        <v>72892.33</v>
      </c>
      <c r="AB136" s="123">
        <v>478504.9</v>
      </c>
      <c r="AC136" s="88">
        <f t="shared" si="56"/>
        <v>0</v>
      </c>
      <c r="AD136" s="112">
        <f>Y136</f>
        <v>3546385.73</v>
      </c>
      <c r="AE136" s="121">
        <v>1476261.49</v>
      </c>
      <c r="AF136" s="112">
        <f>AD136</f>
        <v>3546385.73</v>
      </c>
      <c r="AG136" s="112">
        <f t="shared" si="54"/>
        <v>0</v>
      </c>
      <c r="AH136" s="113">
        <v>1100122</v>
      </c>
      <c r="AI136" s="114">
        <v>3546385.73</v>
      </c>
      <c r="AJ136" s="114">
        <v>4211561.8499999996</v>
      </c>
      <c r="AK136" s="114">
        <v>4377918</v>
      </c>
    </row>
    <row r="137" spans="1:37" ht="24" customHeight="1" thickTop="1" thickBot="1" x14ac:dyDescent="0.25">
      <c r="A137" s="127"/>
      <c r="B137" s="128"/>
      <c r="C137" s="166">
        <v>14</v>
      </c>
      <c r="D137" s="166"/>
      <c r="E137" s="166"/>
      <c r="F137" s="167" t="s">
        <v>555</v>
      </c>
      <c r="G137" s="84">
        <f>G138+G139</f>
        <v>1220548.0699999998</v>
      </c>
      <c r="H137" s="107">
        <f>H138+H139</f>
        <v>1475000</v>
      </c>
      <c r="I137" s="107">
        <f>I138+I139</f>
        <v>1475000</v>
      </c>
      <c r="J137" s="85">
        <f>J138+J139</f>
        <v>1475000</v>
      </c>
      <c r="K137" s="108">
        <f t="shared" ref="K137:AB137" si="57">K138+K139</f>
        <v>66786.820000000007</v>
      </c>
      <c r="L137" s="85">
        <f t="shared" si="57"/>
        <v>37937.339999999997</v>
      </c>
      <c r="M137" s="85">
        <f t="shared" si="57"/>
        <v>35086.400000000001</v>
      </c>
      <c r="N137" s="85">
        <f t="shared" si="57"/>
        <v>0</v>
      </c>
      <c r="O137" s="85">
        <f t="shared" si="57"/>
        <v>0</v>
      </c>
      <c r="P137" s="85">
        <f t="shared" si="57"/>
        <v>0</v>
      </c>
      <c r="Q137" s="85">
        <f t="shared" si="57"/>
        <v>0</v>
      </c>
      <c r="R137" s="85">
        <f t="shared" si="57"/>
        <v>0</v>
      </c>
      <c r="S137" s="85">
        <f t="shared" si="57"/>
        <v>303186.88</v>
      </c>
      <c r="T137" s="85">
        <f t="shared" si="57"/>
        <v>144712.63</v>
      </c>
      <c r="U137" s="85">
        <f t="shared" si="57"/>
        <v>94987.01999999999</v>
      </c>
      <c r="V137" s="85">
        <f t="shared" si="57"/>
        <v>94303.88</v>
      </c>
      <c r="W137" s="132">
        <f t="shared" si="57"/>
        <v>777000.97</v>
      </c>
      <c r="X137" s="134">
        <f t="shared" si="57"/>
        <v>777000.97</v>
      </c>
      <c r="Y137" s="133">
        <f t="shared" si="57"/>
        <v>139810.56</v>
      </c>
      <c r="Z137" s="134">
        <f t="shared" si="57"/>
        <v>0</v>
      </c>
      <c r="AA137" s="134">
        <f t="shared" si="57"/>
        <v>0</v>
      </c>
      <c r="AB137" s="134">
        <f t="shared" si="57"/>
        <v>0</v>
      </c>
      <c r="AC137" s="88">
        <f t="shared" si="56"/>
        <v>0</v>
      </c>
      <c r="AD137" s="134">
        <f>AD138+AD139</f>
        <v>0</v>
      </c>
      <c r="AE137" s="134">
        <f>AE138+AE139</f>
        <v>0</v>
      </c>
      <c r="AF137" s="134">
        <f>AF138+AF139</f>
        <v>0</v>
      </c>
      <c r="AG137" s="134">
        <f t="shared" si="54"/>
        <v>0</v>
      </c>
      <c r="AH137" s="168"/>
      <c r="AI137" s="133">
        <f t="shared" ref="AI137:AK137" si="58">AI138+AI139</f>
        <v>139810.56</v>
      </c>
      <c r="AJ137" s="202">
        <f t="shared" si="58"/>
        <v>0</v>
      </c>
      <c r="AK137" s="203">
        <f t="shared" si="58"/>
        <v>0</v>
      </c>
    </row>
    <row r="138" spans="1:37" ht="15.75" customHeight="1" thickTop="1" thickBot="1" x14ac:dyDescent="0.25">
      <c r="A138" s="101"/>
      <c r="B138" s="102"/>
      <c r="C138" s="103"/>
      <c r="D138" s="103">
        <v>1</v>
      </c>
      <c r="E138" s="104">
        <v>431401</v>
      </c>
      <c r="F138" s="105" t="s">
        <v>556</v>
      </c>
      <c r="G138" s="108">
        <v>330956.84999999998</v>
      </c>
      <c r="H138" s="107">
        <v>575000</v>
      </c>
      <c r="I138" s="107">
        <v>575000</v>
      </c>
      <c r="J138" s="108">
        <v>575000</v>
      </c>
      <c r="K138" s="136">
        <v>16031.74</v>
      </c>
      <c r="L138" s="136">
        <v>19238.099999999999</v>
      </c>
      <c r="M138" s="136">
        <v>12825.4</v>
      </c>
      <c r="N138" s="136">
        <v>0</v>
      </c>
      <c r="O138" s="136">
        <v>0</v>
      </c>
      <c r="P138" s="204">
        <v>0</v>
      </c>
      <c r="Q138" s="136">
        <v>0</v>
      </c>
      <c r="R138" s="136">
        <v>0</v>
      </c>
      <c r="S138" s="137">
        <v>27881.279999999999</v>
      </c>
      <c r="T138" s="137">
        <v>21685.439999999999</v>
      </c>
      <c r="U138" s="137">
        <v>45087.88</v>
      </c>
      <c r="V138" s="137">
        <v>50427.05</v>
      </c>
      <c r="W138" s="119">
        <f>SUM(K138:V138)</f>
        <v>193176.89</v>
      </c>
      <c r="X138" s="108">
        <f>W138</f>
        <v>193176.89</v>
      </c>
      <c r="Y138" s="110">
        <v>48095.24</v>
      </c>
      <c r="Z138" s="108"/>
      <c r="AA138" s="108"/>
      <c r="AB138" s="108"/>
      <c r="AC138" s="88">
        <f t="shared" si="56"/>
        <v>0</v>
      </c>
      <c r="AD138" s="108">
        <v>0</v>
      </c>
      <c r="AE138" s="108">
        <v>0</v>
      </c>
      <c r="AF138" s="108">
        <v>0</v>
      </c>
      <c r="AG138" s="108">
        <f t="shared" si="54"/>
        <v>0</v>
      </c>
      <c r="AH138" s="113">
        <v>1100122</v>
      </c>
      <c r="AI138" s="114">
        <v>48095.24</v>
      </c>
      <c r="AJ138" s="114">
        <v>0</v>
      </c>
      <c r="AK138" s="114">
        <v>0</v>
      </c>
    </row>
    <row r="139" spans="1:37" ht="13.5" customHeight="1" thickTop="1" thickBot="1" x14ac:dyDescent="0.25">
      <c r="A139" s="101"/>
      <c r="B139" s="102"/>
      <c r="C139" s="103"/>
      <c r="D139" s="103">
        <v>2</v>
      </c>
      <c r="E139" s="104">
        <v>431402</v>
      </c>
      <c r="F139" s="105" t="s">
        <v>557</v>
      </c>
      <c r="G139" s="108">
        <v>889591.22</v>
      </c>
      <c r="H139" s="107">
        <v>900000</v>
      </c>
      <c r="I139" s="107">
        <v>900000</v>
      </c>
      <c r="J139" s="108">
        <f>H139</f>
        <v>900000</v>
      </c>
      <c r="K139" s="136">
        <v>50755.08</v>
      </c>
      <c r="L139" s="141">
        <v>18699.240000000002</v>
      </c>
      <c r="M139" s="136">
        <v>22261</v>
      </c>
      <c r="N139" s="136">
        <v>0</v>
      </c>
      <c r="O139" s="136">
        <v>0</v>
      </c>
      <c r="P139" s="204">
        <v>0</v>
      </c>
      <c r="Q139" s="136">
        <v>0</v>
      </c>
      <c r="R139" s="136">
        <v>0</v>
      </c>
      <c r="S139" s="137">
        <v>275305.59999999998</v>
      </c>
      <c r="T139" s="137">
        <v>123027.19</v>
      </c>
      <c r="U139" s="137">
        <v>49899.14</v>
      </c>
      <c r="V139" s="137">
        <v>43876.83</v>
      </c>
      <c r="W139" s="119">
        <f>SUM(K139:V139)</f>
        <v>583824.07999999996</v>
      </c>
      <c r="X139" s="108">
        <f>W139</f>
        <v>583824.07999999996</v>
      </c>
      <c r="Y139" s="110">
        <v>91715.32</v>
      </c>
      <c r="Z139" s="108"/>
      <c r="AA139" s="108"/>
      <c r="AB139" s="108"/>
      <c r="AC139" s="88">
        <f t="shared" si="56"/>
        <v>0</v>
      </c>
      <c r="AD139" s="108">
        <v>0</v>
      </c>
      <c r="AE139" s="108">
        <v>0</v>
      </c>
      <c r="AF139" s="108">
        <v>0</v>
      </c>
      <c r="AG139" s="108">
        <f t="shared" si="54"/>
        <v>0</v>
      </c>
      <c r="AH139" s="113">
        <v>1100122</v>
      </c>
      <c r="AI139" s="114">
        <v>91715.32</v>
      </c>
      <c r="AJ139" s="114">
        <v>0</v>
      </c>
      <c r="AK139" s="114">
        <v>0</v>
      </c>
    </row>
    <row r="140" spans="1:37" ht="14.25" thickTop="1" thickBot="1" x14ac:dyDescent="0.25">
      <c r="A140" s="127"/>
      <c r="B140" s="128"/>
      <c r="C140" s="129">
        <v>15</v>
      </c>
      <c r="D140" s="129"/>
      <c r="E140" s="129"/>
      <c r="F140" s="130" t="s">
        <v>558</v>
      </c>
      <c r="G140" s="84">
        <f>G141+G142+G143+G144+G145+G146</f>
        <v>1269758.79</v>
      </c>
      <c r="H140" s="107">
        <f>H141+H142+H143+H144+H145+H146</f>
        <v>1547694.6400000001</v>
      </c>
      <c r="I140" s="107">
        <f>I141+I142+I143+I144+I145+I146</f>
        <v>1547694.6400000001</v>
      </c>
      <c r="J140" s="85">
        <f>J141+J142+J143+J144+J145+J146</f>
        <v>1547694.6400000001</v>
      </c>
      <c r="K140" s="108">
        <f t="shared" ref="K140:AB140" si="59">K141+K142+K143+K144+K145+K146</f>
        <v>109175.95999999999</v>
      </c>
      <c r="L140" s="85">
        <f t="shared" si="59"/>
        <v>68658.109999999986</v>
      </c>
      <c r="M140" s="85">
        <f t="shared" si="59"/>
        <v>44898.6</v>
      </c>
      <c r="N140" s="85">
        <f t="shared" si="59"/>
        <v>41647.199999999997</v>
      </c>
      <c r="O140" s="85">
        <f t="shared" si="59"/>
        <v>22338.91</v>
      </c>
      <c r="P140" s="85">
        <f t="shared" si="59"/>
        <v>32919.46</v>
      </c>
      <c r="Q140" s="85">
        <f t="shared" si="59"/>
        <v>32265.15</v>
      </c>
      <c r="R140" s="85">
        <f t="shared" si="59"/>
        <v>34257.15</v>
      </c>
      <c r="S140" s="85">
        <f t="shared" si="59"/>
        <v>29737.15</v>
      </c>
      <c r="T140" s="85">
        <f t="shared" si="59"/>
        <v>23742.15</v>
      </c>
      <c r="U140" s="85">
        <f t="shared" si="59"/>
        <v>22322.579999999998</v>
      </c>
      <c r="V140" s="85">
        <f t="shared" si="59"/>
        <v>15844.150000000001</v>
      </c>
      <c r="W140" s="132">
        <f t="shared" si="59"/>
        <v>477806.56999999995</v>
      </c>
      <c r="X140" s="134">
        <f t="shared" si="59"/>
        <v>477806.56999999995</v>
      </c>
      <c r="Y140" s="133">
        <f t="shared" si="59"/>
        <v>687251.62</v>
      </c>
      <c r="Z140" s="134">
        <f t="shared" si="59"/>
        <v>871901.78</v>
      </c>
      <c r="AA140" s="134">
        <f t="shared" si="59"/>
        <v>62482.16</v>
      </c>
      <c r="AB140" s="134">
        <f t="shared" si="59"/>
        <v>56563.66</v>
      </c>
      <c r="AC140" s="88">
        <f t="shared" si="56"/>
        <v>0</v>
      </c>
      <c r="AD140" s="132">
        <f>AD141+AD142+AD143+AD144+AD145+AD146</f>
        <v>711196.53</v>
      </c>
      <c r="AE140" s="132">
        <f>AE141+AE142+AE143+AE144+AE145+AE146</f>
        <v>272013.33999999997</v>
      </c>
      <c r="AF140" s="132">
        <f>AF141+AF142+AF143+AF144+AF145+AF146</f>
        <v>783196.53</v>
      </c>
      <c r="AG140" s="132">
        <f t="shared" si="54"/>
        <v>72000</v>
      </c>
      <c r="AH140" s="135"/>
      <c r="AI140" s="133">
        <f>AI141+AI142+AI143+AI144+AI145+AI146</f>
        <v>687251.62</v>
      </c>
      <c r="AJ140" s="133">
        <f>AJ141+AJ142+AJ143+AJ144+AJ145+AJ146</f>
        <v>865154.96</v>
      </c>
      <c r="AK140" s="133">
        <f>AK141+AK142+AK143+AK144+AK145+AK146</f>
        <v>903326</v>
      </c>
    </row>
    <row r="141" spans="1:37" ht="16.5" thickTop="1" thickBot="1" x14ac:dyDescent="0.25">
      <c r="A141" s="101"/>
      <c r="B141" s="102"/>
      <c r="C141" s="103"/>
      <c r="D141" s="103">
        <v>1</v>
      </c>
      <c r="E141" s="104">
        <v>431501</v>
      </c>
      <c r="F141" s="105" t="s">
        <v>559</v>
      </c>
      <c r="G141" s="108">
        <v>267861.37</v>
      </c>
      <c r="H141" s="107">
        <v>296064.44</v>
      </c>
      <c r="I141" s="107">
        <v>296064.44</v>
      </c>
      <c r="J141" s="108">
        <v>296064.44</v>
      </c>
      <c r="K141" s="136">
        <v>29870.83</v>
      </c>
      <c r="L141" s="136">
        <v>26794.84</v>
      </c>
      <c r="M141" s="136">
        <v>20327.12</v>
      </c>
      <c r="N141" s="136">
        <v>6005.74</v>
      </c>
      <c r="O141" s="190">
        <v>4372.33</v>
      </c>
      <c r="P141" s="117">
        <v>6929.7</v>
      </c>
      <c r="Q141" s="137">
        <v>5543.76</v>
      </c>
      <c r="R141" s="137">
        <v>5543.76</v>
      </c>
      <c r="S141" s="137">
        <v>5543.76</v>
      </c>
      <c r="T141" s="137">
        <v>5543.76</v>
      </c>
      <c r="U141" s="137">
        <v>7606.19</v>
      </c>
      <c r="V141" s="137">
        <v>5543.76</v>
      </c>
      <c r="W141" s="119">
        <f t="shared" ref="W141:W146" si="60">SUM(K141:V141)</f>
        <v>129625.54999999997</v>
      </c>
      <c r="X141" s="108">
        <f t="shared" ref="X141:X146" si="61">W141</f>
        <v>129625.54999999997</v>
      </c>
      <c r="Y141" s="110">
        <v>207688.4</v>
      </c>
      <c r="Z141" s="111">
        <v>268861.37</v>
      </c>
      <c r="AA141" s="111">
        <v>17213.400000000001</v>
      </c>
      <c r="AB141" s="123">
        <v>24385.65</v>
      </c>
      <c r="AC141" s="88">
        <f t="shared" si="56"/>
        <v>0</v>
      </c>
      <c r="AD141" s="112">
        <f>Z141</f>
        <v>268861.37</v>
      </c>
      <c r="AE141" s="121">
        <v>80329.2</v>
      </c>
      <c r="AF141" s="112">
        <f>AD141</f>
        <v>268861.37</v>
      </c>
      <c r="AG141" s="112">
        <f t="shared" si="54"/>
        <v>0</v>
      </c>
      <c r="AH141" s="113">
        <v>1100122</v>
      </c>
      <c r="AI141" s="114">
        <v>207688.4</v>
      </c>
      <c r="AJ141" s="114">
        <v>265302.55</v>
      </c>
      <c r="AK141" s="114">
        <v>275782</v>
      </c>
    </row>
    <row r="142" spans="1:37" ht="16.5" thickTop="1" thickBot="1" x14ac:dyDescent="0.25">
      <c r="A142" s="101"/>
      <c r="B142" s="102"/>
      <c r="C142" s="103"/>
      <c r="D142" s="103">
        <v>2</v>
      </c>
      <c r="E142" s="104">
        <v>431502</v>
      </c>
      <c r="F142" s="105" t="s">
        <v>560</v>
      </c>
      <c r="G142" s="108">
        <v>229345.83</v>
      </c>
      <c r="H142" s="107">
        <v>293071.94</v>
      </c>
      <c r="I142" s="107">
        <v>293071.94</v>
      </c>
      <c r="J142" s="108">
        <v>293071.94</v>
      </c>
      <c r="K142" s="136">
        <v>32257.5</v>
      </c>
      <c r="L142" s="136">
        <v>7020.75</v>
      </c>
      <c r="M142" s="136">
        <v>5313</v>
      </c>
      <c r="N142" s="136">
        <v>10436.25</v>
      </c>
      <c r="O142" s="190">
        <v>4933.5</v>
      </c>
      <c r="P142" s="117">
        <v>10436.25</v>
      </c>
      <c r="Q142" s="137">
        <v>12400</v>
      </c>
      <c r="R142" s="137">
        <v>7020</v>
      </c>
      <c r="S142" s="137">
        <v>2500</v>
      </c>
      <c r="T142" s="137">
        <v>5313</v>
      </c>
      <c r="U142" s="137">
        <v>3200</v>
      </c>
      <c r="V142" s="137">
        <v>3200</v>
      </c>
      <c r="W142" s="119">
        <f t="shared" si="60"/>
        <v>104030.25</v>
      </c>
      <c r="X142" s="108">
        <f t="shared" si="61"/>
        <v>104030.25</v>
      </c>
      <c r="Y142" s="110">
        <v>149712.75</v>
      </c>
      <c r="Z142" s="111">
        <v>230345.83</v>
      </c>
      <c r="AA142" s="111">
        <v>14532.86</v>
      </c>
      <c r="AB142" s="123">
        <v>8051.99</v>
      </c>
      <c r="AC142" s="88">
        <f t="shared" si="56"/>
        <v>0</v>
      </c>
      <c r="AD142" s="112">
        <v>150000</v>
      </c>
      <c r="AE142" s="121">
        <v>53418.080000000002</v>
      </c>
      <c r="AF142" s="112">
        <f>AD142</f>
        <v>150000</v>
      </c>
      <c r="AG142" s="112">
        <f t="shared" si="54"/>
        <v>0</v>
      </c>
      <c r="AH142" s="113">
        <v>1100122</v>
      </c>
      <c r="AI142" s="114">
        <v>149712.75</v>
      </c>
      <c r="AJ142" s="114">
        <v>205811.1</v>
      </c>
      <c r="AK142" s="114">
        <v>213940</v>
      </c>
    </row>
    <row r="143" spans="1:37" ht="16.5" thickTop="1" thickBot="1" x14ac:dyDescent="0.25">
      <c r="A143" s="101"/>
      <c r="B143" s="102"/>
      <c r="C143" s="103"/>
      <c r="D143" s="103">
        <v>3</v>
      </c>
      <c r="E143" s="104">
        <v>431503</v>
      </c>
      <c r="F143" s="105" t="s">
        <v>561</v>
      </c>
      <c r="G143" s="108">
        <v>58335.16</v>
      </c>
      <c r="H143" s="107">
        <v>78556.100000000006</v>
      </c>
      <c r="I143" s="107">
        <v>78556.100000000006</v>
      </c>
      <c r="J143" s="108">
        <v>78556.100000000006</v>
      </c>
      <c r="K143" s="136">
        <v>2323.02</v>
      </c>
      <c r="L143" s="136">
        <v>2323.02</v>
      </c>
      <c r="M143" s="136">
        <v>5807.55</v>
      </c>
      <c r="N143" s="136">
        <v>2323.02</v>
      </c>
      <c r="O143" s="190">
        <v>1161.51</v>
      </c>
      <c r="P143" s="117">
        <v>1161.51</v>
      </c>
      <c r="Q143" s="137">
        <v>1161.51</v>
      </c>
      <c r="R143" s="137">
        <v>1161.51</v>
      </c>
      <c r="S143" s="137">
        <v>1161.51</v>
      </c>
      <c r="T143" s="137">
        <v>1161.51</v>
      </c>
      <c r="U143" s="137">
        <v>1161.51</v>
      </c>
      <c r="V143" s="137">
        <v>1161.51</v>
      </c>
      <c r="W143" s="119">
        <f t="shared" si="60"/>
        <v>22068.689999999995</v>
      </c>
      <c r="X143" s="108">
        <f t="shared" si="61"/>
        <v>22068.689999999995</v>
      </c>
      <c r="Y143" s="110">
        <v>51106.44</v>
      </c>
      <c r="Z143" s="111">
        <v>59335.16</v>
      </c>
      <c r="AA143" s="111">
        <v>3606.48</v>
      </c>
      <c r="AB143" s="123">
        <v>0</v>
      </c>
      <c r="AC143" s="88">
        <f t="shared" si="56"/>
        <v>0</v>
      </c>
      <c r="AD143" s="112">
        <f>Z143</f>
        <v>59335.16</v>
      </c>
      <c r="AE143" s="121">
        <v>8415.1200000000008</v>
      </c>
      <c r="AF143" s="112">
        <f>AD143</f>
        <v>59335.16</v>
      </c>
      <c r="AG143" s="112">
        <f t="shared" si="54"/>
        <v>0</v>
      </c>
      <c r="AH143" s="113">
        <v>1100122</v>
      </c>
      <c r="AI143" s="114">
        <v>51106.44</v>
      </c>
      <c r="AJ143" s="114">
        <v>48719.46</v>
      </c>
      <c r="AK143" s="114">
        <v>50643</v>
      </c>
    </row>
    <row r="144" spans="1:37" ht="16.5" thickTop="1" thickBot="1" x14ac:dyDescent="0.25">
      <c r="A144" s="101"/>
      <c r="B144" s="102"/>
      <c r="C144" s="103"/>
      <c r="D144" s="103">
        <v>4</v>
      </c>
      <c r="E144" s="104">
        <v>431504</v>
      </c>
      <c r="F144" s="105" t="s">
        <v>562</v>
      </c>
      <c r="G144" s="108">
        <v>144359.42000000001</v>
      </c>
      <c r="H144" s="107">
        <v>165000</v>
      </c>
      <c r="I144" s="107">
        <v>165000</v>
      </c>
      <c r="J144" s="108">
        <v>165000</v>
      </c>
      <c r="K144" s="136">
        <v>33796.61</v>
      </c>
      <c r="L144" s="136">
        <v>11003.5</v>
      </c>
      <c r="M144" s="136">
        <v>7681.93</v>
      </c>
      <c r="N144" s="136">
        <v>6651.19</v>
      </c>
      <c r="O144" s="190">
        <v>1027.57</v>
      </c>
      <c r="P144" s="117">
        <v>0</v>
      </c>
      <c r="Q144" s="137">
        <v>1031.8800000000001</v>
      </c>
      <c r="R144" s="137">
        <v>1031.8800000000001</v>
      </c>
      <c r="S144" s="137">
        <v>1031.8800000000001</v>
      </c>
      <c r="T144" s="137">
        <v>1031.8800000000001</v>
      </c>
      <c r="U144" s="137">
        <v>1031.8800000000001</v>
      </c>
      <c r="V144" s="137">
        <v>1031.8800000000001</v>
      </c>
      <c r="W144" s="119">
        <f t="shared" si="60"/>
        <v>66352.079999999987</v>
      </c>
      <c r="X144" s="108">
        <f t="shared" si="61"/>
        <v>66352.079999999987</v>
      </c>
      <c r="Y144" s="110">
        <v>86198.53</v>
      </c>
      <c r="Z144" s="111">
        <v>150359.42000000001</v>
      </c>
      <c r="AA144" s="111">
        <v>12713.42</v>
      </c>
      <c r="AB144" s="123">
        <v>6884.02</v>
      </c>
      <c r="AC144" s="88">
        <f t="shared" si="56"/>
        <v>0</v>
      </c>
      <c r="AD144" s="112">
        <v>100000</v>
      </c>
      <c r="AE144" s="121">
        <v>35225.56</v>
      </c>
      <c r="AF144" s="112">
        <f>AD144</f>
        <v>100000</v>
      </c>
      <c r="AG144" s="112">
        <f t="shared" si="54"/>
        <v>0</v>
      </c>
      <c r="AH144" s="113">
        <v>1100122</v>
      </c>
      <c r="AI144" s="114">
        <v>86198.53</v>
      </c>
      <c r="AJ144" s="114">
        <v>53964.65</v>
      </c>
      <c r="AK144" s="114">
        <v>56096</v>
      </c>
    </row>
    <row r="145" spans="1:37" ht="16.5" thickTop="1" thickBot="1" x14ac:dyDescent="0.25">
      <c r="A145" s="101"/>
      <c r="B145" s="102"/>
      <c r="C145" s="103"/>
      <c r="D145" s="103">
        <v>5</v>
      </c>
      <c r="E145" s="104">
        <v>431505</v>
      </c>
      <c r="F145" s="105" t="s">
        <v>563</v>
      </c>
      <c r="G145" s="108">
        <v>3319</v>
      </c>
      <c r="H145" s="107">
        <v>15002.16</v>
      </c>
      <c r="I145" s="107">
        <v>15002.16</v>
      </c>
      <c r="J145" s="108">
        <v>15002.16</v>
      </c>
      <c r="K145" s="136">
        <v>0</v>
      </c>
      <c r="L145" s="136">
        <v>0</v>
      </c>
      <c r="M145" s="136">
        <v>0</v>
      </c>
      <c r="N145" s="136">
        <v>0</v>
      </c>
      <c r="O145" s="190">
        <v>0</v>
      </c>
      <c r="P145" s="117">
        <v>0</v>
      </c>
      <c r="Q145" s="137">
        <v>0</v>
      </c>
      <c r="R145" s="137">
        <v>0</v>
      </c>
      <c r="S145" s="137">
        <v>0</v>
      </c>
      <c r="T145" s="137">
        <v>0</v>
      </c>
      <c r="U145" s="137">
        <v>0</v>
      </c>
      <c r="V145" s="137">
        <v>0</v>
      </c>
      <c r="W145" s="107">
        <f t="shared" si="60"/>
        <v>0</v>
      </c>
      <c r="X145" s="108">
        <f t="shared" si="61"/>
        <v>0</v>
      </c>
      <c r="Y145" s="110"/>
      <c r="Z145" s="111">
        <v>13000</v>
      </c>
      <c r="AA145" s="111">
        <v>0</v>
      </c>
      <c r="AB145" s="123">
        <v>0</v>
      </c>
      <c r="AC145" s="88">
        <f t="shared" si="56"/>
        <v>0</v>
      </c>
      <c r="AD145" s="112">
        <f>Z145</f>
        <v>13000</v>
      </c>
      <c r="AE145" s="121">
        <v>0</v>
      </c>
      <c r="AF145" s="112">
        <f>AD145</f>
        <v>13000</v>
      </c>
      <c r="AG145" s="112">
        <f t="shared" si="54"/>
        <v>0</v>
      </c>
      <c r="AH145" s="113">
        <v>1100122</v>
      </c>
      <c r="AI145" s="114">
        <v>0</v>
      </c>
      <c r="AJ145" s="114">
        <v>0</v>
      </c>
      <c r="AK145" s="114">
        <v>4000</v>
      </c>
    </row>
    <row r="146" spans="1:37" ht="16.5" thickTop="1" thickBot="1" x14ac:dyDescent="0.25">
      <c r="A146" s="101"/>
      <c r="B146" s="102"/>
      <c r="C146" s="103"/>
      <c r="D146" s="103">
        <v>6</v>
      </c>
      <c r="E146" s="104">
        <v>431506</v>
      </c>
      <c r="F146" s="105" t="s">
        <v>564</v>
      </c>
      <c r="G146" s="108">
        <v>566538.01</v>
      </c>
      <c r="H146" s="107">
        <v>700000</v>
      </c>
      <c r="I146" s="107">
        <v>700000</v>
      </c>
      <c r="J146" s="108">
        <v>700000</v>
      </c>
      <c r="K146" s="136">
        <v>10928</v>
      </c>
      <c r="L146" s="141">
        <v>21516</v>
      </c>
      <c r="M146" s="136">
        <v>5769</v>
      </c>
      <c r="N146" s="136">
        <v>16231</v>
      </c>
      <c r="O146" s="190">
        <v>10844</v>
      </c>
      <c r="P146" s="117">
        <v>14392</v>
      </c>
      <c r="Q146" s="137">
        <v>12128</v>
      </c>
      <c r="R146" s="137">
        <v>19500</v>
      </c>
      <c r="S146" s="137">
        <v>19500</v>
      </c>
      <c r="T146" s="137">
        <v>10692</v>
      </c>
      <c r="U146" s="137">
        <v>9323</v>
      </c>
      <c r="V146" s="137">
        <v>4907</v>
      </c>
      <c r="W146" s="119">
        <f t="shared" si="60"/>
        <v>155730</v>
      </c>
      <c r="X146" s="108">
        <f t="shared" si="61"/>
        <v>155730</v>
      </c>
      <c r="Y146" s="110">
        <v>192545.5</v>
      </c>
      <c r="Z146" s="111">
        <v>150000</v>
      </c>
      <c r="AA146" s="111">
        <v>14416</v>
      </c>
      <c r="AB146" s="123">
        <v>17242</v>
      </c>
      <c r="AC146" s="88">
        <f t="shared" si="56"/>
        <v>0</v>
      </c>
      <c r="AD146" s="112">
        <v>120000</v>
      </c>
      <c r="AE146" s="121">
        <v>94625.38</v>
      </c>
      <c r="AF146" s="112">
        <f>192000</f>
        <v>192000</v>
      </c>
      <c r="AG146" s="112">
        <f t="shared" si="54"/>
        <v>72000</v>
      </c>
      <c r="AH146" s="113">
        <v>1100122</v>
      </c>
      <c r="AI146" s="114">
        <v>192545.5</v>
      </c>
      <c r="AJ146" s="114">
        <v>291357.2</v>
      </c>
      <c r="AK146" s="114">
        <v>302865</v>
      </c>
    </row>
    <row r="147" spans="1:37" ht="39.75" thickTop="1" thickBot="1" x14ac:dyDescent="0.25">
      <c r="A147" s="127"/>
      <c r="B147" s="128"/>
      <c r="C147" s="129">
        <v>16</v>
      </c>
      <c r="D147" s="129"/>
      <c r="E147" s="129"/>
      <c r="F147" s="130" t="s">
        <v>565</v>
      </c>
      <c r="G147" s="84">
        <f>SUM(G148:G156)</f>
        <v>3527844.2399999998</v>
      </c>
      <c r="H147" s="107">
        <f>SUM(H148:H156)</f>
        <v>3912830.53</v>
      </c>
      <c r="I147" s="107">
        <f>SUM(I148:I156)</f>
        <v>3912830.53</v>
      </c>
      <c r="J147" s="85">
        <f>SUM(J148:J156)</f>
        <v>3912830.53</v>
      </c>
      <c r="K147" s="108">
        <f t="shared" ref="K147:AB147" si="62">SUM(K148:K156)</f>
        <v>165674.5</v>
      </c>
      <c r="L147" s="85">
        <f t="shared" si="62"/>
        <v>331393.04000000004</v>
      </c>
      <c r="M147" s="85">
        <f t="shared" si="62"/>
        <v>432934.82999999996</v>
      </c>
      <c r="N147" s="85">
        <f t="shared" si="62"/>
        <v>184096.97000000003</v>
      </c>
      <c r="O147" s="85">
        <f t="shared" si="62"/>
        <v>202490.43</v>
      </c>
      <c r="P147" s="85">
        <f t="shared" si="62"/>
        <v>340102.77</v>
      </c>
      <c r="Q147" s="85">
        <f t="shared" si="62"/>
        <v>171569.82256</v>
      </c>
      <c r="R147" s="85">
        <f t="shared" si="62"/>
        <v>247983.52128000002</v>
      </c>
      <c r="S147" s="85">
        <f t="shared" si="62"/>
        <v>262515.29703999998</v>
      </c>
      <c r="T147" s="85">
        <f t="shared" si="62"/>
        <v>333551.97895999998</v>
      </c>
      <c r="U147" s="85">
        <f t="shared" si="62"/>
        <v>226836.35536000002</v>
      </c>
      <c r="V147" s="85">
        <f t="shared" si="62"/>
        <v>131406.23071999999</v>
      </c>
      <c r="W147" s="132">
        <f t="shared" si="62"/>
        <v>3062404.48</v>
      </c>
      <c r="X147" s="134">
        <f t="shared" si="62"/>
        <v>3062404.48</v>
      </c>
      <c r="Y147" s="133">
        <f t="shared" si="62"/>
        <v>3575465.06</v>
      </c>
      <c r="Z147" s="134">
        <f t="shared" si="62"/>
        <v>3462700.7099999995</v>
      </c>
      <c r="AA147" s="134">
        <f t="shared" si="62"/>
        <v>119402.14</v>
      </c>
      <c r="AB147" s="134">
        <f t="shared" si="62"/>
        <v>338752.95</v>
      </c>
      <c r="AC147" s="88">
        <f t="shared" si="56"/>
        <v>0</v>
      </c>
      <c r="AD147" s="132">
        <f>SUM(AD148:AD156)</f>
        <v>3711303.3197699999</v>
      </c>
      <c r="AE147" s="132">
        <f>SUM(AE148:AE156)</f>
        <v>1109023.3</v>
      </c>
      <c r="AF147" s="132">
        <f>SUM(AF148:AF156)</f>
        <v>3711303.31</v>
      </c>
      <c r="AG147" s="132">
        <f t="shared" si="54"/>
        <v>-9.7699998877942562E-3</v>
      </c>
      <c r="AH147" s="135"/>
      <c r="AI147" s="133">
        <f>SUM(AI148:AI156)</f>
        <v>3575465.06</v>
      </c>
      <c r="AJ147" s="133">
        <f>SUM(AJ148:AJ156)</f>
        <v>3406207.08</v>
      </c>
      <c r="AK147" s="133">
        <f>SUM(AK148:AK156)</f>
        <v>3427874</v>
      </c>
    </row>
    <row r="148" spans="1:37" ht="16.5" thickTop="1" thickBot="1" x14ac:dyDescent="0.25">
      <c r="A148" s="101"/>
      <c r="B148" s="102"/>
      <c r="C148" s="103"/>
      <c r="D148" s="103">
        <v>1</v>
      </c>
      <c r="E148" s="104">
        <v>431601</v>
      </c>
      <c r="F148" s="105" t="s">
        <v>566</v>
      </c>
      <c r="G148" s="108">
        <v>300893.71999999997</v>
      </c>
      <c r="H148" s="107">
        <v>240000</v>
      </c>
      <c r="I148" s="107">
        <v>240000</v>
      </c>
      <c r="J148" s="108">
        <v>240000</v>
      </c>
      <c r="K148" s="136">
        <v>30913.040000000001</v>
      </c>
      <c r="L148" s="136">
        <v>21548.560000000001</v>
      </c>
      <c r="M148" s="136">
        <v>16041.47</v>
      </c>
      <c r="N148" s="205">
        <v>4497.87</v>
      </c>
      <c r="O148" s="190">
        <v>4373.2</v>
      </c>
      <c r="P148" s="117">
        <v>9449.43</v>
      </c>
      <c r="Q148" s="206">
        <v>6000</v>
      </c>
      <c r="R148" s="206">
        <v>10652</v>
      </c>
      <c r="S148" s="206">
        <v>22190.720000000001</v>
      </c>
      <c r="T148" s="206">
        <v>23279.439999999999</v>
      </c>
      <c r="U148" s="206">
        <v>21127.38</v>
      </c>
      <c r="V148" s="206">
        <v>75581.97</v>
      </c>
      <c r="W148" s="119">
        <f>SUM(K148:V148)</f>
        <v>245655.08000000002</v>
      </c>
      <c r="X148" s="108">
        <f t="shared" ref="X148:X156" si="63">W148</f>
        <v>245655.08000000002</v>
      </c>
      <c r="Y148" s="110">
        <v>182365.91</v>
      </c>
      <c r="Z148" s="111">
        <v>245655.08</v>
      </c>
      <c r="AA148" s="111">
        <v>10710.56</v>
      </c>
      <c r="AB148" s="123">
        <v>9617.2099999999991</v>
      </c>
      <c r="AC148" s="88">
        <f t="shared" si="56"/>
        <v>0</v>
      </c>
      <c r="AD148" s="120">
        <f>Y148*1.035</f>
        <v>188748.71685</v>
      </c>
      <c r="AE148" s="121">
        <v>41483.32</v>
      </c>
      <c r="AF148" s="112">
        <v>188748.71</v>
      </c>
      <c r="AG148" s="120">
        <f t="shared" si="54"/>
        <v>-6.8500000052154064E-3</v>
      </c>
      <c r="AH148" s="113">
        <v>1100122</v>
      </c>
      <c r="AI148" s="114">
        <v>182365.91</v>
      </c>
      <c r="AJ148" s="114">
        <v>135561.75</v>
      </c>
      <c r="AK148" s="114">
        <v>140916</v>
      </c>
    </row>
    <row r="149" spans="1:37" ht="16.5" thickTop="1" thickBot="1" x14ac:dyDescent="0.25">
      <c r="A149" s="101"/>
      <c r="B149" s="102"/>
      <c r="C149" s="103"/>
      <c r="D149" s="103">
        <v>2</v>
      </c>
      <c r="E149" s="104">
        <v>431602</v>
      </c>
      <c r="F149" s="105" t="s">
        <v>567</v>
      </c>
      <c r="G149" s="108">
        <v>398915.02</v>
      </c>
      <c r="H149" s="107">
        <f>64472.74+412558.56</f>
        <v>477031.3</v>
      </c>
      <c r="I149" s="107">
        <f>64472.74+412558.56</f>
        <v>477031.3</v>
      </c>
      <c r="J149" s="108">
        <f>64472.74+412558.56</f>
        <v>477031.3</v>
      </c>
      <c r="K149" s="136">
        <v>23553.86</v>
      </c>
      <c r="L149" s="136">
        <v>29667.81</v>
      </c>
      <c r="M149" s="136">
        <v>24633.06</v>
      </c>
      <c r="N149" s="136">
        <v>7925.9</v>
      </c>
      <c r="O149" s="190">
        <v>11056.69</v>
      </c>
      <c r="P149" s="117">
        <v>32390.34</v>
      </c>
      <c r="Q149" s="137">
        <v>7781.0865600000006</v>
      </c>
      <c r="R149" s="137">
        <v>23972.345279999998</v>
      </c>
      <c r="S149" s="137">
        <v>24123.607040000003</v>
      </c>
      <c r="T149" s="137">
        <v>32087.768960000001</v>
      </c>
      <c r="U149" s="137">
        <v>36035.775360000007</v>
      </c>
      <c r="V149" s="137">
        <v>28771.02072</v>
      </c>
      <c r="W149" s="119">
        <v>281999.26</v>
      </c>
      <c r="X149" s="108">
        <f t="shared" si="63"/>
        <v>281999.26</v>
      </c>
      <c r="Y149" s="110">
        <v>284728.96999999997</v>
      </c>
      <c r="Z149" s="111">
        <v>281999.26</v>
      </c>
      <c r="AA149" s="111">
        <v>23393.06</v>
      </c>
      <c r="AB149" s="123">
        <v>30985.78</v>
      </c>
      <c r="AC149" s="88">
        <f t="shared" si="56"/>
        <v>0</v>
      </c>
      <c r="AD149" s="120">
        <f>Y149*1.036</f>
        <v>294979.21291999996</v>
      </c>
      <c r="AE149" s="121">
        <v>141333.06</v>
      </c>
      <c r="AF149" s="112">
        <v>294979.21000000002</v>
      </c>
      <c r="AG149" s="120">
        <f t="shared" si="54"/>
        <v>-2.9199999407865107E-3</v>
      </c>
      <c r="AH149" s="113">
        <v>1100122</v>
      </c>
      <c r="AI149" s="114">
        <v>284728.96999999997</v>
      </c>
      <c r="AJ149" s="114">
        <v>466234.63</v>
      </c>
      <c r="AK149" s="114">
        <v>484650</v>
      </c>
    </row>
    <row r="150" spans="1:37" ht="16.5" thickTop="1" thickBot="1" x14ac:dyDescent="0.25">
      <c r="A150" s="101"/>
      <c r="B150" s="102"/>
      <c r="C150" s="103"/>
      <c r="D150" s="103">
        <v>3</v>
      </c>
      <c r="E150" s="104">
        <v>431603</v>
      </c>
      <c r="F150" s="105" t="s">
        <v>568</v>
      </c>
      <c r="G150" s="108">
        <v>31218.03</v>
      </c>
      <c r="H150" s="107">
        <v>31000</v>
      </c>
      <c r="I150" s="107">
        <v>31000</v>
      </c>
      <c r="J150" s="108">
        <v>31000</v>
      </c>
      <c r="K150" s="136">
        <v>0</v>
      </c>
      <c r="L150" s="136">
        <v>0</v>
      </c>
      <c r="M150" s="136">
        <v>0</v>
      </c>
      <c r="N150" s="136">
        <v>0</v>
      </c>
      <c r="O150" s="190">
        <v>0</v>
      </c>
      <c r="P150" s="117">
        <v>151.26</v>
      </c>
      <c r="Q150" s="137">
        <v>0</v>
      </c>
      <c r="R150" s="137">
        <v>0</v>
      </c>
      <c r="S150" s="137">
        <v>0</v>
      </c>
      <c r="T150" s="137">
        <v>0</v>
      </c>
      <c r="U150" s="137">
        <v>0</v>
      </c>
      <c r="V150" s="137"/>
      <c r="W150" s="119">
        <f>I150</f>
        <v>31000</v>
      </c>
      <c r="X150" s="108">
        <f t="shared" si="63"/>
        <v>31000</v>
      </c>
      <c r="Y150" s="110">
        <v>378.15</v>
      </c>
      <c r="Z150" s="111">
        <v>31000</v>
      </c>
      <c r="AA150" s="111">
        <v>0</v>
      </c>
      <c r="AB150" s="123">
        <v>0</v>
      </c>
      <c r="AC150" s="88">
        <f t="shared" si="56"/>
        <v>0</v>
      </c>
      <c r="AD150" s="120">
        <v>20000</v>
      </c>
      <c r="AE150" s="121">
        <v>2971.99</v>
      </c>
      <c r="AF150" s="112">
        <v>20000</v>
      </c>
      <c r="AG150" s="120">
        <f t="shared" si="54"/>
        <v>0</v>
      </c>
      <c r="AH150" s="113">
        <v>1100122</v>
      </c>
      <c r="AI150" s="114">
        <v>378.15</v>
      </c>
      <c r="AJ150" s="114">
        <v>10061.67</v>
      </c>
      <c r="AK150" s="114">
        <v>10459</v>
      </c>
    </row>
    <row r="151" spans="1:37" ht="16.5" thickTop="1" thickBot="1" x14ac:dyDescent="0.25">
      <c r="A151" s="101"/>
      <c r="B151" s="102"/>
      <c r="C151" s="103"/>
      <c r="D151" s="103">
        <v>4</v>
      </c>
      <c r="E151" s="104">
        <v>431604</v>
      </c>
      <c r="F151" s="105" t="s">
        <v>569</v>
      </c>
      <c r="G151" s="108">
        <v>91761.55</v>
      </c>
      <c r="H151" s="107">
        <v>100000</v>
      </c>
      <c r="I151" s="107">
        <v>100000</v>
      </c>
      <c r="J151" s="108">
        <v>100000</v>
      </c>
      <c r="K151" s="136">
        <v>6050.1</v>
      </c>
      <c r="L151" s="136">
        <v>4840.08</v>
      </c>
      <c r="M151" s="136">
        <v>17804.580000000002</v>
      </c>
      <c r="N151" s="136">
        <v>3121.87</v>
      </c>
      <c r="O151" s="190">
        <v>2767.23</v>
      </c>
      <c r="P151" s="117">
        <v>4324.24</v>
      </c>
      <c r="Q151" s="137">
        <v>2500</v>
      </c>
      <c r="R151" s="137">
        <v>4500</v>
      </c>
      <c r="S151" s="137">
        <v>9352.56</v>
      </c>
      <c r="T151" s="137">
        <v>7682.46</v>
      </c>
      <c r="U151" s="137">
        <v>6847.41</v>
      </c>
      <c r="V151" s="137">
        <v>4509.2700000000004</v>
      </c>
      <c r="W151" s="119">
        <f>SUM(K151:V151)</f>
        <v>74299.8</v>
      </c>
      <c r="X151" s="108">
        <f t="shared" si="63"/>
        <v>74299.8</v>
      </c>
      <c r="Y151" s="110">
        <v>206241.07</v>
      </c>
      <c r="Z151" s="111">
        <v>174299.8</v>
      </c>
      <c r="AA151" s="111">
        <v>6340.13</v>
      </c>
      <c r="AB151" s="123">
        <v>6798.58</v>
      </c>
      <c r="AC151" s="88">
        <f t="shared" si="56"/>
        <v>0</v>
      </c>
      <c r="AD151" s="120">
        <f>Y151</f>
        <v>206241.07</v>
      </c>
      <c r="AE151" s="121">
        <v>101162.43</v>
      </c>
      <c r="AF151" s="112">
        <v>206241.07</v>
      </c>
      <c r="AG151" s="120">
        <f t="shared" si="54"/>
        <v>0</v>
      </c>
      <c r="AH151" s="113">
        <v>1100122</v>
      </c>
      <c r="AI151" s="114">
        <v>206241.07</v>
      </c>
      <c r="AJ151" s="114">
        <v>311566.88</v>
      </c>
      <c r="AK151" s="114">
        <v>210000</v>
      </c>
    </row>
    <row r="152" spans="1:37" ht="16.5" thickTop="1" thickBot="1" x14ac:dyDescent="0.25">
      <c r="A152" s="101"/>
      <c r="B152" s="102"/>
      <c r="C152" s="103"/>
      <c r="D152" s="103">
        <v>5</v>
      </c>
      <c r="E152" s="104">
        <v>431605</v>
      </c>
      <c r="F152" s="105" t="s">
        <v>570</v>
      </c>
      <c r="G152" s="108">
        <v>1441239.05</v>
      </c>
      <c r="H152" s="107">
        <v>1500000</v>
      </c>
      <c r="I152" s="107">
        <v>1500000</v>
      </c>
      <c r="J152" s="108">
        <v>1500000</v>
      </c>
      <c r="K152" s="136">
        <v>46834.3</v>
      </c>
      <c r="L152" s="136">
        <v>158838.85</v>
      </c>
      <c r="M152" s="136">
        <v>176051.02</v>
      </c>
      <c r="N152" s="136">
        <v>86901.82</v>
      </c>
      <c r="O152" s="190">
        <v>101907.26</v>
      </c>
      <c r="P152" s="117">
        <v>136271.54</v>
      </c>
      <c r="Q152" s="137">
        <v>94840.08</v>
      </c>
      <c r="R152" s="137">
        <v>135717</v>
      </c>
      <c r="S152" s="137">
        <v>112261.5</v>
      </c>
      <c r="T152" s="137">
        <v>151477</v>
      </c>
      <c r="U152" s="137">
        <v>98492.75</v>
      </c>
      <c r="V152" s="137"/>
      <c r="W152" s="119">
        <f>SUM(K152:V152)</f>
        <v>1299593.1200000001</v>
      </c>
      <c r="X152" s="108">
        <f t="shared" si="63"/>
        <v>1299593.1200000001</v>
      </c>
      <c r="Y152" s="110">
        <v>1444946.95</v>
      </c>
      <c r="Z152" s="111">
        <v>1370886.21</v>
      </c>
      <c r="AA152" s="111">
        <v>37642.339999999997</v>
      </c>
      <c r="AB152" s="123">
        <v>170476.12</v>
      </c>
      <c r="AC152" s="88">
        <f t="shared" si="56"/>
        <v>0</v>
      </c>
      <c r="AD152" s="120">
        <f>Y152</f>
        <v>1444946.95</v>
      </c>
      <c r="AE152" s="121">
        <v>457083.74</v>
      </c>
      <c r="AF152" s="112">
        <v>1444946.95</v>
      </c>
      <c r="AG152" s="120">
        <f t="shared" si="54"/>
        <v>0</v>
      </c>
      <c r="AH152" s="113">
        <v>1100122</v>
      </c>
      <c r="AI152" s="114">
        <v>1444946.95</v>
      </c>
      <c r="AJ152" s="114">
        <v>1424848.47</v>
      </c>
      <c r="AK152" s="114">
        <v>1481129</v>
      </c>
    </row>
    <row r="153" spans="1:37" ht="16.5" thickTop="1" thickBot="1" x14ac:dyDescent="0.25">
      <c r="A153" s="101"/>
      <c r="B153" s="102"/>
      <c r="C153" s="103"/>
      <c r="D153" s="103">
        <v>6</v>
      </c>
      <c r="E153" s="104">
        <v>431606</v>
      </c>
      <c r="F153" s="105" t="s">
        <v>571</v>
      </c>
      <c r="G153" s="108">
        <v>326142.09999999998</v>
      </c>
      <c r="H153" s="107">
        <v>350000</v>
      </c>
      <c r="I153" s="107">
        <v>350000</v>
      </c>
      <c r="J153" s="108">
        <v>350000</v>
      </c>
      <c r="K153" s="136">
        <v>21318.2</v>
      </c>
      <c r="L153" s="136">
        <v>22022.74</v>
      </c>
      <c r="M153" s="136">
        <v>22022.74</v>
      </c>
      <c r="N153" s="136">
        <v>2190.88</v>
      </c>
      <c r="O153" s="190">
        <v>6139.18</v>
      </c>
      <c r="P153" s="117">
        <v>17019.14</v>
      </c>
      <c r="Q153" s="137">
        <v>4500</v>
      </c>
      <c r="R153" s="137">
        <v>6500</v>
      </c>
      <c r="S153" s="137">
        <v>20082.87</v>
      </c>
      <c r="T153" s="137">
        <v>23478.75</v>
      </c>
      <c r="U153" s="137">
        <v>17293.080000000002</v>
      </c>
      <c r="V153" s="137">
        <v>22418.97</v>
      </c>
      <c r="W153" s="119">
        <f>SUM(K153:V153)</f>
        <v>184986.55000000002</v>
      </c>
      <c r="X153" s="108">
        <f t="shared" si="63"/>
        <v>184986.55000000002</v>
      </c>
      <c r="Y153" s="110">
        <v>251416.64</v>
      </c>
      <c r="Z153" s="111">
        <v>350000</v>
      </c>
      <c r="AA153" s="111">
        <v>24972.75</v>
      </c>
      <c r="AB153" s="123">
        <v>31147.83</v>
      </c>
      <c r="AC153" s="88">
        <f t="shared" si="56"/>
        <v>0</v>
      </c>
      <c r="AD153" s="120">
        <f>Z153</f>
        <v>350000</v>
      </c>
      <c r="AE153" s="121">
        <v>132128.54999999999</v>
      </c>
      <c r="AF153" s="112">
        <v>350000</v>
      </c>
      <c r="AG153" s="120">
        <f t="shared" si="54"/>
        <v>0</v>
      </c>
      <c r="AH153" s="113">
        <v>1100122</v>
      </c>
      <c r="AI153" s="114">
        <v>251416.64</v>
      </c>
      <c r="AJ153" s="114">
        <v>350588.56</v>
      </c>
      <c r="AK153" s="114">
        <v>364436</v>
      </c>
    </row>
    <row r="154" spans="1:37" ht="16.5" thickTop="1" thickBot="1" x14ac:dyDescent="0.25">
      <c r="A154" s="101"/>
      <c r="B154" s="102"/>
      <c r="C154" s="103"/>
      <c r="D154" s="103">
        <v>7</v>
      </c>
      <c r="E154" s="104">
        <v>431607</v>
      </c>
      <c r="F154" s="105" t="s">
        <v>572</v>
      </c>
      <c r="G154" s="108">
        <v>219.21</v>
      </c>
      <c r="H154" s="107">
        <v>1000</v>
      </c>
      <c r="I154" s="107">
        <v>1000</v>
      </c>
      <c r="J154" s="108">
        <v>1000</v>
      </c>
      <c r="K154" s="136">
        <v>0</v>
      </c>
      <c r="L154" s="136">
        <v>0</v>
      </c>
      <c r="M154" s="136">
        <v>0</v>
      </c>
      <c r="N154" s="136">
        <v>0</v>
      </c>
      <c r="O154" s="190">
        <v>0</v>
      </c>
      <c r="P154" s="117">
        <v>0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19">
        <f>I154</f>
        <v>1000</v>
      </c>
      <c r="X154" s="108">
        <f t="shared" si="63"/>
        <v>1000</v>
      </c>
      <c r="Y154" s="110"/>
      <c r="Z154" s="111">
        <v>1000</v>
      </c>
      <c r="AA154" s="111">
        <v>0</v>
      </c>
      <c r="AB154" s="123">
        <v>0</v>
      </c>
      <c r="AC154" s="88">
        <f t="shared" si="56"/>
        <v>0</v>
      </c>
      <c r="AD154" s="120">
        <f>Z154</f>
        <v>1000</v>
      </c>
      <c r="AE154" s="121">
        <v>0</v>
      </c>
      <c r="AF154" s="112">
        <v>1000</v>
      </c>
      <c r="AG154" s="120">
        <f t="shared" si="54"/>
        <v>0</v>
      </c>
      <c r="AH154" s="113">
        <v>1100122</v>
      </c>
      <c r="AI154" s="114">
        <v>0</v>
      </c>
      <c r="AJ154" s="114">
        <v>0</v>
      </c>
      <c r="AK154" s="114">
        <v>1000</v>
      </c>
    </row>
    <row r="155" spans="1:37" ht="16.5" thickTop="1" thickBot="1" x14ac:dyDescent="0.25">
      <c r="A155" s="101"/>
      <c r="B155" s="102"/>
      <c r="C155" s="103"/>
      <c r="D155" s="103">
        <v>8</v>
      </c>
      <c r="E155" s="104">
        <v>431608</v>
      </c>
      <c r="F155" s="105" t="s">
        <v>573</v>
      </c>
      <c r="G155" s="108">
        <v>921361.24</v>
      </c>
      <c r="H155" s="107">
        <v>1197180.23</v>
      </c>
      <c r="I155" s="107">
        <v>1197180.23</v>
      </c>
      <c r="J155" s="108">
        <v>1197180.23</v>
      </c>
      <c r="K155" s="136">
        <v>36630</v>
      </c>
      <c r="L155" s="136">
        <v>94350</v>
      </c>
      <c r="M155" s="136">
        <v>176381.96</v>
      </c>
      <c r="N155" s="136">
        <v>79333.63</v>
      </c>
      <c r="O155" s="190">
        <v>76121.87</v>
      </c>
      <c r="P155" s="117">
        <v>140371.82</v>
      </c>
      <c r="Q155" s="137">
        <v>55948.656000000003</v>
      </c>
      <c r="R155" s="137">
        <v>66642.176000000007</v>
      </c>
      <c r="S155" s="137">
        <v>74379.039999999994</v>
      </c>
      <c r="T155" s="137">
        <v>95421.56</v>
      </c>
      <c r="U155" s="137">
        <v>46914.96</v>
      </c>
      <c r="V155" s="137"/>
      <c r="W155" s="119">
        <v>942495.67</v>
      </c>
      <c r="X155" s="108">
        <f t="shared" si="63"/>
        <v>942495.67</v>
      </c>
      <c r="Y155" s="110">
        <v>1203387.3700000001</v>
      </c>
      <c r="Z155" s="111">
        <v>1006485.36</v>
      </c>
      <c r="AA155" s="111">
        <v>16218.3</v>
      </c>
      <c r="AB155" s="123">
        <v>89477.43</v>
      </c>
      <c r="AC155" s="88">
        <f t="shared" si="56"/>
        <v>0</v>
      </c>
      <c r="AD155" s="112">
        <f>Y155</f>
        <v>1203387.3700000001</v>
      </c>
      <c r="AE155" s="121">
        <v>231972.07</v>
      </c>
      <c r="AF155" s="112">
        <v>1203387.3700000001</v>
      </c>
      <c r="AG155" s="112">
        <f t="shared" si="54"/>
        <v>0</v>
      </c>
      <c r="AH155" s="113">
        <v>1100122</v>
      </c>
      <c r="AI155" s="114">
        <v>1203387.3700000001</v>
      </c>
      <c r="AJ155" s="114">
        <v>704926.32000000007</v>
      </c>
      <c r="AK155" s="114">
        <v>732770</v>
      </c>
    </row>
    <row r="156" spans="1:37" ht="16.5" thickTop="1" thickBot="1" x14ac:dyDescent="0.25">
      <c r="A156" s="101"/>
      <c r="B156" s="102"/>
      <c r="C156" s="103"/>
      <c r="D156" s="103">
        <v>9</v>
      </c>
      <c r="E156" s="104">
        <v>431609</v>
      </c>
      <c r="F156" s="105" t="s">
        <v>574</v>
      </c>
      <c r="G156" s="108">
        <v>16094.32</v>
      </c>
      <c r="H156" s="107">
        <v>16619</v>
      </c>
      <c r="I156" s="107">
        <v>16619</v>
      </c>
      <c r="J156" s="108">
        <v>16619</v>
      </c>
      <c r="K156" s="136">
        <v>375</v>
      </c>
      <c r="L156" s="141">
        <v>125</v>
      </c>
      <c r="M156" s="136">
        <v>0</v>
      </c>
      <c r="N156" s="136">
        <v>125</v>
      </c>
      <c r="O156" s="190">
        <v>125</v>
      </c>
      <c r="P156" s="117">
        <v>125</v>
      </c>
      <c r="Q156" s="137">
        <v>0</v>
      </c>
      <c r="R156" s="137">
        <v>0</v>
      </c>
      <c r="S156" s="136">
        <v>125</v>
      </c>
      <c r="T156" s="136">
        <v>125</v>
      </c>
      <c r="U156" s="136">
        <v>125</v>
      </c>
      <c r="V156" s="136">
        <v>125</v>
      </c>
      <c r="W156" s="119">
        <f>SUM(K156:V156)</f>
        <v>1375</v>
      </c>
      <c r="X156" s="108">
        <f t="shared" si="63"/>
        <v>1375</v>
      </c>
      <c r="Y156" s="110">
        <v>2000</v>
      </c>
      <c r="Z156" s="111">
        <v>1375</v>
      </c>
      <c r="AA156" s="111">
        <v>125</v>
      </c>
      <c r="AB156" s="123">
        <v>250</v>
      </c>
      <c r="AC156" s="88">
        <f t="shared" si="56"/>
        <v>0</v>
      </c>
      <c r="AD156" s="120">
        <f>Y156</f>
        <v>2000</v>
      </c>
      <c r="AE156" s="121">
        <v>888.14</v>
      </c>
      <c r="AF156" s="112">
        <v>2000</v>
      </c>
      <c r="AG156" s="120">
        <f t="shared" si="54"/>
        <v>0</v>
      </c>
      <c r="AH156" s="113">
        <v>1100122</v>
      </c>
      <c r="AI156" s="114">
        <v>2000</v>
      </c>
      <c r="AJ156" s="114">
        <v>2418.8000000000002</v>
      </c>
      <c r="AK156" s="114">
        <v>2514</v>
      </c>
    </row>
    <row r="157" spans="1:37" ht="27" thickTop="1" thickBot="1" x14ac:dyDescent="0.25">
      <c r="A157" s="127"/>
      <c r="B157" s="128"/>
      <c r="C157" s="129">
        <v>17</v>
      </c>
      <c r="D157" s="129"/>
      <c r="E157" s="129"/>
      <c r="F157" s="130" t="s">
        <v>575</v>
      </c>
      <c r="G157" s="84">
        <f>G158+G160</f>
        <v>63089889.979999997</v>
      </c>
      <c r="H157" s="107">
        <f>H158</f>
        <v>12500</v>
      </c>
      <c r="I157" s="107">
        <f>I158</f>
        <v>12500</v>
      </c>
      <c r="J157" s="84">
        <f>J158</f>
        <v>12500</v>
      </c>
      <c r="K157" s="108">
        <f t="shared" ref="K157:AB157" si="64">K158</f>
        <v>0</v>
      </c>
      <c r="L157" s="84">
        <f t="shared" si="64"/>
        <v>0</v>
      </c>
      <c r="M157" s="84">
        <f t="shared" si="64"/>
        <v>980</v>
      </c>
      <c r="N157" s="84">
        <f t="shared" si="64"/>
        <v>0</v>
      </c>
      <c r="O157" s="84">
        <f t="shared" si="64"/>
        <v>0</v>
      </c>
      <c r="P157" s="84">
        <f t="shared" si="64"/>
        <v>1080</v>
      </c>
      <c r="Q157" s="84">
        <f t="shared" si="64"/>
        <v>0</v>
      </c>
      <c r="R157" s="84">
        <f t="shared" si="64"/>
        <v>0</v>
      </c>
      <c r="S157" s="84">
        <f t="shared" si="64"/>
        <v>490</v>
      </c>
      <c r="T157" s="84">
        <f t="shared" si="64"/>
        <v>0</v>
      </c>
      <c r="U157" s="84">
        <f t="shared" si="64"/>
        <v>0</v>
      </c>
      <c r="V157" s="84">
        <f t="shared" si="64"/>
        <v>980</v>
      </c>
      <c r="W157" s="207">
        <f t="shared" si="64"/>
        <v>3530</v>
      </c>
      <c r="X157" s="207">
        <f t="shared" si="64"/>
        <v>3530</v>
      </c>
      <c r="Y157" s="202">
        <f t="shared" si="64"/>
        <v>13340</v>
      </c>
      <c r="Z157" s="207">
        <f t="shared" si="64"/>
        <v>10530</v>
      </c>
      <c r="AA157" s="207">
        <f t="shared" si="64"/>
        <v>3730</v>
      </c>
      <c r="AB157" s="207">
        <f t="shared" si="64"/>
        <v>0</v>
      </c>
      <c r="AC157" s="88">
        <f t="shared" si="56"/>
        <v>0</v>
      </c>
      <c r="AD157" s="208">
        <f>AD158</f>
        <v>13340</v>
      </c>
      <c r="AE157" s="208">
        <f>AE158</f>
        <v>9710</v>
      </c>
      <c r="AF157" s="208">
        <f>AF158</f>
        <v>18340</v>
      </c>
      <c r="AG157" s="208">
        <f t="shared" si="54"/>
        <v>5000</v>
      </c>
      <c r="AH157" s="135"/>
      <c r="AI157" s="202">
        <f>AI158</f>
        <v>13340</v>
      </c>
      <c r="AJ157" s="202">
        <f>AJ158</f>
        <v>39810</v>
      </c>
      <c r="AK157" s="202">
        <f>AK158</f>
        <v>39810</v>
      </c>
    </row>
    <row r="158" spans="1:37" ht="16.5" thickTop="1" thickBot="1" x14ac:dyDescent="0.25">
      <c r="A158" s="101"/>
      <c r="B158" s="102"/>
      <c r="C158" s="103"/>
      <c r="D158" s="103">
        <v>1</v>
      </c>
      <c r="E158" s="104">
        <v>431701</v>
      </c>
      <c r="F158" s="105" t="s">
        <v>576</v>
      </c>
      <c r="G158" s="108">
        <v>10300</v>
      </c>
      <c r="H158" s="107">
        <v>12500</v>
      </c>
      <c r="I158" s="107">
        <v>12500</v>
      </c>
      <c r="J158" s="108">
        <v>12500</v>
      </c>
      <c r="K158" s="108">
        <v>0</v>
      </c>
      <c r="L158" s="136">
        <v>0</v>
      </c>
      <c r="M158" s="136">
        <v>980</v>
      </c>
      <c r="N158" s="205">
        <v>0</v>
      </c>
      <c r="O158" s="136">
        <v>0</v>
      </c>
      <c r="P158" s="117">
        <v>1080</v>
      </c>
      <c r="Q158" s="209">
        <v>0</v>
      </c>
      <c r="R158" s="209">
        <v>0</v>
      </c>
      <c r="S158" s="206">
        <v>490</v>
      </c>
      <c r="T158" s="206">
        <v>0</v>
      </c>
      <c r="U158" s="206">
        <v>0</v>
      </c>
      <c r="V158" s="206">
        <v>980</v>
      </c>
      <c r="W158" s="119">
        <f>SUM(K158:V158)</f>
        <v>3530</v>
      </c>
      <c r="X158" s="108">
        <f>W158</f>
        <v>3530</v>
      </c>
      <c r="Y158" s="110">
        <v>13340</v>
      </c>
      <c r="Z158" s="111">
        <v>10530</v>
      </c>
      <c r="AA158" s="111">
        <v>3730</v>
      </c>
      <c r="AB158" s="111"/>
      <c r="AC158" s="88">
        <f t="shared" si="56"/>
        <v>0</v>
      </c>
      <c r="AD158" s="120">
        <f>Y158</f>
        <v>13340</v>
      </c>
      <c r="AE158" s="121">
        <v>9710</v>
      </c>
      <c r="AF158" s="112">
        <f>AD158+5000</f>
        <v>18340</v>
      </c>
      <c r="AG158" s="120">
        <f t="shared" si="54"/>
        <v>5000</v>
      </c>
      <c r="AH158" s="113">
        <v>1100122</v>
      </c>
      <c r="AI158" s="114">
        <v>13340</v>
      </c>
      <c r="AJ158" s="114">
        <v>39810</v>
      </c>
      <c r="AK158" s="114">
        <v>39810</v>
      </c>
    </row>
    <row r="159" spans="1:37" ht="16.5" thickTop="1" thickBot="1" x14ac:dyDescent="0.25">
      <c r="A159" s="101"/>
      <c r="B159" s="102"/>
      <c r="C159" s="129">
        <v>18</v>
      </c>
      <c r="D159" s="103"/>
      <c r="E159" s="104"/>
      <c r="F159" s="130" t="s">
        <v>577</v>
      </c>
      <c r="G159" s="108"/>
      <c r="H159" s="107"/>
      <c r="I159" s="107"/>
      <c r="J159" s="108"/>
      <c r="K159" s="210"/>
      <c r="L159" s="211"/>
      <c r="M159" s="136"/>
      <c r="N159" s="211"/>
      <c r="O159" s="136"/>
      <c r="P159" s="117"/>
      <c r="Q159" s="211"/>
      <c r="R159" s="211"/>
      <c r="S159" s="212"/>
      <c r="T159" s="212"/>
      <c r="U159" s="212"/>
      <c r="V159" s="212"/>
      <c r="W159" s="119"/>
      <c r="X159" s="108"/>
      <c r="Y159" s="110"/>
      <c r="Z159" s="111"/>
      <c r="AA159" s="111"/>
      <c r="AB159" s="111"/>
      <c r="AC159" s="88"/>
      <c r="AD159" s="120"/>
      <c r="AE159" s="121"/>
      <c r="AF159" s="112"/>
      <c r="AG159" s="120"/>
      <c r="AH159" s="113"/>
      <c r="AI159" s="202">
        <f>+AI160</f>
        <v>78393123.519999996</v>
      </c>
      <c r="AJ159" s="202">
        <f t="shared" ref="AJ159:AK159" si="65">+AJ160</f>
        <v>80469804.390000001</v>
      </c>
      <c r="AK159" s="202">
        <f t="shared" si="65"/>
        <v>90643176</v>
      </c>
    </row>
    <row r="160" spans="1:37" ht="16.5" thickTop="1" thickBot="1" x14ac:dyDescent="0.3">
      <c r="A160" s="101"/>
      <c r="B160" s="102"/>
      <c r="C160" s="56"/>
      <c r="D160" s="103">
        <v>1</v>
      </c>
      <c r="E160" s="104">
        <v>431801</v>
      </c>
      <c r="F160" s="105" t="s">
        <v>577</v>
      </c>
      <c r="G160" s="108">
        <v>63079589.979999997</v>
      </c>
      <c r="H160" s="107">
        <f>93726228+2000000</f>
        <v>95726228</v>
      </c>
      <c r="I160" s="107">
        <f>93726228+2000000</f>
        <v>95726228</v>
      </c>
      <c r="J160" s="108">
        <f>93726228+2000000</f>
        <v>95726228</v>
      </c>
      <c r="K160" s="141">
        <v>720025.37</v>
      </c>
      <c r="L160" s="141">
        <v>5627581.0199999996</v>
      </c>
      <c r="M160" s="136">
        <v>5871643.6299999999</v>
      </c>
      <c r="N160" s="136">
        <v>6755762.6500000004</v>
      </c>
      <c r="O160" s="190">
        <v>6020977.4400000004</v>
      </c>
      <c r="P160" s="117">
        <f>8375.68+7019769.4</f>
        <v>7028145.0800000001</v>
      </c>
      <c r="Q160" s="137">
        <v>6200000</v>
      </c>
      <c r="R160" s="137">
        <v>6200000</v>
      </c>
      <c r="S160" s="137">
        <v>6200000</v>
      </c>
      <c r="T160" s="137">
        <v>6200000</v>
      </c>
      <c r="U160" s="137">
        <v>6200000</v>
      </c>
      <c r="V160" s="137">
        <v>6200000</v>
      </c>
      <c r="W160" s="119">
        <f>SUM(K160:V160)</f>
        <v>69224135.189999998</v>
      </c>
      <c r="X160" s="108">
        <f>W160</f>
        <v>69224135.189999998</v>
      </c>
      <c r="Y160" s="110">
        <v>78393123.519999996</v>
      </c>
      <c r="Z160" s="111">
        <v>89659145.040000007</v>
      </c>
      <c r="AA160" s="111">
        <v>775143.47</v>
      </c>
      <c r="AB160" s="123">
        <v>6297982.8099999996</v>
      </c>
      <c r="AC160" s="88">
        <f t="shared" si="56"/>
        <v>0</v>
      </c>
      <c r="AD160" s="213">
        <v>86437186.439999983</v>
      </c>
      <c r="AE160" s="214">
        <v>19739601.050000001</v>
      </c>
      <c r="AF160" s="213">
        <f>AD160-3000000-729046.39+0.04-0.25+25000+14000+443128.37-1798050.6+300000+150000+400000</f>
        <v>82242217.609999999</v>
      </c>
      <c r="AG160" s="215">
        <f t="shared" si="54"/>
        <v>-4194968.8299999833</v>
      </c>
      <c r="AH160" s="113">
        <v>1100122</v>
      </c>
      <c r="AI160" s="114">
        <v>78393123.519999996</v>
      </c>
      <c r="AJ160" s="114">
        <v>80469804.390000001</v>
      </c>
      <c r="AK160" s="114">
        <v>90643176</v>
      </c>
    </row>
    <row r="161" spans="1:37" ht="16.5" thickTop="1" thickBot="1" x14ac:dyDescent="0.25">
      <c r="A161" s="127"/>
      <c r="B161" s="128"/>
      <c r="C161" s="129">
        <v>21</v>
      </c>
      <c r="D161" s="129"/>
      <c r="E161" s="129"/>
      <c r="F161" s="130" t="s">
        <v>578</v>
      </c>
      <c r="G161" s="84">
        <f>G162+G163</f>
        <v>1537800.86</v>
      </c>
      <c r="H161" s="84">
        <f>H162+H163</f>
        <v>250000</v>
      </c>
      <c r="I161" s="84">
        <f>I162+I163</f>
        <v>3750000</v>
      </c>
      <c r="J161" s="84">
        <f>J162+J163</f>
        <v>4250000</v>
      </c>
      <c r="K161" s="84">
        <f t="shared" ref="K161:AB161" si="66">K162+K163</f>
        <v>383686.81</v>
      </c>
      <c r="L161" s="85">
        <f t="shared" si="66"/>
        <v>295475.32</v>
      </c>
      <c r="M161" s="85">
        <f t="shared" si="66"/>
        <v>525704.18999999994</v>
      </c>
      <c r="N161" s="85">
        <f t="shared" si="66"/>
        <v>422743.08</v>
      </c>
      <c r="O161" s="85">
        <f t="shared" si="66"/>
        <v>416221.82</v>
      </c>
      <c r="P161" s="85">
        <f t="shared" si="66"/>
        <v>555686.31000000006</v>
      </c>
      <c r="Q161" s="85">
        <f t="shared" si="66"/>
        <v>239909.57499999998</v>
      </c>
      <c r="R161" s="85">
        <f t="shared" si="66"/>
        <v>248909.57499999998</v>
      </c>
      <c r="S161" s="85">
        <f t="shared" si="66"/>
        <v>250909.57499999998</v>
      </c>
      <c r="T161" s="85">
        <f t="shared" si="66"/>
        <v>250909.57499999998</v>
      </c>
      <c r="U161" s="85">
        <f t="shared" si="66"/>
        <v>254909.57499999998</v>
      </c>
      <c r="V161" s="85">
        <f t="shared" si="66"/>
        <v>245909.57499999998</v>
      </c>
      <c r="W161" s="207">
        <f t="shared" si="66"/>
        <v>4090974.9800000014</v>
      </c>
      <c r="X161" s="207">
        <f t="shared" si="66"/>
        <v>4090974.9800000014</v>
      </c>
      <c r="Y161" s="202">
        <f t="shared" si="66"/>
        <v>6114038.6500000004</v>
      </c>
      <c r="Z161" s="207">
        <f t="shared" si="66"/>
        <v>5500000</v>
      </c>
      <c r="AA161" s="207">
        <f t="shared" si="66"/>
        <v>749036.49</v>
      </c>
      <c r="AB161" s="207">
        <f t="shared" si="66"/>
        <v>915041.69</v>
      </c>
      <c r="AC161" s="88">
        <f t="shared" si="56"/>
        <v>0</v>
      </c>
      <c r="AD161" s="208">
        <f>AD162+AD163</f>
        <v>6141648.6500000004</v>
      </c>
      <c r="AE161" s="208">
        <f>AE162+AE163</f>
        <v>2789601.16</v>
      </c>
      <c r="AF161" s="208">
        <f>AF162+AF163</f>
        <v>6641648.6500000004</v>
      </c>
      <c r="AG161" s="208">
        <f t="shared" si="54"/>
        <v>500000</v>
      </c>
      <c r="AH161" s="113"/>
      <c r="AI161" s="202">
        <f>AI162+AI163</f>
        <v>6114038.6500000004</v>
      </c>
      <c r="AJ161" s="202">
        <f>AJ162+AJ163</f>
        <v>7828588.4100000001</v>
      </c>
      <c r="AK161" s="202">
        <f>AK162+AK163</f>
        <v>8139816</v>
      </c>
    </row>
    <row r="162" spans="1:37" ht="16.5" thickTop="1" thickBot="1" x14ac:dyDescent="0.25">
      <c r="A162" s="101"/>
      <c r="B162" s="102"/>
      <c r="C162" s="103"/>
      <c r="D162" s="103">
        <v>1</v>
      </c>
      <c r="E162" s="104">
        <v>432101</v>
      </c>
      <c r="F162" s="105" t="s">
        <v>579</v>
      </c>
      <c r="G162" s="108">
        <v>194869</v>
      </c>
      <c r="H162" s="107">
        <v>250000</v>
      </c>
      <c r="I162" s="107">
        <v>250000</v>
      </c>
      <c r="J162" s="108">
        <v>250000</v>
      </c>
      <c r="K162" s="136">
        <v>10352</v>
      </c>
      <c r="L162" s="136">
        <v>21251</v>
      </c>
      <c r="M162" s="136">
        <v>15283</v>
      </c>
      <c r="N162" s="136">
        <v>0</v>
      </c>
      <c r="O162" s="136"/>
      <c r="P162" s="204"/>
      <c r="Q162" s="137">
        <v>0</v>
      </c>
      <c r="R162" s="137">
        <v>9000</v>
      </c>
      <c r="S162" s="137">
        <v>11000</v>
      </c>
      <c r="T162" s="137">
        <v>11000</v>
      </c>
      <c r="U162" s="137">
        <v>15000</v>
      </c>
      <c r="V162" s="137">
        <v>6000</v>
      </c>
      <c r="W162" s="119">
        <f>SUM(K162:V162)</f>
        <v>98886</v>
      </c>
      <c r="X162" s="108">
        <f>W162</f>
        <v>98886</v>
      </c>
      <c r="Y162" s="110">
        <v>57390</v>
      </c>
      <c r="Z162" s="111">
        <v>85000</v>
      </c>
      <c r="AA162" s="111">
        <v>1878</v>
      </c>
      <c r="AB162" s="123">
        <v>4323</v>
      </c>
      <c r="AC162" s="88">
        <f t="shared" si="56"/>
        <v>0</v>
      </c>
      <c r="AD162" s="120">
        <f>Z162</f>
        <v>85000</v>
      </c>
      <c r="AE162" s="121">
        <v>14346.93</v>
      </c>
      <c r="AF162" s="112">
        <v>85000</v>
      </c>
      <c r="AG162" s="120">
        <f t="shared" si="54"/>
        <v>0</v>
      </c>
      <c r="AH162" s="113">
        <v>1100122</v>
      </c>
      <c r="AI162" s="114">
        <v>57390</v>
      </c>
      <c r="AJ162" s="114">
        <v>88749.28</v>
      </c>
      <c r="AK162" s="114">
        <v>92254</v>
      </c>
    </row>
    <row r="163" spans="1:37" ht="16.5" thickTop="1" thickBot="1" x14ac:dyDescent="0.25">
      <c r="A163" s="101"/>
      <c r="B163" s="102"/>
      <c r="C163" s="103"/>
      <c r="D163" s="103">
        <v>2</v>
      </c>
      <c r="E163" s="104">
        <v>432102</v>
      </c>
      <c r="F163" s="105" t="s">
        <v>580</v>
      </c>
      <c r="G163" s="108">
        <v>1342931.86</v>
      </c>
      <c r="H163" s="107"/>
      <c r="I163" s="107">
        <v>3500000</v>
      </c>
      <c r="J163" s="108">
        <v>4000000</v>
      </c>
      <c r="K163" s="136">
        <v>373334.81</v>
      </c>
      <c r="L163" s="141">
        <v>274224.32</v>
      </c>
      <c r="M163" s="136">
        <v>510421.19</v>
      </c>
      <c r="N163" s="136">
        <v>422743.08</v>
      </c>
      <c r="O163" s="190">
        <v>416221.82</v>
      </c>
      <c r="P163" s="117">
        <v>555686.31000000006</v>
      </c>
      <c r="Q163" s="137">
        <v>239909.57499999998</v>
      </c>
      <c r="R163" s="137">
        <v>239909.57499999998</v>
      </c>
      <c r="S163" s="137">
        <v>239909.57499999998</v>
      </c>
      <c r="T163" s="137">
        <v>239909.57499999998</v>
      </c>
      <c r="U163" s="137">
        <v>239909.57499999998</v>
      </c>
      <c r="V163" s="137">
        <v>239909.57499999998</v>
      </c>
      <c r="W163" s="119">
        <f>SUM(K163:V163)</f>
        <v>3992088.9800000014</v>
      </c>
      <c r="X163" s="108">
        <f>W163</f>
        <v>3992088.9800000014</v>
      </c>
      <c r="Y163" s="110">
        <v>6056648.6500000004</v>
      </c>
      <c r="Z163" s="111">
        <v>5415000</v>
      </c>
      <c r="AA163" s="111">
        <v>747158.49</v>
      </c>
      <c r="AB163" s="123">
        <v>910718.69</v>
      </c>
      <c r="AC163" s="88">
        <f t="shared" si="56"/>
        <v>0</v>
      </c>
      <c r="AD163" s="112">
        <f>Y163</f>
        <v>6056648.6500000004</v>
      </c>
      <c r="AE163" s="121">
        <v>2775254.23</v>
      </c>
      <c r="AF163" s="112">
        <f>AD163+500000</f>
        <v>6556648.6500000004</v>
      </c>
      <c r="AG163" s="112">
        <f t="shared" si="54"/>
        <v>500000</v>
      </c>
      <c r="AH163" s="113">
        <v>1100122</v>
      </c>
      <c r="AI163" s="114">
        <v>6056648.6500000004</v>
      </c>
      <c r="AJ163" s="114">
        <v>7739839.1299999999</v>
      </c>
      <c r="AK163" s="114">
        <v>8047562</v>
      </c>
    </row>
    <row r="164" spans="1:37" ht="14.25" customHeight="1" thickTop="1" thickBot="1" x14ac:dyDescent="0.25">
      <c r="A164" s="174"/>
      <c r="B164" s="82">
        <v>7</v>
      </c>
      <c r="C164" s="175"/>
      <c r="D164" s="175"/>
      <c r="E164" s="175"/>
      <c r="F164" s="176" t="s">
        <v>581</v>
      </c>
      <c r="G164" s="126">
        <f>G165</f>
        <v>0</v>
      </c>
      <c r="H164" s="85">
        <f>H165</f>
        <v>0</v>
      </c>
      <c r="I164" s="85">
        <v>0</v>
      </c>
      <c r="J164" s="84">
        <f>J165</f>
        <v>1100</v>
      </c>
      <c r="K164" s="84">
        <f>K165</f>
        <v>0</v>
      </c>
      <c r="L164" s="84">
        <f t="shared" ref="L164:Y164" si="67">L165</f>
        <v>0</v>
      </c>
      <c r="M164" s="84">
        <f t="shared" si="67"/>
        <v>130.44</v>
      </c>
      <c r="N164" s="84">
        <f t="shared" si="67"/>
        <v>124.39</v>
      </c>
      <c r="O164" s="84">
        <f t="shared" si="67"/>
        <v>24.67</v>
      </c>
      <c r="P164" s="84">
        <f t="shared" si="67"/>
        <v>9.06</v>
      </c>
      <c r="Q164" s="84">
        <f t="shared" si="67"/>
        <v>100</v>
      </c>
      <c r="R164" s="84">
        <f t="shared" si="67"/>
        <v>100</v>
      </c>
      <c r="S164" s="84">
        <f t="shared" si="67"/>
        <v>130</v>
      </c>
      <c r="T164" s="84">
        <f t="shared" si="67"/>
        <v>130</v>
      </c>
      <c r="U164" s="84">
        <f t="shared" si="67"/>
        <v>150</v>
      </c>
      <c r="V164" s="84">
        <f t="shared" si="67"/>
        <v>150</v>
      </c>
      <c r="W164" s="132">
        <f t="shared" si="67"/>
        <v>1048.56</v>
      </c>
      <c r="X164" s="134">
        <f t="shared" si="67"/>
        <v>1048.56</v>
      </c>
      <c r="Y164" s="133">
        <f t="shared" si="67"/>
        <v>2426.9699999999998</v>
      </c>
      <c r="Z164" s="134"/>
      <c r="AA164" s="134"/>
      <c r="AB164" s="134"/>
      <c r="AC164" s="88">
        <f t="shared" si="56"/>
        <v>0</v>
      </c>
      <c r="AD164" s="134">
        <f>AD165</f>
        <v>0</v>
      </c>
      <c r="AE164" s="134">
        <f>AE165</f>
        <v>0</v>
      </c>
      <c r="AF164" s="134">
        <f>AF165</f>
        <v>0</v>
      </c>
      <c r="AG164" s="134">
        <f t="shared" si="54"/>
        <v>0</v>
      </c>
      <c r="AH164" s="135"/>
      <c r="AI164" s="133">
        <f t="shared" ref="AI164:AK164" si="68">AI165</f>
        <v>2426.9699999999998</v>
      </c>
      <c r="AJ164" s="110">
        <f t="shared" si="68"/>
        <v>0</v>
      </c>
      <c r="AK164" s="133">
        <f t="shared" si="68"/>
        <v>0</v>
      </c>
    </row>
    <row r="165" spans="1:37" ht="14.25" customHeight="1" thickTop="1" thickBot="1" x14ac:dyDescent="0.25">
      <c r="A165" s="216"/>
      <c r="B165" s="217"/>
      <c r="C165" s="103">
        <v>1</v>
      </c>
      <c r="D165" s="103"/>
      <c r="E165" s="129">
        <v>450301</v>
      </c>
      <c r="F165" s="105" t="s">
        <v>582</v>
      </c>
      <c r="G165" s="97">
        <v>0</v>
      </c>
      <c r="H165" s="107">
        <v>0</v>
      </c>
      <c r="I165" s="107">
        <v>0</v>
      </c>
      <c r="J165" s="108">
        <v>1100</v>
      </c>
      <c r="K165" s="108">
        <v>0</v>
      </c>
      <c r="L165" s="108">
        <v>0</v>
      </c>
      <c r="M165" s="218">
        <v>130.44</v>
      </c>
      <c r="N165" s="219">
        <v>124.39</v>
      </c>
      <c r="O165" s="190">
        <v>24.67</v>
      </c>
      <c r="P165" s="117">
        <v>9.06</v>
      </c>
      <c r="Q165" s="220">
        <v>100</v>
      </c>
      <c r="R165" s="220">
        <v>100</v>
      </c>
      <c r="S165" s="220">
        <v>130</v>
      </c>
      <c r="T165" s="220">
        <v>130</v>
      </c>
      <c r="U165" s="220">
        <v>150</v>
      </c>
      <c r="V165" s="220">
        <v>150</v>
      </c>
      <c r="W165" s="119">
        <f>SUM(K165:V165)</f>
        <v>1048.56</v>
      </c>
      <c r="X165" s="108">
        <f>W165</f>
        <v>1048.56</v>
      </c>
      <c r="Y165" s="110">
        <v>2426.9699999999998</v>
      </c>
      <c r="Z165" s="108"/>
      <c r="AA165" s="108"/>
      <c r="AB165" s="108"/>
      <c r="AC165" s="88">
        <f t="shared" si="56"/>
        <v>0</v>
      </c>
      <c r="AD165" s="108">
        <v>0</v>
      </c>
      <c r="AE165" s="108">
        <v>0</v>
      </c>
      <c r="AF165" s="108">
        <v>0</v>
      </c>
      <c r="AG165" s="108">
        <f t="shared" si="54"/>
        <v>0</v>
      </c>
      <c r="AH165" s="113">
        <v>1100122</v>
      </c>
      <c r="AI165" s="114">
        <v>2426.9699999999998</v>
      </c>
      <c r="AJ165" s="114">
        <v>0</v>
      </c>
      <c r="AK165" s="114"/>
    </row>
    <row r="166" spans="1:37" ht="14.25" thickTop="1" thickBot="1" x14ac:dyDescent="0.25">
      <c r="A166" s="172" t="s">
        <v>583</v>
      </c>
      <c r="B166" s="172" t="s">
        <v>462</v>
      </c>
      <c r="C166" s="75"/>
      <c r="D166" s="75"/>
      <c r="E166" s="75"/>
      <c r="F166" s="76" t="s">
        <v>12</v>
      </c>
      <c r="G166" s="77">
        <f>G49+G50+G53+G71+G72+G104+G106+G145+G146+G158+G162+G163+G170+G171+G172+G174+G176+G175+G177+G178+G179+G180+G185+G189+G190+G192+G198+G200+G201+G209+G235+G236+G237+G238+G239</f>
        <v>52482045.56000001</v>
      </c>
      <c r="H166" s="77">
        <f>H167</f>
        <v>25141738.099717002</v>
      </c>
      <c r="I166" s="77">
        <f>I167</f>
        <v>25141738.149581447</v>
      </c>
      <c r="J166" s="77">
        <f>J167</f>
        <v>25491738.090135552</v>
      </c>
      <c r="K166" s="77">
        <f t="shared" ref="K166:AB166" si="69">K167</f>
        <v>1493567.6700000002</v>
      </c>
      <c r="L166" s="77">
        <f t="shared" si="69"/>
        <v>2494105.67</v>
      </c>
      <c r="M166" s="77">
        <f t="shared" si="69"/>
        <v>2233714.5599999996</v>
      </c>
      <c r="N166" s="77">
        <f t="shared" si="69"/>
        <v>2181101.77</v>
      </c>
      <c r="O166" s="77">
        <f t="shared" si="69"/>
        <v>2965675.6000000006</v>
      </c>
      <c r="P166" s="77">
        <f t="shared" si="69"/>
        <v>2426052.5799999996</v>
      </c>
      <c r="Q166" s="77">
        <f t="shared" si="69"/>
        <v>1826056.2719119666</v>
      </c>
      <c r="R166" s="77">
        <f t="shared" si="69"/>
        <v>1827056.2719119666</v>
      </c>
      <c r="S166" s="77">
        <f t="shared" si="69"/>
        <v>1833363.1319119667</v>
      </c>
      <c r="T166" s="77">
        <f t="shared" si="69"/>
        <v>1829263.1319119667</v>
      </c>
      <c r="U166" s="77">
        <f t="shared" si="69"/>
        <v>1805380.0419119669</v>
      </c>
      <c r="V166" s="77">
        <f t="shared" si="69"/>
        <v>1654153.5556619668</v>
      </c>
      <c r="W166" s="77">
        <f t="shared" si="69"/>
        <v>24569490.759999998</v>
      </c>
      <c r="X166" s="77">
        <f t="shared" si="69"/>
        <v>24569490.759999998</v>
      </c>
      <c r="Y166" s="78">
        <f t="shared" si="69"/>
        <v>27262838.569999997</v>
      </c>
      <c r="Z166" s="79">
        <f t="shared" si="69"/>
        <v>25168726.48</v>
      </c>
      <c r="AA166" s="79">
        <f t="shared" si="69"/>
        <v>5268522.62</v>
      </c>
      <c r="AB166" s="79">
        <f t="shared" si="69"/>
        <v>1970565.61</v>
      </c>
      <c r="AC166" s="221">
        <f t="shared" si="56"/>
        <v>0</v>
      </c>
      <c r="AD166" s="79">
        <f>AD167</f>
        <v>25168726.48</v>
      </c>
      <c r="AE166" s="79">
        <f>AE167</f>
        <v>11053490.959999999</v>
      </c>
      <c r="AF166" s="79">
        <f>AF167</f>
        <v>26863440.48</v>
      </c>
      <c r="AG166" s="79">
        <f t="shared" si="54"/>
        <v>1694714</v>
      </c>
      <c r="AH166" s="81"/>
      <c r="AI166" s="78">
        <f>AI167</f>
        <v>27262838.569999997</v>
      </c>
      <c r="AJ166" s="222">
        <f>AJ167</f>
        <v>24436673.470000003</v>
      </c>
      <c r="AK166" s="222">
        <f>AK167</f>
        <v>23685989</v>
      </c>
    </row>
    <row r="167" spans="1:37" ht="14.25" thickTop="1" thickBot="1" x14ac:dyDescent="0.25">
      <c r="A167" s="174"/>
      <c r="B167" s="82" t="s">
        <v>423</v>
      </c>
      <c r="C167" s="175"/>
      <c r="D167" s="175"/>
      <c r="E167" s="175"/>
      <c r="F167" s="176" t="s">
        <v>12</v>
      </c>
      <c r="G167" s="84">
        <f>G168+G185+G187+G190+G192+G194</f>
        <v>31708462.969999999</v>
      </c>
      <c r="H167" s="85">
        <f>H168+H185+H187+H190+H192+H194</f>
        <v>25141738.099717002</v>
      </c>
      <c r="I167" s="85">
        <f>I168+I185+I187+I190+I192+I194</f>
        <v>25141738.149581447</v>
      </c>
      <c r="J167" s="84">
        <f>J168+J185+J187+J190+J192+J194</f>
        <v>25491738.090135552</v>
      </c>
      <c r="K167" s="84">
        <f t="shared" ref="K167:AB167" si="70">K168+K185+K187+K190+K192+K194</f>
        <v>1493567.6700000002</v>
      </c>
      <c r="L167" s="84">
        <f t="shared" si="70"/>
        <v>2494105.67</v>
      </c>
      <c r="M167" s="84">
        <f t="shared" si="70"/>
        <v>2233714.5599999996</v>
      </c>
      <c r="N167" s="84">
        <f t="shared" si="70"/>
        <v>2181101.77</v>
      </c>
      <c r="O167" s="84">
        <f t="shared" si="70"/>
        <v>2965675.6000000006</v>
      </c>
      <c r="P167" s="84">
        <f t="shared" si="70"/>
        <v>2426052.5799999996</v>
      </c>
      <c r="Q167" s="84">
        <f t="shared" si="70"/>
        <v>1826056.2719119666</v>
      </c>
      <c r="R167" s="84">
        <f t="shared" si="70"/>
        <v>1827056.2719119666</v>
      </c>
      <c r="S167" s="84">
        <f t="shared" si="70"/>
        <v>1833363.1319119667</v>
      </c>
      <c r="T167" s="84">
        <f t="shared" si="70"/>
        <v>1829263.1319119667</v>
      </c>
      <c r="U167" s="84">
        <f t="shared" si="70"/>
        <v>1805380.0419119669</v>
      </c>
      <c r="V167" s="84">
        <f t="shared" si="70"/>
        <v>1654153.5556619668</v>
      </c>
      <c r="W167" s="86">
        <f t="shared" si="70"/>
        <v>24569490.759999998</v>
      </c>
      <c r="X167" s="86">
        <f t="shared" si="70"/>
        <v>24569490.759999998</v>
      </c>
      <c r="Y167" s="87">
        <f t="shared" si="70"/>
        <v>27262838.569999997</v>
      </c>
      <c r="Z167" s="86">
        <f t="shared" si="70"/>
        <v>25168726.48</v>
      </c>
      <c r="AA167" s="86">
        <f t="shared" si="70"/>
        <v>5268522.62</v>
      </c>
      <c r="AB167" s="86">
        <f t="shared" si="70"/>
        <v>1970565.61</v>
      </c>
      <c r="AC167" s="88">
        <f t="shared" si="56"/>
        <v>0</v>
      </c>
      <c r="AD167" s="84">
        <f>AD168+AD185+AD187+AD190+AD192+AD194</f>
        <v>25168726.48</v>
      </c>
      <c r="AE167" s="84">
        <f>AE168+AE185+AE187+AE190+AE192+AE194</f>
        <v>11053490.959999999</v>
      </c>
      <c r="AF167" s="84">
        <f>AF168+AF185+AF187+AF190+AF192+AF194</f>
        <v>26863440.48</v>
      </c>
      <c r="AG167" s="84">
        <f>AF167-AD167</f>
        <v>1694714</v>
      </c>
      <c r="AH167" s="135"/>
      <c r="AI167" s="87">
        <f>AI168+AI185+AI187+AI190+AI192+AI194</f>
        <v>27262838.569999997</v>
      </c>
      <c r="AJ167" s="87">
        <f>AJ168+AJ185+AJ187+AJ190+AJ192+AJ194</f>
        <v>24436673.470000003</v>
      </c>
      <c r="AK167" s="87">
        <f>AK168+AK185+AK187+AK190+AK192+AK194</f>
        <v>23685989</v>
      </c>
    </row>
    <row r="168" spans="1:37" ht="14.25" customHeight="1" thickTop="1" thickBot="1" x14ac:dyDescent="0.25">
      <c r="A168" s="127"/>
      <c r="B168" s="128"/>
      <c r="C168" s="129">
        <v>1</v>
      </c>
      <c r="D168" s="129"/>
      <c r="E168" s="129"/>
      <c r="F168" s="130" t="s">
        <v>584</v>
      </c>
      <c r="G168" s="97">
        <f>SUM(G170:G180)</f>
        <v>29473630.739999998</v>
      </c>
      <c r="H168" s="97">
        <f>SUM(H170:H180)</f>
        <v>21662051.099717002</v>
      </c>
      <c r="I168" s="97">
        <f>SUM(I170:I180)</f>
        <v>21662051.149581447</v>
      </c>
      <c r="J168" s="97">
        <f>SUM(J170:J180)</f>
        <v>22012051.090135552</v>
      </c>
      <c r="K168" s="97">
        <f t="shared" ref="K168:V168" si="71">SUM(K170:K180)</f>
        <v>1439034.12</v>
      </c>
      <c r="L168" s="97">
        <f t="shared" si="71"/>
        <v>2478679.1799999997</v>
      </c>
      <c r="M168" s="97">
        <f t="shared" si="71"/>
        <v>2190984.7199999997</v>
      </c>
      <c r="N168" s="97">
        <f t="shared" si="71"/>
        <v>2125199.48</v>
      </c>
      <c r="O168" s="97">
        <f t="shared" si="71"/>
        <v>2931815.2700000005</v>
      </c>
      <c r="P168" s="97">
        <f t="shared" si="71"/>
        <v>2386845.4699999997</v>
      </c>
      <c r="Q168" s="97">
        <f t="shared" si="71"/>
        <v>1384428.7086976808</v>
      </c>
      <c r="R168" s="97">
        <f t="shared" si="71"/>
        <v>1384428.7086976808</v>
      </c>
      <c r="S168" s="97">
        <f t="shared" si="71"/>
        <v>1384428.7086976808</v>
      </c>
      <c r="T168" s="97">
        <f t="shared" si="71"/>
        <v>1384428.7086976808</v>
      </c>
      <c r="U168" s="97">
        <f t="shared" si="71"/>
        <v>1359173.368697681</v>
      </c>
      <c r="V168" s="97">
        <f t="shared" si="71"/>
        <v>1211648.2924476811</v>
      </c>
      <c r="W168" s="134">
        <f>SUM(W170:W180)</f>
        <v>21661094.759999998</v>
      </c>
      <c r="X168" s="134">
        <f>SUM(X170:X180)</f>
        <v>21661094.759999998</v>
      </c>
      <c r="Y168" s="223">
        <f>SUM(Y170:Y180)</f>
        <v>26120504.75</v>
      </c>
      <c r="Z168" s="134">
        <f>SUM(Z170:Z183)</f>
        <v>22253557.530000001</v>
      </c>
      <c r="AA168" s="134">
        <f>SUM(AA170:AA183)</f>
        <v>1038622.42</v>
      </c>
      <c r="AB168" s="134">
        <f>SUM(AB170:AB183)</f>
        <v>1608586.1400000001</v>
      </c>
      <c r="AC168" s="88">
        <f t="shared" si="56"/>
        <v>0</v>
      </c>
      <c r="AD168" s="132">
        <f>SUM(AD170:AD183)</f>
        <v>22253557.530000001</v>
      </c>
      <c r="AE168" s="132">
        <f>SUM(AE170:AE183)</f>
        <v>6306622.9799999995</v>
      </c>
      <c r="AF168" s="132">
        <f>SUM(AF170:AF183)</f>
        <v>19497557.530000001</v>
      </c>
      <c r="AG168" s="132">
        <f>AF168-AD168</f>
        <v>-2756000</v>
      </c>
      <c r="AH168" s="135"/>
      <c r="AI168" s="87">
        <f>SUM(AI170:AI183)</f>
        <v>26120504.75</v>
      </c>
      <c r="AJ168" s="87">
        <f>SUM(AJ170:AJ183)</f>
        <v>16559503.539999999</v>
      </c>
      <c r="AK168" s="87">
        <f>SUM(AK170:AK184)</f>
        <v>21183023</v>
      </c>
    </row>
    <row r="169" spans="1:37" ht="14.25" customHeight="1" thickTop="1" thickBot="1" x14ac:dyDescent="0.25">
      <c r="A169" s="224"/>
      <c r="B169" s="225"/>
      <c r="C169" s="226"/>
      <c r="D169" s="226">
        <v>1</v>
      </c>
      <c r="E169" s="226"/>
      <c r="F169" s="227" t="s">
        <v>585</v>
      </c>
      <c r="G169" s="106"/>
      <c r="H169" s="228"/>
      <c r="I169" s="228"/>
      <c r="J169" s="229"/>
      <c r="K169" s="229"/>
      <c r="L169" s="229"/>
      <c r="M169" s="229"/>
      <c r="N169" s="229"/>
      <c r="O169" s="229"/>
      <c r="P169" s="229"/>
      <c r="Q169" s="230"/>
      <c r="R169" s="230"/>
      <c r="S169" s="230"/>
      <c r="T169" s="230"/>
      <c r="U169" s="230"/>
      <c r="V169" s="230"/>
      <c r="W169" s="119">
        <f t="shared" ref="W169:W180" si="72">SUM(K169:V169)</f>
        <v>0</v>
      </c>
      <c r="X169" s="119">
        <f>SUM(L169:W169)</f>
        <v>0</v>
      </c>
      <c r="Y169" s="203">
        <f>SUM(M169:X169)</f>
        <v>0</v>
      </c>
      <c r="Z169" s="119"/>
      <c r="AA169" s="119"/>
      <c r="AB169" s="119"/>
      <c r="AC169" s="88">
        <f t="shared" si="56"/>
        <v>0</v>
      </c>
      <c r="AD169" s="119"/>
      <c r="AE169" s="119"/>
      <c r="AF169" s="119"/>
      <c r="AG169" s="119"/>
      <c r="AH169" s="231"/>
      <c r="AI169" s="114">
        <v>0</v>
      </c>
      <c r="AJ169" s="203"/>
      <c r="AK169" s="203"/>
    </row>
    <row r="170" spans="1:37" ht="14.25" customHeight="1" thickTop="1" thickBot="1" x14ac:dyDescent="0.25">
      <c r="A170" s="101"/>
      <c r="B170" s="102"/>
      <c r="C170" s="103"/>
      <c r="D170" s="103"/>
      <c r="E170" s="104">
        <v>510101</v>
      </c>
      <c r="F170" s="105" t="s">
        <v>586</v>
      </c>
      <c r="G170" s="108">
        <v>17511456.16</v>
      </c>
      <c r="H170" s="228">
        <f>10007165.23+3781025.55-900000</f>
        <v>12888190.780000001</v>
      </c>
      <c r="I170" s="228">
        <f>10007165.23+3781025.55-900000</f>
        <v>12888190.780000001</v>
      </c>
      <c r="J170" s="232">
        <f>H170</f>
        <v>12888190.780000001</v>
      </c>
      <c r="K170" s="149">
        <v>1439034.12</v>
      </c>
      <c r="L170" s="115">
        <v>2413756.69</v>
      </c>
      <c r="M170" s="115">
        <v>1956685.64</v>
      </c>
      <c r="N170" s="115">
        <v>1629889.34</v>
      </c>
      <c r="O170" s="178">
        <v>1914615.07</v>
      </c>
      <c r="P170" s="117">
        <v>1378949.22</v>
      </c>
      <c r="Q170" s="233">
        <f>681103.12375-305735.02</f>
        <v>375368.10375000001</v>
      </c>
      <c r="R170" s="233">
        <f>681103.12375-305735.02</f>
        <v>375368.10375000001</v>
      </c>
      <c r="S170" s="233">
        <f>681103.12375-305735.02</f>
        <v>375368.10375000001</v>
      </c>
      <c r="T170" s="233">
        <f>681103.12375-305735.02</f>
        <v>375368.10375000001</v>
      </c>
      <c r="U170" s="233">
        <f>681103.12375-305735.02</f>
        <v>375368.10375000001</v>
      </c>
      <c r="V170" s="233">
        <f>681103.12375-305735.02+0.04</f>
        <v>375368.14374999999</v>
      </c>
      <c r="W170" s="119">
        <v>12985138.560000001</v>
      </c>
      <c r="X170" s="108">
        <f>W170</f>
        <v>12985138.560000001</v>
      </c>
      <c r="Y170" s="234">
        <v>18274453.370000001</v>
      </c>
      <c r="Z170" s="111">
        <v>15497557.529999999</v>
      </c>
      <c r="AA170" s="111">
        <v>1038593.1</v>
      </c>
      <c r="AB170" s="123">
        <v>1465412.91</v>
      </c>
      <c r="AC170" s="88">
        <f t="shared" si="56"/>
        <v>0</v>
      </c>
      <c r="AD170" s="112">
        <f>Z170</f>
        <v>15497557.529999999</v>
      </c>
      <c r="AE170" s="121">
        <v>5402459.5499999998</v>
      </c>
      <c r="AF170" s="112">
        <v>15497557.529999999</v>
      </c>
      <c r="AG170" s="112">
        <f>AF170-AD170</f>
        <v>0</v>
      </c>
      <c r="AH170" s="113">
        <v>1100122</v>
      </c>
      <c r="AI170" s="114">
        <v>18274453.370000001</v>
      </c>
      <c r="AJ170" s="114">
        <v>13168083.719999999</v>
      </c>
      <c r="AK170" s="322">
        <f>21516006-4000000</f>
        <v>17516006</v>
      </c>
    </row>
    <row r="171" spans="1:37" ht="14.25" customHeight="1" thickTop="1" thickBot="1" x14ac:dyDescent="0.25">
      <c r="A171" s="224"/>
      <c r="B171" s="225"/>
      <c r="C171" s="226"/>
      <c r="D171" s="226"/>
      <c r="E171" s="104">
        <v>510102</v>
      </c>
      <c r="F171" s="105" t="s">
        <v>587</v>
      </c>
      <c r="G171" s="108">
        <v>2991844.7</v>
      </c>
      <c r="H171" s="107">
        <v>2302642.9484382533</v>
      </c>
      <c r="I171" s="107">
        <v>2302642.94</v>
      </c>
      <c r="J171" s="108">
        <f>H171</f>
        <v>2302642.9484382533</v>
      </c>
      <c r="K171" s="108">
        <v>0</v>
      </c>
      <c r="L171" s="106"/>
      <c r="M171" s="136">
        <v>37413.379999999997</v>
      </c>
      <c r="N171" s="136">
        <v>119783.03</v>
      </c>
      <c r="O171" s="190">
        <v>172780.46</v>
      </c>
      <c r="P171" s="117">
        <v>191792.23</v>
      </c>
      <c r="Q171" s="137">
        <v>268180.81624999997</v>
      </c>
      <c r="R171" s="137">
        <v>268180.81624999997</v>
      </c>
      <c r="S171" s="137">
        <v>268180.81624999997</v>
      </c>
      <c r="T171" s="137">
        <v>268180.81624999997</v>
      </c>
      <c r="U171" s="137">
        <f>268180.81625-25255.34</f>
        <v>242925.47624999998</v>
      </c>
      <c r="V171" s="137">
        <v>95400.36</v>
      </c>
      <c r="W171" s="119">
        <v>1932818.2</v>
      </c>
      <c r="X171" s="108">
        <f>W171</f>
        <v>1932818.2</v>
      </c>
      <c r="Y171" s="110">
        <v>1592215.3</v>
      </c>
      <c r="Z171" s="108"/>
      <c r="AA171" s="108"/>
      <c r="AB171" s="108"/>
      <c r="AC171" s="88">
        <f t="shared" si="56"/>
        <v>0</v>
      </c>
      <c r="AD171" s="108"/>
      <c r="AE171" s="108"/>
      <c r="AF171" s="108"/>
      <c r="AG171" s="108"/>
      <c r="AH171" s="113">
        <v>2510220</v>
      </c>
      <c r="AI171" s="114">
        <v>1592215.3</v>
      </c>
      <c r="AJ171" s="114">
        <v>0</v>
      </c>
      <c r="AK171" s="114"/>
    </row>
    <row r="172" spans="1:37" ht="14.25" customHeight="1" thickTop="1" thickBot="1" x14ac:dyDescent="0.25">
      <c r="A172" s="224"/>
      <c r="B172" s="225"/>
      <c r="C172" s="226"/>
      <c r="D172" s="226"/>
      <c r="E172" s="104">
        <v>510103</v>
      </c>
      <c r="F172" s="105" t="s">
        <v>588</v>
      </c>
      <c r="G172" s="108">
        <v>2286076.35</v>
      </c>
      <c r="H172" s="107">
        <v>2191693.9416972981</v>
      </c>
      <c r="I172" s="107">
        <v>2191694</v>
      </c>
      <c r="J172" s="108">
        <f>H172</f>
        <v>2191693.9416972981</v>
      </c>
      <c r="K172" s="108">
        <v>0</v>
      </c>
      <c r="L172" s="106"/>
      <c r="M172" s="136">
        <v>27386.23</v>
      </c>
      <c r="N172" s="136">
        <v>99420.12</v>
      </c>
      <c r="O172" s="190">
        <v>146859.5</v>
      </c>
      <c r="P172" s="117">
        <v>187857.71</v>
      </c>
      <c r="Q172" s="137">
        <v>258110.9</v>
      </c>
      <c r="R172" s="137">
        <v>258110.9</v>
      </c>
      <c r="S172" s="137">
        <v>258110.9</v>
      </c>
      <c r="T172" s="137">
        <v>258110.9</v>
      </c>
      <c r="U172" s="137">
        <v>258110.9</v>
      </c>
      <c r="V172" s="137">
        <v>258110.9</v>
      </c>
      <c r="W172" s="119">
        <v>2191694</v>
      </c>
      <c r="X172" s="108">
        <f>W172</f>
        <v>2191694</v>
      </c>
      <c r="Y172" s="110">
        <v>1615760.75</v>
      </c>
      <c r="Z172" s="108"/>
      <c r="AA172" s="108"/>
      <c r="AB172" s="108"/>
      <c r="AC172" s="88">
        <f t="shared" si="56"/>
        <v>0</v>
      </c>
      <c r="AD172" s="108"/>
      <c r="AE172" s="108"/>
      <c r="AF172" s="108"/>
      <c r="AG172" s="108"/>
      <c r="AH172" s="113">
        <v>2510120</v>
      </c>
      <c r="AI172" s="114">
        <v>1615760.75</v>
      </c>
      <c r="AJ172" s="114">
        <v>0</v>
      </c>
      <c r="AK172" s="114"/>
    </row>
    <row r="173" spans="1:37" ht="14.25" customHeight="1" thickTop="1" thickBot="1" x14ac:dyDescent="0.25">
      <c r="A173" s="224"/>
      <c r="B173" s="225"/>
      <c r="C173" s="226"/>
      <c r="D173" s="226"/>
      <c r="E173" s="104">
        <v>510104</v>
      </c>
      <c r="F173" s="105" t="s">
        <v>589</v>
      </c>
      <c r="G173" s="106"/>
      <c r="H173" s="107">
        <v>4279523.4295814484</v>
      </c>
      <c r="I173" s="107">
        <v>4279523.4295814484</v>
      </c>
      <c r="J173" s="108">
        <v>4279523.42</v>
      </c>
      <c r="K173" s="108">
        <v>0</v>
      </c>
      <c r="L173" s="136">
        <v>32495.759999999998</v>
      </c>
      <c r="M173" s="136">
        <v>140612.89000000001</v>
      </c>
      <c r="N173" s="136">
        <v>244263.67</v>
      </c>
      <c r="O173" s="190">
        <v>669935.68000000005</v>
      </c>
      <c r="P173" s="117">
        <v>604514.77</v>
      </c>
      <c r="Q173" s="137">
        <v>482768.88869768102</v>
      </c>
      <c r="R173" s="137">
        <v>482768.88869768102</v>
      </c>
      <c r="S173" s="137">
        <v>482768.88869768102</v>
      </c>
      <c r="T173" s="137">
        <v>482768.88869768102</v>
      </c>
      <c r="U173" s="137">
        <v>482768.88869768102</v>
      </c>
      <c r="V173" s="137">
        <v>482768.88869768102</v>
      </c>
      <c r="W173" s="119">
        <f>4588436-181505</f>
        <v>4406931</v>
      </c>
      <c r="X173" s="108">
        <f>W173</f>
        <v>4406931</v>
      </c>
      <c r="Y173" s="110">
        <v>4460860.0599999996</v>
      </c>
      <c r="Z173" s="108"/>
      <c r="AA173" s="108"/>
      <c r="AB173" s="108"/>
      <c r="AC173" s="88">
        <f t="shared" si="56"/>
        <v>0</v>
      </c>
      <c r="AD173" s="108"/>
      <c r="AE173" s="108"/>
      <c r="AF173" s="108"/>
      <c r="AG173" s="108"/>
      <c r="AH173" s="113">
        <v>1100120</v>
      </c>
      <c r="AI173" s="114">
        <v>4460860.0599999996</v>
      </c>
      <c r="AJ173" s="114">
        <v>0</v>
      </c>
      <c r="AK173" s="114"/>
    </row>
    <row r="174" spans="1:37" ht="14.25" customHeight="1" thickTop="1" thickBot="1" x14ac:dyDescent="0.25">
      <c r="A174" s="224"/>
      <c r="B174" s="235"/>
      <c r="C174" s="161"/>
      <c r="D174" s="161"/>
      <c r="E174" s="169">
        <v>510105</v>
      </c>
      <c r="F174" s="105" t="s">
        <v>590</v>
      </c>
      <c r="G174" s="108">
        <v>484573.84</v>
      </c>
      <c r="H174" s="131"/>
      <c r="I174" s="107">
        <v>0</v>
      </c>
      <c r="J174" s="108">
        <v>350000</v>
      </c>
      <c r="K174" s="106"/>
      <c r="L174" s="141">
        <v>32426.73</v>
      </c>
      <c r="M174" s="136">
        <v>28886.58</v>
      </c>
      <c r="N174" s="136">
        <v>31843.32</v>
      </c>
      <c r="O174" s="190">
        <v>27624.560000000001</v>
      </c>
      <c r="P174" s="109">
        <v>23731.54</v>
      </c>
      <c r="Q174" s="137">
        <v>0</v>
      </c>
      <c r="R174" s="137">
        <v>0</v>
      </c>
      <c r="S174" s="137">
        <v>0</v>
      </c>
      <c r="T174" s="137">
        <v>0</v>
      </c>
      <c r="U174" s="137"/>
      <c r="V174" s="137">
        <v>0</v>
      </c>
      <c r="W174" s="107">
        <v>144513</v>
      </c>
      <c r="X174" s="108">
        <f>W174</f>
        <v>144513</v>
      </c>
      <c r="Y174" s="234">
        <v>177215.27</v>
      </c>
      <c r="Z174" s="108"/>
      <c r="AA174" s="108"/>
      <c r="AB174" s="108"/>
      <c r="AC174" s="88">
        <f t="shared" si="56"/>
        <v>0</v>
      </c>
      <c r="AD174" s="108"/>
      <c r="AE174" s="108"/>
      <c r="AF174" s="108"/>
      <c r="AG174" s="108"/>
      <c r="AH174" s="236">
        <v>1100122</v>
      </c>
      <c r="AI174" s="114">
        <v>177215.27</v>
      </c>
      <c r="AJ174" s="114">
        <v>0</v>
      </c>
      <c r="AK174" s="114">
        <v>0</v>
      </c>
    </row>
    <row r="175" spans="1:37" ht="14.25" customHeight="1" thickTop="1" thickBot="1" x14ac:dyDescent="0.25">
      <c r="A175" s="224"/>
      <c r="B175" s="235"/>
      <c r="C175" s="161"/>
      <c r="D175" s="161"/>
      <c r="E175" s="161"/>
      <c r="F175" s="198" t="s">
        <v>591</v>
      </c>
      <c r="G175" s="108">
        <v>-13.78</v>
      </c>
      <c r="H175" s="131"/>
      <c r="I175" s="107"/>
      <c r="J175" s="106"/>
      <c r="K175" s="106"/>
      <c r="L175" s="106"/>
      <c r="M175" s="106"/>
      <c r="N175" s="106"/>
      <c r="O175" s="106"/>
      <c r="P175" s="106"/>
      <c r="Q175" s="237"/>
      <c r="R175" s="237"/>
      <c r="S175" s="237"/>
      <c r="T175" s="237"/>
      <c r="U175" s="237"/>
      <c r="V175" s="237"/>
      <c r="W175" s="119">
        <f t="shared" si="72"/>
        <v>0</v>
      </c>
      <c r="X175" s="119">
        <f t="shared" ref="X175:X180" si="73">SUM(L175:W175)</f>
        <v>0</v>
      </c>
      <c r="Y175" s="203">
        <f t="shared" ref="Y175:Y180" si="74">SUM(M175:X175)</f>
        <v>0</v>
      </c>
      <c r="Z175" s="119"/>
      <c r="AA175" s="119"/>
      <c r="AB175" s="119"/>
      <c r="AC175" s="88">
        <f t="shared" si="56"/>
        <v>0</v>
      </c>
      <c r="AD175" s="119"/>
      <c r="AE175" s="119"/>
      <c r="AF175" s="119"/>
      <c r="AG175" s="119"/>
      <c r="AH175" s="231"/>
      <c r="AI175" s="114">
        <v>0</v>
      </c>
      <c r="AJ175" s="114">
        <v>0</v>
      </c>
      <c r="AK175" s="114">
        <v>0</v>
      </c>
    </row>
    <row r="176" spans="1:37" ht="14.25" customHeight="1" thickTop="1" thickBot="1" x14ac:dyDescent="0.25">
      <c r="A176" s="224"/>
      <c r="B176" s="235"/>
      <c r="C176" s="161"/>
      <c r="D176" s="161"/>
      <c r="E176" s="161"/>
      <c r="F176" s="198" t="s">
        <v>592</v>
      </c>
      <c r="G176" s="108">
        <v>11256.09</v>
      </c>
      <c r="H176" s="131"/>
      <c r="I176" s="107"/>
      <c r="J176" s="106"/>
      <c r="K176" s="106"/>
      <c r="L176" s="106"/>
      <c r="M176" s="106"/>
      <c r="N176" s="106"/>
      <c r="O176" s="106"/>
      <c r="P176" s="106"/>
      <c r="Q176" s="237"/>
      <c r="R176" s="237"/>
      <c r="S176" s="237"/>
      <c r="T176" s="237"/>
      <c r="U176" s="237"/>
      <c r="V176" s="237"/>
      <c r="W176" s="119">
        <f t="shared" si="72"/>
        <v>0</v>
      </c>
      <c r="X176" s="119">
        <f t="shared" si="73"/>
        <v>0</v>
      </c>
      <c r="Y176" s="203">
        <f t="shared" si="74"/>
        <v>0</v>
      </c>
      <c r="Z176" s="119"/>
      <c r="AA176" s="119"/>
      <c r="AB176" s="119"/>
      <c r="AC176" s="88">
        <f t="shared" si="56"/>
        <v>0</v>
      </c>
      <c r="AD176" s="119"/>
      <c r="AE176" s="119"/>
      <c r="AF176" s="119"/>
      <c r="AG176" s="119"/>
      <c r="AH176" s="231"/>
      <c r="AI176" s="114">
        <v>0</v>
      </c>
      <c r="AJ176" s="114">
        <v>0</v>
      </c>
      <c r="AK176" s="114">
        <v>0</v>
      </c>
    </row>
    <row r="177" spans="1:37" ht="14.25" customHeight="1" thickTop="1" thickBot="1" x14ac:dyDescent="0.25">
      <c r="A177" s="224"/>
      <c r="B177" s="235"/>
      <c r="C177" s="161"/>
      <c r="D177" s="161"/>
      <c r="E177" s="161"/>
      <c r="F177" s="198" t="s">
        <v>593</v>
      </c>
      <c r="G177" s="108">
        <v>398289.45</v>
      </c>
      <c r="H177" s="131"/>
      <c r="I177" s="107"/>
      <c r="J177" s="106"/>
      <c r="K177" s="106"/>
      <c r="L177" s="106"/>
      <c r="M177" s="106"/>
      <c r="N177" s="106"/>
      <c r="O177" s="106"/>
      <c r="P177" s="106"/>
      <c r="Q177" s="237"/>
      <c r="R177" s="237"/>
      <c r="S177" s="237"/>
      <c r="T177" s="237"/>
      <c r="U177" s="237"/>
      <c r="V177" s="237"/>
      <c r="W177" s="119">
        <f t="shared" si="72"/>
        <v>0</v>
      </c>
      <c r="X177" s="119">
        <f t="shared" si="73"/>
        <v>0</v>
      </c>
      <c r="Y177" s="203">
        <f t="shared" si="74"/>
        <v>0</v>
      </c>
      <c r="Z177" s="119"/>
      <c r="AA177" s="119"/>
      <c r="AB177" s="119"/>
      <c r="AC177" s="88">
        <f t="shared" si="56"/>
        <v>0</v>
      </c>
      <c r="AD177" s="119"/>
      <c r="AE177" s="119"/>
      <c r="AF177" s="119"/>
      <c r="AG177" s="119"/>
      <c r="AH177" s="231"/>
      <c r="AI177" s="114">
        <v>0</v>
      </c>
      <c r="AJ177" s="114">
        <v>0</v>
      </c>
      <c r="AK177" s="114">
        <v>0</v>
      </c>
    </row>
    <row r="178" spans="1:37" ht="14.25" customHeight="1" thickTop="1" thickBot="1" x14ac:dyDescent="0.25">
      <c r="A178" s="224"/>
      <c r="B178" s="235"/>
      <c r="C178" s="161"/>
      <c r="D178" s="161"/>
      <c r="E178" s="161"/>
      <c r="F178" s="198" t="s">
        <v>594</v>
      </c>
      <c r="G178" s="108">
        <v>37.07</v>
      </c>
      <c r="H178" s="131"/>
      <c r="I178" s="107"/>
      <c r="J178" s="106"/>
      <c r="K178" s="106"/>
      <c r="L178" s="106"/>
      <c r="M178" s="106"/>
      <c r="N178" s="106"/>
      <c r="O178" s="106"/>
      <c r="P178" s="106"/>
      <c r="Q178" s="237"/>
      <c r="R178" s="237"/>
      <c r="S178" s="237"/>
      <c r="T178" s="237"/>
      <c r="U178" s="237"/>
      <c r="V178" s="237"/>
      <c r="W178" s="119">
        <f t="shared" si="72"/>
        <v>0</v>
      </c>
      <c r="X178" s="119">
        <f t="shared" si="73"/>
        <v>0</v>
      </c>
      <c r="Y178" s="203">
        <f t="shared" si="74"/>
        <v>0</v>
      </c>
      <c r="Z178" s="119"/>
      <c r="AA178" s="119"/>
      <c r="AB178" s="119"/>
      <c r="AC178" s="88">
        <f t="shared" si="56"/>
        <v>0</v>
      </c>
      <c r="AD178" s="119"/>
      <c r="AE178" s="119"/>
      <c r="AF178" s="119"/>
      <c r="AG178" s="119"/>
      <c r="AH178" s="231"/>
      <c r="AI178" s="114">
        <v>0</v>
      </c>
      <c r="AJ178" s="114">
        <v>0</v>
      </c>
      <c r="AK178" s="114">
        <v>0</v>
      </c>
    </row>
    <row r="179" spans="1:37" ht="14.25" customHeight="1" thickTop="1" thickBot="1" x14ac:dyDescent="0.25">
      <c r="A179" s="101"/>
      <c r="B179" s="102"/>
      <c r="C179" s="103"/>
      <c r="D179" s="103"/>
      <c r="E179" s="103"/>
      <c r="F179" s="105" t="s">
        <v>595</v>
      </c>
      <c r="G179" s="108">
        <v>19.66</v>
      </c>
      <c r="H179" s="107"/>
      <c r="I179" s="107"/>
      <c r="J179" s="106"/>
      <c r="K179" s="106"/>
      <c r="L179" s="106"/>
      <c r="M179" s="106"/>
      <c r="N179" s="106"/>
      <c r="O179" s="106"/>
      <c r="P179" s="106"/>
      <c r="Q179" s="237"/>
      <c r="R179" s="237"/>
      <c r="S179" s="237"/>
      <c r="T179" s="237"/>
      <c r="U179" s="237"/>
      <c r="V179" s="237"/>
      <c r="W179" s="119">
        <f t="shared" si="72"/>
        <v>0</v>
      </c>
      <c r="X179" s="119">
        <f t="shared" si="73"/>
        <v>0</v>
      </c>
      <c r="Y179" s="203">
        <f t="shared" si="74"/>
        <v>0</v>
      </c>
      <c r="Z179" s="119"/>
      <c r="AA179" s="119"/>
      <c r="AB179" s="119"/>
      <c r="AC179" s="88">
        <f t="shared" si="56"/>
        <v>0</v>
      </c>
      <c r="AD179" s="119"/>
      <c r="AE179" s="119"/>
      <c r="AF179" s="119"/>
      <c r="AG179" s="119"/>
      <c r="AH179" s="231"/>
      <c r="AI179" s="114">
        <v>0</v>
      </c>
      <c r="AJ179" s="114">
        <v>0</v>
      </c>
      <c r="AK179" s="114">
        <v>0</v>
      </c>
    </row>
    <row r="180" spans="1:37" ht="14.25" customHeight="1" thickTop="1" thickBot="1" x14ac:dyDescent="0.25">
      <c r="A180" s="101"/>
      <c r="B180" s="102"/>
      <c r="C180" s="103"/>
      <c r="D180" s="103"/>
      <c r="E180" s="103"/>
      <c r="F180" s="105" t="s">
        <v>596</v>
      </c>
      <c r="G180" s="108">
        <v>5790091.2000000002</v>
      </c>
      <c r="H180" s="107"/>
      <c r="I180" s="107"/>
      <c r="J180" s="106"/>
      <c r="K180" s="106"/>
      <c r="L180" s="106"/>
      <c r="M180" s="106"/>
      <c r="N180" s="106"/>
      <c r="O180" s="106"/>
      <c r="P180" s="106"/>
      <c r="Q180" s="237"/>
      <c r="R180" s="237"/>
      <c r="S180" s="237"/>
      <c r="T180" s="237"/>
      <c r="U180" s="237"/>
      <c r="V180" s="237"/>
      <c r="W180" s="119">
        <f t="shared" si="72"/>
        <v>0</v>
      </c>
      <c r="X180" s="119">
        <f t="shared" si="73"/>
        <v>0</v>
      </c>
      <c r="Y180" s="203">
        <f t="shared" si="74"/>
        <v>0</v>
      </c>
      <c r="Z180" s="119"/>
      <c r="AA180" s="119"/>
      <c r="AB180" s="119"/>
      <c r="AC180" s="88">
        <f t="shared" si="56"/>
        <v>0</v>
      </c>
      <c r="AD180" s="119"/>
      <c r="AE180" s="119"/>
      <c r="AF180" s="119"/>
      <c r="AG180" s="119"/>
      <c r="AH180" s="231"/>
      <c r="AI180" s="114">
        <v>0</v>
      </c>
      <c r="AJ180" s="114">
        <v>0</v>
      </c>
      <c r="AK180" s="114">
        <v>0</v>
      </c>
    </row>
    <row r="181" spans="1:37" ht="14.25" customHeight="1" thickTop="1" thickBot="1" x14ac:dyDescent="0.25">
      <c r="A181" s="101"/>
      <c r="B181" s="102"/>
      <c r="C181" s="103"/>
      <c r="D181" s="103"/>
      <c r="E181" s="169">
        <v>510106</v>
      </c>
      <c r="F181" s="105" t="s">
        <v>597</v>
      </c>
      <c r="G181" s="108"/>
      <c r="H181" s="107"/>
      <c r="I181" s="107"/>
      <c r="J181" s="106"/>
      <c r="K181" s="106"/>
      <c r="L181" s="106"/>
      <c r="M181" s="106"/>
      <c r="N181" s="106"/>
      <c r="O181" s="106"/>
      <c r="P181" s="106"/>
      <c r="Q181" s="237"/>
      <c r="R181" s="237"/>
      <c r="S181" s="237"/>
      <c r="T181" s="237"/>
      <c r="U181" s="237"/>
      <c r="V181" s="237"/>
      <c r="W181" s="119"/>
      <c r="X181" s="119"/>
      <c r="Y181" s="203"/>
      <c r="Z181" s="111">
        <v>1450000</v>
      </c>
      <c r="AA181" s="111">
        <v>0.4</v>
      </c>
      <c r="AB181" s="123">
        <v>253.25</v>
      </c>
      <c r="AC181" s="88"/>
      <c r="AD181" s="120">
        <v>1450000</v>
      </c>
      <c r="AE181" s="121">
        <v>159185.93</v>
      </c>
      <c r="AF181" s="120">
        <v>0</v>
      </c>
      <c r="AG181" s="120">
        <f t="shared" ref="AG181:AG201" si="75">AF181-AD181</f>
        <v>-1450000</v>
      </c>
      <c r="AH181" s="236">
        <v>2510221</v>
      </c>
      <c r="AI181" s="114">
        <v>0</v>
      </c>
      <c r="AJ181" s="114">
        <v>0</v>
      </c>
      <c r="AK181" s="114">
        <v>0</v>
      </c>
    </row>
    <row r="182" spans="1:37" ht="14.25" customHeight="1" thickTop="1" thickBot="1" x14ac:dyDescent="0.25">
      <c r="A182" s="101"/>
      <c r="B182" s="102"/>
      <c r="C182" s="103"/>
      <c r="D182" s="103"/>
      <c r="E182" s="169">
        <v>510107</v>
      </c>
      <c r="F182" s="105" t="s">
        <v>598</v>
      </c>
      <c r="G182" s="108"/>
      <c r="H182" s="107"/>
      <c r="I182" s="107"/>
      <c r="J182" s="106"/>
      <c r="K182" s="106"/>
      <c r="L182" s="106"/>
      <c r="M182" s="106"/>
      <c r="N182" s="106"/>
      <c r="O182" s="106"/>
      <c r="P182" s="106"/>
      <c r="Q182" s="237"/>
      <c r="R182" s="237"/>
      <c r="S182" s="237"/>
      <c r="T182" s="237"/>
      <c r="U182" s="237"/>
      <c r="V182" s="237"/>
      <c r="W182" s="119"/>
      <c r="X182" s="119"/>
      <c r="Y182" s="203"/>
      <c r="Z182" s="111">
        <v>1306000</v>
      </c>
      <c r="AA182" s="111">
        <v>8</v>
      </c>
      <c r="AB182" s="123">
        <v>82.62</v>
      </c>
      <c r="AC182" s="88"/>
      <c r="AD182" s="120">
        <v>1306000</v>
      </c>
      <c r="AE182" s="121">
        <v>37090.35</v>
      </c>
      <c r="AF182" s="120">
        <v>0</v>
      </c>
      <c r="AG182" s="120">
        <f t="shared" si="75"/>
        <v>-1306000</v>
      </c>
      <c r="AH182" s="236">
        <v>2510121</v>
      </c>
      <c r="AI182" s="114">
        <v>0</v>
      </c>
      <c r="AJ182" s="114">
        <v>0</v>
      </c>
      <c r="AK182" s="114">
        <v>0</v>
      </c>
    </row>
    <row r="183" spans="1:37" ht="14.25" customHeight="1" thickTop="1" thickBot="1" x14ac:dyDescent="0.25">
      <c r="A183" s="101"/>
      <c r="B183" s="102"/>
      <c r="C183" s="103"/>
      <c r="D183" s="103"/>
      <c r="E183" s="104">
        <v>510108</v>
      </c>
      <c r="F183" s="105" t="s">
        <v>599</v>
      </c>
      <c r="G183" s="108"/>
      <c r="H183" s="107"/>
      <c r="I183" s="107"/>
      <c r="J183" s="106"/>
      <c r="K183" s="106"/>
      <c r="L183" s="106"/>
      <c r="M183" s="106"/>
      <c r="N183" s="106"/>
      <c r="O183" s="106"/>
      <c r="P183" s="106"/>
      <c r="Q183" s="237"/>
      <c r="R183" s="237"/>
      <c r="S183" s="237"/>
      <c r="T183" s="237"/>
      <c r="U183" s="237"/>
      <c r="V183" s="237"/>
      <c r="W183" s="119"/>
      <c r="X183" s="119"/>
      <c r="Y183" s="203"/>
      <c r="Z183" s="143">
        <v>4000000</v>
      </c>
      <c r="AA183" s="143">
        <v>20.92</v>
      </c>
      <c r="AB183" s="218">
        <v>142837.35999999999</v>
      </c>
      <c r="AC183" s="88"/>
      <c r="AD183" s="112">
        <v>4000000</v>
      </c>
      <c r="AE183" s="238">
        <v>707887.15</v>
      </c>
      <c r="AF183" s="112">
        <v>4000000</v>
      </c>
      <c r="AG183" s="112">
        <f t="shared" si="75"/>
        <v>0</v>
      </c>
      <c r="AH183" s="236">
        <v>1100122</v>
      </c>
      <c r="AI183" s="114">
        <v>0</v>
      </c>
      <c r="AJ183" s="114">
        <v>3391419.82</v>
      </c>
      <c r="AK183" s="114">
        <v>0</v>
      </c>
    </row>
    <row r="184" spans="1:37" ht="14.25" customHeight="1" x14ac:dyDescent="0.2">
      <c r="A184" s="101"/>
      <c r="B184" s="102"/>
      <c r="C184" s="103"/>
      <c r="D184" s="103"/>
      <c r="E184" s="104">
        <v>510109</v>
      </c>
      <c r="F184" s="105" t="s">
        <v>600</v>
      </c>
      <c r="G184" s="108"/>
      <c r="H184" s="107"/>
      <c r="I184" s="107"/>
      <c r="J184" s="106"/>
      <c r="K184" s="106"/>
      <c r="L184" s="106"/>
      <c r="M184" s="106"/>
      <c r="N184" s="106"/>
      <c r="O184" s="106"/>
      <c r="P184" s="106"/>
      <c r="Q184" s="237"/>
      <c r="R184" s="237"/>
      <c r="S184" s="237"/>
      <c r="T184" s="237"/>
      <c r="U184" s="237"/>
      <c r="V184" s="237"/>
      <c r="W184" s="119"/>
      <c r="X184" s="119"/>
      <c r="Y184" s="203"/>
      <c r="Z184" s="239"/>
      <c r="AA184" s="239"/>
      <c r="AB184" s="211"/>
      <c r="AC184" s="88"/>
      <c r="AD184" s="112"/>
      <c r="AE184" s="238"/>
      <c r="AF184" s="112"/>
      <c r="AG184" s="112"/>
      <c r="AH184" s="236">
        <v>1100122</v>
      </c>
      <c r="AI184" s="114"/>
      <c r="AJ184" s="114"/>
      <c r="AK184" s="322">
        <v>3667017</v>
      </c>
    </row>
    <row r="185" spans="1:37" ht="14.25" customHeight="1" thickTop="1" thickBot="1" x14ac:dyDescent="0.25">
      <c r="A185" s="127"/>
      <c r="B185" s="128"/>
      <c r="C185" s="129">
        <v>3</v>
      </c>
      <c r="D185" s="129"/>
      <c r="E185" s="129"/>
      <c r="F185" s="130" t="s">
        <v>601</v>
      </c>
      <c r="G185" s="84">
        <f>G186</f>
        <v>121068.01</v>
      </c>
      <c r="H185" s="131">
        <f>H186</f>
        <v>135000</v>
      </c>
      <c r="I185" s="131">
        <f>I186</f>
        <v>135000</v>
      </c>
      <c r="J185" s="97">
        <f>J186</f>
        <v>135000</v>
      </c>
      <c r="K185" s="97">
        <f t="shared" ref="K185:AB185" si="76">K186</f>
        <v>3600</v>
      </c>
      <c r="L185" s="97">
        <f t="shared" si="76"/>
        <v>13280</v>
      </c>
      <c r="M185" s="97">
        <f t="shared" si="76"/>
        <v>15461.53</v>
      </c>
      <c r="N185" s="97">
        <f t="shared" si="76"/>
        <v>7727.29</v>
      </c>
      <c r="O185" s="97">
        <f t="shared" si="76"/>
        <v>9239.83</v>
      </c>
      <c r="P185" s="97">
        <f t="shared" si="76"/>
        <v>12541</v>
      </c>
      <c r="Q185" s="97">
        <f t="shared" si="76"/>
        <v>6500</v>
      </c>
      <c r="R185" s="97">
        <f t="shared" si="76"/>
        <v>7500</v>
      </c>
      <c r="S185" s="97">
        <f t="shared" si="76"/>
        <v>12199.01</v>
      </c>
      <c r="T185" s="97">
        <f t="shared" si="76"/>
        <v>9088</v>
      </c>
      <c r="U185" s="97">
        <f t="shared" si="76"/>
        <v>10512</v>
      </c>
      <c r="V185" s="97">
        <f t="shared" si="76"/>
        <v>7319</v>
      </c>
      <c r="W185" s="134">
        <f t="shared" si="76"/>
        <v>114968</v>
      </c>
      <c r="X185" s="134">
        <f t="shared" si="76"/>
        <v>114968</v>
      </c>
      <c r="Y185" s="133">
        <f t="shared" si="76"/>
        <v>123759.79</v>
      </c>
      <c r="Z185" s="134">
        <f t="shared" si="76"/>
        <v>118646.97</v>
      </c>
      <c r="AA185" s="134">
        <f t="shared" si="76"/>
        <v>1627.24</v>
      </c>
      <c r="AB185" s="134">
        <f t="shared" si="76"/>
        <v>12766.14</v>
      </c>
      <c r="AC185" s="88">
        <f t="shared" ref="AC185:AC201" si="77">W185-X185</f>
        <v>0</v>
      </c>
      <c r="AD185" s="132">
        <f>AD186</f>
        <v>118646.97</v>
      </c>
      <c r="AE185" s="132">
        <f>AE186</f>
        <v>34147.21</v>
      </c>
      <c r="AF185" s="132">
        <f>AF186</f>
        <v>118646.97</v>
      </c>
      <c r="AG185" s="132">
        <f t="shared" si="75"/>
        <v>0</v>
      </c>
      <c r="AH185" s="135"/>
      <c r="AI185" s="133">
        <f>AI186</f>
        <v>123759.79</v>
      </c>
      <c r="AJ185" s="133">
        <f>AJ186</f>
        <v>113236.2</v>
      </c>
      <c r="AK185" s="133">
        <f>AK186</f>
        <v>117709</v>
      </c>
    </row>
    <row r="186" spans="1:37" ht="16.5" thickTop="1" thickBot="1" x14ac:dyDescent="0.25">
      <c r="A186" s="101"/>
      <c r="B186" s="102"/>
      <c r="C186" s="103"/>
      <c r="D186" s="103">
        <v>1</v>
      </c>
      <c r="E186" s="104">
        <v>510301</v>
      </c>
      <c r="F186" s="105" t="s">
        <v>602</v>
      </c>
      <c r="G186" s="108">
        <v>121068.01</v>
      </c>
      <c r="H186" s="107">
        <v>135000</v>
      </c>
      <c r="I186" s="107">
        <v>135000</v>
      </c>
      <c r="J186" s="108">
        <v>135000</v>
      </c>
      <c r="K186" s="115">
        <v>3600</v>
      </c>
      <c r="L186" s="186">
        <v>13280</v>
      </c>
      <c r="M186" s="115">
        <v>15461.53</v>
      </c>
      <c r="N186" s="115">
        <v>7727.29</v>
      </c>
      <c r="O186" s="178">
        <v>9239.83</v>
      </c>
      <c r="P186" s="109">
        <v>12541</v>
      </c>
      <c r="Q186" s="122">
        <v>6500</v>
      </c>
      <c r="R186" s="122">
        <v>7500</v>
      </c>
      <c r="S186" s="122">
        <v>12199.01</v>
      </c>
      <c r="T186" s="122">
        <v>9088</v>
      </c>
      <c r="U186" s="122">
        <v>10512</v>
      </c>
      <c r="V186" s="122">
        <v>7319</v>
      </c>
      <c r="W186" s="119">
        <v>114968</v>
      </c>
      <c r="X186" s="108">
        <f>W186</f>
        <v>114968</v>
      </c>
      <c r="Y186" s="110">
        <v>123759.79</v>
      </c>
      <c r="Z186" s="111">
        <v>118646.97</v>
      </c>
      <c r="AA186" s="111">
        <v>1627.24</v>
      </c>
      <c r="AB186" s="123">
        <v>12766.14</v>
      </c>
      <c r="AC186" s="88">
        <f t="shared" si="77"/>
        <v>0</v>
      </c>
      <c r="AD186" s="120">
        <v>118646.97</v>
      </c>
      <c r="AE186" s="121">
        <v>34147.21</v>
      </c>
      <c r="AF186" s="112">
        <v>118646.97</v>
      </c>
      <c r="AG186" s="120">
        <f t="shared" si="75"/>
        <v>0</v>
      </c>
      <c r="AH186" s="236">
        <v>1100122</v>
      </c>
      <c r="AI186" s="114">
        <v>123759.79</v>
      </c>
      <c r="AJ186" s="114">
        <v>113236.2</v>
      </c>
      <c r="AK186" s="114">
        <v>117709</v>
      </c>
    </row>
    <row r="187" spans="1:37" ht="27" thickTop="1" thickBot="1" x14ac:dyDescent="0.25">
      <c r="A187" s="127"/>
      <c r="B187" s="128"/>
      <c r="C187" s="129">
        <v>5</v>
      </c>
      <c r="D187" s="129"/>
      <c r="E187" s="129"/>
      <c r="F187" s="130" t="s">
        <v>603</v>
      </c>
      <c r="G187" s="108">
        <f>G188+G189</f>
        <v>26017.32</v>
      </c>
      <c r="H187" s="131">
        <f>H188+H189</f>
        <v>54075</v>
      </c>
      <c r="I187" s="131">
        <f>I188+I189</f>
        <v>54075</v>
      </c>
      <c r="J187" s="97">
        <f>J188+J189</f>
        <v>54075</v>
      </c>
      <c r="K187" s="97">
        <f t="shared" ref="K187:AB187" si="78">K188+K189</f>
        <v>549</v>
      </c>
      <c r="L187" s="126">
        <f t="shared" si="78"/>
        <v>308.49</v>
      </c>
      <c r="M187" s="126">
        <f t="shared" si="78"/>
        <v>2360.08</v>
      </c>
      <c r="N187" s="126">
        <f t="shared" si="78"/>
        <v>0</v>
      </c>
      <c r="O187" s="126">
        <f t="shared" si="78"/>
        <v>74</v>
      </c>
      <c r="P187" s="126">
        <f t="shared" si="78"/>
        <v>35</v>
      </c>
      <c r="Q187" s="126">
        <f t="shared" si="78"/>
        <v>0</v>
      </c>
      <c r="R187" s="126">
        <f t="shared" si="78"/>
        <v>0</v>
      </c>
      <c r="S187" s="126">
        <f t="shared" si="78"/>
        <v>1607.85</v>
      </c>
      <c r="T187" s="126">
        <f t="shared" si="78"/>
        <v>618.86</v>
      </c>
      <c r="U187" s="126">
        <f t="shared" si="78"/>
        <v>567.11</v>
      </c>
      <c r="V187" s="126">
        <f t="shared" si="78"/>
        <v>58.7</v>
      </c>
      <c r="W187" s="134">
        <f t="shared" si="78"/>
        <v>6179</v>
      </c>
      <c r="X187" s="134">
        <f t="shared" si="78"/>
        <v>6179</v>
      </c>
      <c r="Y187" s="133">
        <f t="shared" si="78"/>
        <v>10442.950000000001</v>
      </c>
      <c r="Z187" s="134">
        <f t="shared" si="78"/>
        <v>9272.98</v>
      </c>
      <c r="AA187" s="134">
        <f t="shared" si="78"/>
        <v>1283.96</v>
      </c>
      <c r="AB187" s="134">
        <f t="shared" si="78"/>
        <v>2378</v>
      </c>
      <c r="AC187" s="88">
        <f t="shared" si="77"/>
        <v>0</v>
      </c>
      <c r="AD187" s="132">
        <f>AD188+AD189</f>
        <v>9272.98</v>
      </c>
      <c r="AE187" s="132">
        <f>AE188+AE189</f>
        <v>9192.31</v>
      </c>
      <c r="AF187" s="132">
        <f>AF188+AF189</f>
        <v>14272.98</v>
      </c>
      <c r="AG187" s="132">
        <f t="shared" si="75"/>
        <v>5000</v>
      </c>
      <c r="AH187" s="135"/>
      <c r="AI187" s="133">
        <f>AI188+AI189</f>
        <v>10442.950000000001</v>
      </c>
      <c r="AJ187" s="133">
        <f>AJ188+AJ189</f>
        <v>18295.219999999998</v>
      </c>
      <c r="AK187" s="133">
        <f>AK188+AK189</f>
        <v>19442</v>
      </c>
    </row>
    <row r="188" spans="1:37" ht="16.5" thickTop="1" thickBot="1" x14ac:dyDescent="0.25">
      <c r="A188" s="101"/>
      <c r="B188" s="102"/>
      <c r="C188" s="103"/>
      <c r="D188" s="103">
        <v>1</v>
      </c>
      <c r="E188" s="104">
        <v>510501</v>
      </c>
      <c r="F188" s="105" t="s">
        <v>604</v>
      </c>
      <c r="G188" s="108">
        <v>2161.3200000000002</v>
      </c>
      <c r="H188" s="107">
        <v>2500</v>
      </c>
      <c r="I188" s="107">
        <v>2500</v>
      </c>
      <c r="J188" s="108">
        <v>2500</v>
      </c>
      <c r="K188" s="108">
        <v>0</v>
      </c>
      <c r="L188" s="145">
        <v>203.49</v>
      </c>
      <c r="M188" s="115">
        <v>310.08</v>
      </c>
      <c r="N188" s="115">
        <v>0</v>
      </c>
      <c r="O188" s="115"/>
      <c r="P188" s="240"/>
      <c r="Q188" s="115">
        <v>0</v>
      </c>
      <c r="R188" s="115">
        <v>0</v>
      </c>
      <c r="S188" s="122">
        <v>366.85</v>
      </c>
      <c r="T188" s="122">
        <v>34.86</v>
      </c>
      <c r="U188" s="122">
        <v>384.11</v>
      </c>
      <c r="V188" s="122">
        <v>40.700000000000003</v>
      </c>
      <c r="W188" s="119">
        <v>1340</v>
      </c>
      <c r="X188" s="108">
        <f>W188</f>
        <v>1340</v>
      </c>
      <c r="Y188" s="110">
        <v>646.95000000000005</v>
      </c>
      <c r="Z188" s="111">
        <v>1340</v>
      </c>
      <c r="AA188" s="111">
        <v>72.959999999999994</v>
      </c>
      <c r="AB188" s="111">
        <v>0</v>
      </c>
      <c r="AC188" s="88">
        <f t="shared" si="77"/>
        <v>0</v>
      </c>
      <c r="AD188" s="112">
        <v>1340</v>
      </c>
      <c r="AE188" s="121">
        <v>72.959999999999994</v>
      </c>
      <c r="AF188" s="112">
        <v>1340</v>
      </c>
      <c r="AG188" s="112">
        <f t="shared" si="75"/>
        <v>0</v>
      </c>
      <c r="AH188" s="236">
        <v>1100122</v>
      </c>
      <c r="AI188" s="114">
        <v>646.95000000000005</v>
      </c>
      <c r="AJ188" s="114">
        <v>72.959999999999994</v>
      </c>
      <c r="AK188" s="114">
        <v>500</v>
      </c>
    </row>
    <row r="189" spans="1:37" ht="16.5" thickTop="1" thickBot="1" x14ac:dyDescent="0.25">
      <c r="A189" s="101"/>
      <c r="B189" s="102"/>
      <c r="C189" s="103"/>
      <c r="D189" s="103">
        <v>2</v>
      </c>
      <c r="E189" s="104">
        <v>510502</v>
      </c>
      <c r="F189" s="105" t="s">
        <v>605</v>
      </c>
      <c r="G189" s="108">
        <v>23856</v>
      </c>
      <c r="H189" s="107">
        <f>22000+29575</f>
        <v>51575</v>
      </c>
      <c r="I189" s="107">
        <f>22000+29575</f>
        <v>51575</v>
      </c>
      <c r="J189" s="108">
        <f>22000+29575</f>
        <v>51575</v>
      </c>
      <c r="K189" s="115">
        <v>549</v>
      </c>
      <c r="L189" s="186">
        <v>105</v>
      </c>
      <c r="M189" s="115">
        <v>2050</v>
      </c>
      <c r="N189" s="115">
        <v>0</v>
      </c>
      <c r="O189" s="178">
        <v>74</v>
      </c>
      <c r="P189" s="109">
        <v>35</v>
      </c>
      <c r="Q189" s="122">
        <v>0</v>
      </c>
      <c r="R189" s="122">
        <v>0</v>
      </c>
      <c r="S189" s="122">
        <v>1241</v>
      </c>
      <c r="T189" s="122">
        <v>584</v>
      </c>
      <c r="U189" s="122">
        <v>183</v>
      </c>
      <c r="V189" s="122">
        <v>18</v>
      </c>
      <c r="W189" s="119">
        <f>SUM(K189:V189)</f>
        <v>4839</v>
      </c>
      <c r="X189" s="108">
        <f>W189</f>
        <v>4839</v>
      </c>
      <c r="Y189" s="110">
        <v>9796</v>
      </c>
      <c r="Z189" s="111">
        <v>7932.98</v>
      </c>
      <c r="AA189" s="111">
        <v>1211</v>
      </c>
      <c r="AB189" s="123">
        <v>2378</v>
      </c>
      <c r="AC189" s="88">
        <f t="shared" si="77"/>
        <v>0</v>
      </c>
      <c r="AD189" s="120">
        <f>Z189</f>
        <v>7932.98</v>
      </c>
      <c r="AE189" s="121">
        <v>9119.35</v>
      </c>
      <c r="AF189" s="112">
        <f>AD189+5000</f>
        <v>12932.98</v>
      </c>
      <c r="AG189" s="120">
        <f t="shared" si="75"/>
        <v>5000</v>
      </c>
      <c r="AH189" s="236">
        <v>1100122</v>
      </c>
      <c r="AI189" s="114">
        <v>9796</v>
      </c>
      <c r="AJ189" s="114">
        <v>18222.259999999998</v>
      </c>
      <c r="AK189" s="114">
        <v>18942</v>
      </c>
    </row>
    <row r="190" spans="1:37" ht="14.25" thickTop="1" thickBot="1" x14ac:dyDescent="0.25">
      <c r="A190" s="127"/>
      <c r="B190" s="128"/>
      <c r="C190" s="129">
        <v>6</v>
      </c>
      <c r="D190" s="129"/>
      <c r="E190" s="129"/>
      <c r="F190" s="130" t="s">
        <v>606</v>
      </c>
      <c r="G190" s="84">
        <f>G191</f>
        <v>1205000</v>
      </c>
      <c r="H190" s="131">
        <f>H191</f>
        <v>2000000</v>
      </c>
      <c r="I190" s="107">
        <f>I191</f>
        <v>2000000</v>
      </c>
      <c r="J190" s="107">
        <f t="shared" ref="J190:AB190" si="79">J191</f>
        <v>2000000</v>
      </c>
      <c r="K190" s="107">
        <f t="shared" si="79"/>
        <v>0</v>
      </c>
      <c r="L190" s="107">
        <f t="shared" si="79"/>
        <v>0</v>
      </c>
      <c r="M190" s="107">
        <f t="shared" si="79"/>
        <v>0</v>
      </c>
      <c r="N190" s="107">
        <f t="shared" si="79"/>
        <v>0</v>
      </c>
      <c r="O190" s="107">
        <f t="shared" si="79"/>
        <v>0</v>
      </c>
      <c r="P190" s="107"/>
      <c r="Q190" s="107">
        <f t="shared" si="79"/>
        <v>285714.28571428574</v>
      </c>
      <c r="R190" s="107">
        <f t="shared" si="79"/>
        <v>285714.28571428574</v>
      </c>
      <c r="S190" s="107">
        <f t="shared" si="79"/>
        <v>285714.28571428574</v>
      </c>
      <c r="T190" s="107">
        <f t="shared" si="79"/>
        <v>285714.28571428574</v>
      </c>
      <c r="U190" s="107">
        <f t="shared" si="79"/>
        <v>285714.28571428574</v>
      </c>
      <c r="V190" s="107">
        <f t="shared" si="79"/>
        <v>285714.28571428574</v>
      </c>
      <c r="W190" s="132">
        <f t="shared" si="79"/>
        <v>1714286</v>
      </c>
      <c r="X190" s="134">
        <f t="shared" si="79"/>
        <v>1714286</v>
      </c>
      <c r="Y190" s="133">
        <f t="shared" si="79"/>
        <v>637594.69999999995</v>
      </c>
      <c r="Z190" s="134">
        <f t="shared" si="79"/>
        <v>1714286</v>
      </c>
      <c r="AA190" s="134">
        <f t="shared" si="79"/>
        <v>4223000</v>
      </c>
      <c r="AB190" s="134">
        <f t="shared" si="79"/>
        <v>0</v>
      </c>
      <c r="AC190" s="88">
        <f t="shared" si="77"/>
        <v>0</v>
      </c>
      <c r="AD190" s="132">
        <f>AD191</f>
        <v>1714286</v>
      </c>
      <c r="AE190" s="132">
        <f>AE191</f>
        <v>4223000</v>
      </c>
      <c r="AF190" s="132">
        <f>AF191</f>
        <v>5800000</v>
      </c>
      <c r="AG190" s="132">
        <f t="shared" si="75"/>
        <v>4085714</v>
      </c>
      <c r="AH190" s="135"/>
      <c r="AI190" s="133">
        <f>AI191</f>
        <v>637594.69999999995</v>
      </c>
      <c r="AJ190" s="133">
        <f>AJ191</f>
        <v>5346823</v>
      </c>
      <c r="AK190" s="133">
        <f>AK191</f>
        <v>1500000</v>
      </c>
    </row>
    <row r="191" spans="1:37" ht="16.5" thickTop="1" thickBot="1" x14ac:dyDescent="0.25">
      <c r="A191" s="101"/>
      <c r="B191" s="102"/>
      <c r="C191" s="103"/>
      <c r="D191" s="103">
        <v>1</v>
      </c>
      <c r="E191" s="104">
        <v>510601</v>
      </c>
      <c r="F191" s="105" t="s">
        <v>607</v>
      </c>
      <c r="G191" s="108">
        <v>1205000</v>
      </c>
      <c r="H191" s="131">
        <f>400000+1600000</f>
        <v>2000000</v>
      </c>
      <c r="I191" s="107">
        <v>2000000</v>
      </c>
      <c r="J191" s="108">
        <f>400000+1600000</f>
        <v>2000000</v>
      </c>
      <c r="K191" s="108">
        <v>0</v>
      </c>
      <c r="L191" s="108">
        <v>0</v>
      </c>
      <c r="M191" s="108">
        <v>0</v>
      </c>
      <c r="N191" s="108">
        <v>0</v>
      </c>
      <c r="O191" s="108"/>
      <c r="P191" s="108"/>
      <c r="Q191" s="237">
        <v>285714.28571428574</v>
      </c>
      <c r="R191" s="237">
        <v>285714.28571428574</v>
      </c>
      <c r="S191" s="237">
        <v>285714.28571428574</v>
      </c>
      <c r="T191" s="237">
        <v>285714.28571428574</v>
      </c>
      <c r="U191" s="237">
        <v>285714.28571428574</v>
      </c>
      <c r="V191" s="237">
        <v>285714.28571428574</v>
      </c>
      <c r="W191" s="119">
        <v>1714286</v>
      </c>
      <c r="X191" s="108">
        <f>W191</f>
        <v>1714286</v>
      </c>
      <c r="Y191" s="110">
        <v>637594.69999999995</v>
      </c>
      <c r="Z191" s="241">
        <v>1714286</v>
      </c>
      <c r="AA191" s="241">
        <v>4223000</v>
      </c>
      <c r="AB191" s="241">
        <v>0</v>
      </c>
      <c r="AC191" s="88">
        <f t="shared" si="77"/>
        <v>0</v>
      </c>
      <c r="AD191" s="112">
        <v>1714286</v>
      </c>
      <c r="AE191" s="121">
        <v>4223000</v>
      </c>
      <c r="AF191" s="112">
        <f>5000000+800000</f>
        <v>5800000</v>
      </c>
      <c r="AG191" s="112">
        <f t="shared" si="75"/>
        <v>4085714</v>
      </c>
      <c r="AH191" s="236">
        <v>1100122</v>
      </c>
      <c r="AI191" s="114">
        <v>637594.69999999995</v>
      </c>
      <c r="AJ191" s="114">
        <v>5346823</v>
      </c>
      <c r="AK191" s="114">
        <v>1500000</v>
      </c>
    </row>
    <row r="192" spans="1:37" ht="14.25" thickTop="1" thickBot="1" x14ac:dyDescent="0.25">
      <c r="A192" s="127"/>
      <c r="B192" s="128"/>
      <c r="C192" s="129">
        <v>7</v>
      </c>
      <c r="D192" s="129"/>
      <c r="E192" s="129"/>
      <c r="F192" s="130" t="s">
        <v>608</v>
      </c>
      <c r="G192" s="84">
        <f>G194</f>
        <v>441373.45</v>
      </c>
      <c r="H192" s="131">
        <f>H193</f>
        <v>210000</v>
      </c>
      <c r="I192" s="107">
        <f>I193</f>
        <v>210000</v>
      </c>
      <c r="J192" s="107">
        <f t="shared" ref="J192:AB192" si="80">J193</f>
        <v>210000</v>
      </c>
      <c r="K192" s="107">
        <f t="shared" si="80"/>
        <v>0</v>
      </c>
      <c r="L192" s="107">
        <f t="shared" si="80"/>
        <v>0</v>
      </c>
      <c r="M192" s="107">
        <f t="shared" si="80"/>
        <v>0</v>
      </c>
      <c r="N192" s="107">
        <f t="shared" si="80"/>
        <v>0</v>
      </c>
      <c r="O192" s="107">
        <f t="shared" si="80"/>
        <v>0</v>
      </c>
      <c r="P192" s="107"/>
      <c r="Q192" s="107">
        <f t="shared" si="80"/>
        <v>30000</v>
      </c>
      <c r="R192" s="107">
        <f t="shared" si="80"/>
        <v>30000</v>
      </c>
      <c r="S192" s="107">
        <f t="shared" si="80"/>
        <v>30000</v>
      </c>
      <c r="T192" s="107">
        <f t="shared" si="80"/>
        <v>30000</v>
      </c>
      <c r="U192" s="107">
        <f t="shared" si="80"/>
        <v>30000</v>
      </c>
      <c r="V192" s="107">
        <f t="shared" si="80"/>
        <v>30000</v>
      </c>
      <c r="W192" s="132">
        <f t="shared" si="80"/>
        <v>180000</v>
      </c>
      <c r="X192" s="134">
        <f t="shared" si="80"/>
        <v>180000</v>
      </c>
      <c r="Y192" s="133">
        <f t="shared" si="80"/>
        <v>0</v>
      </c>
      <c r="Z192" s="133">
        <f t="shared" si="80"/>
        <v>180000</v>
      </c>
      <c r="AA192" s="133">
        <f t="shared" si="80"/>
        <v>0</v>
      </c>
      <c r="AB192" s="133">
        <f t="shared" si="80"/>
        <v>315674.51</v>
      </c>
      <c r="AC192" s="133">
        <f t="shared" si="77"/>
        <v>0</v>
      </c>
      <c r="AD192" s="133">
        <f>AD193</f>
        <v>180000</v>
      </c>
      <c r="AE192" s="133">
        <f>AE193</f>
        <v>384954.51</v>
      </c>
      <c r="AF192" s="133">
        <f>AF193</f>
        <v>540000</v>
      </c>
      <c r="AG192" s="133">
        <f t="shared" si="75"/>
        <v>360000</v>
      </c>
      <c r="AH192" s="133"/>
      <c r="AI192" s="133">
        <f t="shared" ref="AI192:AJ192" si="81">AI193</f>
        <v>0</v>
      </c>
      <c r="AJ192" s="133">
        <f t="shared" si="81"/>
        <v>2046901.07</v>
      </c>
      <c r="AK192" s="133">
        <f>AK193</f>
        <v>500000</v>
      </c>
    </row>
    <row r="193" spans="1:37" ht="16.5" thickTop="1" thickBot="1" x14ac:dyDescent="0.25">
      <c r="A193" s="101"/>
      <c r="B193" s="102"/>
      <c r="C193" s="103"/>
      <c r="D193" s="103">
        <v>1</v>
      </c>
      <c r="E193" s="104">
        <v>510701</v>
      </c>
      <c r="F193" s="105" t="s">
        <v>609</v>
      </c>
      <c r="G193" s="108">
        <v>0</v>
      </c>
      <c r="H193" s="131">
        <v>210000</v>
      </c>
      <c r="I193" s="107">
        <v>210000</v>
      </c>
      <c r="J193" s="108">
        <v>210000</v>
      </c>
      <c r="K193" s="108">
        <v>0</v>
      </c>
      <c r="L193" s="108">
        <v>0</v>
      </c>
      <c r="M193" s="108">
        <v>0</v>
      </c>
      <c r="N193" s="108">
        <v>0</v>
      </c>
      <c r="O193" s="108"/>
      <c r="P193" s="108"/>
      <c r="Q193" s="237">
        <v>30000</v>
      </c>
      <c r="R193" s="237">
        <v>30000</v>
      </c>
      <c r="S193" s="237">
        <v>30000</v>
      </c>
      <c r="T193" s="237">
        <v>30000</v>
      </c>
      <c r="U193" s="237">
        <v>30000</v>
      </c>
      <c r="V193" s="237">
        <v>30000</v>
      </c>
      <c r="W193" s="119">
        <f>SUM(K193:V193)</f>
        <v>180000</v>
      </c>
      <c r="X193" s="108">
        <f>W193</f>
        <v>180000</v>
      </c>
      <c r="Y193" s="110"/>
      <c r="Z193" s="241">
        <v>180000</v>
      </c>
      <c r="AA193" s="241">
        <v>0</v>
      </c>
      <c r="AB193" s="123">
        <v>315674.51</v>
      </c>
      <c r="AC193" s="88">
        <f t="shared" si="77"/>
        <v>0</v>
      </c>
      <c r="AD193" s="112">
        <v>180000</v>
      </c>
      <c r="AE193" s="121">
        <v>384954.51</v>
      </c>
      <c r="AF193" s="112">
        <v>540000</v>
      </c>
      <c r="AG193" s="112">
        <f t="shared" si="75"/>
        <v>360000</v>
      </c>
      <c r="AH193" s="236">
        <v>1100122</v>
      </c>
      <c r="AI193" s="114">
        <v>0</v>
      </c>
      <c r="AJ193" s="114">
        <v>2046901.07</v>
      </c>
      <c r="AK193" s="114">
        <v>500000</v>
      </c>
    </row>
    <row r="194" spans="1:37" ht="16.5" thickTop="1" thickBot="1" x14ac:dyDescent="0.25">
      <c r="A194" s="101"/>
      <c r="B194" s="102"/>
      <c r="C194" s="103">
        <v>9</v>
      </c>
      <c r="D194" s="103">
        <v>1</v>
      </c>
      <c r="E194" s="104">
        <v>510901</v>
      </c>
      <c r="F194" s="105" t="s">
        <v>610</v>
      </c>
      <c r="G194" s="108">
        <v>441373.45</v>
      </c>
      <c r="H194" s="131">
        <f>450000+630612</f>
        <v>1080612</v>
      </c>
      <c r="I194" s="107">
        <f>450000+630612</f>
        <v>1080612</v>
      </c>
      <c r="J194" s="108">
        <f>450000+630612</f>
        <v>1080612</v>
      </c>
      <c r="K194" s="136">
        <v>50384.55</v>
      </c>
      <c r="L194" s="141">
        <v>1838</v>
      </c>
      <c r="M194" s="136">
        <v>24908.23</v>
      </c>
      <c r="N194" s="136">
        <v>48175</v>
      </c>
      <c r="O194" s="190">
        <v>24546.5</v>
      </c>
      <c r="P194" s="117">
        <v>26631.11</v>
      </c>
      <c r="Q194" s="242">
        <v>119413.2775</v>
      </c>
      <c r="R194" s="242">
        <v>119413.2775</v>
      </c>
      <c r="S194" s="242">
        <v>119413.2775</v>
      </c>
      <c r="T194" s="242">
        <v>119413.2775</v>
      </c>
      <c r="U194" s="242">
        <v>119413.2775</v>
      </c>
      <c r="V194" s="242">
        <v>119413.2775</v>
      </c>
      <c r="W194" s="119">
        <v>892963</v>
      </c>
      <c r="X194" s="108">
        <f>W194</f>
        <v>892963</v>
      </c>
      <c r="Y194" s="110">
        <v>370536.38</v>
      </c>
      <c r="Z194" s="111">
        <v>892963</v>
      </c>
      <c r="AA194" s="111">
        <v>3989</v>
      </c>
      <c r="AB194" s="123">
        <v>31160.82</v>
      </c>
      <c r="AC194" s="88">
        <f t="shared" si="77"/>
        <v>0</v>
      </c>
      <c r="AD194" s="112">
        <v>892963</v>
      </c>
      <c r="AE194" s="121">
        <v>95573.95</v>
      </c>
      <c r="AF194" s="112">
        <v>892963</v>
      </c>
      <c r="AG194" s="112">
        <f t="shared" si="75"/>
        <v>0</v>
      </c>
      <c r="AH194" s="236">
        <v>1100122</v>
      </c>
      <c r="AI194" s="114">
        <v>370536.38</v>
      </c>
      <c r="AJ194" s="114">
        <v>351914.44</v>
      </c>
      <c r="AK194" s="114">
        <v>365815</v>
      </c>
    </row>
    <row r="195" spans="1:37" ht="14.25" thickTop="1" thickBot="1" x14ac:dyDescent="0.25">
      <c r="A195" s="172" t="s">
        <v>611</v>
      </c>
      <c r="B195" s="172" t="s">
        <v>462</v>
      </c>
      <c r="C195" s="75"/>
      <c r="D195" s="75"/>
      <c r="E195" s="75"/>
      <c r="F195" s="76" t="s">
        <v>14</v>
      </c>
      <c r="G195" s="77">
        <f>G32+G33+G36+G38+G42+G205+G206+G207+G212+G213+G215+G216+G217+G218+G219+G220+G221+G222+G223+G224+G225+G227+G228+G231+G232+G233+G243+G244+G246+G247+G267+G270+G275+G277+G286+G288+G289+G291+G292+G294+G296+G297+G298+G299+G300+G302+G304+G305+G307+G306+G308+G310+G312</f>
        <v>157206235.31999999</v>
      </c>
      <c r="H195" s="77">
        <f t="shared" ref="H195:AB195" si="82">H196+H241</f>
        <v>79191575.799999997</v>
      </c>
      <c r="I195" s="77">
        <f t="shared" si="82"/>
        <v>82753429.679999992</v>
      </c>
      <c r="J195" s="77">
        <f t="shared" si="82"/>
        <v>85845410.679999992</v>
      </c>
      <c r="K195" s="77">
        <f t="shared" si="82"/>
        <v>7152422.8700000001</v>
      </c>
      <c r="L195" s="77">
        <f t="shared" si="82"/>
        <v>5899249.9500000002</v>
      </c>
      <c r="M195" s="77">
        <f t="shared" si="82"/>
        <v>5775752.5800000001</v>
      </c>
      <c r="N195" s="77">
        <f t="shared" si="82"/>
        <v>4043647.1900000004</v>
      </c>
      <c r="O195" s="77">
        <f t="shared" si="82"/>
        <v>1461453.03</v>
      </c>
      <c r="P195" s="77">
        <f t="shared" si="82"/>
        <v>3501857.23</v>
      </c>
      <c r="Q195" s="77">
        <f t="shared" si="82"/>
        <v>3142490.9461071426</v>
      </c>
      <c r="R195" s="77">
        <f t="shared" si="82"/>
        <v>4407065.6461071428</v>
      </c>
      <c r="S195" s="77">
        <f t="shared" si="82"/>
        <v>6274593.4396071434</v>
      </c>
      <c r="T195" s="77">
        <f t="shared" si="82"/>
        <v>7777408.2511071432</v>
      </c>
      <c r="U195" s="77">
        <f t="shared" si="82"/>
        <v>7954577.7226071423</v>
      </c>
      <c r="V195" s="77">
        <f t="shared" si="82"/>
        <v>8285944.1491071424</v>
      </c>
      <c r="W195" s="77">
        <f t="shared" si="82"/>
        <v>65716462.980000012</v>
      </c>
      <c r="X195" s="77">
        <f t="shared" si="82"/>
        <v>65769270.180000015</v>
      </c>
      <c r="Y195" s="78">
        <f t="shared" si="82"/>
        <v>64257698.309999995</v>
      </c>
      <c r="Z195" s="79">
        <f t="shared" si="82"/>
        <v>78683055.75</v>
      </c>
      <c r="AA195" s="79">
        <f t="shared" si="82"/>
        <v>5368813.1099999994</v>
      </c>
      <c r="AB195" s="79">
        <f t="shared" si="82"/>
        <v>5779776.6599999992</v>
      </c>
      <c r="AC195" s="221">
        <f t="shared" si="77"/>
        <v>-52807.20000000298</v>
      </c>
      <c r="AD195" s="79">
        <f>AD196+AD241</f>
        <v>73963978.642250016</v>
      </c>
      <c r="AE195" s="79">
        <f>AE196+AE241</f>
        <v>25866085.469999999</v>
      </c>
      <c r="AF195" s="79">
        <f>AF196+AF241</f>
        <v>74897776.910000011</v>
      </c>
      <c r="AG195" s="79">
        <f t="shared" si="75"/>
        <v>933798.26774999499</v>
      </c>
      <c r="AH195" s="81"/>
      <c r="AI195" s="78">
        <f>AI196+AI241</f>
        <v>64257698.309999995</v>
      </c>
      <c r="AJ195" s="78">
        <f>AJ196+AJ241</f>
        <v>77815764.815555558</v>
      </c>
      <c r="AK195" s="78">
        <f>AK196+AK241</f>
        <v>73361288</v>
      </c>
    </row>
    <row r="196" spans="1:37" ht="14.25" thickTop="1" thickBot="1" x14ac:dyDescent="0.25">
      <c r="A196" s="174"/>
      <c r="B196" s="82" t="s">
        <v>423</v>
      </c>
      <c r="C196" s="175"/>
      <c r="D196" s="175"/>
      <c r="E196" s="175"/>
      <c r="F196" s="176" t="s">
        <v>14</v>
      </c>
      <c r="G196" s="84">
        <f>G197+G204+G209+G211+G214+G230+G241++G245</f>
        <v>86875262.589999989</v>
      </c>
      <c r="H196" s="85">
        <f t="shared" ref="H196:Y196" si="83">H197+H204+H209+H211+H214+H230</f>
        <v>78271575.799999997</v>
      </c>
      <c r="I196" s="85">
        <f t="shared" si="83"/>
        <v>81783429.679999992</v>
      </c>
      <c r="J196" s="84">
        <f t="shared" si="83"/>
        <v>84815410.679999992</v>
      </c>
      <c r="K196" s="84">
        <f t="shared" si="83"/>
        <v>7034148.3399999999</v>
      </c>
      <c r="L196" s="84">
        <f t="shared" si="83"/>
        <v>5813402.3799999999</v>
      </c>
      <c r="M196" s="84">
        <f t="shared" si="83"/>
        <v>5677815.8100000005</v>
      </c>
      <c r="N196" s="84">
        <f t="shared" si="83"/>
        <v>4015255.5400000005</v>
      </c>
      <c r="O196" s="84">
        <f t="shared" si="83"/>
        <v>1434848.34</v>
      </c>
      <c r="P196" s="84">
        <f t="shared" si="83"/>
        <v>3442709.85</v>
      </c>
      <c r="Q196" s="84">
        <f t="shared" si="83"/>
        <v>3114790.9461071426</v>
      </c>
      <c r="R196" s="84">
        <f t="shared" si="83"/>
        <v>4355065.6461071428</v>
      </c>
      <c r="S196" s="84">
        <f t="shared" si="83"/>
        <v>6158047.6196071431</v>
      </c>
      <c r="T196" s="84">
        <f t="shared" si="83"/>
        <v>7645448.6711071432</v>
      </c>
      <c r="U196" s="84">
        <f t="shared" si="83"/>
        <v>7858370.862607142</v>
      </c>
      <c r="V196" s="84">
        <f t="shared" si="83"/>
        <v>8155749.6191071421</v>
      </c>
      <c r="W196" s="86">
        <f t="shared" si="83"/>
        <v>64705653.600000009</v>
      </c>
      <c r="X196" s="86">
        <f t="shared" si="83"/>
        <v>64758460.800000012</v>
      </c>
      <c r="Y196" s="87">
        <f t="shared" si="83"/>
        <v>63067566.909999996</v>
      </c>
      <c r="Z196" s="86">
        <f>Z197+Z202+Z204+Z209+Z211+Z214+Z230</f>
        <v>77555026.530000001</v>
      </c>
      <c r="AA196" s="86">
        <f>AA197+AA202+AA204+AA209+AA211+AA214+AA230</f>
        <v>5297806.1899999995</v>
      </c>
      <c r="AB196" s="86">
        <f>AB197+AB202+AB204+AB209+AB211+AB214+AB230</f>
        <v>5709163.6999999993</v>
      </c>
      <c r="AC196" s="88">
        <f t="shared" si="77"/>
        <v>-52807.20000000298</v>
      </c>
      <c r="AD196" s="84">
        <f>AD197+AD202+AD204+AD209+AD211+AD214+AD230</f>
        <v>72754733.10225001</v>
      </c>
      <c r="AE196" s="84">
        <f>AE197+AE202+AE204+AE209+AE211+AE214+AE230</f>
        <v>25127805.119999997</v>
      </c>
      <c r="AF196" s="84">
        <f>AF197+AF202+AF204+AF209+AF211+AF214+AF230</f>
        <v>73188531.370000005</v>
      </c>
      <c r="AG196" s="84">
        <f t="shared" si="75"/>
        <v>433798.26774999499</v>
      </c>
      <c r="AH196" s="135"/>
      <c r="AI196" s="87">
        <f>AI197+AI204+AI209+AI211+AI214+AI230</f>
        <v>63067566.909999996</v>
      </c>
      <c r="AJ196" s="87">
        <f>AJ197+AJ204+AJ209+AJ211+AJ214+AJ230</f>
        <v>76067414.055555552</v>
      </c>
      <c r="AK196" s="87">
        <f>AK197+AK202+AK204+AK209+AK211+AK214+AK230</f>
        <v>71586198</v>
      </c>
    </row>
    <row r="197" spans="1:37" ht="27" thickTop="1" thickBot="1" x14ac:dyDescent="0.25">
      <c r="A197" s="127"/>
      <c r="B197" s="128"/>
      <c r="C197" s="129">
        <v>1</v>
      </c>
      <c r="D197" s="129"/>
      <c r="E197" s="129"/>
      <c r="F197" s="130" t="s">
        <v>612</v>
      </c>
      <c r="G197" s="108">
        <f>G198+G199+G200+G201</f>
        <v>343800</v>
      </c>
      <c r="H197" s="131">
        <f>H198+H199+H200+H201</f>
        <v>611578.80000000005</v>
      </c>
      <c r="I197" s="131">
        <v>611578.80000000005</v>
      </c>
      <c r="J197" s="97">
        <f t="shared" ref="J197:AB197" si="84">J198+J199+J200+J201</f>
        <v>611578.80000000005</v>
      </c>
      <c r="K197" s="97">
        <f t="shared" si="84"/>
        <v>14520</v>
      </c>
      <c r="L197" s="126">
        <f t="shared" si="84"/>
        <v>21662</v>
      </c>
      <c r="M197" s="126">
        <f t="shared" si="84"/>
        <v>33260</v>
      </c>
      <c r="N197" s="126">
        <f t="shared" si="84"/>
        <v>25650</v>
      </c>
      <c r="O197" s="126">
        <f t="shared" si="84"/>
        <v>3396</v>
      </c>
      <c r="P197" s="126">
        <f t="shared" si="84"/>
        <v>69010</v>
      </c>
      <c r="Q197" s="126">
        <f t="shared" si="84"/>
        <v>12830</v>
      </c>
      <c r="R197" s="126">
        <f t="shared" si="84"/>
        <v>13330</v>
      </c>
      <c r="S197" s="126">
        <f t="shared" si="84"/>
        <v>69843.95</v>
      </c>
      <c r="T197" s="126">
        <f t="shared" si="84"/>
        <v>65343.95</v>
      </c>
      <c r="U197" s="126">
        <f t="shared" si="84"/>
        <v>65843.95</v>
      </c>
      <c r="V197" s="126">
        <f t="shared" si="84"/>
        <v>68843.95</v>
      </c>
      <c r="W197" s="134">
        <f t="shared" si="84"/>
        <v>463533.8</v>
      </c>
      <c r="X197" s="134">
        <f t="shared" si="84"/>
        <v>463533.8</v>
      </c>
      <c r="Y197" s="133">
        <f t="shared" si="84"/>
        <v>698707</v>
      </c>
      <c r="Z197" s="134">
        <f t="shared" si="84"/>
        <v>519306</v>
      </c>
      <c r="AA197" s="134">
        <f t="shared" si="84"/>
        <v>22654</v>
      </c>
      <c r="AB197" s="134">
        <f t="shared" si="84"/>
        <v>57068</v>
      </c>
      <c r="AC197" s="88">
        <f t="shared" si="77"/>
        <v>0</v>
      </c>
      <c r="AD197" s="132">
        <f>AD198+AD199+AD200+AD201</f>
        <v>714400.45</v>
      </c>
      <c r="AE197" s="132">
        <f>AE198+AE199+AE200+AE201</f>
        <v>195645.55</v>
      </c>
      <c r="AF197" s="132">
        <f>AF198+AF199+AF200+AF201</f>
        <v>714400.45</v>
      </c>
      <c r="AG197" s="132">
        <f t="shared" si="75"/>
        <v>0</v>
      </c>
      <c r="AH197" s="135"/>
      <c r="AI197" s="133">
        <f>AI198+AI199+AI200+AI201</f>
        <v>698707</v>
      </c>
      <c r="AJ197" s="133">
        <f t="shared" ref="AJ197" si="85">AJ198+AJ199+AJ200+AJ201</f>
        <v>744852.27</v>
      </c>
      <c r="AK197" s="133">
        <f>AK198+AK199+AK200+AK201</f>
        <v>774272</v>
      </c>
    </row>
    <row r="198" spans="1:37" ht="16.5" thickTop="1" thickBot="1" x14ac:dyDescent="0.25">
      <c r="A198" s="101"/>
      <c r="B198" s="102"/>
      <c r="C198" s="103"/>
      <c r="D198" s="103">
        <v>1</v>
      </c>
      <c r="E198" s="104">
        <v>610101</v>
      </c>
      <c r="F198" s="105" t="s">
        <v>613</v>
      </c>
      <c r="G198" s="108">
        <v>250880</v>
      </c>
      <c r="H198" s="131">
        <v>231523</v>
      </c>
      <c r="I198" s="131">
        <v>231523</v>
      </c>
      <c r="J198" s="97">
        <v>231523</v>
      </c>
      <c r="K198" s="243">
        <v>0</v>
      </c>
      <c r="L198" s="145">
        <v>4440</v>
      </c>
      <c r="M198" s="115">
        <v>20720</v>
      </c>
      <c r="N198" s="115">
        <v>22680</v>
      </c>
      <c r="O198" s="178">
        <v>1560</v>
      </c>
      <c r="P198" s="117">
        <v>63400</v>
      </c>
      <c r="Q198" s="122">
        <v>10000</v>
      </c>
      <c r="R198" s="122">
        <v>10000</v>
      </c>
      <c r="S198" s="122">
        <v>10000</v>
      </c>
      <c r="T198" s="122">
        <v>5000</v>
      </c>
      <c r="U198" s="122">
        <v>5000</v>
      </c>
      <c r="V198" s="122">
        <v>10000</v>
      </c>
      <c r="W198" s="119">
        <f>SUM(K198:V198)</f>
        <v>162800</v>
      </c>
      <c r="X198" s="108">
        <f>W198</f>
        <v>162800</v>
      </c>
      <c r="Y198" s="110">
        <v>185910</v>
      </c>
      <c r="Z198" s="111">
        <v>168498</v>
      </c>
      <c r="AA198" s="111">
        <v>1480</v>
      </c>
      <c r="AB198" s="123">
        <v>19240</v>
      </c>
      <c r="AC198" s="88">
        <f t="shared" si="77"/>
        <v>0</v>
      </c>
      <c r="AD198" s="120">
        <f>Y198</f>
        <v>185910</v>
      </c>
      <c r="AE198" s="121">
        <v>77034</v>
      </c>
      <c r="AF198" s="112">
        <v>185910</v>
      </c>
      <c r="AG198" s="120">
        <f t="shared" si="75"/>
        <v>0</v>
      </c>
      <c r="AH198" s="236">
        <v>1100122</v>
      </c>
      <c r="AI198" s="114">
        <v>185910</v>
      </c>
      <c r="AJ198" s="114">
        <v>173981.4</v>
      </c>
      <c r="AK198" s="114">
        <v>180853</v>
      </c>
    </row>
    <row r="199" spans="1:37" ht="16.5" thickTop="1" thickBot="1" x14ac:dyDescent="0.25">
      <c r="A199" s="101"/>
      <c r="B199" s="102"/>
      <c r="C199" s="103"/>
      <c r="D199" s="103">
        <v>2</v>
      </c>
      <c r="E199" s="104">
        <v>610102</v>
      </c>
      <c r="F199" s="105" t="s">
        <v>614</v>
      </c>
      <c r="G199" s="106"/>
      <c r="H199" s="131">
        <v>50000</v>
      </c>
      <c r="I199" s="131">
        <v>50000</v>
      </c>
      <c r="J199" s="97">
        <v>50000</v>
      </c>
      <c r="K199" s="243">
        <v>0</v>
      </c>
      <c r="L199" s="145">
        <v>0</v>
      </c>
      <c r="M199" s="115">
        <v>0</v>
      </c>
      <c r="N199" s="115">
        <v>330</v>
      </c>
      <c r="O199" s="115"/>
      <c r="P199" s="117">
        <v>0</v>
      </c>
      <c r="Q199" s="122">
        <v>330</v>
      </c>
      <c r="R199" s="122">
        <v>330</v>
      </c>
      <c r="S199" s="122">
        <v>330</v>
      </c>
      <c r="T199" s="122">
        <v>330</v>
      </c>
      <c r="U199" s="122">
        <v>330</v>
      </c>
      <c r="V199" s="122">
        <v>330</v>
      </c>
      <c r="W199" s="119">
        <f>SUM(K199:V199)</f>
        <v>2310</v>
      </c>
      <c r="X199" s="108">
        <f>W199</f>
        <v>2310</v>
      </c>
      <c r="Y199" s="110">
        <v>215190</v>
      </c>
      <c r="Z199" s="111">
        <v>50000</v>
      </c>
      <c r="AA199" s="111">
        <v>0</v>
      </c>
      <c r="AB199" s="123">
        <v>0</v>
      </c>
      <c r="AC199" s="88">
        <f t="shared" si="77"/>
        <v>0</v>
      </c>
      <c r="AD199" s="120">
        <f>Y199</f>
        <v>215190</v>
      </c>
      <c r="AE199" s="121">
        <v>30646.35</v>
      </c>
      <c r="AF199" s="112">
        <v>215190</v>
      </c>
      <c r="AG199" s="120">
        <f t="shared" si="75"/>
        <v>0</v>
      </c>
      <c r="AH199" s="236">
        <v>1100122</v>
      </c>
      <c r="AI199" s="114">
        <v>215190</v>
      </c>
      <c r="AJ199" s="114">
        <v>214254.6</v>
      </c>
      <c r="AK199" s="114">
        <v>222717</v>
      </c>
    </row>
    <row r="200" spans="1:37" ht="16.5" thickTop="1" thickBot="1" x14ac:dyDescent="0.25">
      <c r="A200" s="101"/>
      <c r="B200" s="102"/>
      <c r="C200" s="103"/>
      <c r="D200" s="103">
        <v>3</v>
      </c>
      <c r="E200" s="104">
        <v>610103</v>
      </c>
      <c r="F200" s="105" t="s">
        <v>615</v>
      </c>
      <c r="G200" s="108">
        <v>90750</v>
      </c>
      <c r="H200" s="107">
        <v>100000</v>
      </c>
      <c r="I200" s="183">
        <v>100000</v>
      </c>
      <c r="J200" s="108">
        <v>100000</v>
      </c>
      <c r="K200" s="149">
        <v>14520</v>
      </c>
      <c r="L200" s="145">
        <v>17160</v>
      </c>
      <c r="M200" s="115">
        <v>12540</v>
      </c>
      <c r="N200" s="115">
        <v>2640</v>
      </c>
      <c r="O200" s="178">
        <v>1650</v>
      </c>
      <c r="P200" s="117">
        <v>5610</v>
      </c>
      <c r="Q200" s="122">
        <v>2500</v>
      </c>
      <c r="R200" s="122">
        <v>3000</v>
      </c>
      <c r="S200" s="122">
        <v>2000</v>
      </c>
      <c r="T200" s="122">
        <v>2500</v>
      </c>
      <c r="U200" s="122">
        <v>3000</v>
      </c>
      <c r="V200" s="122">
        <v>1000</v>
      </c>
      <c r="W200" s="119">
        <f>SUM(K200:V200)</f>
        <v>68120</v>
      </c>
      <c r="X200" s="108">
        <f>W200</f>
        <v>68120</v>
      </c>
      <c r="Y200" s="110">
        <v>80190</v>
      </c>
      <c r="Z200" s="111">
        <v>70504.2</v>
      </c>
      <c r="AA200" s="111">
        <v>13200</v>
      </c>
      <c r="AB200" s="123">
        <v>18480</v>
      </c>
      <c r="AC200" s="88">
        <f t="shared" si="77"/>
        <v>0</v>
      </c>
      <c r="AD200" s="120">
        <f>Y200*1.035</f>
        <v>82996.649999999994</v>
      </c>
      <c r="AE200" s="121">
        <v>51473.4</v>
      </c>
      <c r="AF200" s="112">
        <v>82996.649999999994</v>
      </c>
      <c r="AG200" s="120">
        <f t="shared" si="75"/>
        <v>0</v>
      </c>
      <c r="AH200" s="236">
        <v>1100122</v>
      </c>
      <c r="AI200" s="114">
        <v>80190</v>
      </c>
      <c r="AJ200" s="114">
        <v>91875.3</v>
      </c>
      <c r="AK200" s="114">
        <v>95504</v>
      </c>
    </row>
    <row r="201" spans="1:37" ht="16.5" thickTop="1" thickBot="1" x14ac:dyDescent="0.25">
      <c r="A201" s="101"/>
      <c r="B201" s="102"/>
      <c r="C201" s="103"/>
      <c r="D201" s="103">
        <v>4</v>
      </c>
      <c r="E201" s="104">
        <v>610104</v>
      </c>
      <c r="F201" s="105" t="s">
        <v>616</v>
      </c>
      <c r="G201" s="108">
        <v>2170</v>
      </c>
      <c r="H201" s="107">
        <v>230055.8</v>
      </c>
      <c r="I201" s="107">
        <v>230055.8</v>
      </c>
      <c r="J201" s="108">
        <v>230055.8</v>
      </c>
      <c r="K201" s="106">
        <v>0</v>
      </c>
      <c r="L201" s="141">
        <v>62</v>
      </c>
      <c r="M201" s="136">
        <v>0</v>
      </c>
      <c r="N201" s="136">
        <v>0</v>
      </c>
      <c r="O201" s="190">
        <v>186</v>
      </c>
      <c r="P201" s="117">
        <v>0</v>
      </c>
      <c r="Q201" s="136">
        <v>0</v>
      </c>
      <c r="R201" s="136">
        <v>0</v>
      </c>
      <c r="S201" s="137">
        <v>57513.95</v>
      </c>
      <c r="T201" s="137">
        <v>57513.95</v>
      </c>
      <c r="U201" s="137">
        <v>57513.95</v>
      </c>
      <c r="V201" s="137">
        <v>57513.95</v>
      </c>
      <c r="W201" s="119">
        <f>SUM(K201:V201)</f>
        <v>230303.8</v>
      </c>
      <c r="X201" s="108">
        <f>W201</f>
        <v>230303.8</v>
      </c>
      <c r="Y201" s="110">
        <v>217417</v>
      </c>
      <c r="Z201" s="111">
        <v>230303.8</v>
      </c>
      <c r="AA201" s="111">
        <v>7974</v>
      </c>
      <c r="AB201" s="123">
        <v>19348</v>
      </c>
      <c r="AC201" s="88">
        <f t="shared" si="77"/>
        <v>0</v>
      </c>
      <c r="AD201" s="112">
        <v>230303.8</v>
      </c>
      <c r="AE201" s="121">
        <v>36491.800000000003</v>
      </c>
      <c r="AF201" s="112">
        <v>230303.8</v>
      </c>
      <c r="AG201" s="112">
        <f t="shared" si="75"/>
        <v>0</v>
      </c>
      <c r="AH201" s="236">
        <v>1100122</v>
      </c>
      <c r="AI201" s="114">
        <v>217417</v>
      </c>
      <c r="AJ201" s="114">
        <v>264740.96999999997</v>
      </c>
      <c r="AK201" s="114">
        <v>275198</v>
      </c>
    </row>
    <row r="202" spans="1:37" ht="27" thickTop="1" thickBot="1" x14ac:dyDescent="0.25">
      <c r="A202" s="101"/>
      <c r="B202" s="102"/>
      <c r="C202" s="129">
        <v>2</v>
      </c>
      <c r="D202" s="103"/>
      <c r="E202" s="189"/>
      <c r="F202" s="130" t="s">
        <v>617</v>
      </c>
      <c r="G202" s="108"/>
      <c r="H202" s="107"/>
      <c r="I202" s="107"/>
      <c r="J202" s="108"/>
      <c r="K202" s="106"/>
      <c r="L202" s="141"/>
      <c r="M202" s="136"/>
      <c r="N202" s="136"/>
      <c r="O202" s="190"/>
      <c r="P202" s="117"/>
      <c r="Q202" s="136"/>
      <c r="R202" s="136"/>
      <c r="S202" s="137"/>
      <c r="T202" s="137"/>
      <c r="U202" s="137"/>
      <c r="V202" s="137"/>
      <c r="W202" s="119"/>
      <c r="X202" s="108"/>
      <c r="Y202" s="110"/>
      <c r="Z202" s="244">
        <f>Z203</f>
        <v>3865900.75</v>
      </c>
      <c r="AA202" s="244">
        <f>AA203</f>
        <v>0</v>
      </c>
      <c r="AB202" s="244">
        <f>AB203</f>
        <v>0</v>
      </c>
      <c r="AC202" s="88"/>
      <c r="AD202" s="213">
        <f>AD203</f>
        <v>3865900.75</v>
      </c>
      <c r="AE202" s="213">
        <f>AE203</f>
        <v>0</v>
      </c>
      <c r="AF202" s="213">
        <f>AF203</f>
        <v>1000000</v>
      </c>
      <c r="AG202" s="215">
        <f>AG203</f>
        <v>-2865900.75</v>
      </c>
      <c r="AH202" s="236"/>
      <c r="AI202" s="133">
        <f>AI203</f>
        <v>0</v>
      </c>
      <c r="AJ202" s="133">
        <f>AJ203</f>
        <v>0</v>
      </c>
      <c r="AK202" s="133">
        <f>AK203</f>
        <v>3865900</v>
      </c>
    </row>
    <row r="203" spans="1:37" ht="27" thickTop="1" thickBot="1" x14ac:dyDescent="0.25">
      <c r="A203" s="101"/>
      <c r="B203" s="102"/>
      <c r="C203" s="103"/>
      <c r="D203" s="103">
        <v>1</v>
      </c>
      <c r="E203" s="104">
        <v>610201</v>
      </c>
      <c r="F203" s="105" t="s">
        <v>617</v>
      </c>
      <c r="G203" s="108"/>
      <c r="H203" s="107"/>
      <c r="I203" s="107"/>
      <c r="J203" s="108"/>
      <c r="K203" s="106"/>
      <c r="L203" s="141"/>
      <c r="M203" s="136"/>
      <c r="N203" s="136"/>
      <c r="O203" s="190"/>
      <c r="P203" s="117"/>
      <c r="Q203" s="136"/>
      <c r="R203" s="136"/>
      <c r="S203" s="137"/>
      <c r="T203" s="137"/>
      <c r="U203" s="137"/>
      <c r="V203" s="137"/>
      <c r="W203" s="119"/>
      <c r="X203" s="108"/>
      <c r="Y203" s="110"/>
      <c r="Z203" s="143">
        <v>3865900.75</v>
      </c>
      <c r="AA203" s="143">
        <v>0</v>
      </c>
      <c r="AB203" s="143"/>
      <c r="AC203" s="88"/>
      <c r="AD203" s="112">
        <v>3865900.75</v>
      </c>
      <c r="AE203" s="112"/>
      <c r="AF203" s="112">
        <f>AD203-2865900.75</f>
        <v>1000000</v>
      </c>
      <c r="AG203" s="245">
        <f>AF203-AD203</f>
        <v>-2865900.75</v>
      </c>
      <c r="AH203" s="236">
        <v>1100122</v>
      </c>
      <c r="AI203" s="114">
        <v>0</v>
      </c>
      <c r="AJ203" s="114">
        <v>0</v>
      </c>
      <c r="AK203" s="114">
        <v>3865900</v>
      </c>
    </row>
    <row r="204" spans="1:37" ht="16.5" thickTop="1" thickBot="1" x14ac:dyDescent="0.25">
      <c r="A204" s="127"/>
      <c r="B204" s="128"/>
      <c r="C204" s="129">
        <v>3</v>
      </c>
      <c r="D204" s="129"/>
      <c r="E204" s="129"/>
      <c r="F204" s="130" t="s">
        <v>618</v>
      </c>
      <c r="G204" s="84">
        <f>G205+G207</f>
        <v>4373119</v>
      </c>
      <c r="H204" s="131">
        <f>H205+H206</f>
        <v>120000</v>
      </c>
      <c r="I204" s="107">
        <f>I205+I207</f>
        <v>20000</v>
      </c>
      <c r="J204" s="108">
        <f>J205+J207</f>
        <v>2100000</v>
      </c>
      <c r="K204" s="108">
        <f t="shared" ref="K204:W204" si="86">K205+K207</f>
        <v>11929.81</v>
      </c>
      <c r="L204" s="108">
        <f t="shared" si="86"/>
        <v>0</v>
      </c>
      <c r="M204" s="108">
        <f t="shared" si="86"/>
        <v>0</v>
      </c>
      <c r="N204" s="108">
        <f t="shared" si="86"/>
        <v>2000000</v>
      </c>
      <c r="O204" s="108">
        <f t="shared" si="86"/>
        <v>0</v>
      </c>
      <c r="P204" s="108">
        <f t="shared" si="86"/>
        <v>0</v>
      </c>
      <c r="Q204" s="108">
        <f t="shared" si="86"/>
        <v>0</v>
      </c>
      <c r="R204" s="108">
        <f t="shared" si="86"/>
        <v>0</v>
      </c>
      <c r="S204" s="108">
        <f t="shared" si="86"/>
        <v>0</v>
      </c>
      <c r="T204" s="108">
        <f t="shared" si="86"/>
        <v>0</v>
      </c>
      <c r="U204" s="108">
        <f t="shared" si="86"/>
        <v>0</v>
      </c>
      <c r="V204" s="108">
        <f t="shared" si="86"/>
        <v>50000</v>
      </c>
      <c r="W204" s="207">
        <f t="shared" si="86"/>
        <v>2061929.81</v>
      </c>
      <c r="X204" s="207">
        <f>X205+X207+X206</f>
        <v>2114737.0100000002</v>
      </c>
      <c r="Y204" s="202">
        <f>Y205+Y207+Y206</f>
        <v>4772029.9399999995</v>
      </c>
      <c r="Z204" s="207">
        <f>Z205+Z207+Z206</f>
        <v>2114737.0100000002</v>
      </c>
      <c r="AA204" s="207">
        <f>AA205+AA207+AA206</f>
        <v>0</v>
      </c>
      <c r="AB204" s="207">
        <f>AB205+AB207+AB206</f>
        <v>0</v>
      </c>
      <c r="AC204" s="88">
        <f t="shared" ref="AC204:AC228" si="87">W204-X204</f>
        <v>-52807.200000000186</v>
      </c>
      <c r="AD204" s="208">
        <f>AD205+AD207+AD206</f>
        <v>552807.19999999995</v>
      </c>
      <c r="AE204" s="208">
        <f>AE205+AE207+AE206</f>
        <v>0</v>
      </c>
      <c r="AF204" s="208">
        <f>AF205+AF207+AF206</f>
        <v>552807.19999999995</v>
      </c>
      <c r="AG204" s="208">
        <f>AF204-AD204</f>
        <v>0</v>
      </c>
      <c r="AH204" s="135"/>
      <c r="AI204" s="202">
        <f>AI205+AI207+AI206</f>
        <v>4772029.9399999995</v>
      </c>
      <c r="AJ204" s="202">
        <f t="shared" ref="AJ204" si="88">AJ205+AJ207+AJ206</f>
        <v>3744255.2</v>
      </c>
      <c r="AK204" s="202">
        <f>AK205+AK207+AK206</f>
        <v>1100000</v>
      </c>
    </row>
    <row r="205" spans="1:37" ht="16.5" thickTop="1" thickBot="1" x14ac:dyDescent="0.25">
      <c r="A205" s="101"/>
      <c r="B205" s="102"/>
      <c r="C205" s="103"/>
      <c r="D205" s="103">
        <v>1</v>
      </c>
      <c r="E205" s="104">
        <v>610301</v>
      </c>
      <c r="F205" s="105" t="s">
        <v>619</v>
      </c>
      <c r="G205" s="108">
        <v>350000</v>
      </c>
      <c r="H205" s="107">
        <v>20000</v>
      </c>
      <c r="I205" s="183">
        <v>20000</v>
      </c>
      <c r="J205" s="108">
        <v>2100000</v>
      </c>
      <c r="K205" s="141">
        <v>11929.81</v>
      </c>
      <c r="L205" s="136">
        <v>0</v>
      </c>
      <c r="M205" s="136">
        <v>0</v>
      </c>
      <c r="N205" s="136">
        <v>2000000</v>
      </c>
      <c r="O205" s="136"/>
      <c r="P205" s="204"/>
      <c r="Q205" s="137">
        <v>0</v>
      </c>
      <c r="R205" s="137">
        <v>0</v>
      </c>
      <c r="S205" s="137">
        <v>0</v>
      </c>
      <c r="T205" s="137">
        <v>0</v>
      </c>
      <c r="U205" s="137">
        <v>0</v>
      </c>
      <c r="V205" s="137">
        <v>50000</v>
      </c>
      <c r="W205" s="119">
        <f>SUM(K205:V205)</f>
        <v>2061929.81</v>
      </c>
      <c r="X205" s="108">
        <f>W205</f>
        <v>2061929.81</v>
      </c>
      <c r="Y205" s="110">
        <v>2411929.81</v>
      </c>
      <c r="Z205" s="111">
        <v>2061929.81</v>
      </c>
      <c r="AA205" s="111">
        <v>0</v>
      </c>
      <c r="AB205" s="111"/>
      <c r="AC205" s="88">
        <f t="shared" si="87"/>
        <v>0</v>
      </c>
      <c r="AD205" s="112">
        <v>500000</v>
      </c>
      <c r="AE205" s="112"/>
      <c r="AF205" s="112">
        <v>500000</v>
      </c>
      <c r="AG205" s="112">
        <f>AF205-AD205</f>
        <v>0</v>
      </c>
      <c r="AH205" s="236">
        <v>1100122</v>
      </c>
      <c r="AI205" s="114">
        <v>2411929.81</v>
      </c>
      <c r="AJ205" s="114">
        <v>748000</v>
      </c>
      <c r="AK205" s="114">
        <v>1000000</v>
      </c>
    </row>
    <row r="206" spans="1:37" ht="16.5" thickTop="1" thickBot="1" x14ac:dyDescent="0.25">
      <c r="A206" s="101"/>
      <c r="B206" s="102"/>
      <c r="C206" s="103"/>
      <c r="D206" s="103">
        <v>2</v>
      </c>
      <c r="E206" s="104">
        <v>610302</v>
      </c>
      <c r="F206" s="105" t="s">
        <v>620</v>
      </c>
      <c r="G206" s="108">
        <v>351465</v>
      </c>
      <c r="H206" s="107">
        <v>100000</v>
      </c>
      <c r="I206" s="107">
        <v>100000</v>
      </c>
      <c r="J206" s="108">
        <v>100000</v>
      </c>
      <c r="K206" s="108">
        <v>0</v>
      </c>
      <c r="L206" s="141">
        <v>21680</v>
      </c>
      <c r="M206" s="136">
        <v>0</v>
      </c>
      <c r="N206" s="136">
        <v>16127.2</v>
      </c>
      <c r="O206" s="136"/>
      <c r="P206" s="204"/>
      <c r="Q206" s="137">
        <v>0</v>
      </c>
      <c r="R206" s="137">
        <v>0</v>
      </c>
      <c r="S206" s="137">
        <v>0</v>
      </c>
      <c r="T206" s="137">
        <v>0</v>
      </c>
      <c r="U206" s="137">
        <v>0</v>
      </c>
      <c r="V206" s="137">
        <v>15000</v>
      </c>
      <c r="W206" s="119">
        <f>SUM(K206:V206)</f>
        <v>52807.199999999997</v>
      </c>
      <c r="X206" s="108">
        <f>W206</f>
        <v>52807.199999999997</v>
      </c>
      <c r="Y206" s="110">
        <v>41857.199999999721</v>
      </c>
      <c r="Z206" s="111">
        <v>52807.199999999997</v>
      </c>
      <c r="AA206" s="111">
        <v>0</v>
      </c>
      <c r="AB206" s="111"/>
      <c r="AC206" s="88">
        <f t="shared" si="87"/>
        <v>0</v>
      </c>
      <c r="AD206" s="112">
        <v>52807.199999999997</v>
      </c>
      <c r="AE206" s="112"/>
      <c r="AF206" s="112">
        <v>52807.199999999997</v>
      </c>
      <c r="AG206" s="112">
        <f>AF206-AD206</f>
        <v>0</v>
      </c>
      <c r="AH206" s="236">
        <v>1100122</v>
      </c>
      <c r="AI206" s="114">
        <v>2360100.13</v>
      </c>
      <c r="AJ206" s="114">
        <v>2996255.2</v>
      </c>
      <c r="AK206" s="114">
        <v>100000</v>
      </c>
    </row>
    <row r="207" spans="1:37" ht="16.5" thickTop="1" thickBot="1" x14ac:dyDescent="0.25">
      <c r="A207" s="101"/>
      <c r="B207" s="102"/>
      <c r="C207" s="103"/>
      <c r="D207" s="103">
        <v>2</v>
      </c>
      <c r="E207" s="104">
        <v>610302</v>
      </c>
      <c r="F207" s="105" t="s">
        <v>621</v>
      </c>
      <c r="G207" s="108">
        <v>4023119</v>
      </c>
      <c r="H207" s="107"/>
      <c r="I207" s="107"/>
      <c r="J207" s="108"/>
      <c r="K207" s="108"/>
      <c r="L207" s="141"/>
      <c r="M207" s="136"/>
      <c r="N207" s="136"/>
      <c r="O207" s="136"/>
      <c r="P207" s="204"/>
      <c r="Q207" s="137"/>
      <c r="R207" s="137"/>
      <c r="S207" s="137"/>
      <c r="T207" s="137"/>
      <c r="U207" s="137"/>
      <c r="V207" s="137"/>
      <c r="W207" s="119"/>
      <c r="X207" s="108"/>
      <c r="Y207" s="110">
        <v>2318242.9300000002</v>
      </c>
      <c r="Z207" s="108"/>
      <c r="AA207" s="108"/>
      <c r="AB207" s="108"/>
      <c r="AC207" s="88">
        <f t="shared" si="87"/>
        <v>0</v>
      </c>
      <c r="AD207" s="108"/>
      <c r="AE207" s="108"/>
      <c r="AF207" s="108"/>
      <c r="AG207" s="108"/>
      <c r="AH207" s="168"/>
      <c r="AI207" s="110"/>
      <c r="AJ207" s="110"/>
      <c r="AK207" s="246"/>
    </row>
    <row r="208" spans="1:37" ht="16.5" thickTop="1" thickBot="1" x14ac:dyDescent="0.25">
      <c r="A208" s="101"/>
      <c r="B208" s="102"/>
      <c r="C208" s="103"/>
      <c r="D208" s="103">
        <v>3</v>
      </c>
      <c r="E208" s="104">
        <v>610303</v>
      </c>
      <c r="F208" s="105" t="s">
        <v>622</v>
      </c>
      <c r="G208" s="108">
        <v>0</v>
      </c>
      <c r="H208" s="107"/>
      <c r="I208" s="107"/>
      <c r="J208" s="106"/>
      <c r="K208" s="106"/>
      <c r="L208" s="106"/>
      <c r="M208" s="108">
        <v>0</v>
      </c>
      <c r="N208" s="108">
        <v>0</v>
      </c>
      <c r="O208" s="108"/>
      <c r="P208" s="108"/>
      <c r="Q208" s="237">
        <v>0</v>
      </c>
      <c r="R208" s="237">
        <v>0</v>
      </c>
      <c r="S208" s="237">
        <v>0</v>
      </c>
      <c r="T208" s="237">
        <v>0</v>
      </c>
      <c r="U208" s="237">
        <v>0</v>
      </c>
      <c r="V208" s="237">
        <v>0</v>
      </c>
      <c r="W208" s="119">
        <f>SUM(K208:V208)</f>
        <v>0</v>
      </c>
      <c r="X208" s="108">
        <f>W208</f>
        <v>0</v>
      </c>
      <c r="Y208" s="110"/>
      <c r="Z208" s="108"/>
      <c r="AA208" s="108"/>
      <c r="AB208" s="108"/>
      <c r="AC208" s="88">
        <f t="shared" si="87"/>
        <v>0</v>
      </c>
      <c r="AD208" s="108"/>
      <c r="AE208" s="108"/>
      <c r="AF208" s="108"/>
      <c r="AG208" s="108"/>
      <c r="AH208" s="113"/>
      <c r="AI208" s="110"/>
      <c r="AJ208" s="110"/>
      <c r="AK208" s="110"/>
    </row>
    <row r="209" spans="1:37" ht="14.25" thickTop="1" thickBot="1" x14ac:dyDescent="0.25">
      <c r="A209" s="127"/>
      <c r="B209" s="128"/>
      <c r="C209" s="129">
        <v>4</v>
      </c>
      <c r="D209" s="129"/>
      <c r="E209" s="129"/>
      <c r="F209" s="130" t="s">
        <v>623</v>
      </c>
      <c r="G209" s="84">
        <f>SUM(G210:G210)</f>
        <v>1340546.07</v>
      </c>
      <c r="H209" s="131">
        <f>SUM(H210:H210)</f>
        <v>2000000</v>
      </c>
      <c r="I209" s="107">
        <f>SUM(I210:I210)</f>
        <v>2000000</v>
      </c>
      <c r="J209" s="108">
        <f>SUM(J210:J210)</f>
        <v>2000000</v>
      </c>
      <c r="K209" s="108">
        <f t="shared" ref="K209:AB209" si="89">SUM(K210:K210)</f>
        <v>111738.69</v>
      </c>
      <c r="L209" s="108">
        <f t="shared" si="89"/>
        <v>59684.26</v>
      </c>
      <c r="M209" s="108">
        <f t="shared" si="89"/>
        <v>83369.740000000005</v>
      </c>
      <c r="N209" s="108">
        <f t="shared" si="89"/>
        <v>87803.199999999997</v>
      </c>
      <c r="O209" s="108">
        <f t="shared" si="89"/>
        <v>22434.18</v>
      </c>
      <c r="P209" s="108">
        <f t="shared" si="89"/>
        <v>48730.07</v>
      </c>
      <c r="Q209" s="108">
        <f t="shared" si="89"/>
        <v>42538.82</v>
      </c>
      <c r="R209" s="108">
        <f t="shared" si="89"/>
        <v>65735</v>
      </c>
      <c r="S209" s="108">
        <f t="shared" si="89"/>
        <v>83651</v>
      </c>
      <c r="T209" s="108">
        <f t="shared" si="89"/>
        <v>94801.19</v>
      </c>
      <c r="U209" s="108">
        <f t="shared" si="89"/>
        <v>58117.54</v>
      </c>
      <c r="V209" s="108">
        <f t="shared" si="89"/>
        <v>34824.35</v>
      </c>
      <c r="W209" s="132">
        <f t="shared" si="89"/>
        <v>793428.03999999992</v>
      </c>
      <c r="X209" s="134">
        <f t="shared" si="89"/>
        <v>793428.03999999992</v>
      </c>
      <c r="Y209" s="133">
        <f t="shared" si="89"/>
        <v>1152702.9099999999</v>
      </c>
      <c r="Z209" s="134">
        <f t="shared" si="89"/>
        <v>793428.04</v>
      </c>
      <c r="AA209" s="134">
        <f t="shared" si="89"/>
        <v>81818.31</v>
      </c>
      <c r="AB209" s="134">
        <f t="shared" si="89"/>
        <v>72746.929999999993</v>
      </c>
      <c r="AC209" s="88">
        <f t="shared" si="87"/>
        <v>0</v>
      </c>
      <c r="AD209" s="132">
        <f>SUM(AD210:AD210)</f>
        <v>793428.04</v>
      </c>
      <c r="AE209" s="132">
        <f>SUM(AE210:AE210)</f>
        <v>384923.39</v>
      </c>
      <c r="AF209" s="132">
        <f>SUM(AF210:AF210)</f>
        <v>1000000</v>
      </c>
      <c r="AG209" s="132">
        <f t="shared" ref="AG209:AG258" si="90">AF209-AD209</f>
        <v>206571.95999999996</v>
      </c>
      <c r="AH209" s="135"/>
      <c r="AI209" s="133">
        <f>SUM(AI210:AI210)</f>
        <v>1152702.9099999999</v>
      </c>
      <c r="AJ209" s="133">
        <f t="shared" ref="AJ209" si="91">SUM(AJ210:AJ210)</f>
        <v>1007406.6055555556</v>
      </c>
      <c r="AK209" s="133">
        <f>SUM(AK210:AK210)</f>
        <v>1047199</v>
      </c>
    </row>
    <row r="210" spans="1:37" ht="16.5" thickTop="1" thickBot="1" x14ac:dyDescent="0.25">
      <c r="A210" s="101"/>
      <c r="B210" s="102"/>
      <c r="C210" s="103"/>
      <c r="D210" s="103">
        <v>1</v>
      </c>
      <c r="E210" s="104">
        <v>610401</v>
      </c>
      <c r="F210" s="105" t="s">
        <v>624</v>
      </c>
      <c r="G210" s="108">
        <v>1340546.07</v>
      </c>
      <c r="H210" s="107">
        <v>2000000</v>
      </c>
      <c r="I210" s="107">
        <v>2000000</v>
      </c>
      <c r="J210" s="108">
        <v>2000000</v>
      </c>
      <c r="K210" s="136">
        <v>111738.69</v>
      </c>
      <c r="L210" s="141">
        <v>59684.26</v>
      </c>
      <c r="M210" s="136">
        <v>83369.740000000005</v>
      </c>
      <c r="N210" s="136">
        <v>87803.199999999997</v>
      </c>
      <c r="O210" s="190">
        <v>22434.18</v>
      </c>
      <c r="P210" s="117">
        <v>48730.07</v>
      </c>
      <c r="Q210" s="137">
        <v>42538.82</v>
      </c>
      <c r="R210" s="137">
        <v>65735</v>
      </c>
      <c r="S210" s="137">
        <v>83651</v>
      </c>
      <c r="T210" s="137">
        <v>94801.19</v>
      </c>
      <c r="U210" s="137">
        <v>58117.54</v>
      </c>
      <c r="V210" s="137">
        <v>34824.35</v>
      </c>
      <c r="W210" s="119">
        <f>SUM(K210:V210)</f>
        <v>793428.03999999992</v>
      </c>
      <c r="X210" s="108">
        <f>W210</f>
        <v>793428.03999999992</v>
      </c>
      <c r="Y210" s="110">
        <v>1152702.9099999999</v>
      </c>
      <c r="Z210" s="111">
        <v>793428.04</v>
      </c>
      <c r="AA210" s="111">
        <v>81818.31</v>
      </c>
      <c r="AB210" s="123">
        <v>72746.929999999993</v>
      </c>
      <c r="AC210" s="88">
        <f t="shared" si="87"/>
        <v>0</v>
      </c>
      <c r="AD210" s="112">
        <v>793428.04</v>
      </c>
      <c r="AE210" s="121">
        <v>384923.39</v>
      </c>
      <c r="AF210" s="112">
        <v>1000000</v>
      </c>
      <c r="AG210" s="112">
        <f t="shared" si="90"/>
        <v>206571.95999999996</v>
      </c>
      <c r="AH210" s="236">
        <v>1100122</v>
      </c>
      <c r="AI210" s="114">
        <v>1152702.9099999999</v>
      </c>
      <c r="AJ210" s="114">
        <v>1007406.6055555556</v>
      </c>
      <c r="AK210" s="114">
        <v>1047199</v>
      </c>
    </row>
    <row r="211" spans="1:37" ht="14.25" thickTop="1" thickBot="1" x14ac:dyDescent="0.25">
      <c r="A211" s="127"/>
      <c r="B211" s="128"/>
      <c r="C211" s="129">
        <v>5</v>
      </c>
      <c r="D211" s="129"/>
      <c r="E211" s="129"/>
      <c r="F211" s="130" t="s">
        <v>625</v>
      </c>
      <c r="G211" s="108">
        <f>G212+G213</f>
        <v>2678698.4299999997</v>
      </c>
      <c r="H211" s="131">
        <f>H212+H213</f>
        <v>3480000</v>
      </c>
      <c r="I211" s="107">
        <f>I212+I213</f>
        <v>3480000</v>
      </c>
      <c r="J211" s="108">
        <f>J212+J213</f>
        <v>3600000</v>
      </c>
      <c r="K211" s="108">
        <f t="shared" ref="K211:AB211" si="92">K212+K213</f>
        <v>28843.74</v>
      </c>
      <c r="L211" s="108">
        <f t="shared" si="92"/>
        <v>2047.93</v>
      </c>
      <c r="M211" s="108">
        <f t="shared" si="92"/>
        <v>97748.82</v>
      </c>
      <c r="N211" s="108">
        <f t="shared" si="92"/>
        <v>61632</v>
      </c>
      <c r="O211" s="108">
        <f t="shared" si="92"/>
        <v>0</v>
      </c>
      <c r="P211" s="108">
        <f t="shared" si="92"/>
        <v>0</v>
      </c>
      <c r="Q211" s="108">
        <f t="shared" si="92"/>
        <v>408638.54125000001</v>
      </c>
      <c r="R211" s="108">
        <f t="shared" si="92"/>
        <v>408638.54125000001</v>
      </c>
      <c r="S211" s="108">
        <f t="shared" si="92"/>
        <v>413793.33624999999</v>
      </c>
      <c r="T211" s="108">
        <f t="shared" si="92"/>
        <v>413793.33624999999</v>
      </c>
      <c r="U211" s="108">
        <f t="shared" si="92"/>
        <v>413793.33624999999</v>
      </c>
      <c r="V211" s="108">
        <f t="shared" si="92"/>
        <v>413793.33624999999</v>
      </c>
      <c r="W211" s="132">
        <f t="shared" si="92"/>
        <v>2662722.91</v>
      </c>
      <c r="X211" s="134">
        <f t="shared" si="92"/>
        <v>2662722.91</v>
      </c>
      <c r="Y211" s="133">
        <f t="shared" si="92"/>
        <v>201465.49</v>
      </c>
      <c r="Z211" s="134">
        <f t="shared" si="92"/>
        <v>2669022.91</v>
      </c>
      <c r="AA211" s="134">
        <f t="shared" si="92"/>
        <v>40521.129999999997</v>
      </c>
      <c r="AB211" s="134">
        <f t="shared" si="92"/>
        <v>101661.51</v>
      </c>
      <c r="AC211" s="88">
        <f t="shared" si="87"/>
        <v>0</v>
      </c>
      <c r="AD211" s="132">
        <f>AD212+AD213</f>
        <v>686300</v>
      </c>
      <c r="AE211" s="132">
        <f>AE212+AE213</f>
        <v>294641.59000000003</v>
      </c>
      <c r="AF211" s="132">
        <f>AF212+AF213</f>
        <v>686300</v>
      </c>
      <c r="AG211" s="132">
        <f t="shared" si="90"/>
        <v>0</v>
      </c>
      <c r="AH211" s="135"/>
      <c r="AI211" s="133">
        <f>AI212+AI213</f>
        <v>201465.49</v>
      </c>
      <c r="AJ211" s="133">
        <f t="shared" ref="AJ211" si="93">AJ212+AJ213</f>
        <v>1042105.79</v>
      </c>
      <c r="AK211" s="133">
        <f>AK212+AK213</f>
        <v>1083268</v>
      </c>
    </row>
    <row r="212" spans="1:37" ht="16.5" thickTop="1" thickBot="1" x14ac:dyDescent="0.25">
      <c r="A212" s="101"/>
      <c r="B212" s="102"/>
      <c r="C212" s="103"/>
      <c r="D212" s="103">
        <v>1</v>
      </c>
      <c r="E212" s="104">
        <v>610501</v>
      </c>
      <c r="F212" s="105" t="s">
        <v>626</v>
      </c>
      <c r="G212" s="108">
        <v>2546328.42</v>
      </c>
      <c r="H212" s="131">
        <v>3300000</v>
      </c>
      <c r="I212" s="107">
        <v>3300000</v>
      </c>
      <c r="J212" s="108">
        <v>3300000</v>
      </c>
      <c r="K212" s="136">
        <v>28843.74</v>
      </c>
      <c r="L212" s="136">
        <v>2047.93</v>
      </c>
      <c r="M212" s="136">
        <v>0</v>
      </c>
      <c r="N212" s="136">
        <v>0</v>
      </c>
      <c r="O212" s="136"/>
      <c r="P212" s="204"/>
      <c r="Q212" s="137">
        <v>408638.54125000001</v>
      </c>
      <c r="R212" s="137">
        <v>408638.54125000001</v>
      </c>
      <c r="S212" s="137">
        <v>408638.54125000001</v>
      </c>
      <c r="T212" s="137">
        <v>408638.54125000001</v>
      </c>
      <c r="U212" s="137">
        <v>408638.54125000001</v>
      </c>
      <c r="V212" s="137">
        <v>408638.54125000001</v>
      </c>
      <c r="W212" s="119">
        <v>2482722.91</v>
      </c>
      <c r="X212" s="108">
        <f>W212</f>
        <v>2482722.91</v>
      </c>
      <c r="Y212" s="110">
        <v>30891.67</v>
      </c>
      <c r="Z212" s="111">
        <v>2482722.91</v>
      </c>
      <c r="AA212" s="111">
        <v>40521.129999999997</v>
      </c>
      <c r="AB212" s="123">
        <v>101661.51</v>
      </c>
      <c r="AC212" s="88">
        <f t="shared" si="87"/>
        <v>0</v>
      </c>
      <c r="AD212" s="112">
        <v>500000</v>
      </c>
      <c r="AE212" s="121">
        <v>294641.59000000003</v>
      </c>
      <c r="AF212" s="112">
        <f>AD212</f>
        <v>500000</v>
      </c>
      <c r="AG212" s="112">
        <f t="shared" si="90"/>
        <v>0</v>
      </c>
      <c r="AH212" s="236">
        <v>1100122</v>
      </c>
      <c r="AI212" s="114">
        <v>30891.67</v>
      </c>
      <c r="AJ212" s="114">
        <v>1030912.79</v>
      </c>
      <c r="AK212" s="114">
        <v>1071633</v>
      </c>
    </row>
    <row r="213" spans="1:37" ht="16.5" thickTop="1" thickBot="1" x14ac:dyDescent="0.25">
      <c r="A213" s="101"/>
      <c r="B213" s="102"/>
      <c r="C213" s="103"/>
      <c r="D213" s="103">
        <v>2</v>
      </c>
      <c r="E213" s="104">
        <v>610502</v>
      </c>
      <c r="F213" s="105" t="s">
        <v>627</v>
      </c>
      <c r="G213" s="108">
        <v>132370.01</v>
      </c>
      <c r="H213" s="131">
        <v>180000</v>
      </c>
      <c r="I213" s="107">
        <v>180000</v>
      </c>
      <c r="J213" s="108">
        <v>300000</v>
      </c>
      <c r="K213" s="136">
        <v>0</v>
      </c>
      <c r="L213" s="141">
        <v>0</v>
      </c>
      <c r="M213" s="136">
        <v>97748.82</v>
      </c>
      <c r="N213" s="247">
        <v>61632</v>
      </c>
      <c r="O213" s="136"/>
      <c r="P213" s="204"/>
      <c r="Q213" s="248">
        <v>0</v>
      </c>
      <c r="R213" s="248">
        <v>0</v>
      </c>
      <c r="S213" s="248">
        <v>5154.7949999999983</v>
      </c>
      <c r="T213" s="248">
        <v>5154.7949999999983</v>
      </c>
      <c r="U213" s="248">
        <v>5154.7949999999983</v>
      </c>
      <c r="V213" s="248">
        <v>5154.7949999999983</v>
      </c>
      <c r="W213" s="119">
        <f>SUM(K213:V213)</f>
        <v>179999.99999999994</v>
      </c>
      <c r="X213" s="108">
        <f>W213</f>
        <v>179999.99999999994</v>
      </c>
      <c r="Y213" s="110">
        <v>170573.82</v>
      </c>
      <c r="Z213" s="111">
        <v>186300</v>
      </c>
      <c r="AA213" s="111">
        <v>0</v>
      </c>
      <c r="AB213" s="123">
        <v>0</v>
      </c>
      <c r="AC213" s="88">
        <f t="shared" si="87"/>
        <v>0</v>
      </c>
      <c r="AD213" s="112">
        <v>186300</v>
      </c>
      <c r="AE213" s="112"/>
      <c r="AF213" s="112">
        <v>186300</v>
      </c>
      <c r="AG213" s="112">
        <f t="shared" si="90"/>
        <v>0</v>
      </c>
      <c r="AH213" s="236">
        <v>1100122</v>
      </c>
      <c r="AI213" s="114">
        <v>170573.82</v>
      </c>
      <c r="AJ213" s="114">
        <v>11193</v>
      </c>
      <c r="AK213" s="114">
        <v>11635</v>
      </c>
    </row>
    <row r="214" spans="1:37" ht="14.25" thickTop="1" thickBot="1" x14ac:dyDescent="0.25">
      <c r="A214" s="127"/>
      <c r="B214" s="128"/>
      <c r="C214" s="129">
        <v>6</v>
      </c>
      <c r="D214" s="129"/>
      <c r="E214" s="129"/>
      <c r="F214" s="130" t="s">
        <v>453</v>
      </c>
      <c r="G214" s="84">
        <f t="shared" ref="G214:Y214" si="94">SUM(G215:G228)</f>
        <v>38460356.57</v>
      </c>
      <c r="H214" s="150">
        <f t="shared" si="94"/>
        <v>37489019</v>
      </c>
      <c r="I214" s="85">
        <f t="shared" si="94"/>
        <v>37489019</v>
      </c>
      <c r="J214" s="84">
        <f t="shared" si="94"/>
        <v>38321000</v>
      </c>
      <c r="K214" s="84">
        <f t="shared" si="94"/>
        <v>3469058.89</v>
      </c>
      <c r="L214" s="84">
        <f t="shared" si="94"/>
        <v>3241195.18</v>
      </c>
      <c r="M214" s="84">
        <f t="shared" si="94"/>
        <v>3286478.31</v>
      </c>
      <c r="N214" s="84">
        <f t="shared" si="94"/>
        <v>1026551.64</v>
      </c>
      <c r="O214" s="84">
        <f t="shared" si="94"/>
        <v>953772.8</v>
      </c>
      <c r="P214" s="84">
        <f t="shared" si="94"/>
        <v>1874794.7</v>
      </c>
      <c r="Q214" s="84">
        <f t="shared" si="94"/>
        <v>1383089.132</v>
      </c>
      <c r="R214" s="84">
        <f t="shared" si="94"/>
        <v>2006611.4839999999</v>
      </c>
      <c r="S214" s="84">
        <f t="shared" si="94"/>
        <v>2980598.4625000004</v>
      </c>
      <c r="T214" s="84">
        <f t="shared" si="94"/>
        <v>3977965.8640000001</v>
      </c>
      <c r="U214" s="84">
        <f t="shared" si="94"/>
        <v>4138582.485499999</v>
      </c>
      <c r="V214" s="84">
        <f t="shared" si="94"/>
        <v>4138555.6619999995</v>
      </c>
      <c r="W214" s="132">
        <f t="shared" si="94"/>
        <v>32477254.600000005</v>
      </c>
      <c r="X214" s="134">
        <f t="shared" si="94"/>
        <v>32477254.600000005</v>
      </c>
      <c r="Y214" s="133">
        <f t="shared" si="94"/>
        <v>29549654.569999997</v>
      </c>
      <c r="Z214" s="134">
        <f>SUM(Z215:Z229)</f>
        <v>38541114.950000003</v>
      </c>
      <c r="AA214" s="134">
        <f>SUM(AA215:AA229)</f>
        <v>2585576.2000000002</v>
      </c>
      <c r="AB214" s="134">
        <f>SUM(AB215:AB229)</f>
        <v>3160354.0099999993</v>
      </c>
      <c r="AC214" s="88">
        <f t="shared" si="87"/>
        <v>0</v>
      </c>
      <c r="AD214" s="132">
        <f>SUM(AD215:AD229)</f>
        <v>37297329.632250004</v>
      </c>
      <c r="AE214" s="132">
        <f>SUM(AE215:AE229)</f>
        <v>13385468.779999999</v>
      </c>
      <c r="AF214" s="132">
        <f>SUM(AF215:AF229)</f>
        <v>39885035.370000005</v>
      </c>
      <c r="AG214" s="132">
        <f t="shared" si="90"/>
        <v>2587705.7377500013</v>
      </c>
      <c r="AH214" s="135"/>
      <c r="AI214" s="133">
        <f>SUM(AI215:AI229)</f>
        <v>29549654.569999997</v>
      </c>
      <c r="AJ214" s="133">
        <f>SUM(AJ215:AJ229)</f>
        <v>39551069.659999996</v>
      </c>
      <c r="AK214" s="133">
        <f>SUM(AK215:AK229)</f>
        <v>42293329</v>
      </c>
    </row>
    <row r="215" spans="1:37" ht="16.5" thickTop="1" thickBot="1" x14ac:dyDescent="0.25">
      <c r="A215" s="101"/>
      <c r="B215" s="102"/>
      <c r="C215" s="103"/>
      <c r="D215" s="103">
        <v>1</v>
      </c>
      <c r="E215" s="104">
        <v>610601</v>
      </c>
      <c r="F215" s="105" t="s">
        <v>628</v>
      </c>
      <c r="G215" s="108">
        <v>26631112.760000002</v>
      </c>
      <c r="H215" s="131">
        <v>24668019</v>
      </c>
      <c r="I215" s="131">
        <v>24668019</v>
      </c>
      <c r="J215" s="97">
        <v>25500000</v>
      </c>
      <c r="K215" s="115">
        <v>2745919.24</v>
      </c>
      <c r="L215" s="145">
        <v>2539343.5499999998</v>
      </c>
      <c r="M215" s="115">
        <v>2497833.58</v>
      </c>
      <c r="N215" s="115">
        <v>731780.08</v>
      </c>
      <c r="O215" s="178">
        <v>635425.18000000005</v>
      </c>
      <c r="P215" s="117">
        <v>1359750.77</v>
      </c>
      <c r="Q215" s="122">
        <v>998279.94499999995</v>
      </c>
      <c r="R215" s="122">
        <v>1485347.4439999999</v>
      </c>
      <c r="S215" s="122">
        <v>2278728.1210000003</v>
      </c>
      <c r="T215" s="122">
        <v>3225023.5290000001</v>
      </c>
      <c r="U215" s="122">
        <v>3404825.0674999999</v>
      </c>
      <c r="V215" s="122">
        <v>3495556.5239999997</v>
      </c>
      <c r="W215" s="119">
        <v>25397813.030000001</v>
      </c>
      <c r="X215" s="108">
        <f t="shared" ref="X215:X228" si="95">W215</f>
        <v>25397813.030000001</v>
      </c>
      <c r="Y215" s="110">
        <v>22809843.75</v>
      </c>
      <c r="Z215" s="111">
        <v>27483308.370000001</v>
      </c>
      <c r="AA215" s="111">
        <v>2110208</v>
      </c>
      <c r="AB215" s="123">
        <v>2223077.5099999998</v>
      </c>
      <c r="AC215" s="88">
        <f t="shared" si="87"/>
        <v>0</v>
      </c>
      <c r="AD215" s="112">
        <f>Z215</f>
        <v>27483308.370000001</v>
      </c>
      <c r="AE215" s="121">
        <v>9339310.0500000007</v>
      </c>
      <c r="AF215" s="112">
        <f>27483308.37+500000</f>
        <v>27983308.370000001</v>
      </c>
      <c r="AG215" s="112">
        <f t="shared" si="90"/>
        <v>500000</v>
      </c>
      <c r="AH215" s="236">
        <v>1100122</v>
      </c>
      <c r="AI215" s="114">
        <v>22809843.75</v>
      </c>
      <c r="AJ215" s="114">
        <v>27284441.57</v>
      </c>
      <c r="AK215" s="114">
        <v>29532173</v>
      </c>
    </row>
    <row r="216" spans="1:37" ht="16.5" thickTop="1" thickBot="1" x14ac:dyDescent="0.25">
      <c r="A216" s="101"/>
      <c r="B216" s="102"/>
      <c r="C216" s="103"/>
      <c r="D216" s="103">
        <v>2</v>
      </c>
      <c r="E216" s="104">
        <v>610602</v>
      </c>
      <c r="F216" s="105" t="s">
        <v>629</v>
      </c>
      <c r="G216" s="108">
        <v>2672936.0499999998</v>
      </c>
      <c r="H216" s="131">
        <v>2700000</v>
      </c>
      <c r="I216" s="131">
        <v>2700000</v>
      </c>
      <c r="J216" s="97">
        <v>2700000</v>
      </c>
      <c r="K216" s="115">
        <v>90763.85</v>
      </c>
      <c r="L216" s="145">
        <v>170534.87</v>
      </c>
      <c r="M216" s="115">
        <v>235648.31</v>
      </c>
      <c r="N216" s="115">
        <v>18862.89</v>
      </c>
      <c r="O216" s="178">
        <v>24396.86</v>
      </c>
      <c r="P216" s="117">
        <v>40054.629999999997</v>
      </c>
      <c r="Q216" s="122">
        <v>100000</v>
      </c>
      <c r="R216" s="122">
        <v>100000</v>
      </c>
      <c r="S216" s="122">
        <v>100000</v>
      </c>
      <c r="T216" s="122">
        <v>100000</v>
      </c>
      <c r="U216" s="122">
        <v>100000</v>
      </c>
      <c r="V216" s="122">
        <v>20000</v>
      </c>
      <c r="W216" s="119">
        <f t="shared" ref="W216:W228" si="96">SUM(K216:V216)</f>
        <v>1100261.4100000001</v>
      </c>
      <c r="X216" s="108">
        <f t="shared" si="95"/>
        <v>1100261.4100000001</v>
      </c>
      <c r="Y216" s="110">
        <v>1109889.5900000001</v>
      </c>
      <c r="Z216" s="111">
        <v>2872936.05</v>
      </c>
      <c r="AA216" s="111">
        <v>33295.339999999997</v>
      </c>
      <c r="AB216" s="123">
        <v>136105.71</v>
      </c>
      <c r="AC216" s="88">
        <f t="shared" si="87"/>
        <v>0</v>
      </c>
      <c r="AD216" s="112">
        <v>2072936.05</v>
      </c>
      <c r="AE216" s="121">
        <v>876530.68</v>
      </c>
      <c r="AF216" s="112">
        <v>2072936.05</v>
      </c>
      <c r="AG216" s="112">
        <f t="shared" si="90"/>
        <v>0</v>
      </c>
      <c r="AH216" s="236">
        <v>1100122</v>
      </c>
      <c r="AI216" s="114">
        <v>1109889.5900000001</v>
      </c>
      <c r="AJ216" s="114">
        <v>4466640.95</v>
      </c>
      <c r="AK216" s="114">
        <v>4643073</v>
      </c>
    </row>
    <row r="217" spans="1:37" ht="16.5" thickTop="1" thickBot="1" x14ac:dyDescent="0.25">
      <c r="A217" s="101"/>
      <c r="B217" s="102"/>
      <c r="C217" s="103"/>
      <c r="D217" s="103">
        <v>3</v>
      </c>
      <c r="E217" s="104">
        <v>610603</v>
      </c>
      <c r="F217" s="105" t="s">
        <v>630</v>
      </c>
      <c r="G217" s="108">
        <v>2244465.52</v>
      </c>
      <c r="H217" s="107">
        <v>2500000</v>
      </c>
      <c r="I217" s="107">
        <v>2500000</v>
      </c>
      <c r="J217" s="108">
        <v>2500000</v>
      </c>
      <c r="K217" s="115">
        <v>121496.62</v>
      </c>
      <c r="L217" s="145">
        <v>105733.01</v>
      </c>
      <c r="M217" s="115">
        <v>89573.28</v>
      </c>
      <c r="N217" s="115">
        <v>66376.320000000007</v>
      </c>
      <c r="O217" s="178">
        <v>50216.639999999999</v>
      </c>
      <c r="P217" s="117">
        <v>46480.800000000003</v>
      </c>
      <c r="Q217" s="122">
        <v>63646.481999999996</v>
      </c>
      <c r="R217" s="122">
        <v>59185.229999999996</v>
      </c>
      <c r="S217" s="122">
        <v>140929.32</v>
      </c>
      <c r="T217" s="122">
        <v>141013.81</v>
      </c>
      <c r="U217" s="122">
        <v>169993.88</v>
      </c>
      <c r="V217" s="122">
        <v>156356.5</v>
      </c>
      <c r="W217" s="119">
        <v>1211001.8899999999</v>
      </c>
      <c r="X217" s="108">
        <f t="shared" si="95"/>
        <v>1211001.8899999999</v>
      </c>
      <c r="Y217" s="110">
        <v>856466.72</v>
      </c>
      <c r="Z217" s="111">
        <v>2149540.2599999998</v>
      </c>
      <c r="AA217" s="111">
        <v>75064.320000000007</v>
      </c>
      <c r="AB217" s="123">
        <v>82961.119999999995</v>
      </c>
      <c r="AC217" s="88">
        <f t="shared" si="87"/>
        <v>0</v>
      </c>
      <c r="AD217" s="112">
        <v>1849540.26</v>
      </c>
      <c r="AE217" s="121">
        <v>381000</v>
      </c>
      <c r="AF217" s="112">
        <v>1849540.26</v>
      </c>
      <c r="AG217" s="112">
        <f t="shared" si="90"/>
        <v>0</v>
      </c>
      <c r="AH217" s="236">
        <v>1100122</v>
      </c>
      <c r="AI217" s="114">
        <v>856466.72</v>
      </c>
      <c r="AJ217" s="114">
        <v>1072897.73</v>
      </c>
      <c r="AK217" s="114">
        <v>1115277</v>
      </c>
    </row>
    <row r="218" spans="1:37" ht="16.5" thickTop="1" thickBot="1" x14ac:dyDescent="0.25">
      <c r="A218" s="101"/>
      <c r="B218" s="102"/>
      <c r="C218" s="103"/>
      <c r="D218" s="103">
        <v>4</v>
      </c>
      <c r="E218" s="104">
        <v>610604</v>
      </c>
      <c r="F218" s="105" t="s">
        <v>631</v>
      </c>
      <c r="G218" s="108">
        <v>422075.72</v>
      </c>
      <c r="H218" s="107">
        <v>450000</v>
      </c>
      <c r="I218" s="107">
        <v>450000</v>
      </c>
      <c r="J218" s="108">
        <v>450000</v>
      </c>
      <c r="K218" s="115">
        <v>28548.11</v>
      </c>
      <c r="L218" s="145">
        <v>5147.6400000000003</v>
      </c>
      <c r="M218" s="115">
        <v>28554.28</v>
      </c>
      <c r="N218" s="115">
        <v>4479.1899999999996</v>
      </c>
      <c r="O218" s="178">
        <v>7676.46</v>
      </c>
      <c r="P218" s="117">
        <v>7659.01</v>
      </c>
      <c r="Q218" s="122">
        <v>6000</v>
      </c>
      <c r="R218" s="122">
        <v>6000</v>
      </c>
      <c r="S218" s="122">
        <v>6000</v>
      </c>
      <c r="T218" s="122">
        <v>6000</v>
      </c>
      <c r="U218" s="122">
        <v>6000</v>
      </c>
      <c r="V218" s="122">
        <v>6000</v>
      </c>
      <c r="W218" s="119">
        <f t="shared" si="96"/>
        <v>118064.69</v>
      </c>
      <c r="X218" s="108">
        <f t="shared" si="95"/>
        <v>118064.69</v>
      </c>
      <c r="Y218" s="110">
        <v>140076.75</v>
      </c>
      <c r="Z218" s="111">
        <v>140000</v>
      </c>
      <c r="AA218" s="111">
        <v>9937.83</v>
      </c>
      <c r="AB218" s="123">
        <v>10482.51</v>
      </c>
      <c r="AC218" s="88">
        <f t="shared" si="87"/>
        <v>0</v>
      </c>
      <c r="AD218" s="108">
        <v>222075.72</v>
      </c>
      <c r="AE218" s="121">
        <v>63957.18</v>
      </c>
      <c r="AF218" s="108">
        <v>222075.72</v>
      </c>
      <c r="AG218" s="108">
        <f t="shared" si="90"/>
        <v>0</v>
      </c>
      <c r="AH218" s="236">
        <v>1100122</v>
      </c>
      <c r="AI218" s="114">
        <v>140076.75</v>
      </c>
      <c r="AJ218" s="114">
        <v>301301.96000000002</v>
      </c>
      <c r="AK218" s="114">
        <v>313203</v>
      </c>
    </row>
    <row r="219" spans="1:37" ht="16.5" thickTop="1" thickBot="1" x14ac:dyDescent="0.25">
      <c r="A219" s="101"/>
      <c r="B219" s="102"/>
      <c r="C219" s="103"/>
      <c r="D219" s="103">
        <v>5</v>
      </c>
      <c r="E219" s="104">
        <v>610605</v>
      </c>
      <c r="F219" s="105" t="s">
        <v>632</v>
      </c>
      <c r="G219" s="108">
        <v>421085.08</v>
      </c>
      <c r="H219" s="107">
        <v>480000</v>
      </c>
      <c r="I219" s="107">
        <v>480000</v>
      </c>
      <c r="J219" s="108">
        <v>480000</v>
      </c>
      <c r="K219" s="115">
        <v>65892.83</v>
      </c>
      <c r="L219" s="145">
        <v>27735.64</v>
      </c>
      <c r="M219" s="115">
        <v>39595.25</v>
      </c>
      <c r="N219" s="115">
        <v>12141.1</v>
      </c>
      <c r="O219" s="178">
        <v>35619.599999999999</v>
      </c>
      <c r="P219" s="117">
        <v>36603.74</v>
      </c>
      <c r="Q219" s="122">
        <v>20000</v>
      </c>
      <c r="R219" s="122">
        <v>20000</v>
      </c>
      <c r="S219" s="122">
        <v>20000</v>
      </c>
      <c r="T219" s="122">
        <v>20000</v>
      </c>
      <c r="U219" s="122">
        <v>22151.34</v>
      </c>
      <c r="V219" s="122">
        <v>20782.099999999999</v>
      </c>
      <c r="W219" s="119">
        <f t="shared" si="96"/>
        <v>340521.60000000003</v>
      </c>
      <c r="X219" s="108">
        <f t="shared" si="95"/>
        <v>340521.60000000003</v>
      </c>
      <c r="Y219" s="110">
        <v>648796.35</v>
      </c>
      <c r="Z219" s="111">
        <v>600000</v>
      </c>
      <c r="AA219" s="111">
        <v>74438.87</v>
      </c>
      <c r="AB219" s="123">
        <v>137074.84</v>
      </c>
      <c r="AC219" s="88">
        <f t="shared" si="87"/>
        <v>0</v>
      </c>
      <c r="AD219" s="112">
        <f>Y219*1.035</f>
        <v>671504.22224999988</v>
      </c>
      <c r="AE219" s="121">
        <v>376208.14</v>
      </c>
      <c r="AF219" s="112">
        <v>1000000</v>
      </c>
      <c r="AG219" s="112">
        <f t="shared" si="90"/>
        <v>328495.77775000012</v>
      </c>
      <c r="AH219" s="236">
        <v>1100122</v>
      </c>
      <c r="AI219" s="114">
        <v>648796.35</v>
      </c>
      <c r="AJ219" s="114">
        <v>907853.58</v>
      </c>
      <c r="AK219" s="114">
        <v>943713</v>
      </c>
    </row>
    <row r="220" spans="1:37" ht="16.5" thickTop="1" thickBot="1" x14ac:dyDescent="0.25">
      <c r="A220" s="101"/>
      <c r="B220" s="102"/>
      <c r="C220" s="103"/>
      <c r="D220" s="103">
        <v>6</v>
      </c>
      <c r="E220" s="104">
        <v>610606</v>
      </c>
      <c r="F220" s="105" t="s">
        <v>633</v>
      </c>
      <c r="G220" s="108">
        <v>745790.04</v>
      </c>
      <c r="H220" s="107">
        <v>760000</v>
      </c>
      <c r="I220" s="107">
        <v>760000</v>
      </c>
      <c r="J220" s="108">
        <v>760000</v>
      </c>
      <c r="K220" s="115">
        <v>56451.08</v>
      </c>
      <c r="L220" s="145">
        <v>29978.959999999999</v>
      </c>
      <c r="M220" s="115">
        <v>27559.53</v>
      </c>
      <c r="N220" s="115">
        <v>27056.720000000001</v>
      </c>
      <c r="O220" s="178">
        <v>10712.31</v>
      </c>
      <c r="P220" s="117">
        <v>87235.11</v>
      </c>
      <c r="Q220" s="122">
        <v>19458.47</v>
      </c>
      <c r="R220" s="122">
        <v>26381.41</v>
      </c>
      <c r="S220" s="122">
        <v>31107.439999999999</v>
      </c>
      <c r="T220" s="122">
        <v>73735.320000000007</v>
      </c>
      <c r="U220" s="122">
        <v>61174.98</v>
      </c>
      <c r="V220" s="122">
        <v>36371.17</v>
      </c>
      <c r="W220" s="119">
        <f t="shared" si="96"/>
        <v>487222.5</v>
      </c>
      <c r="X220" s="108">
        <f t="shared" si="95"/>
        <v>487222.5</v>
      </c>
      <c r="Y220" s="110">
        <v>511905.24</v>
      </c>
      <c r="Z220" s="111">
        <v>504275.29</v>
      </c>
      <c r="AA220" s="111">
        <v>55856.79</v>
      </c>
      <c r="AB220" s="123">
        <v>274532.09999999998</v>
      </c>
      <c r="AC220" s="88">
        <f t="shared" si="87"/>
        <v>0</v>
      </c>
      <c r="AD220" s="112">
        <f>G220</f>
        <v>745790.04</v>
      </c>
      <c r="AE220" s="121">
        <v>587687.82999999996</v>
      </c>
      <c r="AF220" s="112">
        <v>1300000</v>
      </c>
      <c r="AG220" s="112">
        <f t="shared" si="90"/>
        <v>554209.96</v>
      </c>
      <c r="AH220" s="236">
        <v>1100122</v>
      </c>
      <c r="AI220" s="114">
        <v>511905.24</v>
      </c>
      <c r="AJ220" s="114">
        <v>1236127.08</v>
      </c>
      <c r="AK220" s="114">
        <v>1284954</v>
      </c>
    </row>
    <row r="221" spans="1:37" ht="16.5" thickTop="1" thickBot="1" x14ac:dyDescent="0.25">
      <c r="A221" s="101"/>
      <c r="B221" s="102"/>
      <c r="C221" s="103"/>
      <c r="D221" s="103">
        <v>7</v>
      </c>
      <c r="E221" s="104">
        <v>610607</v>
      </c>
      <c r="F221" s="105" t="s">
        <v>634</v>
      </c>
      <c r="G221" s="108">
        <v>2221213.39</v>
      </c>
      <c r="H221" s="107">
        <v>2200000</v>
      </c>
      <c r="I221" s="107">
        <v>2200000</v>
      </c>
      <c r="J221" s="108">
        <v>2200000</v>
      </c>
      <c r="K221" s="115">
        <v>173703.1</v>
      </c>
      <c r="L221" s="186">
        <v>157321.04</v>
      </c>
      <c r="M221" s="115">
        <v>169128.95</v>
      </c>
      <c r="N221" s="115">
        <v>113152.19</v>
      </c>
      <c r="O221" s="178">
        <v>103179.25</v>
      </c>
      <c r="P221" s="117">
        <v>150323.49</v>
      </c>
      <c r="Q221" s="122">
        <v>98411.735000000001</v>
      </c>
      <c r="R221" s="122">
        <v>139612.26999999999</v>
      </c>
      <c r="S221" s="122">
        <v>190496.63149999999</v>
      </c>
      <c r="T221" s="122">
        <v>242496.55500000002</v>
      </c>
      <c r="U221" s="122">
        <v>217862.34799999997</v>
      </c>
      <c r="V221" s="122">
        <v>231347.20799999998</v>
      </c>
      <c r="W221" s="119">
        <v>1987034.76</v>
      </c>
      <c r="X221" s="108">
        <f t="shared" si="95"/>
        <v>1987034.76</v>
      </c>
      <c r="Y221" s="110">
        <v>1805326.4</v>
      </c>
      <c r="Z221" s="111">
        <v>2292292.2200000002</v>
      </c>
      <c r="AA221" s="111">
        <v>120614.67</v>
      </c>
      <c r="AB221" s="123">
        <v>116194.84</v>
      </c>
      <c r="AC221" s="88">
        <f t="shared" si="87"/>
        <v>0</v>
      </c>
      <c r="AD221" s="112">
        <f>Y221</f>
        <v>1805326.4</v>
      </c>
      <c r="AE221" s="121">
        <v>486259.97</v>
      </c>
      <c r="AF221" s="112">
        <v>1805326.4</v>
      </c>
      <c r="AG221" s="112">
        <f t="shared" si="90"/>
        <v>0</v>
      </c>
      <c r="AH221" s="236">
        <v>1100122</v>
      </c>
      <c r="AI221" s="114">
        <v>1805326.4</v>
      </c>
      <c r="AJ221" s="114">
        <v>1631065.42</v>
      </c>
      <c r="AK221" s="114">
        <v>1695492</v>
      </c>
    </row>
    <row r="222" spans="1:37" ht="16.5" thickTop="1" thickBot="1" x14ac:dyDescent="0.25">
      <c r="A222" s="101"/>
      <c r="B222" s="102"/>
      <c r="C222" s="103"/>
      <c r="D222" s="103">
        <v>8</v>
      </c>
      <c r="E222" s="104">
        <v>610608</v>
      </c>
      <c r="F222" s="105" t="s">
        <v>635</v>
      </c>
      <c r="G222" s="108">
        <v>789897.2</v>
      </c>
      <c r="H222" s="107">
        <v>850000</v>
      </c>
      <c r="I222" s="107">
        <v>850000</v>
      </c>
      <c r="J222" s="108">
        <v>850000</v>
      </c>
      <c r="K222" s="115">
        <v>46381.07</v>
      </c>
      <c r="L222" s="145">
        <v>59688.44</v>
      </c>
      <c r="M222" s="115">
        <v>37153.97</v>
      </c>
      <c r="N222" s="115">
        <v>15265.77</v>
      </c>
      <c r="O222" s="178">
        <v>25710.5</v>
      </c>
      <c r="P222" s="117">
        <v>19505.22</v>
      </c>
      <c r="Q222" s="122">
        <v>30000</v>
      </c>
      <c r="R222" s="122">
        <v>37000</v>
      </c>
      <c r="S222" s="122">
        <v>37000</v>
      </c>
      <c r="T222" s="122">
        <v>37000</v>
      </c>
      <c r="U222" s="122">
        <v>37000</v>
      </c>
      <c r="V222" s="122">
        <v>37000</v>
      </c>
      <c r="W222" s="119">
        <f t="shared" si="96"/>
        <v>418704.97</v>
      </c>
      <c r="X222" s="108">
        <f t="shared" si="95"/>
        <v>418704.97</v>
      </c>
      <c r="Y222" s="110">
        <v>401451.85</v>
      </c>
      <c r="Z222" s="111">
        <v>800897.2</v>
      </c>
      <c r="AA222" s="111">
        <v>17759.810000000001</v>
      </c>
      <c r="AB222" s="123">
        <v>30651.99</v>
      </c>
      <c r="AC222" s="88">
        <f t="shared" si="87"/>
        <v>0</v>
      </c>
      <c r="AD222" s="112">
        <v>800897.2</v>
      </c>
      <c r="AE222" s="121">
        <v>173885.62</v>
      </c>
      <c r="AF222" s="112">
        <v>800897.2</v>
      </c>
      <c r="AG222" s="112">
        <f t="shared" si="90"/>
        <v>0</v>
      </c>
      <c r="AH222" s="236">
        <v>1100122</v>
      </c>
      <c r="AI222" s="114">
        <v>401451.85</v>
      </c>
      <c r="AJ222" s="114">
        <v>617140.22999999986</v>
      </c>
      <c r="AK222" s="114">
        <v>641517</v>
      </c>
    </row>
    <row r="223" spans="1:37" ht="16.5" thickTop="1" thickBot="1" x14ac:dyDescent="0.25">
      <c r="A223" s="101"/>
      <c r="B223" s="102"/>
      <c r="C223" s="103"/>
      <c r="D223" s="103">
        <v>9</v>
      </c>
      <c r="E223" s="104">
        <v>610609</v>
      </c>
      <c r="F223" s="105" t="s">
        <v>636</v>
      </c>
      <c r="G223" s="108">
        <v>800225.13</v>
      </c>
      <c r="H223" s="107">
        <v>1000000</v>
      </c>
      <c r="I223" s="107">
        <v>1000000</v>
      </c>
      <c r="J223" s="108">
        <v>1000000</v>
      </c>
      <c r="K223" s="115">
        <v>49295.77</v>
      </c>
      <c r="L223" s="145">
        <v>28258.91</v>
      </c>
      <c r="M223" s="115">
        <v>30837.54</v>
      </c>
      <c r="N223" s="115">
        <v>17144.88</v>
      </c>
      <c r="O223" s="178">
        <v>38270.639999999999</v>
      </c>
      <c r="P223" s="117">
        <v>78819.44</v>
      </c>
      <c r="Q223" s="122">
        <v>25000</v>
      </c>
      <c r="R223" s="122">
        <v>45832</v>
      </c>
      <c r="S223" s="122">
        <v>77928.72</v>
      </c>
      <c r="T223" s="122">
        <v>34128.239999999998</v>
      </c>
      <c r="U223" s="122">
        <v>21002.05</v>
      </c>
      <c r="V223" s="122">
        <v>27252.86</v>
      </c>
      <c r="W223" s="119">
        <f t="shared" si="96"/>
        <v>473771.05</v>
      </c>
      <c r="X223" s="108">
        <f t="shared" si="95"/>
        <v>473771.05</v>
      </c>
      <c r="Y223" s="110">
        <v>395502.7</v>
      </c>
      <c r="Z223" s="111">
        <v>473771.05</v>
      </c>
      <c r="AA223" s="111">
        <v>49798.16</v>
      </c>
      <c r="AB223" s="123">
        <v>60612.800000000003</v>
      </c>
      <c r="AC223" s="88">
        <f t="shared" si="87"/>
        <v>0</v>
      </c>
      <c r="AD223" s="112">
        <v>473771.05</v>
      </c>
      <c r="AE223" s="121">
        <v>737726.64</v>
      </c>
      <c r="AF223" s="112">
        <f>AD223+1000000</f>
        <v>1473771.05</v>
      </c>
      <c r="AG223" s="112">
        <f t="shared" si="90"/>
        <v>1000000</v>
      </c>
      <c r="AH223" s="236">
        <v>1100122</v>
      </c>
      <c r="AI223" s="114">
        <v>395502.7</v>
      </c>
      <c r="AJ223" s="114">
        <v>1120137.7799999998</v>
      </c>
      <c r="AK223" s="114">
        <v>1164383</v>
      </c>
    </row>
    <row r="224" spans="1:37" ht="16.5" thickTop="1" thickBot="1" x14ac:dyDescent="0.25">
      <c r="A224" s="101"/>
      <c r="B224" s="102"/>
      <c r="C224" s="103"/>
      <c r="D224" s="103">
        <v>10</v>
      </c>
      <c r="E224" s="104">
        <v>610610</v>
      </c>
      <c r="F224" s="105" t="s">
        <v>637</v>
      </c>
      <c r="G224" s="108">
        <v>1188021.54</v>
      </c>
      <c r="H224" s="107">
        <v>1500000</v>
      </c>
      <c r="I224" s="107">
        <v>1500000</v>
      </c>
      <c r="J224" s="108">
        <v>1500000</v>
      </c>
      <c r="K224" s="115">
        <v>84631.11</v>
      </c>
      <c r="L224" s="145">
        <v>97303.08</v>
      </c>
      <c r="M224" s="115">
        <v>107544.5</v>
      </c>
      <c r="N224" s="115">
        <v>19670.48</v>
      </c>
      <c r="O224" s="178">
        <v>20274.52</v>
      </c>
      <c r="P224" s="117">
        <v>44153.88</v>
      </c>
      <c r="Q224" s="122">
        <v>19670.48</v>
      </c>
      <c r="R224" s="122">
        <v>84631.11</v>
      </c>
      <c r="S224" s="122">
        <v>84631.11</v>
      </c>
      <c r="T224" s="122">
        <v>84631.11</v>
      </c>
      <c r="U224" s="122">
        <v>84631.11</v>
      </c>
      <c r="V224" s="122">
        <v>84631.11</v>
      </c>
      <c r="W224" s="119">
        <f t="shared" si="96"/>
        <v>816403.6</v>
      </c>
      <c r="X224" s="108">
        <f t="shared" si="95"/>
        <v>816403.6</v>
      </c>
      <c r="Y224" s="110">
        <v>738686.31</v>
      </c>
      <c r="Z224" s="111">
        <v>1037180.32</v>
      </c>
      <c r="AA224" s="111">
        <v>33578.980000000003</v>
      </c>
      <c r="AB224" s="123">
        <v>44504.3</v>
      </c>
      <c r="AC224" s="88">
        <f t="shared" si="87"/>
        <v>0</v>
      </c>
      <c r="AD224" s="112">
        <v>1037180.32</v>
      </c>
      <c r="AE224" s="121">
        <v>228507.44</v>
      </c>
      <c r="AF224" s="112">
        <v>1037180.32</v>
      </c>
      <c r="AG224" s="112">
        <f t="shared" si="90"/>
        <v>0</v>
      </c>
      <c r="AH224" s="236">
        <v>1100122</v>
      </c>
      <c r="AI224" s="114">
        <v>738686.31</v>
      </c>
      <c r="AJ224" s="114">
        <v>602317.67999999993</v>
      </c>
      <c r="AK224" s="114">
        <v>626109</v>
      </c>
    </row>
    <row r="225" spans="1:37" ht="15.75" customHeight="1" thickTop="1" thickBot="1" x14ac:dyDescent="0.25">
      <c r="A225" s="101"/>
      <c r="B225" s="102"/>
      <c r="C225" s="103"/>
      <c r="D225" s="103">
        <v>11</v>
      </c>
      <c r="E225" s="104">
        <v>610611</v>
      </c>
      <c r="F225" s="105" t="s">
        <v>638</v>
      </c>
      <c r="G225" s="108">
        <v>79737.53</v>
      </c>
      <c r="H225" s="107">
        <v>80000</v>
      </c>
      <c r="I225" s="107">
        <v>80000</v>
      </c>
      <c r="J225" s="108">
        <v>80000</v>
      </c>
      <c r="K225" s="136">
        <v>4835.8</v>
      </c>
      <c r="L225" s="136">
        <v>17862.37</v>
      </c>
      <c r="M225" s="136">
        <v>18083.96</v>
      </c>
      <c r="N225" s="136">
        <v>622.02</v>
      </c>
      <c r="O225" s="136"/>
      <c r="P225" s="117">
        <v>0</v>
      </c>
      <c r="Q225" s="137">
        <v>622.02</v>
      </c>
      <c r="R225" s="137">
        <v>622.02</v>
      </c>
      <c r="S225" s="137">
        <v>8745.1</v>
      </c>
      <c r="T225" s="137">
        <v>4052.88</v>
      </c>
      <c r="U225" s="137">
        <v>9462.8799999999992</v>
      </c>
      <c r="V225" s="137">
        <v>9631.86</v>
      </c>
      <c r="W225" s="119">
        <f t="shared" si="96"/>
        <v>74540.909999999974</v>
      </c>
      <c r="X225" s="108">
        <f t="shared" si="95"/>
        <v>74540.909999999974</v>
      </c>
      <c r="Y225" s="110">
        <v>62138.239999999998</v>
      </c>
      <c r="Z225" s="111">
        <v>95000</v>
      </c>
      <c r="AA225" s="111">
        <v>0</v>
      </c>
      <c r="AB225" s="123">
        <v>41034.49</v>
      </c>
      <c r="AC225" s="88">
        <f t="shared" si="87"/>
        <v>0</v>
      </c>
      <c r="AD225" s="112">
        <v>95000</v>
      </c>
      <c r="AE225" s="121">
        <v>116937.29</v>
      </c>
      <c r="AF225" s="112">
        <v>300000</v>
      </c>
      <c r="AG225" s="112">
        <f t="shared" si="90"/>
        <v>205000</v>
      </c>
      <c r="AH225" s="236">
        <v>1100122</v>
      </c>
      <c r="AI225" s="114">
        <v>62138.239999999998</v>
      </c>
      <c r="AJ225" s="114">
        <v>311145.68</v>
      </c>
      <c r="AK225" s="114">
        <v>323435</v>
      </c>
    </row>
    <row r="226" spans="1:37" ht="15.75" thickTop="1" thickBot="1" x14ac:dyDescent="0.25">
      <c r="A226" s="101"/>
      <c r="B226" s="102"/>
      <c r="C226" s="103"/>
      <c r="D226" s="103">
        <v>12</v>
      </c>
      <c r="E226" s="104">
        <v>610612</v>
      </c>
      <c r="F226" s="105" t="s">
        <v>639</v>
      </c>
      <c r="G226" s="108">
        <v>0</v>
      </c>
      <c r="H226" s="107">
        <v>1000</v>
      </c>
      <c r="I226" s="107">
        <v>1000</v>
      </c>
      <c r="J226" s="108">
        <v>1000</v>
      </c>
      <c r="K226" s="136">
        <v>0</v>
      </c>
      <c r="L226" s="136">
        <v>0</v>
      </c>
      <c r="M226" s="136">
        <v>0</v>
      </c>
      <c r="N226" s="136">
        <v>0</v>
      </c>
      <c r="O226" s="136"/>
      <c r="P226" s="117">
        <v>0</v>
      </c>
      <c r="Q226" s="136">
        <v>0</v>
      </c>
      <c r="R226" s="136">
        <v>0</v>
      </c>
      <c r="S226" s="136">
        <v>0</v>
      </c>
      <c r="T226" s="136">
        <v>0</v>
      </c>
      <c r="U226" s="136">
        <v>0</v>
      </c>
      <c r="V226" s="136">
        <v>0</v>
      </c>
      <c r="W226" s="107">
        <f t="shared" si="96"/>
        <v>0</v>
      </c>
      <c r="X226" s="108">
        <f t="shared" si="95"/>
        <v>0</v>
      </c>
      <c r="Y226" s="110"/>
      <c r="Z226" s="108"/>
      <c r="AA226" s="108"/>
      <c r="AB226" s="108"/>
      <c r="AC226" s="88">
        <f t="shared" si="87"/>
        <v>0</v>
      </c>
      <c r="AD226" s="108"/>
      <c r="AE226" s="108"/>
      <c r="AF226" s="108"/>
      <c r="AG226" s="108">
        <f t="shared" si="90"/>
        <v>0</v>
      </c>
      <c r="AH226" s="236"/>
      <c r="AI226" s="110"/>
      <c r="AJ226" s="110"/>
      <c r="AK226" s="110"/>
    </row>
    <row r="227" spans="1:37" s="249" customFormat="1" ht="14.25" customHeight="1" thickTop="1" thickBot="1" x14ac:dyDescent="0.25">
      <c r="A227" s="101"/>
      <c r="B227" s="102"/>
      <c r="C227" s="103"/>
      <c r="D227" s="103">
        <v>13</v>
      </c>
      <c r="E227" s="104">
        <v>610613</v>
      </c>
      <c r="F227" s="105" t="s">
        <v>640</v>
      </c>
      <c r="G227" s="108">
        <v>72116.3</v>
      </c>
      <c r="H227" s="107">
        <v>100000</v>
      </c>
      <c r="I227" s="107">
        <v>100000</v>
      </c>
      <c r="J227" s="108">
        <v>100000</v>
      </c>
      <c r="K227" s="136">
        <v>1140.31</v>
      </c>
      <c r="L227" s="136">
        <v>2287.67</v>
      </c>
      <c r="M227" s="136">
        <v>4965.16</v>
      </c>
      <c r="N227" s="136">
        <v>0</v>
      </c>
      <c r="O227" s="190">
        <v>2290.84</v>
      </c>
      <c r="P227" s="117">
        <v>4208.6099999999997</v>
      </c>
      <c r="Q227" s="137">
        <v>2000</v>
      </c>
      <c r="R227" s="137">
        <v>2000</v>
      </c>
      <c r="S227" s="137">
        <v>5032.0200000000004</v>
      </c>
      <c r="T227" s="137">
        <v>760.1</v>
      </c>
      <c r="U227" s="137">
        <v>2174.09</v>
      </c>
      <c r="V227" s="137">
        <v>1415.19</v>
      </c>
      <c r="W227" s="119">
        <f t="shared" si="96"/>
        <v>28273.989999999998</v>
      </c>
      <c r="X227" s="108">
        <f t="shared" si="95"/>
        <v>28273.989999999998</v>
      </c>
      <c r="Y227" s="110">
        <v>69570.67</v>
      </c>
      <c r="Z227" s="143">
        <v>28273.99</v>
      </c>
      <c r="AA227" s="143">
        <v>5023.43</v>
      </c>
      <c r="AB227" s="218">
        <v>3121.8</v>
      </c>
      <c r="AC227" s="88">
        <f t="shared" si="87"/>
        <v>0</v>
      </c>
      <c r="AD227" s="112">
        <v>0</v>
      </c>
      <c r="AE227" s="238">
        <v>17457.939999999999</v>
      </c>
      <c r="AF227" s="112">
        <v>0</v>
      </c>
      <c r="AG227" s="112">
        <f t="shared" si="90"/>
        <v>0</v>
      </c>
      <c r="AH227" s="236">
        <v>1100122</v>
      </c>
      <c r="AI227" s="114">
        <v>69570.67</v>
      </c>
      <c r="AJ227" s="114">
        <v>0</v>
      </c>
      <c r="AK227" s="114">
        <v>0</v>
      </c>
    </row>
    <row r="228" spans="1:37" s="249" customFormat="1" ht="18.75" customHeight="1" thickTop="1" thickBot="1" x14ac:dyDescent="0.25">
      <c r="A228" s="101"/>
      <c r="B228" s="102"/>
      <c r="C228" s="103"/>
      <c r="D228" s="103">
        <v>14</v>
      </c>
      <c r="E228" s="104">
        <v>610614</v>
      </c>
      <c r="F228" s="105" t="s">
        <v>641</v>
      </c>
      <c r="G228" s="108">
        <v>171680.31</v>
      </c>
      <c r="H228" s="107">
        <v>200000</v>
      </c>
      <c r="I228" s="107">
        <v>200000</v>
      </c>
      <c r="J228" s="108">
        <v>200000</v>
      </c>
      <c r="K228" s="136">
        <v>0</v>
      </c>
      <c r="L228" s="141">
        <v>0</v>
      </c>
      <c r="M228" s="136">
        <v>0</v>
      </c>
      <c r="N228" s="247">
        <v>0</v>
      </c>
      <c r="O228" s="136"/>
      <c r="P228" s="117">
        <v>0</v>
      </c>
      <c r="Q228" s="248">
        <v>0</v>
      </c>
      <c r="R228" s="248">
        <v>0</v>
      </c>
      <c r="S228" s="248">
        <v>0</v>
      </c>
      <c r="T228" s="248">
        <v>9124.32</v>
      </c>
      <c r="U228" s="248">
        <v>2304.7399999999998</v>
      </c>
      <c r="V228" s="248">
        <v>12211.14</v>
      </c>
      <c r="W228" s="119">
        <f t="shared" si="96"/>
        <v>23640.199999999997</v>
      </c>
      <c r="X228" s="108">
        <f t="shared" si="95"/>
        <v>23640.199999999997</v>
      </c>
      <c r="Y228" s="110"/>
      <c r="Z228" s="143">
        <v>23640.2</v>
      </c>
      <c r="AA228" s="143">
        <v>0</v>
      </c>
      <c r="AB228" s="143"/>
      <c r="AC228" s="88">
        <f t="shared" si="87"/>
        <v>0</v>
      </c>
      <c r="AD228" s="112">
        <v>0</v>
      </c>
      <c r="AE228" s="112"/>
      <c r="AF228" s="112"/>
      <c r="AG228" s="112">
        <f t="shared" si="90"/>
        <v>0</v>
      </c>
      <c r="AH228" s="236">
        <v>1100122</v>
      </c>
      <c r="AI228" s="110"/>
      <c r="AJ228" s="110"/>
      <c r="AK228" s="110"/>
    </row>
    <row r="229" spans="1:37" ht="15.75" customHeight="1" thickTop="1" thickBot="1" x14ac:dyDescent="0.25">
      <c r="A229" s="101"/>
      <c r="B229" s="102"/>
      <c r="C229" s="103"/>
      <c r="D229" s="103">
        <v>15</v>
      </c>
      <c r="E229" s="104">
        <v>610615</v>
      </c>
      <c r="F229" s="105" t="s">
        <v>642</v>
      </c>
      <c r="G229" s="108"/>
      <c r="H229" s="107"/>
      <c r="I229" s="107"/>
      <c r="J229" s="108"/>
      <c r="K229" s="136"/>
      <c r="L229" s="141"/>
      <c r="M229" s="136"/>
      <c r="N229" s="211"/>
      <c r="O229" s="136"/>
      <c r="P229" s="117"/>
      <c r="Q229" s="212"/>
      <c r="R229" s="212"/>
      <c r="S229" s="212"/>
      <c r="T229" s="212"/>
      <c r="U229" s="212"/>
      <c r="V229" s="212"/>
      <c r="W229" s="119"/>
      <c r="X229" s="108"/>
      <c r="Y229" s="110"/>
      <c r="Z229" s="143">
        <v>40000</v>
      </c>
      <c r="AA229" s="143">
        <v>0</v>
      </c>
      <c r="AB229" s="143"/>
      <c r="AC229" s="88"/>
      <c r="AD229" s="112">
        <v>40000</v>
      </c>
      <c r="AE229" s="112"/>
      <c r="AF229" s="112">
        <v>40000</v>
      </c>
      <c r="AG229" s="112">
        <f t="shared" si="90"/>
        <v>0</v>
      </c>
      <c r="AH229" s="236">
        <v>1100122</v>
      </c>
      <c r="AI229" s="114">
        <v>0</v>
      </c>
      <c r="AJ229" s="114">
        <v>0</v>
      </c>
      <c r="AK229" s="114">
        <v>10000</v>
      </c>
    </row>
    <row r="230" spans="1:37" ht="14.25" thickTop="1" thickBot="1" x14ac:dyDescent="0.25">
      <c r="A230" s="127"/>
      <c r="B230" s="128"/>
      <c r="C230" s="129">
        <v>7</v>
      </c>
      <c r="D230" s="129"/>
      <c r="E230" s="129"/>
      <c r="F230" s="130" t="s">
        <v>643</v>
      </c>
      <c r="G230" s="84">
        <f>SUM(G231:G239)</f>
        <v>37970759.159999996</v>
      </c>
      <c r="H230" s="84">
        <f>SUM(H231:H239)</f>
        <v>34570978</v>
      </c>
      <c r="I230" s="84">
        <f>SUM(I231:I239)</f>
        <v>38182831.879999995</v>
      </c>
      <c r="J230" s="84">
        <f>SUM(J231:J239)</f>
        <v>38182831.879999995</v>
      </c>
      <c r="K230" s="84">
        <f t="shared" ref="K230:AB230" si="97">SUM(K231:K239)</f>
        <v>3398057.21</v>
      </c>
      <c r="L230" s="84">
        <f t="shared" si="97"/>
        <v>2488813.0099999998</v>
      </c>
      <c r="M230" s="84">
        <f t="shared" si="97"/>
        <v>2176958.9400000004</v>
      </c>
      <c r="N230" s="84">
        <f>SUM(N231:N239)</f>
        <v>813618.70000000007</v>
      </c>
      <c r="O230" s="84">
        <f>SUM(O231:O239)</f>
        <v>455245.36000000004</v>
      </c>
      <c r="P230" s="84">
        <f>SUM(P231:P239)</f>
        <v>1450175.08</v>
      </c>
      <c r="Q230" s="84">
        <f t="shared" si="97"/>
        <v>1267694.4528571428</v>
      </c>
      <c r="R230" s="84">
        <f t="shared" si="97"/>
        <v>1860750.6208571428</v>
      </c>
      <c r="S230" s="84">
        <f t="shared" si="97"/>
        <v>2610160.8708571428</v>
      </c>
      <c r="T230" s="84">
        <f t="shared" si="97"/>
        <v>3093544.3308571433</v>
      </c>
      <c r="U230" s="84">
        <f t="shared" si="97"/>
        <v>3182033.550857143</v>
      </c>
      <c r="V230" s="84">
        <f t="shared" si="97"/>
        <v>3449732.320857143</v>
      </c>
      <c r="W230" s="132">
        <f t="shared" si="97"/>
        <v>26246784.440000001</v>
      </c>
      <c r="X230" s="132">
        <f t="shared" si="97"/>
        <v>26246784.440000001</v>
      </c>
      <c r="Y230" s="133">
        <f t="shared" si="97"/>
        <v>26693007</v>
      </c>
      <c r="Z230" s="134">
        <f>SUM(Z231:Z239)</f>
        <v>29051516.870000001</v>
      </c>
      <c r="AA230" s="134">
        <f t="shared" si="97"/>
        <v>2567236.5499999998</v>
      </c>
      <c r="AB230" s="134">
        <f t="shared" si="97"/>
        <v>2317333.25</v>
      </c>
      <c r="AC230" s="88">
        <f t="shared" ref="AC230:AC239" si="98">W230-X230</f>
        <v>0</v>
      </c>
      <c r="AD230" s="132">
        <f>SUM(AD231:AD240)</f>
        <v>28844567.030000001</v>
      </c>
      <c r="AE230" s="132">
        <f>SUM(AE231:AE240)</f>
        <v>10867125.810000001</v>
      </c>
      <c r="AF230" s="132">
        <f>SUM(AF231:AF240)</f>
        <v>29349988.350000001</v>
      </c>
      <c r="AG230" s="132">
        <f t="shared" si="90"/>
        <v>505421.3200000003</v>
      </c>
      <c r="AH230" s="135"/>
      <c r="AI230" s="133">
        <f>SUM(AI231:AI240)</f>
        <v>26693007</v>
      </c>
      <c r="AJ230" s="133">
        <f>SUM(AJ231:AJ240)</f>
        <v>29977724.529999997</v>
      </c>
      <c r="AK230" s="133">
        <f>SUM(AK231:AK240)</f>
        <v>21422230</v>
      </c>
    </row>
    <row r="231" spans="1:37" ht="16.5" thickTop="1" thickBot="1" x14ac:dyDescent="0.25">
      <c r="A231" s="101"/>
      <c r="B231" s="102"/>
      <c r="C231" s="103"/>
      <c r="D231" s="103">
        <v>1</v>
      </c>
      <c r="E231" s="104">
        <v>610701</v>
      </c>
      <c r="F231" s="105" t="s">
        <v>644</v>
      </c>
      <c r="G231" s="108">
        <v>6542130.7400000002</v>
      </c>
      <c r="H231" s="107">
        <v>1500000</v>
      </c>
      <c r="I231" s="183">
        <v>2952578.6799999997</v>
      </c>
      <c r="J231" s="108">
        <f>1500000+1452578.68</f>
        <v>2952578.6799999997</v>
      </c>
      <c r="K231" s="250">
        <v>265731.45</v>
      </c>
      <c r="L231" s="136">
        <v>100955.73</v>
      </c>
      <c r="M231" s="136">
        <v>12950.03</v>
      </c>
      <c r="N231" s="136">
        <v>586272.05000000005</v>
      </c>
      <c r="O231" s="190">
        <v>360626.84</v>
      </c>
      <c r="P231" s="117">
        <v>296646.08</v>
      </c>
      <c r="Q231" s="137">
        <v>292578.68</v>
      </c>
      <c r="R231" s="137">
        <v>222818.14799999996</v>
      </c>
      <c r="S231" s="137">
        <v>222818.14799999996</v>
      </c>
      <c r="T231" s="137">
        <v>222818.14799999996</v>
      </c>
      <c r="U231" s="137">
        <v>222818.14799999996</v>
      </c>
      <c r="V231" s="137">
        <v>222818.14799999996</v>
      </c>
      <c r="W231" s="119">
        <f t="shared" ref="W231:W239" si="99">SUM(K231:V231)</f>
        <v>3029851.6</v>
      </c>
      <c r="X231" s="108">
        <f t="shared" ref="X231:X239" si="100">W231</f>
        <v>3029851.6</v>
      </c>
      <c r="Y231" s="110">
        <v>2522901.7599999998</v>
      </c>
      <c r="Z231" s="111">
        <v>3029851.6</v>
      </c>
      <c r="AA231" s="111">
        <v>15168.03</v>
      </c>
      <c r="AB231" s="123">
        <v>13750.7</v>
      </c>
      <c r="AC231" s="88">
        <f t="shared" si="98"/>
        <v>0</v>
      </c>
      <c r="AD231" s="112">
        <f>Y231</f>
        <v>2522901.7599999998</v>
      </c>
      <c r="AE231" s="121">
        <v>159123.06</v>
      </c>
      <c r="AF231" s="112">
        <f>AD231-1452578.68</f>
        <v>1070323.0799999998</v>
      </c>
      <c r="AG231" s="112">
        <f t="shared" si="90"/>
        <v>-1452578.68</v>
      </c>
      <c r="AH231" s="236">
        <v>1100122</v>
      </c>
      <c r="AI231" s="114">
        <v>2522901.7599999998</v>
      </c>
      <c r="AJ231" s="114">
        <v>1494592.3199999998</v>
      </c>
      <c r="AK231" s="114">
        <v>1000000</v>
      </c>
    </row>
    <row r="232" spans="1:37" ht="16.5" thickTop="1" thickBot="1" x14ac:dyDescent="0.25">
      <c r="A232" s="101"/>
      <c r="B232" s="102"/>
      <c r="C232" s="103"/>
      <c r="D232" s="103">
        <v>2</v>
      </c>
      <c r="E232" s="104">
        <v>610702</v>
      </c>
      <c r="F232" s="105" t="s">
        <v>645</v>
      </c>
      <c r="G232" s="108">
        <v>13138.38</v>
      </c>
      <c r="H232" s="107">
        <v>20000</v>
      </c>
      <c r="I232" s="107">
        <v>20000</v>
      </c>
      <c r="J232" s="108">
        <v>20000</v>
      </c>
      <c r="K232" s="108">
        <v>0</v>
      </c>
      <c r="L232" s="136">
        <v>0</v>
      </c>
      <c r="M232" s="136">
        <v>0</v>
      </c>
      <c r="N232" s="136">
        <v>0</v>
      </c>
      <c r="O232" s="136"/>
      <c r="P232" s="117">
        <v>0</v>
      </c>
      <c r="Q232" s="137">
        <v>0</v>
      </c>
      <c r="R232" s="137">
        <v>0</v>
      </c>
      <c r="S232" s="137">
        <v>0</v>
      </c>
      <c r="T232" s="137">
        <v>0</v>
      </c>
      <c r="U232" s="137">
        <v>10000</v>
      </c>
      <c r="V232" s="137">
        <v>10000</v>
      </c>
      <c r="W232" s="119">
        <f t="shared" si="99"/>
        <v>20000</v>
      </c>
      <c r="X232" s="108">
        <f t="shared" si="100"/>
        <v>20000</v>
      </c>
      <c r="Y232" s="110"/>
      <c r="Z232" s="143">
        <v>20000</v>
      </c>
      <c r="AA232" s="143">
        <v>0</v>
      </c>
      <c r="AB232" s="123">
        <v>757.31</v>
      </c>
      <c r="AC232" s="88">
        <f t="shared" si="98"/>
        <v>0</v>
      </c>
      <c r="AD232" s="112">
        <v>0</v>
      </c>
      <c r="AE232" s="121">
        <v>757.31</v>
      </c>
      <c r="AF232" s="112">
        <v>2000</v>
      </c>
      <c r="AG232" s="112">
        <f t="shared" si="90"/>
        <v>2000</v>
      </c>
      <c r="AH232" s="236">
        <v>1100122</v>
      </c>
      <c r="AI232" s="114">
        <v>0</v>
      </c>
      <c r="AJ232" s="114">
        <v>0</v>
      </c>
      <c r="AK232" s="114">
        <v>2000</v>
      </c>
    </row>
    <row r="233" spans="1:37" ht="16.5" thickTop="1" thickBot="1" x14ac:dyDescent="0.25">
      <c r="A233" s="101"/>
      <c r="B233" s="102"/>
      <c r="C233" s="103"/>
      <c r="D233" s="103">
        <v>3</v>
      </c>
      <c r="E233" s="104">
        <v>610703</v>
      </c>
      <c r="F233" s="105" t="s">
        <v>646</v>
      </c>
      <c r="G233" s="108">
        <v>14276.91</v>
      </c>
      <c r="H233" s="107">
        <v>15000</v>
      </c>
      <c r="I233" s="107">
        <v>15000</v>
      </c>
      <c r="J233" s="108">
        <v>15000</v>
      </c>
      <c r="K233" s="136">
        <v>2027.76</v>
      </c>
      <c r="L233" s="136">
        <v>521.28</v>
      </c>
      <c r="M233" s="136">
        <v>1077.32</v>
      </c>
      <c r="N233" s="136">
        <v>676.65</v>
      </c>
      <c r="O233" s="190">
        <v>347.52</v>
      </c>
      <c r="P233" s="117">
        <v>0</v>
      </c>
      <c r="Q233" s="137">
        <v>350</v>
      </c>
      <c r="R233" s="137">
        <v>400</v>
      </c>
      <c r="S233" s="137">
        <v>1187.3</v>
      </c>
      <c r="T233" s="137">
        <v>1182.8599999999999</v>
      </c>
      <c r="U233" s="137">
        <v>168.98</v>
      </c>
      <c r="V233" s="137">
        <v>1737.6</v>
      </c>
      <c r="W233" s="119">
        <f t="shared" si="99"/>
        <v>9677.2699999999986</v>
      </c>
      <c r="X233" s="108">
        <f t="shared" si="100"/>
        <v>9677.2699999999986</v>
      </c>
      <c r="Y233" s="110">
        <v>7411.41</v>
      </c>
      <c r="Z233" s="111">
        <v>9677.27</v>
      </c>
      <c r="AA233" s="111">
        <v>347.52</v>
      </c>
      <c r="AB233" s="123">
        <v>179.24</v>
      </c>
      <c r="AC233" s="88">
        <f t="shared" si="98"/>
        <v>0</v>
      </c>
      <c r="AD233" s="112">
        <v>9677.27</v>
      </c>
      <c r="AE233" s="121">
        <v>1960.44</v>
      </c>
      <c r="AF233" s="112">
        <v>9677.27</v>
      </c>
      <c r="AG233" s="112">
        <f t="shared" si="90"/>
        <v>0</v>
      </c>
      <c r="AH233" s="236">
        <v>1100122</v>
      </c>
      <c r="AI233" s="114">
        <v>7411.41</v>
      </c>
      <c r="AJ233" s="114">
        <v>4556.8999999999996</v>
      </c>
      <c r="AK233" s="114">
        <v>7411</v>
      </c>
    </row>
    <row r="234" spans="1:37" ht="16.5" thickTop="1" thickBot="1" x14ac:dyDescent="0.25">
      <c r="A234" s="101"/>
      <c r="B234" s="102"/>
      <c r="C234" s="103"/>
      <c r="D234" s="103">
        <v>4</v>
      </c>
      <c r="E234" s="104">
        <v>610704</v>
      </c>
      <c r="F234" s="105" t="s">
        <v>647</v>
      </c>
      <c r="G234" s="108">
        <v>22777654</v>
      </c>
      <c r="H234" s="107">
        <f>22333878+1000000</f>
        <v>23333878</v>
      </c>
      <c r="I234" s="107">
        <f>22333878+1000000</f>
        <v>23333878</v>
      </c>
      <c r="J234" s="108">
        <f>22333878+1000000</f>
        <v>23333878</v>
      </c>
      <c r="K234" s="136">
        <v>2565148</v>
      </c>
      <c r="L234" s="141">
        <v>1838258</v>
      </c>
      <c r="M234" s="136">
        <v>1643260</v>
      </c>
      <c r="N234" s="136">
        <v>0</v>
      </c>
      <c r="O234" s="190">
        <v>60971</v>
      </c>
      <c r="P234" s="117">
        <v>805879</v>
      </c>
      <c r="Q234" s="137">
        <v>761944</v>
      </c>
      <c r="R234" s="137">
        <v>1424710.7</v>
      </c>
      <c r="S234" s="137">
        <v>1581547.65</v>
      </c>
      <c r="T234" s="137">
        <v>2039069.55</v>
      </c>
      <c r="U234" s="137">
        <v>2184368.65</v>
      </c>
      <c r="V234" s="137">
        <v>2737312.8</v>
      </c>
      <c r="W234" s="119">
        <f t="shared" si="99"/>
        <v>17642469.350000001</v>
      </c>
      <c r="X234" s="108">
        <f t="shared" si="100"/>
        <v>17642469.350000001</v>
      </c>
      <c r="Y234" s="110">
        <v>17548408</v>
      </c>
      <c r="Z234" s="111">
        <v>18250004</v>
      </c>
      <c r="AA234" s="111">
        <v>2109187</v>
      </c>
      <c r="AB234" s="123">
        <v>1806676</v>
      </c>
      <c r="AC234" s="88">
        <f t="shared" si="98"/>
        <v>0</v>
      </c>
      <c r="AD234" s="112">
        <v>18250004</v>
      </c>
      <c r="AE234" s="121">
        <v>8402459</v>
      </c>
      <c r="AF234" s="112">
        <f>AD234+3000000</f>
        <v>21250004</v>
      </c>
      <c r="AG234" s="112">
        <f t="shared" si="90"/>
        <v>3000000</v>
      </c>
      <c r="AH234" s="236">
        <v>1100122</v>
      </c>
      <c r="AI234" s="114">
        <v>17548408</v>
      </c>
      <c r="AJ234" s="114">
        <v>21650532</v>
      </c>
      <c r="AK234" s="114">
        <v>13128341</v>
      </c>
    </row>
    <row r="235" spans="1:37" ht="16.5" thickTop="1" thickBot="1" x14ac:dyDescent="0.25">
      <c r="A235" s="101"/>
      <c r="B235" s="102"/>
      <c r="C235" s="103"/>
      <c r="D235" s="103">
        <v>5</v>
      </c>
      <c r="E235" s="104">
        <v>610705</v>
      </c>
      <c r="F235" s="105" t="s">
        <v>648</v>
      </c>
      <c r="G235" s="108">
        <v>1487543.13</v>
      </c>
      <c r="H235" s="107">
        <v>1800000</v>
      </c>
      <c r="I235" s="107">
        <v>3959275.2</v>
      </c>
      <c r="J235" s="108">
        <f>1800000+2159275.2</f>
        <v>3959275.2</v>
      </c>
      <c r="K235" s="136">
        <v>11400</v>
      </c>
      <c r="L235" s="136">
        <v>0</v>
      </c>
      <c r="M235" s="136">
        <v>72177.59</v>
      </c>
      <c r="N235" s="136">
        <v>226670</v>
      </c>
      <c r="O235" s="190">
        <v>33300</v>
      </c>
      <c r="P235" s="117">
        <v>347650</v>
      </c>
      <c r="Q235" s="137">
        <v>212821.77285714287</v>
      </c>
      <c r="R235" s="137">
        <v>212821.77285714287</v>
      </c>
      <c r="S235" s="137">
        <v>212821.77285714287</v>
      </c>
      <c r="T235" s="137">
        <v>212821.77285714287</v>
      </c>
      <c r="U235" s="137">
        <v>212821.77285714287</v>
      </c>
      <c r="V235" s="137">
        <v>212821.77285714287</v>
      </c>
      <c r="W235" s="119">
        <v>1968128.22</v>
      </c>
      <c r="X235" s="108">
        <f t="shared" si="100"/>
        <v>1968128.22</v>
      </c>
      <c r="Y235" s="110">
        <v>2962197.83</v>
      </c>
      <c r="Z235" s="111">
        <v>1968128.22</v>
      </c>
      <c r="AA235" s="111">
        <v>21200</v>
      </c>
      <c r="AB235" s="123">
        <v>0</v>
      </c>
      <c r="AC235" s="88">
        <f t="shared" si="98"/>
        <v>0</v>
      </c>
      <c r="AD235" s="112">
        <v>2268128.2200000002</v>
      </c>
      <c r="AE235" s="121">
        <v>272930</v>
      </c>
      <c r="AF235" s="112">
        <f>AD235-1544000</f>
        <v>724128.2200000002</v>
      </c>
      <c r="AG235" s="112">
        <f t="shared" si="90"/>
        <v>-1544000</v>
      </c>
      <c r="AH235" s="236">
        <v>1100122</v>
      </c>
      <c r="AI235" s="114">
        <v>2962197.83</v>
      </c>
      <c r="AJ235" s="114">
        <v>310230</v>
      </c>
      <c r="AK235" s="114">
        <v>500000</v>
      </c>
    </row>
    <row r="236" spans="1:37" ht="16.5" thickTop="1" thickBot="1" x14ac:dyDescent="0.25">
      <c r="A236" s="101"/>
      <c r="B236" s="102"/>
      <c r="C236" s="103"/>
      <c r="D236" s="103">
        <v>6</v>
      </c>
      <c r="E236" s="104">
        <v>610706</v>
      </c>
      <c r="F236" s="105" t="s">
        <v>649</v>
      </c>
      <c r="G236" s="108">
        <v>5530720</v>
      </c>
      <c r="H236" s="107">
        <v>6000000</v>
      </c>
      <c r="I236" s="107">
        <v>6000000</v>
      </c>
      <c r="J236" s="108">
        <v>6000000</v>
      </c>
      <c r="K236" s="136">
        <v>429520</v>
      </c>
      <c r="L236" s="136">
        <v>428740</v>
      </c>
      <c r="M236" s="136">
        <v>347360</v>
      </c>
      <c r="N236" s="136">
        <v>0</v>
      </c>
      <c r="O236" s="136">
        <v>0</v>
      </c>
      <c r="P236" s="117">
        <v>0</v>
      </c>
      <c r="Q236" s="136">
        <v>0</v>
      </c>
      <c r="R236" s="136">
        <v>0</v>
      </c>
      <c r="S236" s="137">
        <v>457080</v>
      </c>
      <c r="T236" s="137">
        <v>477100</v>
      </c>
      <c r="U236" s="137">
        <v>426140</v>
      </c>
      <c r="V236" s="137">
        <v>204880</v>
      </c>
      <c r="W236" s="119">
        <f t="shared" si="99"/>
        <v>2770820</v>
      </c>
      <c r="X236" s="108">
        <f t="shared" si="100"/>
        <v>2770820</v>
      </c>
      <c r="Y236" s="110">
        <v>2831140</v>
      </c>
      <c r="Z236" s="111">
        <v>4439172</v>
      </c>
      <c r="AA236" s="111">
        <v>326560</v>
      </c>
      <c r="AB236" s="123">
        <v>383760</v>
      </c>
      <c r="AC236" s="88">
        <f t="shared" si="98"/>
        <v>0</v>
      </c>
      <c r="AD236" s="112">
        <v>4439172</v>
      </c>
      <c r="AE236" s="121">
        <v>1571440</v>
      </c>
      <c r="AF236" s="112">
        <f>AD236+500000</f>
        <v>4939172</v>
      </c>
      <c r="AG236" s="112">
        <f t="shared" si="90"/>
        <v>500000</v>
      </c>
      <c r="AH236" s="236">
        <v>1100122</v>
      </c>
      <c r="AI236" s="114">
        <v>2831140</v>
      </c>
      <c r="AJ236" s="114">
        <v>5039060</v>
      </c>
      <c r="AK236" s="114">
        <v>5238102</v>
      </c>
    </row>
    <row r="237" spans="1:37" ht="16.5" thickTop="1" thickBot="1" x14ac:dyDescent="0.25">
      <c r="A237" s="101"/>
      <c r="B237" s="102"/>
      <c r="C237" s="103"/>
      <c r="D237" s="103">
        <v>7</v>
      </c>
      <c r="E237" s="104">
        <v>610707</v>
      </c>
      <c r="F237" s="105" t="s">
        <v>650</v>
      </c>
      <c r="G237" s="108">
        <v>1273980</v>
      </c>
      <c r="H237" s="107">
        <v>1500000</v>
      </c>
      <c r="I237" s="107">
        <v>1500000</v>
      </c>
      <c r="J237" s="108">
        <v>1500000</v>
      </c>
      <c r="K237" s="136">
        <v>98280</v>
      </c>
      <c r="L237" s="136">
        <v>93300</v>
      </c>
      <c r="M237" s="136">
        <v>77280</v>
      </c>
      <c r="N237" s="136">
        <v>0</v>
      </c>
      <c r="O237" s="136">
        <v>0</v>
      </c>
      <c r="P237" s="117">
        <v>0</v>
      </c>
      <c r="Q237" s="136">
        <v>0</v>
      </c>
      <c r="R237" s="136">
        <v>0</v>
      </c>
      <c r="S237" s="137">
        <v>105360</v>
      </c>
      <c r="T237" s="137">
        <v>110040</v>
      </c>
      <c r="U237" s="137">
        <v>98340</v>
      </c>
      <c r="V237" s="137">
        <v>47280</v>
      </c>
      <c r="W237" s="119">
        <f t="shared" si="99"/>
        <v>629880</v>
      </c>
      <c r="X237" s="108">
        <f t="shared" si="100"/>
        <v>629880</v>
      </c>
      <c r="Y237" s="110">
        <v>642578</v>
      </c>
      <c r="Z237" s="111">
        <v>1034372</v>
      </c>
      <c r="AA237" s="111">
        <v>75360</v>
      </c>
      <c r="AB237" s="123">
        <v>88560</v>
      </c>
      <c r="AC237" s="88">
        <f t="shared" si="98"/>
        <v>0</v>
      </c>
      <c r="AD237" s="112">
        <v>1034372</v>
      </c>
      <c r="AE237" s="121">
        <v>362640</v>
      </c>
      <c r="AF237" s="112">
        <v>1034372</v>
      </c>
      <c r="AG237" s="112">
        <f t="shared" si="90"/>
        <v>0</v>
      </c>
      <c r="AH237" s="236">
        <v>1100122</v>
      </c>
      <c r="AI237" s="114">
        <v>642578</v>
      </c>
      <c r="AJ237" s="114">
        <v>1162920</v>
      </c>
      <c r="AK237" s="114">
        <v>1208855</v>
      </c>
    </row>
    <row r="238" spans="1:37" ht="16.5" thickTop="1" thickBot="1" x14ac:dyDescent="0.25">
      <c r="A238" s="101"/>
      <c r="B238" s="102"/>
      <c r="C238" s="103"/>
      <c r="D238" s="103">
        <v>8</v>
      </c>
      <c r="E238" s="104">
        <v>610708</v>
      </c>
      <c r="F238" s="105" t="s">
        <v>651</v>
      </c>
      <c r="G238" s="108">
        <v>328976</v>
      </c>
      <c r="H238" s="131">
        <v>400000</v>
      </c>
      <c r="I238" s="131">
        <v>400000</v>
      </c>
      <c r="J238" s="97">
        <v>400000</v>
      </c>
      <c r="K238" s="115">
        <v>25690</v>
      </c>
      <c r="L238" s="145">
        <v>27038</v>
      </c>
      <c r="M238" s="115">
        <v>22334</v>
      </c>
      <c r="N238" s="115">
        <v>0</v>
      </c>
      <c r="O238" s="115">
        <v>0</v>
      </c>
      <c r="P238" s="117">
        <v>0</v>
      </c>
      <c r="Q238" s="115">
        <v>0</v>
      </c>
      <c r="R238" s="115">
        <v>0</v>
      </c>
      <c r="S238" s="122">
        <v>28306</v>
      </c>
      <c r="T238" s="122">
        <v>29992</v>
      </c>
      <c r="U238" s="122">
        <v>26856</v>
      </c>
      <c r="V238" s="122">
        <v>12622</v>
      </c>
      <c r="W238" s="119">
        <f t="shared" si="99"/>
        <v>172838</v>
      </c>
      <c r="X238" s="108">
        <f t="shared" si="100"/>
        <v>172838</v>
      </c>
      <c r="Y238" s="110">
        <v>172390</v>
      </c>
      <c r="Z238" s="111">
        <v>280640.78000000003</v>
      </c>
      <c r="AA238" s="111">
        <v>18894</v>
      </c>
      <c r="AB238" s="123">
        <v>22350</v>
      </c>
      <c r="AC238" s="88">
        <f t="shared" si="98"/>
        <v>0</v>
      </c>
      <c r="AD238" s="112">
        <v>280640.78000000003</v>
      </c>
      <c r="AE238" s="121">
        <v>91916</v>
      </c>
      <c r="AF238" s="112">
        <v>280640.78000000003</v>
      </c>
      <c r="AG238" s="112">
        <f t="shared" si="90"/>
        <v>0</v>
      </c>
      <c r="AH238" s="236">
        <v>1100122</v>
      </c>
      <c r="AI238" s="114">
        <v>172390</v>
      </c>
      <c r="AJ238" s="114">
        <v>300516</v>
      </c>
      <c r="AK238" s="114">
        <v>312386</v>
      </c>
    </row>
    <row r="239" spans="1:37" ht="16.5" thickTop="1" thickBot="1" x14ac:dyDescent="0.25">
      <c r="A239" s="101"/>
      <c r="B239" s="102"/>
      <c r="C239" s="103"/>
      <c r="D239" s="103">
        <v>9</v>
      </c>
      <c r="E239" s="104">
        <v>610709</v>
      </c>
      <c r="F239" s="105" t="s">
        <v>652</v>
      </c>
      <c r="G239" s="108">
        <v>2340</v>
      </c>
      <c r="H239" s="131">
        <v>2100</v>
      </c>
      <c r="I239" s="131">
        <v>2100</v>
      </c>
      <c r="J239" s="97">
        <v>2100</v>
      </c>
      <c r="K239" s="115">
        <v>260</v>
      </c>
      <c r="L239" s="186">
        <v>0</v>
      </c>
      <c r="M239" s="115">
        <v>520</v>
      </c>
      <c r="N239" s="251">
        <v>0</v>
      </c>
      <c r="O239" s="115">
        <v>0</v>
      </c>
      <c r="P239" s="117">
        <v>0</v>
      </c>
      <c r="Q239" s="252">
        <v>0</v>
      </c>
      <c r="R239" s="252">
        <v>0</v>
      </c>
      <c r="S239" s="253">
        <v>1040</v>
      </c>
      <c r="T239" s="253">
        <v>520</v>
      </c>
      <c r="U239" s="253">
        <v>520</v>
      </c>
      <c r="V239" s="253">
        <v>260</v>
      </c>
      <c r="W239" s="119">
        <f t="shared" si="99"/>
        <v>3120</v>
      </c>
      <c r="X239" s="108">
        <f t="shared" si="100"/>
        <v>3120</v>
      </c>
      <c r="Y239" s="110">
        <v>5980</v>
      </c>
      <c r="Z239" s="111">
        <v>19671</v>
      </c>
      <c r="AA239" s="111">
        <v>520</v>
      </c>
      <c r="AB239" s="123">
        <v>1300</v>
      </c>
      <c r="AC239" s="88">
        <f t="shared" si="98"/>
        <v>0</v>
      </c>
      <c r="AD239" s="112">
        <v>19671</v>
      </c>
      <c r="AE239" s="121">
        <v>3900</v>
      </c>
      <c r="AF239" s="112">
        <v>19671</v>
      </c>
      <c r="AG239" s="112">
        <f t="shared" si="90"/>
        <v>0</v>
      </c>
      <c r="AH239" s="236">
        <v>1100122</v>
      </c>
      <c r="AI239" s="114">
        <v>5980</v>
      </c>
      <c r="AJ239" s="114">
        <v>14560</v>
      </c>
      <c r="AK239" s="114">
        <v>15135</v>
      </c>
    </row>
    <row r="240" spans="1:37" ht="16.5" thickTop="1" thickBot="1" x14ac:dyDescent="0.25">
      <c r="A240" s="101"/>
      <c r="B240" s="102"/>
      <c r="C240" s="103"/>
      <c r="D240" s="103"/>
      <c r="E240" s="189">
        <v>610801</v>
      </c>
      <c r="F240" s="105" t="s">
        <v>645</v>
      </c>
      <c r="G240" s="108"/>
      <c r="H240" s="131"/>
      <c r="I240" s="131"/>
      <c r="J240" s="97"/>
      <c r="K240" s="115"/>
      <c r="L240" s="186"/>
      <c r="M240" s="115"/>
      <c r="N240" s="184"/>
      <c r="O240" s="115"/>
      <c r="P240" s="117"/>
      <c r="Q240" s="184"/>
      <c r="R240" s="184"/>
      <c r="S240" s="254"/>
      <c r="T240" s="254"/>
      <c r="U240" s="254"/>
      <c r="V240" s="254"/>
      <c r="W240" s="119"/>
      <c r="X240" s="108"/>
      <c r="Y240" s="110"/>
      <c r="Z240" s="187"/>
      <c r="AA240" s="187"/>
      <c r="AB240" s="184"/>
      <c r="AC240" s="88"/>
      <c r="AD240" s="112">
        <v>20000</v>
      </c>
      <c r="AE240" s="112"/>
      <c r="AF240" s="112">
        <v>20000</v>
      </c>
      <c r="AG240" s="112">
        <f t="shared" si="90"/>
        <v>0</v>
      </c>
      <c r="AH240" s="236">
        <v>1100122</v>
      </c>
      <c r="AI240" s="114">
        <v>0</v>
      </c>
      <c r="AJ240" s="114">
        <v>757.31</v>
      </c>
      <c r="AK240" s="114">
        <v>10000</v>
      </c>
    </row>
    <row r="241" spans="1:37" ht="14.25" thickTop="1" thickBot="1" x14ac:dyDescent="0.25">
      <c r="A241" s="174"/>
      <c r="B241" s="82" t="s">
        <v>461</v>
      </c>
      <c r="C241" s="175"/>
      <c r="D241" s="175"/>
      <c r="E241" s="175"/>
      <c r="F241" s="176" t="s">
        <v>653</v>
      </c>
      <c r="G241" s="84">
        <f>G242+G245</f>
        <v>1184198.6099999999</v>
      </c>
      <c r="H241" s="85">
        <f>H242+H245</f>
        <v>920000</v>
      </c>
      <c r="I241" s="85">
        <f>I242+I245+I248</f>
        <v>970000</v>
      </c>
      <c r="J241" s="84">
        <f>J242+J245+J248</f>
        <v>1030000</v>
      </c>
      <c r="K241" s="84">
        <f t="shared" ref="K241:V241" si="101">K242+K245</f>
        <v>118274.53</v>
      </c>
      <c r="L241" s="84">
        <f t="shared" si="101"/>
        <v>85847.569999999992</v>
      </c>
      <c r="M241" s="84">
        <f t="shared" si="101"/>
        <v>97936.76999999999</v>
      </c>
      <c r="N241" s="84">
        <f t="shared" si="101"/>
        <v>28391.65</v>
      </c>
      <c r="O241" s="84">
        <f t="shared" si="101"/>
        <v>26604.690000000002</v>
      </c>
      <c r="P241" s="84">
        <f t="shared" si="101"/>
        <v>59147.38</v>
      </c>
      <c r="Q241" s="84">
        <f t="shared" si="101"/>
        <v>27700</v>
      </c>
      <c r="R241" s="84">
        <f t="shared" si="101"/>
        <v>52000</v>
      </c>
      <c r="S241" s="84">
        <f t="shared" si="101"/>
        <v>116545.82</v>
      </c>
      <c r="T241" s="84">
        <f t="shared" si="101"/>
        <v>131959.57999999999</v>
      </c>
      <c r="U241" s="84">
        <f t="shared" si="101"/>
        <v>96206.86</v>
      </c>
      <c r="V241" s="84">
        <f t="shared" si="101"/>
        <v>130194.53</v>
      </c>
      <c r="W241" s="86">
        <f t="shared" ref="W241:AB241" si="102">W242+W245+W248</f>
        <v>1010809.38</v>
      </c>
      <c r="X241" s="86">
        <f t="shared" si="102"/>
        <v>1010809.38</v>
      </c>
      <c r="Y241" s="87">
        <f t="shared" si="102"/>
        <v>1190131.3999999999</v>
      </c>
      <c r="Z241" s="86">
        <f t="shared" si="102"/>
        <v>1128029.22</v>
      </c>
      <c r="AA241" s="86">
        <f t="shared" si="102"/>
        <v>71006.92</v>
      </c>
      <c r="AB241" s="86">
        <f t="shared" si="102"/>
        <v>70612.959999999992</v>
      </c>
      <c r="AC241" s="88">
        <f t="shared" ref="AC241:AC256" si="103">W241-X241</f>
        <v>0</v>
      </c>
      <c r="AD241" s="84">
        <f>AD242+AD245+AD248</f>
        <v>1209245.54</v>
      </c>
      <c r="AE241" s="84">
        <f>AE242+AE245+AE248</f>
        <v>738280.35000000009</v>
      </c>
      <c r="AF241" s="84">
        <f>AF242+AF245+AF248</f>
        <v>1709245.54</v>
      </c>
      <c r="AG241" s="84">
        <f t="shared" si="90"/>
        <v>500000</v>
      </c>
      <c r="AH241" s="135"/>
      <c r="AI241" s="87">
        <f>AI242+AI245+AI248</f>
        <v>1190131.3999999999</v>
      </c>
      <c r="AJ241" s="87">
        <f>AJ242+AJ245+AJ248</f>
        <v>1748350.7600000002</v>
      </c>
      <c r="AK241" s="87">
        <f>AK242+AK245+AK248</f>
        <v>1775090</v>
      </c>
    </row>
    <row r="242" spans="1:37" ht="14.25" thickTop="1" thickBot="1" x14ac:dyDescent="0.25">
      <c r="A242" s="127"/>
      <c r="B242" s="128"/>
      <c r="C242" s="129">
        <v>1</v>
      </c>
      <c r="D242" s="129"/>
      <c r="E242" s="129"/>
      <c r="F242" s="130" t="s">
        <v>449</v>
      </c>
      <c r="G242" s="108">
        <f t="shared" ref="G242:AB242" si="104">G243+G244</f>
        <v>660413.86</v>
      </c>
      <c r="H242" s="108">
        <f t="shared" si="104"/>
        <v>470000</v>
      </c>
      <c r="I242" s="108">
        <f t="shared" si="104"/>
        <v>470000</v>
      </c>
      <c r="J242" s="108">
        <f t="shared" si="104"/>
        <v>530000</v>
      </c>
      <c r="K242" s="108">
        <f t="shared" si="104"/>
        <v>60821.33</v>
      </c>
      <c r="L242" s="108">
        <f t="shared" si="104"/>
        <v>41277.78</v>
      </c>
      <c r="M242" s="108">
        <f t="shared" si="104"/>
        <v>53966.58</v>
      </c>
      <c r="N242" s="108">
        <f t="shared" si="104"/>
        <v>15881.09</v>
      </c>
      <c r="O242" s="108">
        <f t="shared" si="104"/>
        <v>14441.49</v>
      </c>
      <c r="P242" s="108">
        <f t="shared" si="104"/>
        <v>34299.699999999997</v>
      </c>
      <c r="Q242" s="108">
        <f t="shared" si="104"/>
        <v>19000</v>
      </c>
      <c r="R242" s="108">
        <f t="shared" si="104"/>
        <v>30000</v>
      </c>
      <c r="S242" s="108">
        <f t="shared" si="104"/>
        <v>69238.36</v>
      </c>
      <c r="T242" s="108">
        <f t="shared" si="104"/>
        <v>64374.52</v>
      </c>
      <c r="U242" s="108">
        <f t="shared" si="104"/>
        <v>45181.840000000004</v>
      </c>
      <c r="V242" s="108">
        <f t="shared" si="104"/>
        <v>70281.16</v>
      </c>
      <c r="W242" s="132">
        <f t="shared" si="104"/>
        <v>518763.85000000003</v>
      </c>
      <c r="X242" s="134">
        <f t="shared" si="104"/>
        <v>518763.85000000003</v>
      </c>
      <c r="Y242" s="133">
        <f t="shared" si="104"/>
        <v>637212.37</v>
      </c>
      <c r="Z242" s="134">
        <f t="shared" si="104"/>
        <v>610919.42999999993</v>
      </c>
      <c r="AA242" s="134">
        <f t="shared" si="104"/>
        <v>41293.96</v>
      </c>
      <c r="AB242" s="134">
        <f t="shared" si="104"/>
        <v>35235.759999999995</v>
      </c>
      <c r="AC242" s="88">
        <f t="shared" si="103"/>
        <v>0</v>
      </c>
      <c r="AD242" s="132">
        <f>AD243+AD244</f>
        <v>656326.51</v>
      </c>
      <c r="AE242" s="132">
        <f>AE243+AE244</f>
        <v>544272.29</v>
      </c>
      <c r="AF242" s="132">
        <f>AF243+AF244</f>
        <v>1156326.51</v>
      </c>
      <c r="AG242" s="132">
        <f t="shared" si="90"/>
        <v>500000</v>
      </c>
      <c r="AH242" s="135"/>
      <c r="AI242" s="133">
        <f>AI243+AI244</f>
        <v>637212.37</v>
      </c>
      <c r="AJ242" s="133">
        <f t="shared" ref="AJ242" si="105">AJ243+AJ244</f>
        <v>1142700.55</v>
      </c>
      <c r="AK242" s="133">
        <f>AK243+AK244</f>
        <v>1145518</v>
      </c>
    </row>
    <row r="243" spans="1:37" ht="16.5" thickTop="1" thickBot="1" x14ac:dyDescent="0.25">
      <c r="A243" s="101"/>
      <c r="B243" s="102"/>
      <c r="C243" s="103"/>
      <c r="D243" s="103">
        <v>1</v>
      </c>
      <c r="E243" s="104">
        <v>630101</v>
      </c>
      <c r="F243" s="105" t="s">
        <v>654</v>
      </c>
      <c r="G243" s="108">
        <v>494059.55</v>
      </c>
      <c r="H243" s="107">
        <v>470000</v>
      </c>
      <c r="I243" s="107">
        <v>470000</v>
      </c>
      <c r="J243" s="108">
        <v>470000</v>
      </c>
      <c r="K243" s="136">
        <v>44537.13</v>
      </c>
      <c r="L243" s="136">
        <v>33105.65</v>
      </c>
      <c r="M243" s="136">
        <v>42672.61</v>
      </c>
      <c r="N243" s="136">
        <v>13139.24</v>
      </c>
      <c r="O243" s="190">
        <v>11381.34</v>
      </c>
      <c r="P243" s="117">
        <v>31069.79</v>
      </c>
      <c r="Q243" s="137">
        <v>17000</v>
      </c>
      <c r="R243" s="137">
        <v>25000</v>
      </c>
      <c r="S243" s="137">
        <v>52363.94</v>
      </c>
      <c r="T243" s="137">
        <v>54573.95</v>
      </c>
      <c r="U243" s="137">
        <v>38654.51</v>
      </c>
      <c r="V243" s="137">
        <v>48474.13</v>
      </c>
      <c r="W243" s="119">
        <f>SUM(K243:V243)</f>
        <v>411972.29000000004</v>
      </c>
      <c r="X243" s="108">
        <f>W243</f>
        <v>411972.29000000004</v>
      </c>
      <c r="Y243" s="110">
        <v>549534.94999999995</v>
      </c>
      <c r="Z243" s="111">
        <v>504127.87</v>
      </c>
      <c r="AA243" s="111">
        <v>36669.89</v>
      </c>
      <c r="AB243" s="123">
        <v>33748.49</v>
      </c>
      <c r="AC243" s="88">
        <f t="shared" si="103"/>
        <v>0</v>
      </c>
      <c r="AD243" s="112">
        <f>Y243</f>
        <v>549534.94999999995</v>
      </c>
      <c r="AE243" s="121">
        <v>523286.21</v>
      </c>
      <c r="AF243" s="112">
        <f>AD243+500000</f>
        <v>1049534.95</v>
      </c>
      <c r="AG243" s="112">
        <f t="shared" si="90"/>
        <v>500000</v>
      </c>
      <c r="AH243" s="236">
        <v>1100122</v>
      </c>
      <c r="AI243" s="114">
        <v>549534.94999999995</v>
      </c>
      <c r="AJ243" s="114">
        <v>1071357.19</v>
      </c>
      <c r="AK243" s="114">
        <v>1071357</v>
      </c>
    </row>
    <row r="244" spans="1:37" ht="16.5" thickTop="1" thickBot="1" x14ac:dyDescent="0.25">
      <c r="A244" s="101"/>
      <c r="B244" s="102"/>
      <c r="C244" s="103"/>
      <c r="D244" s="103">
        <v>2</v>
      </c>
      <c r="E244" s="189">
        <v>630102</v>
      </c>
      <c r="F244" s="105" t="s">
        <v>655</v>
      </c>
      <c r="G244" s="108">
        <v>166354.31</v>
      </c>
      <c r="H244" s="107"/>
      <c r="I244" s="107"/>
      <c r="J244" s="108">
        <v>60000</v>
      </c>
      <c r="K244" s="136">
        <v>16284.2</v>
      </c>
      <c r="L244" s="141">
        <v>8172.13</v>
      </c>
      <c r="M244" s="136">
        <v>11293.97</v>
      </c>
      <c r="N244" s="136">
        <v>2741.85</v>
      </c>
      <c r="O244" s="190">
        <v>3060.15</v>
      </c>
      <c r="P244" s="117">
        <v>3229.91</v>
      </c>
      <c r="Q244" s="137">
        <v>2000</v>
      </c>
      <c r="R244" s="137">
        <v>5000</v>
      </c>
      <c r="S244" s="137">
        <v>16874.419999999998</v>
      </c>
      <c r="T244" s="137">
        <v>9800.57</v>
      </c>
      <c r="U244" s="137">
        <v>6527.33</v>
      </c>
      <c r="V244" s="137">
        <v>21807.03</v>
      </c>
      <c r="W244" s="119">
        <f>SUM(K244:V244)</f>
        <v>106791.56000000001</v>
      </c>
      <c r="X244" s="108">
        <f>W244</f>
        <v>106791.56000000001</v>
      </c>
      <c r="Y244" s="110">
        <v>87677.42</v>
      </c>
      <c r="Z244" s="111">
        <v>106791.56</v>
      </c>
      <c r="AA244" s="111">
        <v>4624.07</v>
      </c>
      <c r="AB244" s="123">
        <v>1487.27</v>
      </c>
      <c r="AC244" s="88">
        <f t="shared" si="103"/>
        <v>0</v>
      </c>
      <c r="AD244" s="112">
        <v>106791.56</v>
      </c>
      <c r="AE244" s="121">
        <v>20986.080000000002</v>
      </c>
      <c r="AF244" s="112">
        <v>106791.56</v>
      </c>
      <c r="AG244" s="112">
        <f t="shared" si="90"/>
        <v>0</v>
      </c>
      <c r="AH244" s="236">
        <v>1100122</v>
      </c>
      <c r="AI244" s="114">
        <v>87677.42</v>
      </c>
      <c r="AJ244" s="114">
        <v>71343.360000000001</v>
      </c>
      <c r="AK244" s="114">
        <v>74161</v>
      </c>
    </row>
    <row r="245" spans="1:37" ht="14.25" thickTop="1" thickBot="1" x14ac:dyDescent="0.25">
      <c r="A245" s="127"/>
      <c r="B245" s="128"/>
      <c r="C245" s="129">
        <v>2</v>
      </c>
      <c r="D245" s="129"/>
      <c r="E245" s="129"/>
      <c r="F245" s="130" t="s">
        <v>656</v>
      </c>
      <c r="G245" s="108">
        <f>G246+G247</f>
        <v>523784.75</v>
      </c>
      <c r="H245" s="108">
        <f>H246+H247</f>
        <v>450000</v>
      </c>
      <c r="I245" s="108">
        <f>I246+I247</f>
        <v>460000</v>
      </c>
      <c r="J245" s="108">
        <f>H245+J247</f>
        <v>460000</v>
      </c>
      <c r="K245" s="108">
        <f>K246+K247</f>
        <v>57453.200000000004</v>
      </c>
      <c r="L245" s="108">
        <f t="shared" ref="L245:V245" si="106">L246+L247+L248</f>
        <v>44569.789999999994</v>
      </c>
      <c r="M245" s="108">
        <f t="shared" si="106"/>
        <v>43970.189999999995</v>
      </c>
      <c r="N245" s="108">
        <f t="shared" si="106"/>
        <v>12510.56</v>
      </c>
      <c r="O245" s="108">
        <f t="shared" si="106"/>
        <v>12163.2</v>
      </c>
      <c r="P245" s="108">
        <f t="shared" si="106"/>
        <v>24847.68</v>
      </c>
      <c r="Q245" s="108">
        <f t="shared" si="106"/>
        <v>8700</v>
      </c>
      <c r="R245" s="108">
        <f t="shared" si="106"/>
        <v>22000</v>
      </c>
      <c r="S245" s="108">
        <f t="shared" si="106"/>
        <v>47307.46</v>
      </c>
      <c r="T245" s="108">
        <f t="shared" si="106"/>
        <v>67585.06</v>
      </c>
      <c r="U245" s="108">
        <f t="shared" si="106"/>
        <v>51025.02</v>
      </c>
      <c r="V245" s="108">
        <f t="shared" si="106"/>
        <v>59913.37</v>
      </c>
      <c r="W245" s="132">
        <f t="shared" ref="W245:AB245" si="107">W246+W247</f>
        <v>452045.52999999997</v>
      </c>
      <c r="X245" s="134">
        <f t="shared" si="107"/>
        <v>452045.52999999997</v>
      </c>
      <c r="Y245" s="133">
        <f t="shared" si="107"/>
        <v>552919.03</v>
      </c>
      <c r="Z245" s="134">
        <f t="shared" si="107"/>
        <v>517109.79</v>
      </c>
      <c r="AA245" s="134">
        <f t="shared" si="107"/>
        <v>29712.959999999999</v>
      </c>
      <c r="AB245" s="134">
        <f t="shared" si="107"/>
        <v>35377.200000000004</v>
      </c>
      <c r="AC245" s="88">
        <f t="shared" si="103"/>
        <v>0</v>
      </c>
      <c r="AD245" s="132">
        <f>AD246+AD247</f>
        <v>552919.03</v>
      </c>
      <c r="AE245" s="132">
        <f>AE246+AE247</f>
        <v>194008.06</v>
      </c>
      <c r="AF245" s="132">
        <f>AF246+AF247</f>
        <v>552919.03</v>
      </c>
      <c r="AG245" s="132">
        <f t="shared" si="90"/>
        <v>0</v>
      </c>
      <c r="AH245" s="135"/>
      <c r="AI245" s="133">
        <f>AI246+AI247</f>
        <v>552919.03</v>
      </c>
      <c r="AJ245" s="133">
        <f t="shared" ref="AJ245" si="108">AJ246+AJ247</f>
        <v>605650.21000000008</v>
      </c>
      <c r="AK245" s="133">
        <f>AK246+AK247</f>
        <v>629572</v>
      </c>
    </row>
    <row r="246" spans="1:37" ht="16.5" thickTop="1" thickBot="1" x14ac:dyDescent="0.25">
      <c r="A246" s="101"/>
      <c r="B246" s="102"/>
      <c r="C246" s="103"/>
      <c r="D246" s="103">
        <v>1</v>
      </c>
      <c r="E246" s="104">
        <v>630201</v>
      </c>
      <c r="F246" s="105" t="s">
        <v>657</v>
      </c>
      <c r="G246" s="108">
        <v>486927.91</v>
      </c>
      <c r="H246" s="107">
        <v>450000</v>
      </c>
      <c r="I246" s="107">
        <v>450000</v>
      </c>
      <c r="J246" s="108">
        <f>H246</f>
        <v>450000</v>
      </c>
      <c r="K246" s="119">
        <v>57284.22</v>
      </c>
      <c r="L246" s="136">
        <v>42072.27</v>
      </c>
      <c r="M246" s="136">
        <v>43622.67</v>
      </c>
      <c r="N246" s="136">
        <v>12510.56</v>
      </c>
      <c r="O246" s="190">
        <v>11989.44</v>
      </c>
      <c r="P246" s="117">
        <v>24326.400000000001</v>
      </c>
      <c r="Q246" s="137">
        <v>8700</v>
      </c>
      <c r="R246" s="137">
        <v>22000</v>
      </c>
      <c r="S246" s="137">
        <v>46807.46</v>
      </c>
      <c r="T246" s="137">
        <v>67085.06</v>
      </c>
      <c r="U246" s="137">
        <v>50525.02</v>
      </c>
      <c r="V246" s="137">
        <v>59413.37</v>
      </c>
      <c r="W246" s="119">
        <f>SUM(K246:V246)</f>
        <v>446336.47</v>
      </c>
      <c r="X246" s="108">
        <f>W246</f>
        <v>446336.47</v>
      </c>
      <c r="Y246" s="110">
        <v>543649.67000000004</v>
      </c>
      <c r="Z246" s="143">
        <v>511400.73</v>
      </c>
      <c r="AA246" s="143">
        <v>29017.919999999998</v>
      </c>
      <c r="AB246" s="123">
        <v>32718.720000000001</v>
      </c>
      <c r="AC246" s="88">
        <f t="shared" si="103"/>
        <v>0</v>
      </c>
      <c r="AD246" s="112">
        <f>Y246</f>
        <v>543649.67000000004</v>
      </c>
      <c r="AE246" s="121">
        <v>189457.58</v>
      </c>
      <c r="AF246" s="112">
        <v>543649.67000000004</v>
      </c>
      <c r="AG246" s="112">
        <f t="shared" si="90"/>
        <v>0</v>
      </c>
      <c r="AH246" s="236">
        <v>1100122</v>
      </c>
      <c r="AI246" s="114">
        <v>543649.67000000004</v>
      </c>
      <c r="AJ246" s="114">
        <v>595804.15</v>
      </c>
      <c r="AK246" s="114">
        <v>619338</v>
      </c>
    </row>
    <row r="247" spans="1:37" ht="16.5" thickTop="1" thickBot="1" x14ac:dyDescent="0.25">
      <c r="A247" s="101"/>
      <c r="B247" s="102"/>
      <c r="C247" s="103"/>
      <c r="D247" s="103">
        <v>2</v>
      </c>
      <c r="E247" s="189">
        <v>630202</v>
      </c>
      <c r="F247" s="105" t="s">
        <v>658</v>
      </c>
      <c r="G247" s="108">
        <v>36856.839999999997</v>
      </c>
      <c r="H247" s="107"/>
      <c r="I247" s="107">
        <v>10000</v>
      </c>
      <c r="J247" s="108">
        <v>10000</v>
      </c>
      <c r="K247" s="136">
        <v>168.98</v>
      </c>
      <c r="L247" s="136">
        <v>2497.52</v>
      </c>
      <c r="M247" s="136">
        <v>347.52</v>
      </c>
      <c r="N247" s="136">
        <v>0</v>
      </c>
      <c r="O247" s="190">
        <v>173.76</v>
      </c>
      <c r="P247" s="117">
        <v>521.28</v>
      </c>
      <c r="Q247" s="136">
        <v>0</v>
      </c>
      <c r="R247" s="136">
        <v>0</v>
      </c>
      <c r="S247" s="137">
        <v>500</v>
      </c>
      <c r="T247" s="137">
        <v>500</v>
      </c>
      <c r="U247" s="137">
        <v>500</v>
      </c>
      <c r="V247" s="137">
        <v>500</v>
      </c>
      <c r="W247" s="119">
        <f>SUM(K247:V247)</f>
        <v>5709.0599999999995</v>
      </c>
      <c r="X247" s="108">
        <f>W247</f>
        <v>5709.0599999999995</v>
      </c>
      <c r="Y247" s="110">
        <v>9269.36</v>
      </c>
      <c r="Z247" s="143">
        <v>5709.06</v>
      </c>
      <c r="AA247" s="143">
        <v>695.04</v>
      </c>
      <c r="AB247" s="123">
        <v>2658.48</v>
      </c>
      <c r="AC247" s="88">
        <f t="shared" si="103"/>
        <v>0</v>
      </c>
      <c r="AD247" s="112">
        <f>Y247</f>
        <v>9269.36</v>
      </c>
      <c r="AE247" s="121">
        <v>4550.4799999999996</v>
      </c>
      <c r="AF247" s="112">
        <v>9269.36</v>
      </c>
      <c r="AG247" s="112">
        <f t="shared" si="90"/>
        <v>0</v>
      </c>
      <c r="AH247" s="236">
        <v>1100122</v>
      </c>
      <c r="AI247" s="114">
        <v>9269.36</v>
      </c>
      <c r="AJ247" s="114">
        <v>9846.06</v>
      </c>
      <c r="AK247" s="114">
        <v>10234</v>
      </c>
    </row>
    <row r="248" spans="1:37" ht="16.5" thickTop="1" thickBot="1" x14ac:dyDescent="0.25">
      <c r="A248" s="101"/>
      <c r="B248" s="102"/>
      <c r="C248" s="103"/>
      <c r="D248" s="103"/>
      <c r="E248" s="255">
        <v>630301</v>
      </c>
      <c r="F248" s="105" t="s">
        <v>659</v>
      </c>
      <c r="G248" s="108"/>
      <c r="H248" s="107"/>
      <c r="I248" s="107">
        <v>40000</v>
      </c>
      <c r="J248" s="108">
        <v>40000</v>
      </c>
      <c r="K248" s="136"/>
      <c r="L248" s="136">
        <v>0</v>
      </c>
      <c r="M248" s="136">
        <v>0</v>
      </c>
      <c r="N248" s="136">
        <v>0</v>
      </c>
      <c r="O248" s="136"/>
      <c r="P248" s="204"/>
      <c r="Q248" s="136">
        <v>0</v>
      </c>
      <c r="R248" s="136">
        <v>0</v>
      </c>
      <c r="S248" s="137"/>
      <c r="T248" s="137"/>
      <c r="U248" s="137"/>
      <c r="V248" s="137"/>
      <c r="W248" s="107">
        <f>I248</f>
        <v>40000</v>
      </c>
      <c r="X248" s="108">
        <f>W248</f>
        <v>40000</v>
      </c>
      <c r="Y248" s="110"/>
      <c r="Z248" s="108"/>
      <c r="AA248" s="108"/>
      <c r="AB248" s="108"/>
      <c r="AC248" s="88">
        <f t="shared" si="103"/>
        <v>0</v>
      </c>
      <c r="AD248" s="108"/>
      <c r="AE248" s="108"/>
      <c r="AF248" s="108"/>
      <c r="AG248" s="108">
        <f t="shared" si="90"/>
        <v>0</v>
      </c>
      <c r="AH248" s="113"/>
      <c r="AI248" s="110"/>
      <c r="AJ248" s="110"/>
      <c r="AK248" s="110"/>
    </row>
    <row r="249" spans="1:37" ht="39.75" thickTop="1" thickBot="1" x14ac:dyDescent="0.25">
      <c r="A249" s="172">
        <v>8</v>
      </c>
      <c r="B249" s="172" t="s">
        <v>462</v>
      </c>
      <c r="C249" s="75"/>
      <c r="D249" s="75"/>
      <c r="E249" s="75"/>
      <c r="F249" s="76" t="s">
        <v>660</v>
      </c>
      <c r="G249" s="77">
        <f>G251+G252+G253+G254+G255+G256+G260+G262+G266+G271+G364+G365+G366+G369</f>
        <v>1130295558.24</v>
      </c>
      <c r="H249" s="77">
        <f t="shared" ref="H249:AB249" si="109">H250+H259+H264+H363</f>
        <v>1113043796.26</v>
      </c>
      <c r="I249" s="77">
        <f t="shared" si="109"/>
        <v>1285919156.8700001</v>
      </c>
      <c r="J249" s="77">
        <f t="shared" si="109"/>
        <v>1277919156.8700001</v>
      </c>
      <c r="K249" s="77">
        <f t="shared" si="109"/>
        <v>86006340.749999985</v>
      </c>
      <c r="L249" s="77">
        <f t="shared" si="109"/>
        <v>113217653.18000001</v>
      </c>
      <c r="M249" s="77">
        <f t="shared" si="109"/>
        <v>105993377.67</v>
      </c>
      <c r="N249" s="77">
        <f t="shared" si="109"/>
        <v>122493405.37</v>
      </c>
      <c r="O249" s="77">
        <f t="shared" si="109"/>
        <v>186366974.55000001</v>
      </c>
      <c r="P249" s="77">
        <f t="shared" si="109"/>
        <v>122972701.3</v>
      </c>
      <c r="Q249" s="77">
        <f t="shared" si="109"/>
        <v>91658890.515000001</v>
      </c>
      <c r="R249" s="77">
        <f t="shared" si="109"/>
        <v>92526294.875000015</v>
      </c>
      <c r="S249" s="77">
        <f t="shared" si="109"/>
        <v>90694197.265000001</v>
      </c>
      <c r="T249" s="77">
        <f t="shared" si="109"/>
        <v>95111370.745000005</v>
      </c>
      <c r="U249" s="77">
        <f t="shared" si="109"/>
        <v>85867794.234999999</v>
      </c>
      <c r="V249" s="77">
        <f t="shared" si="109"/>
        <v>204734669.66375002</v>
      </c>
      <c r="W249" s="77">
        <f t="shared" si="109"/>
        <v>1386109903.9500003</v>
      </c>
      <c r="X249" s="77">
        <f t="shared" si="109"/>
        <v>1386109903.9500003</v>
      </c>
      <c r="Y249" s="78">
        <f t="shared" si="109"/>
        <v>1464050029.5900002</v>
      </c>
      <c r="Z249" s="79">
        <f t="shared" si="109"/>
        <v>1182061955.4999998</v>
      </c>
      <c r="AA249" s="79">
        <f t="shared" si="109"/>
        <v>82985042.25999999</v>
      </c>
      <c r="AB249" s="79">
        <f t="shared" si="109"/>
        <v>141586744.66</v>
      </c>
      <c r="AC249" s="221">
        <f t="shared" si="103"/>
        <v>0</v>
      </c>
      <c r="AD249" s="79">
        <f>AD250+AD259+AD264+AD363</f>
        <v>1318520714.22</v>
      </c>
      <c r="AE249" s="79">
        <f>AE250+AE259+AE264+AE363</f>
        <v>458200784.15000004</v>
      </c>
      <c r="AF249" s="79">
        <f>AF250+AF259+AF264+AF363</f>
        <v>1343609713.3900001</v>
      </c>
      <c r="AG249" s="79">
        <f t="shared" si="90"/>
        <v>25088999.170000076</v>
      </c>
      <c r="AH249" s="81"/>
      <c r="AI249" s="78">
        <f>AI250+AI259+AI264+AI363</f>
        <v>1464050029.5900002</v>
      </c>
      <c r="AJ249" s="78">
        <f>AJ250+AJ259+AJ264+AJ363</f>
        <v>1374143506.23</v>
      </c>
      <c r="AK249" s="78">
        <f>AK250+AK259+AK264+AK363</f>
        <v>1182140370.3499999</v>
      </c>
    </row>
    <row r="250" spans="1:37" ht="14.25" thickTop="1" thickBot="1" x14ac:dyDescent="0.25">
      <c r="A250" s="174"/>
      <c r="B250" s="82">
        <v>1</v>
      </c>
      <c r="C250" s="175"/>
      <c r="D250" s="175"/>
      <c r="E250" s="175"/>
      <c r="F250" s="176" t="s">
        <v>661</v>
      </c>
      <c r="G250" s="84">
        <f t="shared" ref="G250:O250" si="110">SUM(G251:G256)</f>
        <v>662061103.38</v>
      </c>
      <c r="H250" s="85">
        <f t="shared" si="110"/>
        <v>628734366</v>
      </c>
      <c r="I250" s="85">
        <f t="shared" si="110"/>
        <v>628734366</v>
      </c>
      <c r="J250" s="84">
        <f t="shared" si="110"/>
        <v>620734366</v>
      </c>
      <c r="K250" s="84">
        <f t="shared" si="110"/>
        <v>46123389.539999999</v>
      </c>
      <c r="L250" s="84">
        <f t="shared" si="110"/>
        <v>70123004.819999993</v>
      </c>
      <c r="M250" s="84">
        <f t="shared" si="110"/>
        <v>48436272.410000004</v>
      </c>
      <c r="N250" s="84">
        <f t="shared" si="110"/>
        <v>69679927.819999993</v>
      </c>
      <c r="O250" s="84">
        <f t="shared" si="110"/>
        <v>60317075.5</v>
      </c>
      <c r="P250" s="84">
        <f>SUM(P251:P258)</f>
        <v>58982258.600000001</v>
      </c>
      <c r="Q250" s="84">
        <f t="shared" ref="Q250:X250" si="111">SUM(Q251:Q256)</f>
        <v>52624523.567500003</v>
      </c>
      <c r="R250" s="84">
        <f t="shared" si="111"/>
        <v>53490927.927500002</v>
      </c>
      <c r="S250" s="84">
        <f t="shared" si="111"/>
        <v>49524523.567500003</v>
      </c>
      <c r="T250" s="84">
        <f t="shared" si="111"/>
        <v>53941693.047499999</v>
      </c>
      <c r="U250" s="84">
        <f t="shared" si="111"/>
        <v>50996837.527499996</v>
      </c>
      <c r="V250" s="84">
        <f t="shared" si="111"/>
        <v>52968070.826250009</v>
      </c>
      <c r="W250" s="86">
        <f t="shared" si="111"/>
        <v>663941662.78000009</v>
      </c>
      <c r="X250" s="86">
        <f t="shared" si="111"/>
        <v>663941662.78000009</v>
      </c>
      <c r="Y250" s="87">
        <f>SUM(Y251:Y258)</f>
        <v>716553684.19000006</v>
      </c>
      <c r="Z250" s="86">
        <f>SUM(Z251:Z258)</f>
        <v>661562756.16999996</v>
      </c>
      <c r="AA250" s="86">
        <f>SUM(AA251:AA258)</f>
        <v>43909286.350000001</v>
      </c>
      <c r="AB250" s="86">
        <f>SUM(AB251:AB258)</f>
        <v>80321970.719999999</v>
      </c>
      <c r="AC250" s="88">
        <f t="shared" si="103"/>
        <v>0</v>
      </c>
      <c r="AD250" s="84">
        <f>SUM(AD251:AD258)</f>
        <v>668397866</v>
      </c>
      <c r="AE250" s="84">
        <f>SUM(AE251:AE258)</f>
        <v>258252573.42000002</v>
      </c>
      <c r="AF250" s="84">
        <f>SUM(AF251:AF258)</f>
        <v>670263411.44000006</v>
      </c>
      <c r="AG250" s="84">
        <f t="shared" si="90"/>
        <v>1865545.4400000572</v>
      </c>
      <c r="AH250" s="135"/>
      <c r="AI250" s="87">
        <f>SUM(AI251:AI258)</f>
        <v>716553684.19000006</v>
      </c>
      <c r="AJ250" s="87">
        <f>SUM(AJ251:AJ258)</f>
        <v>696360726.77999997</v>
      </c>
      <c r="AK250" s="87">
        <f>SUM(AK251:AK258)</f>
        <v>701298764</v>
      </c>
    </row>
    <row r="251" spans="1:37" ht="16.5" thickTop="1" thickBot="1" x14ac:dyDescent="0.25">
      <c r="A251" s="101"/>
      <c r="B251" s="102"/>
      <c r="C251" s="103">
        <v>1</v>
      </c>
      <c r="D251" s="103">
        <v>1</v>
      </c>
      <c r="E251" s="177">
        <v>810101</v>
      </c>
      <c r="F251" s="105" t="s">
        <v>662</v>
      </c>
      <c r="G251" s="108">
        <v>497387699.64999998</v>
      </c>
      <c r="H251" s="131">
        <v>466840285</v>
      </c>
      <c r="I251" s="131">
        <v>466840285</v>
      </c>
      <c r="J251" s="131">
        <v>466840285</v>
      </c>
      <c r="K251" s="115">
        <v>35000181.700000003</v>
      </c>
      <c r="L251" s="145">
        <v>52400502.640000001</v>
      </c>
      <c r="M251" s="115">
        <v>37215100.310000002</v>
      </c>
      <c r="N251" s="115">
        <v>53931128.039999999</v>
      </c>
      <c r="O251" s="178">
        <v>36064723.68</v>
      </c>
      <c r="P251" s="117">
        <v>23882319.190000001</v>
      </c>
      <c r="Q251" s="122">
        <v>39064723.68</v>
      </c>
      <c r="R251" s="122">
        <v>40931128.039999999</v>
      </c>
      <c r="S251" s="122">
        <v>37064723.68</v>
      </c>
      <c r="T251" s="122">
        <v>40931128.039999999</v>
      </c>
      <c r="U251" s="122">
        <v>38064723.68</v>
      </c>
      <c r="V251" s="122">
        <f>40036671.53875-423659.12+48808.85</f>
        <v>39661821.268750004</v>
      </c>
      <c r="W251" s="119">
        <v>474212203.94</v>
      </c>
      <c r="X251" s="108">
        <f t="shared" ref="X251:X258" si="112">W251</f>
        <v>474212203.94</v>
      </c>
      <c r="Y251" s="110">
        <v>492466529.67000002</v>
      </c>
      <c r="Z251" s="111">
        <v>470453536.5</v>
      </c>
      <c r="AA251" s="111">
        <v>36243693.75</v>
      </c>
      <c r="AB251" s="123">
        <v>52192882.490000002</v>
      </c>
      <c r="AC251" s="88">
        <f t="shared" si="103"/>
        <v>0</v>
      </c>
      <c r="AD251" s="112">
        <v>490188075</v>
      </c>
      <c r="AE251" s="121">
        <v>184231372.59999999</v>
      </c>
      <c r="AF251" s="112">
        <v>490188075</v>
      </c>
      <c r="AG251" s="112">
        <f t="shared" si="90"/>
        <v>0</v>
      </c>
      <c r="AH251" s="113">
        <v>1500522</v>
      </c>
      <c r="AI251" s="114">
        <v>492466529.67000002</v>
      </c>
      <c r="AJ251" s="114">
        <v>502152160.31</v>
      </c>
      <c r="AK251" s="114">
        <v>517216725</v>
      </c>
    </row>
    <row r="252" spans="1:37" ht="16.5" thickTop="1" thickBot="1" x14ac:dyDescent="0.25">
      <c r="A252" s="101"/>
      <c r="B252" s="102"/>
      <c r="C252" s="103">
        <v>2</v>
      </c>
      <c r="D252" s="103">
        <v>1</v>
      </c>
      <c r="E252" s="177">
        <v>810201</v>
      </c>
      <c r="F252" s="105" t="s">
        <v>663</v>
      </c>
      <c r="G252" s="108">
        <v>46396631.579999998</v>
      </c>
      <c r="H252" s="131">
        <f>23281397+20000000</f>
        <v>43281397</v>
      </c>
      <c r="I252" s="131">
        <f>23281397+20000000</f>
        <v>43281397</v>
      </c>
      <c r="J252" s="131">
        <f>23281397+20000000</f>
        <v>43281397</v>
      </c>
      <c r="K252" s="115">
        <v>4271430.55</v>
      </c>
      <c r="L252" s="145">
        <v>8953779.8399999999</v>
      </c>
      <c r="M252" s="115">
        <v>6837458.4900000002</v>
      </c>
      <c r="N252" s="115">
        <v>9267904</v>
      </c>
      <c r="O252" s="178">
        <v>4095485.22</v>
      </c>
      <c r="P252" s="117">
        <v>18323632.75</v>
      </c>
      <c r="Q252" s="122">
        <v>3543853.0150000001</v>
      </c>
      <c r="R252" s="122">
        <v>2543853.0150000001</v>
      </c>
      <c r="S252" s="122">
        <v>2343853.0150000001</v>
      </c>
      <c r="T252" s="122">
        <v>2343853.0150000001</v>
      </c>
      <c r="U252" s="122">
        <f>4343853.015+395712.59+489930.1-3000000</f>
        <v>2229495.7049999991</v>
      </c>
      <c r="V252" s="122">
        <f>2333853.015-779779.73</f>
        <v>1554073.2850000001</v>
      </c>
      <c r="W252" s="119">
        <f>SUM(K252:V252)</f>
        <v>66308671.900000006</v>
      </c>
      <c r="X252" s="108">
        <f t="shared" si="112"/>
        <v>66308671.900000006</v>
      </c>
      <c r="Y252" s="110">
        <v>85006379.859999999</v>
      </c>
      <c r="Z252" s="111">
        <v>81466457.670000002</v>
      </c>
      <c r="AA252" s="111">
        <v>4414881</v>
      </c>
      <c r="AB252" s="123">
        <v>8439817.3300000001</v>
      </c>
      <c r="AC252" s="88">
        <f t="shared" si="103"/>
        <v>0</v>
      </c>
      <c r="AD252" s="112">
        <v>63144358</v>
      </c>
      <c r="AE252" s="121">
        <v>27604489.579999998</v>
      </c>
      <c r="AF252" s="112">
        <v>63144358</v>
      </c>
      <c r="AG252" s="112">
        <f t="shared" si="90"/>
        <v>0</v>
      </c>
      <c r="AH252" s="113">
        <v>1500522</v>
      </c>
      <c r="AI252" s="114">
        <v>85006379.859999999</v>
      </c>
      <c r="AJ252" s="114">
        <v>62509927.189999998</v>
      </c>
      <c r="AK252" s="114">
        <v>64385225</v>
      </c>
    </row>
    <row r="253" spans="1:37" ht="16.5" thickTop="1" thickBot="1" x14ac:dyDescent="0.25">
      <c r="A253" s="101"/>
      <c r="B253" s="102"/>
      <c r="C253" s="103">
        <v>3</v>
      </c>
      <c r="D253" s="103">
        <v>1</v>
      </c>
      <c r="E253" s="177">
        <v>810301</v>
      </c>
      <c r="F253" s="105" t="s">
        <v>664</v>
      </c>
      <c r="G253" s="108">
        <v>43697489.789999999</v>
      </c>
      <c r="H253" s="131">
        <v>40762031</v>
      </c>
      <c r="I253" s="131">
        <v>40762031</v>
      </c>
      <c r="J253" s="131">
        <v>40762031</v>
      </c>
      <c r="K253" s="115">
        <v>5221603.97</v>
      </c>
      <c r="L253" s="145">
        <v>1902367.04</v>
      </c>
      <c r="M253" s="115">
        <v>1910880.88</v>
      </c>
      <c r="N253" s="115">
        <v>2832294.98</v>
      </c>
      <c r="O253" s="178">
        <v>9813051.1699999999</v>
      </c>
      <c r="P253" s="117">
        <v>1910880.88</v>
      </c>
      <c r="Q253" s="122">
        <v>2611860.5162499999</v>
      </c>
      <c r="R253" s="122">
        <v>2611860.5162499999</v>
      </c>
      <c r="S253" s="122">
        <v>2611860.5162499999</v>
      </c>
      <c r="T253" s="122">
        <v>3611860.5162499999</v>
      </c>
      <c r="U253" s="122">
        <f>2611860.51625+515324.05+304363.65+700979.63</f>
        <v>4132527.8462499995</v>
      </c>
      <c r="V253" s="122">
        <v>4611860.5162500003</v>
      </c>
      <c r="W253" s="119">
        <v>43782909.340000004</v>
      </c>
      <c r="X253" s="108">
        <f t="shared" si="112"/>
        <v>43782909.340000004</v>
      </c>
      <c r="Y253" s="110">
        <v>43998269.829999998</v>
      </c>
      <c r="Z253" s="111">
        <v>43010007.829999998</v>
      </c>
      <c r="AA253" s="111">
        <v>1951356.46</v>
      </c>
      <c r="AB253" s="123">
        <v>5136681.93</v>
      </c>
      <c r="AC253" s="88">
        <f t="shared" si="103"/>
        <v>0</v>
      </c>
      <c r="AD253" s="112">
        <v>41847412</v>
      </c>
      <c r="AE253" s="121">
        <v>10990751.310000001</v>
      </c>
      <c r="AF253" s="112">
        <v>41847412</v>
      </c>
      <c r="AG253" s="112">
        <f t="shared" si="90"/>
        <v>0</v>
      </c>
      <c r="AH253" s="113">
        <v>1500522</v>
      </c>
      <c r="AI253" s="114">
        <v>43998269.829999998</v>
      </c>
      <c r="AJ253" s="114">
        <v>43815567.280000001</v>
      </c>
      <c r="AK253" s="114">
        <v>45130034</v>
      </c>
    </row>
    <row r="254" spans="1:37" ht="27" thickTop="1" thickBot="1" x14ac:dyDescent="0.25">
      <c r="A254" s="101"/>
      <c r="B254" s="102"/>
      <c r="C254" s="103">
        <v>4</v>
      </c>
      <c r="D254" s="103">
        <v>1</v>
      </c>
      <c r="E254" s="177">
        <v>810401</v>
      </c>
      <c r="F254" s="105" t="s">
        <v>665</v>
      </c>
      <c r="G254" s="108">
        <v>4037856.24</v>
      </c>
      <c r="H254" s="131">
        <v>2552516</v>
      </c>
      <c r="I254" s="131">
        <v>2552516</v>
      </c>
      <c r="J254" s="131">
        <v>2552516</v>
      </c>
      <c r="K254" s="115">
        <v>559529.86</v>
      </c>
      <c r="L254" s="145">
        <v>1319072.6100000001</v>
      </c>
      <c r="M254" s="115">
        <v>183598.58</v>
      </c>
      <c r="N254" s="115">
        <v>411972.21</v>
      </c>
      <c r="O254" s="178">
        <v>424990.85</v>
      </c>
      <c r="P254" s="117">
        <v>343788.91</v>
      </c>
      <c r="Q254" s="122">
        <v>509792.84249999898</v>
      </c>
      <c r="R254" s="122">
        <v>509792.84249999898</v>
      </c>
      <c r="S254" s="122">
        <v>609792.84249999898</v>
      </c>
      <c r="T254" s="122">
        <f>609792.842499999+185323.19</f>
        <v>795116.03249999904</v>
      </c>
      <c r="U254" s="122">
        <f>709792.842499999+166003.94</f>
        <v>875796.78249999904</v>
      </c>
      <c r="V254" s="122">
        <f>709792.842499999+191835.4</f>
        <v>901628.242499999</v>
      </c>
      <c r="W254" s="119">
        <v>7444872.5999999996</v>
      </c>
      <c r="X254" s="108">
        <f t="shared" si="112"/>
        <v>7444872.5999999996</v>
      </c>
      <c r="Y254" s="110">
        <v>6058919.2199999997</v>
      </c>
      <c r="Z254" s="111">
        <v>5524034.1699999999</v>
      </c>
      <c r="AA254" s="111">
        <v>505218.67</v>
      </c>
      <c r="AB254" s="123">
        <v>1035512.57</v>
      </c>
      <c r="AC254" s="88">
        <f t="shared" si="103"/>
        <v>0</v>
      </c>
      <c r="AD254" s="112">
        <v>5999817</v>
      </c>
      <c r="AE254" s="121">
        <v>2208002.33</v>
      </c>
      <c r="AF254" s="112">
        <v>5999817</v>
      </c>
      <c r="AG254" s="112">
        <f t="shared" si="90"/>
        <v>0</v>
      </c>
      <c r="AH254" s="113">
        <v>1500522</v>
      </c>
      <c r="AI254" s="114">
        <v>6058919.2199999997</v>
      </c>
      <c r="AJ254" s="114">
        <v>6704440.9100000001</v>
      </c>
      <c r="AK254" s="114">
        <v>6905574</v>
      </c>
    </row>
    <row r="255" spans="1:37" ht="16.5" thickTop="1" thickBot="1" x14ac:dyDescent="0.25">
      <c r="A255" s="101"/>
      <c r="B255" s="102"/>
      <c r="C255" s="103">
        <v>5</v>
      </c>
      <c r="D255" s="103">
        <v>1</v>
      </c>
      <c r="E255" s="177">
        <v>810501</v>
      </c>
      <c r="F255" s="105" t="s">
        <v>666</v>
      </c>
      <c r="G255" s="108">
        <v>14982465.119999999</v>
      </c>
      <c r="H255" s="131">
        <v>17298137</v>
      </c>
      <c r="I255" s="131">
        <v>17298137</v>
      </c>
      <c r="J255" s="131">
        <v>17298137</v>
      </c>
      <c r="K255" s="115">
        <v>1070643.46</v>
      </c>
      <c r="L255" s="145">
        <v>1164637.69</v>
      </c>
      <c r="M255" s="115">
        <v>1150592.1499999999</v>
      </c>
      <c r="N255" s="115">
        <v>971761.59</v>
      </c>
      <c r="O255" s="178">
        <v>1094212.58</v>
      </c>
      <c r="P255" s="117">
        <v>978063.77</v>
      </c>
      <c r="Q255" s="122">
        <v>1617562.7637499999</v>
      </c>
      <c r="R255" s="122">
        <v>1617562.7637499999</v>
      </c>
      <c r="S255" s="122">
        <v>1617562.7637499999</v>
      </c>
      <c r="T255" s="122">
        <f>1617562.76375-86676.82</f>
        <v>1530885.9437499999</v>
      </c>
      <c r="U255" s="122">
        <v>1417562.7637499999</v>
      </c>
      <c r="V255" s="122">
        <f>1417562.76375+904895+639499</f>
        <v>2961956.7637499999</v>
      </c>
      <c r="W255" s="119">
        <v>17193005</v>
      </c>
      <c r="X255" s="108">
        <f t="shared" si="112"/>
        <v>17193005</v>
      </c>
      <c r="Y255" s="110">
        <v>11595058.449999999</v>
      </c>
      <c r="Z255" s="111">
        <v>11108720</v>
      </c>
      <c r="AA255" s="111">
        <v>794136.47</v>
      </c>
      <c r="AB255" s="123">
        <v>1014845.4</v>
      </c>
      <c r="AC255" s="88">
        <f t="shared" si="103"/>
        <v>0</v>
      </c>
      <c r="AD255" s="112">
        <v>13718204</v>
      </c>
      <c r="AE255" s="121">
        <v>3468791.6</v>
      </c>
      <c r="AF255" s="112">
        <v>13718204</v>
      </c>
      <c r="AG255" s="112">
        <f t="shared" si="90"/>
        <v>0</v>
      </c>
      <c r="AH255" s="113">
        <v>1500522</v>
      </c>
      <c r="AI255" s="114">
        <v>11595058.449999999</v>
      </c>
      <c r="AJ255" s="114">
        <v>10476899.9</v>
      </c>
      <c r="AK255" s="114">
        <v>10791206</v>
      </c>
    </row>
    <row r="256" spans="1:37" ht="16.5" thickTop="1" thickBot="1" x14ac:dyDescent="0.25">
      <c r="A256" s="101"/>
      <c r="B256" s="102"/>
      <c r="C256" s="103">
        <v>6</v>
      </c>
      <c r="D256" s="103">
        <v>1</v>
      </c>
      <c r="E256" s="196">
        <v>810601</v>
      </c>
      <c r="F256" s="105" t="s">
        <v>667</v>
      </c>
      <c r="G256" s="108">
        <v>55558961</v>
      </c>
      <c r="H256" s="131">
        <v>58000000</v>
      </c>
      <c r="I256" s="131">
        <v>58000000</v>
      </c>
      <c r="J256" s="256">
        <v>50000000</v>
      </c>
      <c r="K256" s="115">
        <v>0</v>
      </c>
      <c r="L256" s="186">
        <v>4382645</v>
      </c>
      <c r="M256" s="115">
        <v>1138642</v>
      </c>
      <c r="N256" s="115">
        <v>2264867</v>
      </c>
      <c r="O256" s="178">
        <v>8824612</v>
      </c>
      <c r="P256" s="117">
        <v>13019324</v>
      </c>
      <c r="Q256" s="122">
        <v>5276730.75</v>
      </c>
      <c r="R256" s="122">
        <v>5276730.75</v>
      </c>
      <c r="S256" s="122">
        <v>5276730.75</v>
      </c>
      <c r="T256" s="122">
        <f>5276730.75-547881.25</f>
        <v>4728849.5</v>
      </c>
      <c r="U256" s="122">
        <v>4276730.75</v>
      </c>
      <c r="V256" s="122">
        <v>3276730.75</v>
      </c>
      <c r="W256" s="119">
        <v>55000000</v>
      </c>
      <c r="X256" s="108">
        <f t="shared" si="112"/>
        <v>55000000</v>
      </c>
      <c r="Y256" s="110">
        <v>76060723</v>
      </c>
      <c r="Z256" s="111">
        <v>50000000</v>
      </c>
      <c r="AA256" s="111">
        <v>0</v>
      </c>
      <c r="AB256" s="123">
        <v>12502231</v>
      </c>
      <c r="AC256" s="88">
        <f t="shared" si="103"/>
        <v>0</v>
      </c>
      <c r="AD256" s="112">
        <v>53500000</v>
      </c>
      <c r="AE256" s="121">
        <v>29749166</v>
      </c>
      <c r="AF256" s="112">
        <v>53500000</v>
      </c>
      <c r="AG256" s="112">
        <f t="shared" si="90"/>
        <v>0</v>
      </c>
      <c r="AH256" s="113">
        <v>1500522</v>
      </c>
      <c r="AI256" s="114">
        <v>76060723</v>
      </c>
      <c r="AJ256" s="114">
        <v>65723346</v>
      </c>
      <c r="AK256" s="114">
        <v>56870000</v>
      </c>
    </row>
    <row r="257" spans="1:37" ht="16.5" thickTop="1" thickBot="1" x14ac:dyDescent="0.25">
      <c r="A257" s="101"/>
      <c r="B257" s="102"/>
      <c r="C257" s="103"/>
      <c r="D257" s="103"/>
      <c r="E257" s="196">
        <v>810701</v>
      </c>
      <c r="F257" s="105" t="s">
        <v>668</v>
      </c>
      <c r="G257" s="108"/>
      <c r="H257" s="131"/>
      <c r="I257" s="131"/>
      <c r="J257" s="257"/>
      <c r="K257" s="115"/>
      <c r="L257" s="186"/>
      <c r="M257" s="115"/>
      <c r="N257" s="115"/>
      <c r="O257" s="178"/>
      <c r="P257" s="117"/>
      <c r="Q257" s="122"/>
      <c r="R257" s="122"/>
      <c r="S257" s="122"/>
      <c r="T257" s="122"/>
      <c r="U257" s="122"/>
      <c r="V257" s="122"/>
      <c r="W257" s="119"/>
      <c r="X257" s="108"/>
      <c r="Y257" s="110"/>
      <c r="Z257" s="187"/>
      <c r="AA257" s="187"/>
      <c r="AB257" s="184"/>
      <c r="AC257" s="88"/>
      <c r="AD257" s="112"/>
      <c r="AE257" s="121"/>
      <c r="AF257" s="112">
        <v>1865545.44</v>
      </c>
      <c r="AG257" s="112">
        <f t="shared" si="90"/>
        <v>1865545.44</v>
      </c>
      <c r="AH257" s="113">
        <v>1500822</v>
      </c>
      <c r="AI257" s="114">
        <v>0</v>
      </c>
      <c r="AJ257" s="114">
        <v>4978385.1900000004</v>
      </c>
      <c r="AK257" s="114"/>
    </row>
    <row r="258" spans="1:37" ht="14.25" customHeight="1" thickTop="1" thickBot="1" x14ac:dyDescent="0.25">
      <c r="A258" s="101"/>
      <c r="B258" s="102"/>
      <c r="C258" s="161"/>
      <c r="D258" s="161"/>
      <c r="E258" s="196">
        <v>810801</v>
      </c>
      <c r="F258" s="105" t="s">
        <v>669</v>
      </c>
      <c r="G258" s="108"/>
      <c r="H258" s="131"/>
      <c r="I258" s="131"/>
      <c r="J258" s="257"/>
      <c r="K258" s="115"/>
      <c r="L258" s="186"/>
      <c r="M258" s="115"/>
      <c r="N258" s="115"/>
      <c r="O258" s="178"/>
      <c r="P258" s="117">
        <v>524249.1</v>
      </c>
      <c r="Q258" s="122"/>
      <c r="R258" s="122"/>
      <c r="S258" s="122"/>
      <c r="T258" s="122"/>
      <c r="U258" s="122"/>
      <c r="V258" s="122"/>
      <c r="W258" s="119"/>
      <c r="X258" s="108">
        <f t="shared" si="112"/>
        <v>0</v>
      </c>
      <c r="Y258" s="110">
        <v>1367804.16</v>
      </c>
      <c r="Z258" s="210"/>
      <c r="AA258" s="210"/>
      <c r="AB258" s="210"/>
      <c r="AC258" s="88">
        <f>W258-X258</f>
        <v>0</v>
      </c>
      <c r="AD258" s="108"/>
      <c r="AE258" s="108"/>
      <c r="AF258" s="108"/>
      <c r="AG258" s="108">
        <f t="shared" si="90"/>
        <v>0</v>
      </c>
      <c r="AH258" s="113">
        <v>1500822</v>
      </c>
      <c r="AI258" s="114">
        <v>1367804.16</v>
      </c>
      <c r="AJ258" s="114">
        <v>0</v>
      </c>
      <c r="AK258" s="114">
        <v>0</v>
      </c>
    </row>
    <row r="259" spans="1:37" ht="14.25" thickTop="1" thickBot="1" x14ac:dyDescent="0.25">
      <c r="A259" s="174"/>
      <c r="B259" s="82" t="s">
        <v>432</v>
      </c>
      <c r="C259" s="175"/>
      <c r="D259" s="175"/>
      <c r="E259" s="175"/>
      <c r="F259" s="176" t="s">
        <v>670</v>
      </c>
      <c r="G259" s="84">
        <f>SUM(G260:G262)</f>
        <v>428549569</v>
      </c>
      <c r="H259" s="85">
        <f>SUM(H260:H262)</f>
        <v>428549569</v>
      </c>
      <c r="I259" s="85">
        <f>SUM(I260:I262)</f>
        <v>441238751</v>
      </c>
      <c r="J259" s="84">
        <f>SUM(J260:J262)</f>
        <v>441238751</v>
      </c>
      <c r="K259" s="84">
        <f t="shared" ref="K259:AB259" si="113">SUM(K260:K262)</f>
        <v>38389353</v>
      </c>
      <c r="L259" s="84">
        <f t="shared" si="113"/>
        <v>38389353</v>
      </c>
      <c r="M259" s="84">
        <f t="shared" si="113"/>
        <v>38389353</v>
      </c>
      <c r="N259" s="126">
        <f t="shared" si="113"/>
        <v>38389353</v>
      </c>
      <c r="O259" s="126">
        <f t="shared" si="113"/>
        <v>38389353</v>
      </c>
      <c r="P259" s="126">
        <f t="shared" si="113"/>
        <v>38389353</v>
      </c>
      <c r="Q259" s="126">
        <f t="shared" si="113"/>
        <v>38389353</v>
      </c>
      <c r="R259" s="126">
        <f t="shared" si="113"/>
        <v>38389353</v>
      </c>
      <c r="S259" s="126">
        <f t="shared" si="113"/>
        <v>38389353</v>
      </c>
      <c r="T259" s="126">
        <f t="shared" si="113"/>
        <v>38389357</v>
      </c>
      <c r="U259" s="126">
        <f t="shared" si="113"/>
        <v>28672611</v>
      </c>
      <c r="V259" s="126">
        <f t="shared" si="113"/>
        <v>28672606</v>
      </c>
      <c r="W259" s="258">
        <f t="shared" si="113"/>
        <v>441238751</v>
      </c>
      <c r="X259" s="258">
        <f t="shared" si="113"/>
        <v>441238751</v>
      </c>
      <c r="Y259" s="259">
        <f t="shared" si="113"/>
        <v>441238751</v>
      </c>
      <c r="Z259" s="258">
        <f t="shared" si="113"/>
        <v>420889199.38999999</v>
      </c>
      <c r="AA259" s="258">
        <f t="shared" si="113"/>
        <v>37832588</v>
      </c>
      <c r="AB259" s="258">
        <f t="shared" si="113"/>
        <v>37832588</v>
      </c>
      <c r="AC259" s="88">
        <f>W259-X259</f>
        <v>0</v>
      </c>
      <c r="AD259" s="84">
        <f>SUM(AD260:AD263)</f>
        <v>434802418</v>
      </c>
      <c r="AE259" s="84">
        <f>SUM(AE260:AE263)</f>
        <v>151330352</v>
      </c>
      <c r="AF259" s="84">
        <f>SUM(AF260:AF263)</f>
        <v>437558418</v>
      </c>
      <c r="AG259" s="84">
        <f>SUM(AG260:AG263)</f>
        <v>2756000</v>
      </c>
      <c r="AH259" s="135"/>
      <c r="AI259" s="259">
        <f>SUM(AI260:AI262)</f>
        <v>441238751</v>
      </c>
      <c r="AJ259" s="259">
        <f>SUM(AJ260:AJ263)</f>
        <v>436957166.49000001</v>
      </c>
      <c r="AK259" s="259">
        <f>SUM(AK260:AK263)</f>
        <v>436902418</v>
      </c>
    </row>
    <row r="260" spans="1:37" ht="27" thickTop="1" thickBot="1" x14ac:dyDescent="0.25">
      <c r="A260" s="101"/>
      <c r="B260" s="102"/>
      <c r="C260" s="103">
        <v>1</v>
      </c>
      <c r="D260" s="103">
        <v>1</v>
      </c>
      <c r="E260" s="177">
        <v>820101</v>
      </c>
      <c r="F260" s="105" t="s">
        <v>671</v>
      </c>
      <c r="G260" s="108">
        <v>94032320</v>
      </c>
      <c r="H260" s="131">
        <v>94032320</v>
      </c>
      <c r="I260" s="131">
        <v>97167424</v>
      </c>
      <c r="J260" s="97">
        <v>97167424</v>
      </c>
      <c r="K260" s="115">
        <v>9716742</v>
      </c>
      <c r="L260" s="145">
        <v>9716742</v>
      </c>
      <c r="M260" s="115">
        <v>9716742</v>
      </c>
      <c r="N260" s="115">
        <v>9716742</v>
      </c>
      <c r="O260" s="178">
        <v>9716742</v>
      </c>
      <c r="P260" s="117">
        <v>9716742</v>
      </c>
      <c r="Q260" s="122">
        <v>9716742</v>
      </c>
      <c r="R260" s="122">
        <v>9716742</v>
      </c>
      <c r="S260" s="122">
        <v>9716742</v>
      </c>
      <c r="T260" s="122">
        <f>9716742+4</f>
        <v>9716746</v>
      </c>
      <c r="U260" s="122">
        <v>0</v>
      </c>
      <c r="V260" s="122">
        <v>0</v>
      </c>
      <c r="W260" s="119">
        <f>SUM(K260:V260)</f>
        <v>97167424</v>
      </c>
      <c r="X260" s="108">
        <f>W260</f>
        <v>97167424</v>
      </c>
      <c r="Y260" s="110">
        <v>97167424</v>
      </c>
      <c r="Z260" s="111">
        <v>92989224.760000005</v>
      </c>
      <c r="AA260" s="111">
        <v>9594314</v>
      </c>
      <c r="AB260" s="123">
        <v>9594314</v>
      </c>
      <c r="AC260" s="88">
        <f>W260-X260</f>
        <v>0</v>
      </c>
      <c r="AD260" s="112">
        <v>95943134</v>
      </c>
      <c r="AE260" s="121">
        <v>38377256</v>
      </c>
      <c r="AF260" s="112">
        <v>95943134</v>
      </c>
      <c r="AG260" s="112">
        <f>AF260-AD260</f>
        <v>0</v>
      </c>
      <c r="AH260" s="113">
        <v>2510122</v>
      </c>
      <c r="AI260" s="114">
        <v>97167424</v>
      </c>
      <c r="AJ260" s="114">
        <v>95943134</v>
      </c>
      <c r="AK260" s="114">
        <v>95943134</v>
      </c>
    </row>
    <row r="261" spans="1:37" ht="15" x14ac:dyDescent="0.2">
      <c r="A261" s="101"/>
      <c r="B261" s="102"/>
      <c r="C261" s="103"/>
      <c r="D261" s="103"/>
      <c r="E261" s="177">
        <v>820102</v>
      </c>
      <c r="F261" s="105" t="s">
        <v>672</v>
      </c>
      <c r="G261" s="108"/>
      <c r="H261" s="131"/>
      <c r="I261" s="131"/>
      <c r="J261" s="97"/>
      <c r="K261" s="115"/>
      <c r="L261" s="260"/>
      <c r="M261" s="115"/>
      <c r="N261" s="115"/>
      <c r="O261" s="178"/>
      <c r="P261" s="117"/>
      <c r="Q261" s="122"/>
      <c r="R261" s="122"/>
      <c r="S261" s="122"/>
      <c r="T261" s="122"/>
      <c r="U261" s="122"/>
      <c r="V261" s="122"/>
      <c r="W261" s="119"/>
      <c r="X261" s="108"/>
      <c r="Y261" s="110"/>
      <c r="Z261" s="111"/>
      <c r="AA261" s="111"/>
      <c r="AB261" s="123"/>
      <c r="AC261" s="88"/>
      <c r="AD261" s="112"/>
      <c r="AE261" s="121"/>
      <c r="AF261" s="112">
        <v>1306000</v>
      </c>
      <c r="AG261" s="112">
        <f>AF261-AD261</f>
        <v>1306000</v>
      </c>
      <c r="AH261" s="113">
        <v>2510122</v>
      </c>
      <c r="AI261" s="114">
        <v>0</v>
      </c>
      <c r="AJ261" s="114">
        <v>767465.85</v>
      </c>
      <c r="AK261" s="322">
        <v>700000</v>
      </c>
    </row>
    <row r="262" spans="1:37" ht="27" thickTop="1" thickBot="1" x14ac:dyDescent="0.25">
      <c r="A262" s="101"/>
      <c r="B262" s="102"/>
      <c r="C262" s="103">
        <v>2</v>
      </c>
      <c r="D262" s="103">
        <v>1</v>
      </c>
      <c r="E262" s="177">
        <v>820201</v>
      </c>
      <c r="F262" s="105" t="s">
        <v>673</v>
      </c>
      <c r="G262" s="108">
        <v>334517249</v>
      </c>
      <c r="H262" s="131">
        <v>334517249</v>
      </c>
      <c r="I262" s="131">
        <v>344071327</v>
      </c>
      <c r="J262" s="97">
        <v>344071327</v>
      </c>
      <c r="K262" s="115">
        <v>28672611</v>
      </c>
      <c r="L262" s="186">
        <v>28672611</v>
      </c>
      <c r="M262" s="115">
        <v>28672611</v>
      </c>
      <c r="N262" s="115">
        <v>28672611</v>
      </c>
      <c r="O262" s="178">
        <v>28672611</v>
      </c>
      <c r="P262" s="117">
        <v>28672611</v>
      </c>
      <c r="Q262" s="122">
        <v>28672611</v>
      </c>
      <c r="R262" s="122">
        <v>28672611</v>
      </c>
      <c r="S262" s="122">
        <v>28672611</v>
      </c>
      <c r="T262" s="122">
        <v>28672611</v>
      </c>
      <c r="U262" s="122">
        <v>28672611</v>
      </c>
      <c r="V262" s="122">
        <f>28672611-5</f>
        <v>28672606</v>
      </c>
      <c r="W262" s="119">
        <f>SUM(K262:V262)</f>
        <v>344071327</v>
      </c>
      <c r="X262" s="108">
        <f>W262</f>
        <v>344071327</v>
      </c>
      <c r="Y262" s="110">
        <v>344071327</v>
      </c>
      <c r="Z262" s="111">
        <v>327899974.63</v>
      </c>
      <c r="AA262" s="111">
        <v>28238274</v>
      </c>
      <c r="AB262" s="123">
        <v>28238274</v>
      </c>
      <c r="AC262" s="88">
        <f>W262-X262</f>
        <v>0</v>
      </c>
      <c r="AD262" s="112">
        <v>338859284</v>
      </c>
      <c r="AE262" s="121">
        <v>112953096</v>
      </c>
      <c r="AF262" s="112">
        <v>338859284</v>
      </c>
      <c r="AG262" s="112">
        <f>AF262-AD262</f>
        <v>0</v>
      </c>
      <c r="AH262" s="113">
        <v>2510222</v>
      </c>
      <c r="AI262" s="114">
        <v>344071327</v>
      </c>
      <c r="AJ262" s="114">
        <v>338859284</v>
      </c>
      <c r="AK262" s="114">
        <v>338859284</v>
      </c>
    </row>
    <row r="263" spans="1:37" ht="15" x14ac:dyDescent="0.2">
      <c r="A263" s="101"/>
      <c r="B263" s="102"/>
      <c r="C263" s="103"/>
      <c r="D263" s="103"/>
      <c r="E263" s="177">
        <v>820202</v>
      </c>
      <c r="F263" s="105" t="s">
        <v>674</v>
      </c>
      <c r="G263" s="108"/>
      <c r="H263" s="131"/>
      <c r="I263" s="131"/>
      <c r="J263" s="97"/>
      <c r="K263" s="115"/>
      <c r="L263" s="186"/>
      <c r="M263" s="115"/>
      <c r="N263" s="115"/>
      <c r="O263" s="178"/>
      <c r="P263" s="117"/>
      <c r="Q263" s="122"/>
      <c r="R263" s="122"/>
      <c r="S263" s="122"/>
      <c r="T263" s="122"/>
      <c r="U263" s="122"/>
      <c r="V263" s="122"/>
      <c r="W263" s="119"/>
      <c r="X263" s="108"/>
      <c r="Y263" s="110"/>
      <c r="Z263" s="187"/>
      <c r="AA263" s="187"/>
      <c r="AB263" s="184"/>
      <c r="AC263" s="88"/>
      <c r="AD263" s="112"/>
      <c r="AE263" s="121"/>
      <c r="AF263" s="112">
        <v>1450000</v>
      </c>
      <c r="AG263" s="112">
        <f>AF263-AD263</f>
        <v>1450000</v>
      </c>
      <c r="AH263" s="113">
        <v>2510222</v>
      </c>
      <c r="AI263" s="114">
        <v>0</v>
      </c>
      <c r="AJ263" s="114">
        <v>1387282.64</v>
      </c>
      <c r="AK263" s="114">
        <v>1400000</v>
      </c>
    </row>
    <row r="264" spans="1:37" ht="14.25" customHeight="1" thickTop="1" thickBot="1" x14ac:dyDescent="0.25">
      <c r="A264" s="174"/>
      <c r="B264" s="82" t="s">
        <v>461</v>
      </c>
      <c r="C264" s="175"/>
      <c r="D264" s="175"/>
      <c r="E264" s="175"/>
      <c r="F264" s="176" t="s">
        <v>675</v>
      </c>
      <c r="G264" s="84">
        <f>G265+G269</f>
        <v>107823267.10000001</v>
      </c>
      <c r="H264" s="85">
        <f>H265+H269</f>
        <v>46024175</v>
      </c>
      <c r="I264" s="85">
        <f>I265+I269</f>
        <v>206210353.61000001</v>
      </c>
      <c r="J264" s="84">
        <f>J265+J269</f>
        <v>206210353.61000001</v>
      </c>
      <c r="K264" s="84">
        <f t="shared" ref="K264:AB264" si="114">K265+K269</f>
        <v>742878</v>
      </c>
      <c r="L264" s="84">
        <f t="shared" si="114"/>
        <v>3882750.18</v>
      </c>
      <c r="M264" s="84">
        <f t="shared" si="114"/>
        <v>18482725.120000001</v>
      </c>
      <c r="N264" s="126">
        <f t="shared" si="114"/>
        <v>13770842.4</v>
      </c>
      <c r="O264" s="126">
        <f t="shared" si="114"/>
        <v>87076872</v>
      </c>
      <c r="P264" s="126">
        <f t="shared" si="114"/>
        <v>25215467.899999999</v>
      </c>
      <c r="Q264" s="126">
        <f t="shared" si="114"/>
        <v>0</v>
      </c>
      <c r="R264" s="126">
        <f t="shared" si="114"/>
        <v>0</v>
      </c>
      <c r="S264" s="126">
        <f t="shared" si="114"/>
        <v>2133306.75</v>
      </c>
      <c r="T264" s="126">
        <f t="shared" si="114"/>
        <v>2133306.75</v>
      </c>
      <c r="U264" s="126">
        <f t="shared" si="114"/>
        <v>5576017.3499999996</v>
      </c>
      <c r="V264" s="126">
        <f t="shared" si="114"/>
        <v>121979751.56999999</v>
      </c>
      <c r="W264" s="258">
        <f t="shared" si="114"/>
        <v>272726994.24000001</v>
      </c>
      <c r="X264" s="258">
        <f t="shared" si="114"/>
        <v>272726994.24000001</v>
      </c>
      <c r="Y264" s="259">
        <f t="shared" si="114"/>
        <v>294955969.21000004</v>
      </c>
      <c r="Z264" s="258">
        <f t="shared" si="114"/>
        <v>86965637.820000008</v>
      </c>
      <c r="AA264" s="258">
        <f t="shared" si="114"/>
        <v>85984.6</v>
      </c>
      <c r="AB264" s="258">
        <f t="shared" si="114"/>
        <v>22423050.169999998</v>
      </c>
      <c r="AC264" s="88">
        <f t="shared" ref="AC264:AC328" si="115">W264-X264</f>
        <v>0</v>
      </c>
      <c r="AD264" s="126">
        <f>AD265+AD269</f>
        <v>207693507.04000002</v>
      </c>
      <c r="AE264" s="126">
        <f>AE265+AE269</f>
        <v>44552451.630000003</v>
      </c>
      <c r="AF264" s="84">
        <f>AF265+AF269</f>
        <v>228160960.76999998</v>
      </c>
      <c r="AG264" s="126">
        <f>AF264-AD264</f>
        <v>20467453.729999959</v>
      </c>
      <c r="AH264" s="135"/>
      <c r="AI264" s="259">
        <f>AI265+AI269+AI359+AI361</f>
        <v>294955969.21000004</v>
      </c>
      <c r="AJ264" s="259">
        <f>AJ265+AJ269+AJ359+AJ361</f>
        <v>229428622.45999998</v>
      </c>
      <c r="AK264" s="259">
        <f>AK265+AK269+AK359+AK361</f>
        <v>32200293.350000001</v>
      </c>
    </row>
    <row r="265" spans="1:37" ht="14.25" customHeight="1" thickTop="1" thickBot="1" x14ac:dyDescent="0.25">
      <c r="A265" s="127"/>
      <c r="B265" s="128"/>
      <c r="C265" s="166">
        <v>1</v>
      </c>
      <c r="D265" s="166"/>
      <c r="E265" s="166"/>
      <c r="F265" s="167" t="s">
        <v>676</v>
      </c>
      <c r="G265" s="108">
        <f>G266+G267</f>
        <v>23133672</v>
      </c>
      <c r="H265" s="131">
        <f>H266</f>
        <v>18424175</v>
      </c>
      <c r="I265" s="131">
        <f>I266</f>
        <v>17213553</v>
      </c>
      <c r="J265" s="97">
        <f>J266+J268</f>
        <v>17213553</v>
      </c>
      <c r="K265" s="97">
        <f t="shared" ref="K265:AB265" si="116">K266</f>
        <v>0</v>
      </c>
      <c r="L265" s="97">
        <f t="shared" si="116"/>
        <v>0</v>
      </c>
      <c r="M265" s="97">
        <f t="shared" si="116"/>
        <v>0</v>
      </c>
      <c r="N265" s="97">
        <f t="shared" si="116"/>
        <v>13770842.4</v>
      </c>
      <c r="O265" s="97">
        <f t="shared" si="116"/>
        <v>0</v>
      </c>
      <c r="P265" s="97">
        <f t="shared" si="116"/>
        <v>0</v>
      </c>
      <c r="Q265" s="97">
        <f t="shared" si="116"/>
        <v>0</v>
      </c>
      <c r="R265" s="97">
        <f t="shared" si="116"/>
        <v>0</v>
      </c>
      <c r="S265" s="97">
        <f t="shared" si="116"/>
        <v>0</v>
      </c>
      <c r="T265" s="97">
        <f t="shared" si="116"/>
        <v>0</v>
      </c>
      <c r="U265" s="97">
        <f t="shared" si="116"/>
        <v>3442710.5999999996</v>
      </c>
      <c r="V265" s="97">
        <f t="shared" si="116"/>
        <v>0</v>
      </c>
      <c r="W265" s="134">
        <f t="shared" si="116"/>
        <v>17213553</v>
      </c>
      <c r="X265" s="134">
        <f t="shared" si="116"/>
        <v>17213553</v>
      </c>
      <c r="Y265" s="133">
        <f t="shared" si="116"/>
        <v>17213553</v>
      </c>
      <c r="Z265" s="134">
        <f t="shared" si="116"/>
        <v>0</v>
      </c>
      <c r="AA265" s="134">
        <f t="shared" si="116"/>
        <v>0</v>
      </c>
      <c r="AB265" s="134">
        <f t="shared" si="116"/>
        <v>0</v>
      </c>
      <c r="AC265" s="88">
        <f t="shared" si="115"/>
        <v>0</v>
      </c>
      <c r="AD265" s="134">
        <f>AD266</f>
        <v>0</v>
      </c>
      <c r="AE265" s="134">
        <f>AE266</f>
        <v>0</v>
      </c>
      <c r="AF265" s="134">
        <f>AF266</f>
        <v>0</v>
      </c>
      <c r="AG265" s="134"/>
      <c r="AH265" s="168"/>
      <c r="AI265" s="133">
        <f t="shared" ref="AI265:AK265" si="117">AI266</f>
        <v>17213553</v>
      </c>
      <c r="AJ265" s="133">
        <f t="shared" si="117"/>
        <v>0</v>
      </c>
      <c r="AK265" s="133">
        <f t="shared" si="117"/>
        <v>0</v>
      </c>
    </row>
    <row r="266" spans="1:37" ht="14.25" customHeight="1" thickTop="1" thickBot="1" x14ac:dyDescent="0.25">
      <c r="A266" s="101"/>
      <c r="B266" s="102"/>
      <c r="C266" s="103"/>
      <c r="D266" s="103">
        <v>1</v>
      </c>
      <c r="E266" s="104">
        <v>830101</v>
      </c>
      <c r="F266" s="105" t="s">
        <v>677</v>
      </c>
      <c r="G266" s="108">
        <v>18133672</v>
      </c>
      <c r="H266" s="107">
        <v>18424175</v>
      </c>
      <c r="I266" s="107">
        <v>17213553</v>
      </c>
      <c r="J266" s="108">
        <v>17213553</v>
      </c>
      <c r="K266" s="108">
        <v>0</v>
      </c>
      <c r="L266" s="108">
        <v>0</v>
      </c>
      <c r="M266" s="108"/>
      <c r="N266" s="160">
        <v>13770842.4</v>
      </c>
      <c r="O266" s="115"/>
      <c r="P266" s="240"/>
      <c r="Q266" s="261"/>
      <c r="R266" s="261"/>
      <c r="S266" s="261"/>
      <c r="T266" s="261"/>
      <c r="U266" s="261">
        <v>3442710.5999999996</v>
      </c>
      <c r="V266" s="261"/>
      <c r="W266" s="119">
        <f>SUM(K266:V266)</f>
        <v>17213553</v>
      </c>
      <c r="X266" s="108">
        <f>W266</f>
        <v>17213553</v>
      </c>
      <c r="Y266" s="110">
        <v>17213553</v>
      </c>
      <c r="Z266" s="108"/>
      <c r="AA266" s="108"/>
      <c r="AB266" s="108"/>
      <c r="AC266" s="88">
        <f t="shared" si="115"/>
        <v>0</v>
      </c>
      <c r="AD266" s="108"/>
      <c r="AE266" s="108"/>
      <c r="AF266" s="108"/>
      <c r="AG266" s="108"/>
      <c r="AH266" s="113">
        <v>1500621</v>
      </c>
      <c r="AI266" s="114">
        <v>17213553</v>
      </c>
      <c r="AJ266" s="114">
        <v>0</v>
      </c>
      <c r="AK266" s="114">
        <v>0</v>
      </c>
    </row>
    <row r="267" spans="1:37" ht="30.75" customHeight="1" thickTop="1" thickBot="1" x14ac:dyDescent="0.25">
      <c r="A267" s="101"/>
      <c r="B267" s="102"/>
      <c r="C267" s="103"/>
      <c r="D267" s="103">
        <v>2</v>
      </c>
      <c r="E267" s="177">
        <v>830102</v>
      </c>
      <c r="F267" s="105" t="s">
        <v>678</v>
      </c>
      <c r="G267" s="108">
        <v>5000000</v>
      </c>
      <c r="H267" s="107"/>
      <c r="I267" s="107"/>
      <c r="J267" s="106"/>
      <c r="K267" s="108"/>
      <c r="L267" s="108"/>
      <c r="M267" s="108"/>
      <c r="N267" s="243"/>
      <c r="O267" s="243"/>
      <c r="P267" s="243"/>
      <c r="Q267" s="262"/>
      <c r="R267" s="262"/>
      <c r="S267" s="262"/>
      <c r="T267" s="262"/>
      <c r="U267" s="262"/>
      <c r="V267" s="262"/>
      <c r="W267" s="108"/>
      <c r="X267" s="108">
        <f>W267</f>
        <v>0</v>
      </c>
      <c r="Y267" s="110"/>
      <c r="Z267" s="108"/>
      <c r="AA267" s="108"/>
      <c r="AB267" s="108"/>
      <c r="AC267" s="88">
        <f t="shared" si="115"/>
        <v>0</v>
      </c>
      <c r="AD267" s="108"/>
      <c r="AE267" s="108"/>
      <c r="AF267" s="108"/>
      <c r="AG267" s="108"/>
      <c r="AH267" s="113"/>
      <c r="AI267" s="133"/>
      <c r="AJ267" s="133"/>
      <c r="AK267" s="133"/>
    </row>
    <row r="268" spans="1:37" ht="25.5" customHeight="1" thickTop="1" thickBot="1" x14ac:dyDescent="0.25">
      <c r="A268" s="101"/>
      <c r="B268" s="102"/>
      <c r="C268" s="103"/>
      <c r="D268" s="103"/>
      <c r="E268" s="177">
        <v>830103</v>
      </c>
      <c r="F268" s="105" t="s">
        <v>679</v>
      </c>
      <c r="G268" s="108"/>
      <c r="H268" s="107"/>
      <c r="I268" s="107"/>
      <c r="J268" s="108"/>
      <c r="K268" s="108"/>
      <c r="L268" s="106"/>
      <c r="M268" s="106"/>
      <c r="N268" s="243"/>
      <c r="O268" s="243"/>
      <c r="P268" s="243"/>
      <c r="Q268" s="262"/>
      <c r="R268" s="262"/>
      <c r="S268" s="262"/>
      <c r="T268" s="262"/>
      <c r="U268" s="262"/>
      <c r="V268" s="262"/>
      <c r="W268" s="108"/>
      <c r="X268" s="108">
        <f>W268</f>
        <v>0</v>
      </c>
      <c r="Y268" s="110"/>
      <c r="Z268" s="108"/>
      <c r="AA268" s="108"/>
      <c r="AB268" s="108"/>
      <c r="AC268" s="88">
        <f t="shared" si="115"/>
        <v>0</v>
      </c>
      <c r="AD268" s="108"/>
      <c r="AE268" s="108"/>
      <c r="AF268" s="108"/>
      <c r="AG268" s="108"/>
      <c r="AH268" s="263"/>
      <c r="AI268" s="259"/>
      <c r="AJ268" s="259"/>
      <c r="AK268" s="259"/>
    </row>
    <row r="269" spans="1:37" ht="14.25" thickTop="1" thickBot="1" x14ac:dyDescent="0.25">
      <c r="A269" s="127"/>
      <c r="B269" s="128"/>
      <c r="C269" s="129">
        <v>3</v>
      </c>
      <c r="D269" s="129"/>
      <c r="E269" s="129"/>
      <c r="F269" s="130" t="s">
        <v>680</v>
      </c>
      <c r="G269" s="108">
        <f>G270+G271+G273+G274+G275+G276+G277+G278+G279+G280+G281+G284+G286+G287+G288+G289+G290+G291+G292+G293+G294+G295+G296+G297+G298+G299+G300+G301+G302+G303+G304+G305+G306+G307+G308+G310+G312</f>
        <v>84689595.100000009</v>
      </c>
      <c r="H269" s="97">
        <f t="shared" ref="H269:O269" si="118">H270+H271+H273+H274+H275+H276+H277+H278+H279+H284+H280+H281+H305+H307+H289+H315+H316+H317+H318</f>
        <v>27600000</v>
      </c>
      <c r="I269" s="97">
        <f t="shared" si="118"/>
        <v>188996800.61000001</v>
      </c>
      <c r="J269" s="97">
        <f t="shared" si="118"/>
        <v>188996800.61000001</v>
      </c>
      <c r="K269" s="97">
        <f t="shared" si="118"/>
        <v>742878</v>
      </c>
      <c r="L269" s="97">
        <f t="shared" si="118"/>
        <v>3882750.18</v>
      </c>
      <c r="M269" s="97">
        <f t="shared" si="118"/>
        <v>18482725.120000001</v>
      </c>
      <c r="N269" s="97">
        <f t="shared" si="118"/>
        <v>0</v>
      </c>
      <c r="O269" s="97">
        <f t="shared" si="118"/>
        <v>87076872</v>
      </c>
      <c r="P269" s="97">
        <f>P270+P271+P273+P274+P275+P276+P277+P278+P279+P284+P280+P281+P324+P307+P289+P315+P316+P317+P318</f>
        <v>25215467.899999999</v>
      </c>
      <c r="Q269" s="97">
        <f>Q270+Q271+Q273+Q274+Q275+Q276+Q277+Q278+Q279+Q284+Q280+Q281+Q305+Q307+Q289+Q315+Q316+Q317+Q318</f>
        <v>0</v>
      </c>
      <c r="R269" s="97">
        <f>R270+R271+R273+R274+R275+R276+R277+R278+R279+R284+R280+R281+R305+R307+R289+R315+R316+R317+R318</f>
        <v>0</v>
      </c>
      <c r="S269" s="97">
        <f>S270+S271+S273+S274+S275+S276+S277+S278+S279+S284+S280+S281+S305+S307+S289+S315+S316+S317+S318</f>
        <v>2133306.75</v>
      </c>
      <c r="T269" s="97">
        <f>T270+T271+T273+T274+T275+T276+T277+T278+T279+T284+T280+T281+T305+T307+T289+T315+T316+T317+T318</f>
        <v>2133306.75</v>
      </c>
      <c r="U269" s="97">
        <f>U270+U271+U273+U274+U275+U276+U277+U278+U279+U284+U280+U281+U305+U307+U289+U315+U316+U317+U318</f>
        <v>2133306.75</v>
      </c>
      <c r="V269" s="97">
        <f>+V283+V282+V270+V271+V273+V274+V275+V276+V277+V278+V279+V284+V280+V281+V305+V307+V289+V315+V316+V317+V318+V321+V322+V323+V324+V325+V329</f>
        <v>121979751.56999999</v>
      </c>
      <c r="W269" s="134">
        <f>SUM(W270:W329)</f>
        <v>255513441.24000001</v>
      </c>
      <c r="X269" s="134">
        <f>SUM(X270:X329)</f>
        <v>255513441.24000001</v>
      </c>
      <c r="Y269" s="133">
        <f>SUM(Y270:Y360)</f>
        <v>277742416.21000004</v>
      </c>
      <c r="Z269" s="134">
        <f>SUM(Z270:Z360)</f>
        <v>86965637.820000008</v>
      </c>
      <c r="AA269" s="134">
        <f>SUM(AA270:AA360)</f>
        <v>85984.6</v>
      </c>
      <c r="AB269" s="134">
        <f>SUM(AB270:AB360)</f>
        <v>22423050.169999998</v>
      </c>
      <c r="AC269" s="88">
        <f t="shared" si="115"/>
        <v>0</v>
      </c>
      <c r="AD269" s="132">
        <f>SUM(AD270:AD360)</f>
        <v>207693507.04000002</v>
      </c>
      <c r="AE269" s="132">
        <f>SUM(AE270:AE360)</f>
        <v>44552451.630000003</v>
      </c>
      <c r="AF269" s="132">
        <f>SUM(AF270:AF360)</f>
        <v>228160960.76999998</v>
      </c>
      <c r="AG269" s="132">
        <f>AF269-AD269</f>
        <v>20467453.729999959</v>
      </c>
      <c r="AH269" s="135"/>
      <c r="AI269" s="133">
        <f>SUM(AI270:AI358)</f>
        <v>276973551.33000004</v>
      </c>
      <c r="AJ269" s="133">
        <f>SUM(AJ270:AJ358)</f>
        <v>228340722.45999998</v>
      </c>
      <c r="AK269" s="133">
        <f>SUM(AK270:AK358)</f>
        <v>31112393.350000001</v>
      </c>
    </row>
    <row r="270" spans="1:37" ht="14.25" customHeight="1" thickTop="1" thickBot="1" x14ac:dyDescent="0.25">
      <c r="A270" s="101"/>
      <c r="B270" s="102"/>
      <c r="C270" s="103"/>
      <c r="D270" s="103">
        <v>1</v>
      </c>
      <c r="E270" s="104">
        <v>830301</v>
      </c>
      <c r="F270" s="105" t="s">
        <v>681</v>
      </c>
      <c r="G270" s="108">
        <v>727893.24</v>
      </c>
      <c r="H270" s="107">
        <v>1000000</v>
      </c>
      <c r="I270" s="107">
        <v>1000000</v>
      </c>
      <c r="J270" s="108">
        <v>1000000</v>
      </c>
      <c r="K270" s="108">
        <v>0</v>
      </c>
      <c r="L270" s="106">
        <v>0</v>
      </c>
      <c r="M270" s="106">
        <v>0</v>
      </c>
      <c r="N270" s="106">
        <v>0</v>
      </c>
      <c r="O270" s="106"/>
      <c r="P270" s="106"/>
      <c r="Q270" s="106">
        <v>0</v>
      </c>
      <c r="R270" s="106">
        <v>0</v>
      </c>
      <c r="S270" s="262">
        <v>200000</v>
      </c>
      <c r="T270" s="262">
        <v>200000</v>
      </c>
      <c r="U270" s="262">
        <v>200000</v>
      </c>
      <c r="V270" s="262">
        <v>200000</v>
      </c>
      <c r="W270" s="119">
        <f>SUM(K270:V270)</f>
        <v>800000</v>
      </c>
      <c r="X270" s="108">
        <f>W270</f>
        <v>800000</v>
      </c>
      <c r="Y270" s="110"/>
      <c r="Z270" s="111">
        <v>800000</v>
      </c>
      <c r="AA270" s="111">
        <v>0</v>
      </c>
      <c r="AB270" s="111"/>
      <c r="AC270" s="88">
        <f t="shared" si="115"/>
        <v>0</v>
      </c>
      <c r="AD270" s="120">
        <v>800000</v>
      </c>
      <c r="AE270" s="120"/>
      <c r="AF270" s="112">
        <v>800000</v>
      </c>
      <c r="AG270" s="120"/>
      <c r="AH270" s="236">
        <v>1100122</v>
      </c>
      <c r="AI270" s="114">
        <v>0</v>
      </c>
      <c r="AJ270" s="114">
        <v>0</v>
      </c>
      <c r="AK270" s="114">
        <v>0</v>
      </c>
    </row>
    <row r="271" spans="1:37" ht="18" customHeight="1" thickTop="1" thickBot="1" x14ac:dyDescent="0.25">
      <c r="A271" s="101"/>
      <c r="B271" s="102"/>
      <c r="C271" s="103"/>
      <c r="D271" s="103">
        <v>2</v>
      </c>
      <c r="E271" s="104">
        <v>830302</v>
      </c>
      <c r="F271" s="105" t="s">
        <v>682</v>
      </c>
      <c r="G271" s="108">
        <v>13101648</v>
      </c>
      <c r="H271" s="107">
        <v>15000000</v>
      </c>
      <c r="I271" s="107">
        <v>15000000</v>
      </c>
      <c r="J271" s="108">
        <f>H271</f>
        <v>15000000</v>
      </c>
      <c r="K271" s="115">
        <v>742878</v>
      </c>
      <c r="L271" s="145">
        <v>1846667</v>
      </c>
      <c r="M271" s="115">
        <v>4677228</v>
      </c>
      <c r="N271" s="115">
        <v>0</v>
      </c>
      <c r="O271" s="115"/>
      <c r="P271" s="240"/>
      <c r="Q271" s="122">
        <v>0</v>
      </c>
      <c r="R271" s="122">
        <v>0</v>
      </c>
      <c r="S271" s="122">
        <v>1933306.75</v>
      </c>
      <c r="T271" s="122">
        <v>1933306.75</v>
      </c>
      <c r="U271" s="122">
        <v>1933306.75</v>
      </c>
      <c r="V271" s="122">
        <v>1933306.75</v>
      </c>
      <c r="W271" s="119">
        <f>SUM(K271:V271)</f>
        <v>15000000</v>
      </c>
      <c r="X271" s="108">
        <f>W271</f>
        <v>15000000</v>
      </c>
      <c r="Y271" s="110">
        <v>7266773</v>
      </c>
      <c r="Z271" s="108"/>
      <c r="AA271" s="108"/>
      <c r="AB271" s="108"/>
      <c r="AC271" s="88">
        <f t="shared" si="115"/>
        <v>0</v>
      </c>
      <c r="AD271" s="108"/>
      <c r="AE271" s="108"/>
      <c r="AF271" s="108"/>
      <c r="AG271" s="108"/>
      <c r="AH271" s="113">
        <v>1500621</v>
      </c>
      <c r="AI271" s="114">
        <v>7266773</v>
      </c>
      <c r="AJ271" s="114">
        <v>0</v>
      </c>
      <c r="AK271" s="114">
        <v>0</v>
      </c>
    </row>
    <row r="272" spans="1:37" ht="16.5" customHeight="1" thickTop="1" thickBot="1" x14ac:dyDescent="0.25">
      <c r="A272" s="101"/>
      <c r="B272" s="102"/>
      <c r="C272" s="103"/>
      <c r="D272" s="103"/>
      <c r="E272" s="103"/>
      <c r="F272" s="105" t="s">
        <v>683</v>
      </c>
      <c r="G272" s="106"/>
      <c r="H272" s="107"/>
      <c r="I272" s="107"/>
      <c r="J272" s="106"/>
      <c r="K272" s="106"/>
      <c r="L272" s="106"/>
      <c r="M272" s="106"/>
      <c r="N272" s="243"/>
      <c r="O272" s="243"/>
      <c r="P272" s="243"/>
      <c r="Q272" s="262"/>
      <c r="R272" s="262"/>
      <c r="S272" s="262"/>
      <c r="T272" s="262"/>
      <c r="U272" s="262"/>
      <c r="V272" s="262"/>
      <c r="W272" s="108"/>
      <c r="X272" s="108"/>
      <c r="Y272" s="110"/>
      <c r="Z272" s="108"/>
      <c r="AA272" s="108"/>
      <c r="AB272" s="108"/>
      <c r="AC272" s="88">
        <f t="shared" si="115"/>
        <v>0</v>
      </c>
      <c r="AD272" s="108"/>
      <c r="AE272" s="108"/>
      <c r="AF272" s="108"/>
      <c r="AG272" s="108"/>
      <c r="AH272" s="113"/>
      <c r="AI272" s="110"/>
      <c r="AJ272" s="110"/>
      <c r="AK272" s="110"/>
    </row>
    <row r="273" spans="1:37" ht="14.25" customHeight="1" thickTop="1" thickBot="1" x14ac:dyDescent="0.25">
      <c r="A273" s="224"/>
      <c r="B273" s="225"/>
      <c r="C273" s="226"/>
      <c r="D273" s="226"/>
      <c r="E273" s="104">
        <v>830303</v>
      </c>
      <c r="F273" s="227" t="s">
        <v>163</v>
      </c>
      <c r="G273" s="106"/>
      <c r="H273" s="228">
        <v>200000</v>
      </c>
      <c r="I273" s="228">
        <v>200000</v>
      </c>
      <c r="J273" s="232">
        <v>200000</v>
      </c>
      <c r="K273" s="229"/>
      <c r="L273" s="229"/>
      <c r="M273" s="229"/>
      <c r="N273" s="229"/>
      <c r="O273" s="229"/>
      <c r="P273" s="229"/>
      <c r="Q273" s="264"/>
      <c r="R273" s="264"/>
      <c r="S273" s="264"/>
      <c r="T273" s="264"/>
      <c r="U273" s="264"/>
      <c r="V273" s="230">
        <v>0</v>
      </c>
      <c r="W273" s="119">
        <f t="shared" ref="W273:X317" si="119">SUM(K273:V273)</f>
        <v>0</v>
      </c>
      <c r="X273" s="108">
        <f t="shared" ref="X273:X284" si="120">W273</f>
        <v>0</v>
      </c>
      <c r="Y273" s="110"/>
      <c r="Z273" s="108"/>
      <c r="AA273" s="108"/>
      <c r="AB273" s="108"/>
      <c r="AC273" s="88">
        <f t="shared" si="115"/>
        <v>0</v>
      </c>
      <c r="AD273" s="108"/>
      <c r="AE273" s="108"/>
      <c r="AF273" s="108"/>
      <c r="AG273" s="108"/>
      <c r="AH273" s="231"/>
      <c r="AI273" s="110"/>
      <c r="AJ273" s="110"/>
      <c r="AK273" s="110"/>
    </row>
    <row r="274" spans="1:37" ht="14.25" customHeight="1" thickTop="1" thickBot="1" x14ac:dyDescent="0.25">
      <c r="A274" s="224"/>
      <c r="B274" s="225"/>
      <c r="C274" s="226"/>
      <c r="D274" s="226"/>
      <c r="E274" s="104">
        <v>830304</v>
      </c>
      <c r="F274" s="227" t="s">
        <v>172</v>
      </c>
      <c r="G274" s="106"/>
      <c r="H274" s="228">
        <v>500000</v>
      </c>
      <c r="I274" s="228"/>
      <c r="J274" s="232"/>
      <c r="K274" s="229"/>
      <c r="L274" s="229"/>
      <c r="M274" s="229"/>
      <c r="N274" s="229"/>
      <c r="O274" s="229"/>
      <c r="P274" s="229"/>
      <c r="Q274" s="264"/>
      <c r="R274" s="264"/>
      <c r="S274" s="264"/>
      <c r="T274" s="264"/>
      <c r="U274" s="264"/>
      <c r="V274" s="264"/>
      <c r="W274" s="119">
        <f t="shared" si="119"/>
        <v>0</v>
      </c>
      <c r="X274" s="108">
        <f t="shared" si="120"/>
        <v>0</v>
      </c>
      <c r="Y274" s="110"/>
      <c r="Z274" s="108"/>
      <c r="AA274" s="108"/>
      <c r="AB274" s="108"/>
      <c r="AC274" s="88">
        <f t="shared" si="115"/>
        <v>0</v>
      </c>
      <c r="AD274" s="108"/>
      <c r="AE274" s="108"/>
      <c r="AF274" s="108"/>
      <c r="AG274" s="108"/>
      <c r="AH274" s="231"/>
      <c r="AI274" s="110"/>
      <c r="AJ274" s="110"/>
      <c r="AK274" s="110"/>
    </row>
    <row r="275" spans="1:37" ht="14.25" customHeight="1" x14ac:dyDescent="0.2">
      <c r="A275" s="101"/>
      <c r="B275" s="102"/>
      <c r="C275" s="103"/>
      <c r="D275" s="103"/>
      <c r="E275" s="104">
        <v>830305</v>
      </c>
      <c r="F275" s="105" t="s">
        <v>684</v>
      </c>
      <c r="G275" s="119">
        <v>300000</v>
      </c>
      <c r="H275" s="265">
        <v>500000</v>
      </c>
      <c r="I275" s="266">
        <v>1500000</v>
      </c>
      <c r="J275" s="267">
        <v>1500000</v>
      </c>
      <c r="K275" s="265"/>
      <c r="L275" s="265"/>
      <c r="M275" s="268"/>
      <c r="N275" s="269"/>
      <c r="O275" s="119"/>
      <c r="P275" s="265"/>
      <c r="Q275" s="266"/>
      <c r="R275" s="267"/>
      <c r="S275" s="265"/>
      <c r="T275" s="265"/>
      <c r="U275" s="268"/>
      <c r="V275" s="269">
        <v>1500000</v>
      </c>
      <c r="W275" s="119">
        <f t="shared" si="119"/>
        <v>1500000</v>
      </c>
      <c r="X275" s="108">
        <f t="shared" si="120"/>
        <v>1500000</v>
      </c>
      <c r="Y275" s="110">
        <v>1625065</v>
      </c>
      <c r="Z275" s="111">
        <v>1800000</v>
      </c>
      <c r="AA275" s="111">
        <v>0</v>
      </c>
      <c r="AB275" s="111"/>
      <c r="AC275" s="88">
        <f t="shared" si="115"/>
        <v>0</v>
      </c>
      <c r="AD275" s="120">
        <v>1800000</v>
      </c>
      <c r="AE275" s="120"/>
      <c r="AF275" s="270">
        <v>1800000</v>
      </c>
      <c r="AG275" s="120">
        <f>AF275-AD275</f>
        <v>0</v>
      </c>
      <c r="AH275" s="113">
        <v>2610122</v>
      </c>
      <c r="AI275" s="114">
        <v>1625065</v>
      </c>
      <c r="AJ275" s="114">
        <v>1800000</v>
      </c>
      <c r="AK275" s="320">
        <v>1000000</v>
      </c>
    </row>
    <row r="276" spans="1:37" ht="14.25" customHeight="1" x14ac:dyDescent="0.2">
      <c r="A276" s="101"/>
      <c r="B276" s="102"/>
      <c r="C276" s="103"/>
      <c r="D276" s="103"/>
      <c r="E276" s="104">
        <v>830306</v>
      </c>
      <c r="F276" s="105" t="s">
        <v>685</v>
      </c>
      <c r="G276" s="119"/>
      <c r="H276" s="265">
        <v>2200000</v>
      </c>
      <c r="I276" s="266">
        <v>500000</v>
      </c>
      <c r="J276" s="267">
        <v>500000</v>
      </c>
      <c r="K276" s="265"/>
      <c r="L276" s="265"/>
      <c r="M276" s="268"/>
      <c r="N276" s="269"/>
      <c r="O276" s="119"/>
      <c r="P276" s="265"/>
      <c r="Q276" s="266"/>
      <c r="R276" s="267"/>
      <c r="S276" s="265"/>
      <c r="T276" s="265"/>
      <c r="U276" s="268"/>
      <c r="V276" s="269">
        <v>500000</v>
      </c>
      <c r="W276" s="119">
        <f t="shared" si="119"/>
        <v>500000</v>
      </c>
      <c r="X276" s="108">
        <f t="shared" si="120"/>
        <v>500000</v>
      </c>
      <c r="Y276" s="110">
        <v>494000</v>
      </c>
      <c r="Z276" s="111">
        <v>500000</v>
      </c>
      <c r="AA276" s="111">
        <v>0</v>
      </c>
      <c r="AB276" s="111"/>
      <c r="AC276" s="88">
        <f t="shared" si="115"/>
        <v>0</v>
      </c>
      <c r="AD276" s="120">
        <v>500000</v>
      </c>
      <c r="AE276" s="120"/>
      <c r="AF276" s="270">
        <v>500000</v>
      </c>
      <c r="AG276" s="120">
        <f>AF276-AD276</f>
        <v>0</v>
      </c>
      <c r="AH276" s="113">
        <v>2610122</v>
      </c>
      <c r="AI276" s="114">
        <v>494000</v>
      </c>
      <c r="AJ276" s="114">
        <v>500000</v>
      </c>
      <c r="AK276" s="320">
        <v>500000</v>
      </c>
    </row>
    <row r="277" spans="1:37" ht="14.25" customHeight="1" x14ac:dyDescent="0.2">
      <c r="A277" s="101"/>
      <c r="B277" s="102"/>
      <c r="C277" s="103"/>
      <c r="D277" s="103"/>
      <c r="E277" s="104">
        <v>830307</v>
      </c>
      <c r="F277" s="105" t="s">
        <v>165</v>
      </c>
      <c r="G277" s="119">
        <v>474240</v>
      </c>
      <c r="H277" s="265">
        <v>1000000</v>
      </c>
      <c r="I277" s="266">
        <v>1000000</v>
      </c>
      <c r="J277" s="267">
        <v>1000000</v>
      </c>
      <c r="K277" s="265"/>
      <c r="L277" s="265"/>
      <c r="M277" s="268"/>
      <c r="N277" s="269"/>
      <c r="O277" s="119"/>
      <c r="P277" s="265"/>
      <c r="Q277" s="266"/>
      <c r="R277" s="267"/>
      <c r="S277" s="265"/>
      <c r="T277" s="265"/>
      <c r="U277" s="268"/>
      <c r="V277" s="269">
        <v>500000</v>
      </c>
      <c r="W277" s="119">
        <f t="shared" si="119"/>
        <v>500000</v>
      </c>
      <c r="X277" s="108">
        <f t="shared" si="120"/>
        <v>500000</v>
      </c>
      <c r="Y277" s="110">
        <v>499800</v>
      </c>
      <c r="Z277" s="111">
        <v>500000</v>
      </c>
      <c r="AA277" s="111">
        <v>0</v>
      </c>
      <c r="AB277" s="111"/>
      <c r="AC277" s="88">
        <f t="shared" si="115"/>
        <v>0</v>
      </c>
      <c r="AD277" s="120">
        <v>500000</v>
      </c>
      <c r="AE277" s="120"/>
      <c r="AF277" s="270">
        <v>500000</v>
      </c>
      <c r="AG277" s="120">
        <f>AF277-AD277</f>
        <v>0</v>
      </c>
      <c r="AH277" s="113">
        <v>2610122</v>
      </c>
      <c r="AI277" s="114">
        <v>499800</v>
      </c>
      <c r="AJ277" s="114">
        <v>126033.60000000001</v>
      </c>
      <c r="AK277" s="320">
        <v>300000</v>
      </c>
    </row>
    <row r="278" spans="1:37" ht="14.25" customHeight="1" thickTop="1" thickBot="1" x14ac:dyDescent="0.25">
      <c r="A278" s="224"/>
      <c r="B278" s="225"/>
      <c r="C278" s="226"/>
      <c r="D278" s="226"/>
      <c r="E278" s="104">
        <v>830308</v>
      </c>
      <c r="F278" s="227" t="s">
        <v>686</v>
      </c>
      <c r="G278" s="106"/>
      <c r="H278" s="228">
        <v>1000000</v>
      </c>
      <c r="I278" s="228"/>
      <c r="J278" s="232"/>
      <c r="K278" s="229"/>
      <c r="L278" s="229"/>
      <c r="M278" s="229"/>
      <c r="N278" s="229"/>
      <c r="O278" s="229"/>
      <c r="P278" s="229"/>
      <c r="Q278" s="264"/>
      <c r="R278" s="264"/>
      <c r="S278" s="264"/>
      <c r="T278" s="264"/>
      <c r="U278" s="264"/>
      <c r="V278" s="264"/>
      <c r="W278" s="119">
        <f t="shared" si="119"/>
        <v>0</v>
      </c>
      <c r="X278" s="108">
        <f t="shared" si="120"/>
        <v>0</v>
      </c>
      <c r="Y278" s="110"/>
      <c r="Z278" s="108"/>
      <c r="AA278" s="108"/>
      <c r="AB278" s="108"/>
      <c r="AC278" s="88">
        <f t="shared" si="115"/>
        <v>0</v>
      </c>
      <c r="AD278" s="108"/>
      <c r="AE278" s="108"/>
      <c r="AF278" s="108"/>
      <c r="AG278" s="108"/>
      <c r="AH278" s="231"/>
      <c r="AI278" s="110"/>
      <c r="AJ278" s="110"/>
      <c r="AK278" s="110"/>
    </row>
    <row r="279" spans="1:37" ht="14.25" customHeight="1" thickTop="1" thickBot="1" x14ac:dyDescent="0.25">
      <c r="A279" s="224"/>
      <c r="B279" s="225"/>
      <c r="C279" s="226"/>
      <c r="D279" s="226"/>
      <c r="E279" s="104">
        <v>830309</v>
      </c>
      <c r="F279" s="227" t="s">
        <v>687</v>
      </c>
      <c r="G279" s="106"/>
      <c r="H279" s="228">
        <v>300000</v>
      </c>
      <c r="I279" s="228">
        <v>300000</v>
      </c>
      <c r="J279" s="232">
        <v>300000</v>
      </c>
      <c r="K279" s="229"/>
      <c r="L279" s="229"/>
      <c r="M279" s="229"/>
      <c r="N279" s="229"/>
      <c r="O279" s="229"/>
      <c r="P279" s="229"/>
      <c r="Q279" s="264"/>
      <c r="R279" s="264"/>
      <c r="S279" s="264"/>
      <c r="T279" s="264"/>
      <c r="U279" s="264"/>
      <c r="V279" s="264">
        <v>0</v>
      </c>
      <c r="W279" s="119">
        <f t="shared" si="119"/>
        <v>0</v>
      </c>
      <c r="X279" s="108">
        <f t="shared" si="120"/>
        <v>0</v>
      </c>
      <c r="Y279" s="110"/>
      <c r="Z279" s="108"/>
      <c r="AA279" s="108"/>
      <c r="AB279" s="108"/>
      <c r="AC279" s="88">
        <f t="shared" si="115"/>
        <v>0</v>
      </c>
      <c r="AD279" s="108"/>
      <c r="AE279" s="108"/>
      <c r="AF279" s="108"/>
      <c r="AG279" s="108"/>
      <c r="AH279" s="231"/>
      <c r="AI279" s="110"/>
      <c r="AJ279" s="110"/>
      <c r="AK279" s="110"/>
    </row>
    <row r="280" spans="1:37" ht="14.25" customHeight="1" x14ac:dyDescent="0.2">
      <c r="A280" s="101"/>
      <c r="B280" s="102"/>
      <c r="C280" s="103"/>
      <c r="D280" s="103"/>
      <c r="E280" s="104">
        <v>830310</v>
      </c>
      <c r="F280" s="105" t="s">
        <v>688</v>
      </c>
      <c r="G280" s="119"/>
      <c r="H280" s="265">
        <v>200000</v>
      </c>
      <c r="I280" s="266">
        <v>50000</v>
      </c>
      <c r="J280" s="267">
        <v>50000</v>
      </c>
      <c r="K280" s="265"/>
      <c r="L280" s="265"/>
      <c r="M280" s="268"/>
      <c r="N280" s="269"/>
      <c r="O280" s="119"/>
      <c r="P280" s="265"/>
      <c r="Q280" s="266"/>
      <c r="R280" s="267"/>
      <c r="S280" s="265"/>
      <c r="T280" s="265"/>
      <c r="U280" s="268"/>
      <c r="V280" s="269">
        <v>50000</v>
      </c>
      <c r="W280" s="119">
        <f t="shared" si="119"/>
        <v>50000</v>
      </c>
      <c r="X280" s="108">
        <f t="shared" si="120"/>
        <v>50000</v>
      </c>
      <c r="Y280" s="110">
        <v>50000</v>
      </c>
      <c r="Z280" s="111">
        <v>50000</v>
      </c>
      <c r="AA280" s="111">
        <v>0</v>
      </c>
      <c r="AB280" s="111"/>
      <c r="AC280" s="88">
        <f t="shared" si="115"/>
        <v>0</v>
      </c>
      <c r="AD280" s="120">
        <v>50000</v>
      </c>
      <c r="AE280" s="120"/>
      <c r="AF280" s="270">
        <v>50000</v>
      </c>
      <c r="AG280" s="120">
        <f>AF280-AD280</f>
        <v>0</v>
      </c>
      <c r="AH280" s="113">
        <v>2610122</v>
      </c>
      <c r="AI280" s="114">
        <v>50000</v>
      </c>
      <c r="AJ280" s="114">
        <v>0</v>
      </c>
      <c r="AK280" s="320">
        <v>50000</v>
      </c>
    </row>
    <row r="281" spans="1:37" ht="14.25" customHeight="1" thickTop="1" thickBot="1" x14ac:dyDescent="0.25">
      <c r="A281" s="224"/>
      <c r="B281" s="225"/>
      <c r="C281" s="226"/>
      <c r="D281" s="226"/>
      <c r="E281" s="104">
        <v>830311</v>
      </c>
      <c r="F281" s="227" t="s">
        <v>689</v>
      </c>
      <c r="G281" s="106"/>
      <c r="H281" s="228">
        <v>700000</v>
      </c>
      <c r="I281" s="228">
        <v>700000</v>
      </c>
      <c r="J281" s="232">
        <v>700000</v>
      </c>
      <c r="K281" s="229"/>
      <c r="L281" s="229"/>
      <c r="M281" s="229"/>
      <c r="N281" s="229"/>
      <c r="O281" s="229"/>
      <c r="P281" s="229"/>
      <c r="Q281" s="264"/>
      <c r="R281" s="264"/>
      <c r="S281" s="264"/>
      <c r="T281" s="264"/>
      <c r="U281" s="264"/>
      <c r="V281" s="264"/>
      <c r="W281" s="119">
        <f t="shared" si="119"/>
        <v>0</v>
      </c>
      <c r="X281" s="108">
        <f t="shared" si="120"/>
        <v>0</v>
      </c>
      <c r="Y281" s="110"/>
      <c r="Z281" s="108"/>
      <c r="AA281" s="108"/>
      <c r="AB281" s="108"/>
      <c r="AC281" s="88">
        <f t="shared" si="115"/>
        <v>0</v>
      </c>
      <c r="AD281" s="108"/>
      <c r="AE281" s="108"/>
      <c r="AF281" s="108"/>
      <c r="AG281" s="108"/>
      <c r="AH281" s="231"/>
      <c r="AI281" s="110"/>
      <c r="AJ281" s="114">
        <f>IFERROR(VLOOKUP(E281,[17]Total!$D:$S,12,FALSE),0)</f>
        <v>0</v>
      </c>
      <c r="AK281" s="114">
        <f>IFERROR(VLOOKUP(E281,[17]Total!$D:$S,16,FALSE),0)</f>
        <v>0</v>
      </c>
    </row>
    <row r="282" spans="1:37" ht="14.25" customHeight="1" thickTop="1" thickBot="1" x14ac:dyDescent="0.25">
      <c r="A282" s="101"/>
      <c r="B282" s="102"/>
      <c r="C282" s="103"/>
      <c r="D282" s="103"/>
      <c r="E282" s="104">
        <v>830392</v>
      </c>
      <c r="F282" s="105" t="s">
        <v>690</v>
      </c>
      <c r="G282" s="119"/>
      <c r="H282" s="265"/>
      <c r="I282" s="266"/>
      <c r="J282" s="267"/>
      <c r="K282" s="265"/>
      <c r="L282" s="265"/>
      <c r="M282" s="268"/>
      <c r="N282" s="269"/>
      <c r="O282" s="119"/>
      <c r="P282" s="265"/>
      <c r="Q282" s="266"/>
      <c r="R282" s="267"/>
      <c r="S282" s="265"/>
      <c r="T282" s="265"/>
      <c r="U282" s="268"/>
      <c r="V282" s="269">
        <v>2400000</v>
      </c>
      <c r="W282" s="119">
        <f t="shared" si="119"/>
        <v>2400000</v>
      </c>
      <c r="X282" s="108">
        <f t="shared" si="120"/>
        <v>2400000</v>
      </c>
      <c r="Y282" s="110"/>
      <c r="Z282" s="108"/>
      <c r="AA282" s="108"/>
      <c r="AB282" s="108"/>
      <c r="AC282" s="88">
        <f t="shared" si="115"/>
        <v>0</v>
      </c>
      <c r="AD282" s="108"/>
      <c r="AE282" s="108"/>
      <c r="AF282" s="108"/>
      <c r="AG282" s="108"/>
      <c r="AH282" s="113"/>
      <c r="AI282" s="114"/>
      <c r="AJ282" s="114">
        <v>0</v>
      </c>
      <c r="AK282" s="114">
        <v>0</v>
      </c>
    </row>
    <row r="283" spans="1:37" ht="14.25" customHeight="1" thickTop="1" thickBot="1" x14ac:dyDescent="0.25">
      <c r="A283" s="101"/>
      <c r="B283" s="102"/>
      <c r="C283" s="103"/>
      <c r="D283" s="103"/>
      <c r="E283" s="104">
        <v>830320</v>
      </c>
      <c r="F283" s="105" t="s">
        <v>691</v>
      </c>
      <c r="G283" s="119"/>
      <c r="H283" s="265"/>
      <c r="I283" s="266"/>
      <c r="J283" s="267"/>
      <c r="K283" s="265"/>
      <c r="L283" s="265"/>
      <c r="M283" s="268"/>
      <c r="N283" s="269"/>
      <c r="O283" s="119"/>
      <c r="P283" s="265"/>
      <c r="Q283" s="266"/>
      <c r="R283" s="267"/>
      <c r="S283" s="265"/>
      <c r="T283" s="265"/>
      <c r="U283" s="268"/>
      <c r="V283" s="269">
        <v>700000</v>
      </c>
      <c r="W283" s="119">
        <f t="shared" si="119"/>
        <v>700000</v>
      </c>
      <c r="X283" s="108">
        <f t="shared" si="120"/>
        <v>700000</v>
      </c>
      <c r="Y283" s="110">
        <v>764449</v>
      </c>
      <c r="Z283" s="108"/>
      <c r="AA283" s="108"/>
      <c r="AB283" s="108"/>
      <c r="AC283" s="88">
        <f t="shared" si="115"/>
        <v>0</v>
      </c>
      <c r="AD283" s="108"/>
      <c r="AE283" s="108"/>
      <c r="AF283" s="108"/>
      <c r="AG283" s="108"/>
      <c r="AH283" s="113">
        <v>2610121</v>
      </c>
      <c r="AI283" s="114">
        <v>764449</v>
      </c>
      <c r="AJ283" s="114">
        <v>0</v>
      </c>
      <c r="AK283" s="114">
        <v>0</v>
      </c>
    </row>
    <row r="284" spans="1:37" ht="30" customHeight="1" x14ac:dyDescent="0.2">
      <c r="A284" s="101"/>
      <c r="B284" s="102"/>
      <c r="C284" s="103"/>
      <c r="D284" s="103"/>
      <c r="E284" s="104">
        <v>830312</v>
      </c>
      <c r="F284" s="105" t="s">
        <v>692</v>
      </c>
      <c r="G284" s="119"/>
      <c r="H284" s="265">
        <v>5000000</v>
      </c>
      <c r="I284" s="266">
        <v>5000000</v>
      </c>
      <c r="J284" s="267">
        <v>5000000</v>
      </c>
      <c r="K284" s="265"/>
      <c r="L284" s="265"/>
      <c r="M284" s="268"/>
      <c r="N284" s="269"/>
      <c r="O284" s="119"/>
      <c r="P284" s="265"/>
      <c r="Q284" s="266"/>
      <c r="R284" s="267"/>
      <c r="S284" s="265"/>
      <c r="T284" s="265"/>
      <c r="U284" s="268"/>
      <c r="V284" s="269">
        <v>5000000</v>
      </c>
      <c r="W284" s="119">
        <f t="shared" si="119"/>
        <v>5000000</v>
      </c>
      <c r="X284" s="108">
        <f t="shared" si="120"/>
        <v>5000000</v>
      </c>
      <c r="Y284" s="110"/>
      <c r="Z284" s="111">
        <v>5000000</v>
      </c>
      <c r="AA284" s="111">
        <v>0</v>
      </c>
      <c r="AB284" s="111"/>
      <c r="AC284" s="88">
        <f t="shared" si="115"/>
        <v>0</v>
      </c>
      <c r="AD284" s="120">
        <v>5000000</v>
      </c>
      <c r="AE284" s="120"/>
      <c r="AF284" s="270">
        <v>5000000</v>
      </c>
      <c r="AG284" s="120">
        <f>AF284-AD284</f>
        <v>0</v>
      </c>
      <c r="AH284" s="113">
        <v>2610122</v>
      </c>
      <c r="AI284" s="114">
        <v>0</v>
      </c>
      <c r="AJ284" s="114">
        <v>5000000</v>
      </c>
      <c r="AK284" s="320">
        <v>5000000</v>
      </c>
    </row>
    <row r="285" spans="1:37" ht="30" customHeight="1" x14ac:dyDescent="0.2">
      <c r="A285" s="101"/>
      <c r="B285" s="102"/>
      <c r="C285" s="103"/>
      <c r="D285" s="103"/>
      <c r="E285" s="104"/>
      <c r="F285" s="105" t="s">
        <v>693</v>
      </c>
      <c r="G285" s="119"/>
      <c r="H285" s="265"/>
      <c r="I285" s="266"/>
      <c r="J285" s="267"/>
      <c r="K285" s="265"/>
      <c r="L285" s="265"/>
      <c r="M285" s="268"/>
      <c r="N285" s="269"/>
      <c r="O285" s="119"/>
      <c r="P285" s="265"/>
      <c r="Q285" s="266"/>
      <c r="R285" s="267"/>
      <c r="S285" s="265"/>
      <c r="T285" s="265"/>
      <c r="U285" s="268"/>
      <c r="V285" s="269"/>
      <c r="W285" s="119"/>
      <c r="X285" s="108"/>
      <c r="Y285" s="110"/>
      <c r="Z285" s="187"/>
      <c r="AA285" s="187"/>
      <c r="AB285" s="187"/>
      <c r="AC285" s="88"/>
      <c r="AD285" s="120"/>
      <c r="AE285" s="120"/>
      <c r="AF285" s="270"/>
      <c r="AG285" s="120"/>
      <c r="AH285" s="113">
        <v>2610122</v>
      </c>
      <c r="AI285" s="114"/>
      <c r="AJ285" s="114"/>
      <c r="AK285" s="320">
        <v>3000000</v>
      </c>
    </row>
    <row r="286" spans="1:37" s="249" customFormat="1" ht="14.25" customHeight="1" x14ac:dyDescent="0.2">
      <c r="A286" s="101"/>
      <c r="B286" s="102"/>
      <c r="C286" s="103"/>
      <c r="D286" s="103"/>
      <c r="E286" s="104"/>
      <c r="F286" s="105" t="s">
        <v>694</v>
      </c>
      <c r="G286" s="119">
        <v>680104.75</v>
      </c>
      <c r="H286" s="265"/>
      <c r="I286" s="266"/>
      <c r="J286" s="267"/>
      <c r="K286" s="265"/>
      <c r="L286" s="265"/>
      <c r="M286" s="268"/>
      <c r="N286" s="269"/>
      <c r="O286" s="119"/>
      <c r="P286" s="265"/>
      <c r="Q286" s="266"/>
      <c r="R286" s="267"/>
      <c r="S286" s="265"/>
      <c r="T286" s="265"/>
      <c r="U286" s="268"/>
      <c r="V286" s="269"/>
      <c r="W286" s="119">
        <f t="shared" si="119"/>
        <v>0</v>
      </c>
      <c r="X286" s="119">
        <f t="shared" si="119"/>
        <v>0</v>
      </c>
      <c r="Y286" s="203">
        <f>SUM(M286:X286)</f>
        <v>0</v>
      </c>
      <c r="Z286" s="119"/>
      <c r="AA286" s="119"/>
      <c r="AB286" s="119"/>
      <c r="AC286" s="88">
        <f t="shared" si="115"/>
        <v>0</v>
      </c>
      <c r="AD286" s="119"/>
      <c r="AE286" s="119"/>
      <c r="AF286" s="119"/>
      <c r="AG286" s="119"/>
      <c r="AH286" s="113" t="s">
        <v>695</v>
      </c>
      <c r="AI286" s="110"/>
      <c r="AJ286" s="110"/>
      <c r="AK286" s="110"/>
    </row>
    <row r="287" spans="1:37" s="249" customFormat="1" ht="14.25" customHeight="1" thickTop="1" thickBot="1" x14ac:dyDescent="0.25">
      <c r="A287" s="101"/>
      <c r="B287" s="102"/>
      <c r="C287" s="103"/>
      <c r="D287" s="103"/>
      <c r="E287" s="104"/>
      <c r="F287" s="105" t="s">
        <v>696</v>
      </c>
      <c r="G287" s="119">
        <v>0</v>
      </c>
      <c r="H287" s="265"/>
      <c r="I287" s="266"/>
      <c r="J287" s="267"/>
      <c r="K287" s="265"/>
      <c r="L287" s="265"/>
      <c r="M287" s="268"/>
      <c r="N287" s="269"/>
      <c r="O287" s="119"/>
      <c r="P287" s="265"/>
      <c r="Q287" s="266"/>
      <c r="R287" s="267"/>
      <c r="S287" s="265"/>
      <c r="T287" s="265"/>
      <c r="U287" s="268"/>
      <c r="V287" s="269"/>
      <c r="W287" s="119">
        <f t="shared" si="119"/>
        <v>0</v>
      </c>
      <c r="X287" s="119">
        <f t="shared" si="119"/>
        <v>0</v>
      </c>
      <c r="Y287" s="203">
        <f>SUM(M287:X287)</f>
        <v>0</v>
      </c>
      <c r="Z287" s="119"/>
      <c r="AA287" s="119"/>
      <c r="AB287" s="119"/>
      <c r="AC287" s="88">
        <f t="shared" si="115"/>
        <v>0</v>
      </c>
      <c r="AD287" s="119"/>
      <c r="AE287" s="119"/>
      <c r="AF287" s="119"/>
      <c r="AG287" s="119"/>
      <c r="AH287" s="113"/>
      <c r="AI287" s="110"/>
      <c r="AJ287" s="110"/>
      <c r="AK287" s="110"/>
    </row>
    <row r="288" spans="1:37" s="249" customFormat="1" ht="14.25" customHeight="1" thickTop="1" thickBot="1" x14ac:dyDescent="0.25">
      <c r="A288" s="101"/>
      <c r="B288" s="102"/>
      <c r="C288" s="103"/>
      <c r="D288" s="103"/>
      <c r="E288" s="104"/>
      <c r="F288" s="105" t="s">
        <v>697</v>
      </c>
      <c r="G288" s="119">
        <v>100000</v>
      </c>
      <c r="H288" s="265"/>
      <c r="I288" s="266"/>
      <c r="J288" s="267"/>
      <c r="K288" s="265"/>
      <c r="L288" s="265"/>
      <c r="M288" s="268"/>
      <c r="N288" s="269"/>
      <c r="O288" s="119"/>
      <c r="P288" s="265"/>
      <c r="Q288" s="266"/>
      <c r="R288" s="267"/>
      <c r="S288" s="265"/>
      <c r="T288" s="265"/>
      <c r="U288" s="268"/>
      <c r="V288" s="269"/>
      <c r="W288" s="119">
        <f t="shared" si="119"/>
        <v>0</v>
      </c>
      <c r="X288" s="119">
        <f t="shared" si="119"/>
        <v>0</v>
      </c>
      <c r="Y288" s="203">
        <f>SUM(M288:X288)</f>
        <v>0</v>
      </c>
      <c r="Z288" s="119"/>
      <c r="AA288" s="119"/>
      <c r="AB288" s="119"/>
      <c r="AC288" s="88">
        <f t="shared" si="115"/>
        <v>0</v>
      </c>
      <c r="AD288" s="119"/>
      <c r="AE288" s="119"/>
      <c r="AF288" s="119"/>
      <c r="AG288" s="119"/>
      <c r="AH288" s="113"/>
      <c r="AI288" s="110"/>
      <c r="AJ288" s="110"/>
      <c r="AK288" s="110"/>
    </row>
    <row r="289" spans="1:37" s="249" customFormat="1" ht="26.25" customHeight="1" thickTop="1" thickBot="1" x14ac:dyDescent="0.25">
      <c r="A289" s="101"/>
      <c r="B289" s="102"/>
      <c r="C289" s="103"/>
      <c r="D289" s="103"/>
      <c r="E289" s="104">
        <v>830315</v>
      </c>
      <c r="F289" s="105" t="s">
        <v>698</v>
      </c>
      <c r="G289" s="119">
        <v>1635117.48</v>
      </c>
      <c r="H289" s="265"/>
      <c r="I289" s="266">
        <v>11500000</v>
      </c>
      <c r="J289" s="267">
        <v>11500000</v>
      </c>
      <c r="K289" s="265"/>
      <c r="L289" s="265"/>
      <c r="M289" s="268">
        <v>11500000</v>
      </c>
      <c r="N289" s="269"/>
      <c r="O289" s="119"/>
      <c r="P289" s="265"/>
      <c r="Q289" s="266"/>
      <c r="R289" s="267"/>
      <c r="S289" s="265"/>
      <c r="T289" s="265"/>
      <c r="U289" s="268"/>
      <c r="V289" s="269">
        <v>0</v>
      </c>
      <c r="W289" s="119">
        <f t="shared" si="119"/>
        <v>11500000</v>
      </c>
      <c r="X289" s="108">
        <f>W289</f>
        <v>11500000</v>
      </c>
      <c r="Y289" s="110">
        <v>11500000</v>
      </c>
      <c r="Z289" s="108"/>
      <c r="AA289" s="108"/>
      <c r="AB289" s="108"/>
      <c r="AC289" s="88">
        <f t="shared" si="115"/>
        <v>0</v>
      </c>
      <c r="AD289" s="108"/>
      <c r="AE289" s="108"/>
      <c r="AF289" s="108"/>
      <c r="AG289" s="108"/>
      <c r="AH289" s="113"/>
      <c r="AI289" s="114">
        <v>11500000</v>
      </c>
      <c r="AJ289" s="114">
        <v>153728.09</v>
      </c>
      <c r="AK289" s="114">
        <v>0</v>
      </c>
    </row>
    <row r="290" spans="1:37" s="249" customFormat="1" ht="14.25" customHeight="1" thickTop="1" thickBot="1" x14ac:dyDescent="0.25">
      <c r="A290" s="101"/>
      <c r="B290" s="102"/>
      <c r="C290" s="103"/>
      <c r="D290" s="103"/>
      <c r="E290" s="104"/>
      <c r="F290" s="105" t="s">
        <v>699</v>
      </c>
      <c r="G290" s="119">
        <v>0</v>
      </c>
      <c r="H290" s="265"/>
      <c r="I290" s="266"/>
      <c r="J290" s="267"/>
      <c r="K290" s="265"/>
      <c r="L290" s="265"/>
      <c r="M290" s="268"/>
      <c r="N290" s="269"/>
      <c r="O290" s="119"/>
      <c r="P290" s="265"/>
      <c r="Q290" s="266"/>
      <c r="R290" s="267"/>
      <c r="S290" s="265"/>
      <c r="T290" s="265"/>
      <c r="U290" s="268"/>
      <c r="V290" s="269"/>
      <c r="W290" s="119">
        <f t="shared" si="119"/>
        <v>0</v>
      </c>
      <c r="X290" s="119">
        <f t="shared" si="119"/>
        <v>0</v>
      </c>
      <c r="Y290" s="203">
        <f t="shared" ref="Y290:Y304" si="121">SUM(M290:X290)</f>
        <v>0</v>
      </c>
      <c r="Z290" s="119"/>
      <c r="AA290" s="119"/>
      <c r="AB290" s="119"/>
      <c r="AC290" s="88">
        <f t="shared" si="115"/>
        <v>0</v>
      </c>
      <c r="AD290" s="119"/>
      <c r="AE290" s="119"/>
      <c r="AF290" s="119"/>
      <c r="AG290" s="119"/>
      <c r="AH290" s="113"/>
      <c r="AI290" s="110"/>
      <c r="AJ290" s="110"/>
      <c r="AK290" s="110"/>
    </row>
    <row r="291" spans="1:37" s="249" customFormat="1" ht="14.25" customHeight="1" thickTop="1" thickBot="1" x14ac:dyDescent="0.25">
      <c r="A291" s="101"/>
      <c r="B291" s="102"/>
      <c r="C291" s="103"/>
      <c r="D291" s="103"/>
      <c r="E291" s="104"/>
      <c r="F291" s="105" t="s">
        <v>700</v>
      </c>
      <c r="G291" s="119">
        <v>1964113.71</v>
      </c>
      <c r="H291" s="265"/>
      <c r="I291" s="266"/>
      <c r="J291" s="267"/>
      <c r="K291" s="265"/>
      <c r="L291" s="265"/>
      <c r="M291" s="268"/>
      <c r="N291" s="269"/>
      <c r="O291" s="119"/>
      <c r="P291" s="265"/>
      <c r="Q291" s="266"/>
      <c r="R291" s="267"/>
      <c r="S291" s="265"/>
      <c r="T291" s="265"/>
      <c r="U291" s="268"/>
      <c r="V291" s="269"/>
      <c r="W291" s="119">
        <f t="shared" si="119"/>
        <v>0</v>
      </c>
      <c r="X291" s="119">
        <f t="shared" si="119"/>
        <v>0</v>
      </c>
      <c r="Y291" s="203">
        <f t="shared" si="121"/>
        <v>0</v>
      </c>
      <c r="Z291" s="119"/>
      <c r="AA291" s="119"/>
      <c r="AB291" s="119"/>
      <c r="AC291" s="88">
        <f t="shared" si="115"/>
        <v>0</v>
      </c>
      <c r="AD291" s="119"/>
      <c r="AE291" s="119"/>
      <c r="AF291" s="119"/>
      <c r="AG291" s="119"/>
      <c r="AH291" s="113"/>
      <c r="AI291" s="110"/>
      <c r="AJ291" s="110"/>
      <c r="AK291" s="110"/>
    </row>
    <row r="292" spans="1:37" s="249" customFormat="1" ht="14.25" customHeight="1" thickTop="1" thickBot="1" x14ac:dyDescent="0.25">
      <c r="A292" s="101"/>
      <c r="B292" s="102"/>
      <c r="C292" s="103"/>
      <c r="D292" s="103"/>
      <c r="E292" s="104"/>
      <c r="F292" s="105" t="s">
        <v>701</v>
      </c>
      <c r="G292" s="119">
        <v>1527048.83</v>
      </c>
      <c r="H292" s="265"/>
      <c r="I292" s="266"/>
      <c r="J292" s="267"/>
      <c r="K292" s="265"/>
      <c r="L292" s="265"/>
      <c r="M292" s="268"/>
      <c r="N292" s="269"/>
      <c r="O292" s="119"/>
      <c r="P292" s="265"/>
      <c r="Q292" s="266"/>
      <c r="R292" s="267"/>
      <c r="S292" s="265"/>
      <c r="T292" s="265"/>
      <c r="U292" s="268"/>
      <c r="V292" s="269"/>
      <c r="W292" s="119">
        <f t="shared" si="119"/>
        <v>0</v>
      </c>
      <c r="X292" s="119">
        <f t="shared" si="119"/>
        <v>0</v>
      </c>
      <c r="Y292" s="203">
        <f t="shared" si="121"/>
        <v>0</v>
      </c>
      <c r="Z292" s="119"/>
      <c r="AA292" s="119"/>
      <c r="AB292" s="119"/>
      <c r="AC292" s="88">
        <f t="shared" si="115"/>
        <v>0</v>
      </c>
      <c r="AD292" s="119"/>
      <c r="AE292" s="119"/>
      <c r="AF292" s="119"/>
      <c r="AG292" s="119"/>
      <c r="AH292" s="113"/>
      <c r="AI292" s="110"/>
      <c r="AJ292" s="110"/>
      <c r="AK292" s="110"/>
    </row>
    <row r="293" spans="1:37" s="249" customFormat="1" ht="14.25" customHeight="1" thickTop="1" thickBot="1" x14ac:dyDescent="0.25">
      <c r="A293" s="101"/>
      <c r="B293" s="102"/>
      <c r="C293" s="103"/>
      <c r="D293" s="103"/>
      <c r="E293" s="104"/>
      <c r="F293" s="105" t="s">
        <v>702</v>
      </c>
      <c r="G293" s="119"/>
      <c r="H293" s="265"/>
      <c r="I293" s="266"/>
      <c r="J293" s="267"/>
      <c r="K293" s="265"/>
      <c r="L293" s="265"/>
      <c r="M293" s="268"/>
      <c r="N293" s="269"/>
      <c r="O293" s="119"/>
      <c r="P293" s="265"/>
      <c r="Q293" s="266"/>
      <c r="R293" s="267"/>
      <c r="S293" s="265"/>
      <c r="T293" s="265"/>
      <c r="U293" s="268"/>
      <c r="V293" s="269"/>
      <c r="W293" s="119">
        <f t="shared" si="119"/>
        <v>0</v>
      </c>
      <c r="X293" s="119">
        <f t="shared" si="119"/>
        <v>0</v>
      </c>
      <c r="Y293" s="203">
        <f t="shared" si="121"/>
        <v>0</v>
      </c>
      <c r="Z293" s="119"/>
      <c r="AA293" s="119"/>
      <c r="AB293" s="119"/>
      <c r="AC293" s="88">
        <f t="shared" si="115"/>
        <v>0</v>
      </c>
      <c r="AD293" s="119"/>
      <c r="AE293" s="119"/>
      <c r="AF293" s="119"/>
      <c r="AG293" s="119"/>
      <c r="AH293" s="113"/>
      <c r="AI293" s="110"/>
      <c r="AJ293" s="110"/>
      <c r="AK293" s="110"/>
    </row>
    <row r="294" spans="1:37" s="249" customFormat="1" ht="14.25" customHeight="1" x14ac:dyDescent="0.2">
      <c r="A294" s="101"/>
      <c r="B294" s="102"/>
      <c r="C294" s="103"/>
      <c r="D294" s="103"/>
      <c r="E294" s="104"/>
      <c r="F294" s="105" t="s">
        <v>703</v>
      </c>
      <c r="G294" s="119">
        <v>2410141.0299999998</v>
      </c>
      <c r="H294" s="265"/>
      <c r="I294" s="266"/>
      <c r="J294" s="267"/>
      <c r="K294" s="265"/>
      <c r="L294" s="265"/>
      <c r="M294" s="268"/>
      <c r="N294" s="269"/>
      <c r="O294" s="119"/>
      <c r="P294" s="265"/>
      <c r="Q294" s="266"/>
      <c r="R294" s="267"/>
      <c r="S294" s="265"/>
      <c r="T294" s="265"/>
      <c r="U294" s="268"/>
      <c r="V294" s="269"/>
      <c r="W294" s="119">
        <f t="shared" si="119"/>
        <v>0</v>
      </c>
      <c r="X294" s="119">
        <f t="shared" si="119"/>
        <v>0</v>
      </c>
      <c r="Y294" s="203">
        <f t="shared" si="121"/>
        <v>0</v>
      </c>
      <c r="Z294" s="119"/>
      <c r="AA294" s="119"/>
      <c r="AB294" s="119"/>
      <c r="AC294" s="88">
        <f t="shared" si="115"/>
        <v>0</v>
      </c>
      <c r="AD294" s="119"/>
      <c r="AE294" s="119"/>
      <c r="AF294" s="119"/>
      <c r="AG294" s="119"/>
      <c r="AH294" s="113">
        <v>2610222</v>
      </c>
      <c r="AI294" s="110"/>
      <c r="AJ294" s="110"/>
      <c r="AK294" s="110">
        <v>1030030.85</v>
      </c>
    </row>
    <row r="295" spans="1:37" s="249" customFormat="1" ht="14.25" customHeight="1" thickTop="1" thickBot="1" x14ac:dyDescent="0.25">
      <c r="A295" s="101"/>
      <c r="B295" s="102"/>
      <c r="C295" s="103"/>
      <c r="D295" s="103"/>
      <c r="E295" s="104"/>
      <c r="F295" s="105" t="s">
        <v>704</v>
      </c>
      <c r="G295" s="119">
        <v>0</v>
      </c>
      <c r="H295" s="265"/>
      <c r="I295" s="266"/>
      <c r="J295" s="267"/>
      <c r="K295" s="265"/>
      <c r="L295" s="265"/>
      <c r="M295" s="268"/>
      <c r="N295" s="269"/>
      <c r="O295" s="119"/>
      <c r="P295" s="265"/>
      <c r="Q295" s="266"/>
      <c r="R295" s="267"/>
      <c r="S295" s="265"/>
      <c r="T295" s="265"/>
      <c r="U295" s="268"/>
      <c r="V295" s="269"/>
      <c r="W295" s="119">
        <f t="shared" si="119"/>
        <v>0</v>
      </c>
      <c r="X295" s="119">
        <f t="shared" si="119"/>
        <v>0</v>
      </c>
      <c r="Y295" s="203">
        <f t="shared" si="121"/>
        <v>0</v>
      </c>
      <c r="Z295" s="119"/>
      <c r="AA295" s="119"/>
      <c r="AB295" s="119"/>
      <c r="AC295" s="88">
        <f t="shared" si="115"/>
        <v>0</v>
      </c>
      <c r="AD295" s="119"/>
      <c r="AE295" s="119"/>
      <c r="AF295" s="119"/>
      <c r="AG295" s="119"/>
      <c r="AH295" s="113"/>
      <c r="AI295" s="110"/>
      <c r="AJ295" s="110"/>
      <c r="AK295" s="110"/>
    </row>
    <row r="296" spans="1:37" s="249" customFormat="1" ht="14.25" customHeight="1" thickTop="1" thickBot="1" x14ac:dyDescent="0.25">
      <c r="A296" s="101"/>
      <c r="B296" s="102"/>
      <c r="C296" s="103"/>
      <c r="D296" s="103"/>
      <c r="E296" s="104"/>
      <c r="F296" s="105" t="s">
        <v>705</v>
      </c>
      <c r="G296" s="119">
        <v>129145.78</v>
      </c>
      <c r="H296" s="265"/>
      <c r="I296" s="266"/>
      <c r="J296" s="267"/>
      <c r="K296" s="265"/>
      <c r="L296" s="265"/>
      <c r="M296" s="268"/>
      <c r="N296" s="269"/>
      <c r="O296" s="119"/>
      <c r="P296" s="265"/>
      <c r="Q296" s="266"/>
      <c r="R296" s="267"/>
      <c r="S296" s="265"/>
      <c r="T296" s="265"/>
      <c r="U296" s="268"/>
      <c r="V296" s="269"/>
      <c r="W296" s="119">
        <f t="shared" si="119"/>
        <v>0</v>
      </c>
      <c r="X296" s="119">
        <f t="shared" si="119"/>
        <v>0</v>
      </c>
      <c r="Y296" s="203">
        <f t="shared" si="121"/>
        <v>0</v>
      </c>
      <c r="Z296" s="119"/>
      <c r="AA296" s="119"/>
      <c r="AB296" s="119"/>
      <c r="AC296" s="88">
        <f t="shared" si="115"/>
        <v>0</v>
      </c>
      <c r="AD296" s="119"/>
      <c r="AE296" s="119"/>
      <c r="AF296" s="119"/>
      <c r="AG296" s="119"/>
      <c r="AH296" s="113"/>
      <c r="AI296" s="110"/>
      <c r="AJ296" s="110"/>
      <c r="AK296" s="110"/>
    </row>
    <row r="297" spans="1:37" s="249" customFormat="1" ht="14.25" customHeight="1" thickTop="1" thickBot="1" x14ac:dyDescent="0.25">
      <c r="A297" s="101"/>
      <c r="B297" s="102"/>
      <c r="C297" s="103"/>
      <c r="D297" s="103"/>
      <c r="E297" s="104"/>
      <c r="F297" s="105" t="s">
        <v>706</v>
      </c>
      <c r="G297" s="119">
        <v>489775</v>
      </c>
      <c r="H297" s="265"/>
      <c r="I297" s="266"/>
      <c r="J297" s="267"/>
      <c r="K297" s="265"/>
      <c r="L297" s="265"/>
      <c r="M297" s="268"/>
      <c r="N297" s="269"/>
      <c r="O297" s="119"/>
      <c r="P297" s="265"/>
      <c r="Q297" s="266"/>
      <c r="R297" s="267"/>
      <c r="S297" s="265"/>
      <c r="T297" s="265"/>
      <c r="U297" s="268"/>
      <c r="V297" s="269"/>
      <c r="W297" s="119">
        <f t="shared" si="119"/>
        <v>0</v>
      </c>
      <c r="X297" s="119">
        <f t="shared" si="119"/>
        <v>0</v>
      </c>
      <c r="Y297" s="203">
        <f t="shared" si="121"/>
        <v>0</v>
      </c>
      <c r="Z297" s="119"/>
      <c r="AA297" s="119"/>
      <c r="AB297" s="119"/>
      <c r="AC297" s="88">
        <f t="shared" si="115"/>
        <v>0</v>
      </c>
      <c r="AD297" s="119"/>
      <c r="AE297" s="119"/>
      <c r="AF297" s="119"/>
      <c r="AG297" s="119"/>
      <c r="AH297" s="113"/>
      <c r="AI297" s="110"/>
      <c r="AJ297" s="110"/>
      <c r="AK297" s="110"/>
    </row>
    <row r="298" spans="1:37" s="249" customFormat="1" ht="14.25" customHeight="1" thickTop="1" thickBot="1" x14ac:dyDescent="0.25">
      <c r="A298" s="101"/>
      <c r="B298" s="102"/>
      <c r="C298" s="103"/>
      <c r="D298" s="103"/>
      <c r="E298" s="104"/>
      <c r="F298" s="105" t="s">
        <v>707</v>
      </c>
      <c r="G298" s="119">
        <v>6500201.0899999999</v>
      </c>
      <c r="H298" s="265"/>
      <c r="I298" s="266"/>
      <c r="J298" s="267"/>
      <c r="K298" s="265"/>
      <c r="L298" s="265"/>
      <c r="M298" s="268"/>
      <c r="N298" s="269"/>
      <c r="O298" s="119"/>
      <c r="P298" s="265"/>
      <c r="Q298" s="266"/>
      <c r="R298" s="267"/>
      <c r="S298" s="265"/>
      <c r="T298" s="265"/>
      <c r="U298" s="268"/>
      <c r="V298" s="269"/>
      <c r="W298" s="119">
        <f t="shared" si="119"/>
        <v>0</v>
      </c>
      <c r="X298" s="119">
        <f t="shared" si="119"/>
        <v>0</v>
      </c>
      <c r="Y298" s="203">
        <f t="shared" si="121"/>
        <v>0</v>
      </c>
      <c r="Z298" s="119"/>
      <c r="AA298" s="119"/>
      <c r="AB298" s="119"/>
      <c r="AC298" s="88">
        <f t="shared" si="115"/>
        <v>0</v>
      </c>
      <c r="AD298" s="119"/>
      <c r="AE298" s="119"/>
      <c r="AF298" s="119"/>
      <c r="AG298" s="119"/>
      <c r="AH298" s="113"/>
      <c r="AI298" s="110"/>
      <c r="AJ298" s="110"/>
      <c r="AK298" s="110"/>
    </row>
    <row r="299" spans="1:37" s="249" customFormat="1" ht="14.25" customHeight="1" thickTop="1" thickBot="1" x14ac:dyDescent="0.25">
      <c r="A299" s="101"/>
      <c r="B299" s="102"/>
      <c r="C299" s="103"/>
      <c r="D299" s="103"/>
      <c r="E299" s="104"/>
      <c r="F299" s="105" t="s">
        <v>708</v>
      </c>
      <c r="G299" s="119">
        <v>2023809.2</v>
      </c>
      <c r="H299" s="265"/>
      <c r="I299" s="266"/>
      <c r="J299" s="267"/>
      <c r="K299" s="265"/>
      <c r="L299" s="265"/>
      <c r="M299" s="268"/>
      <c r="N299" s="269"/>
      <c r="O299" s="119"/>
      <c r="P299" s="265"/>
      <c r="Q299" s="266"/>
      <c r="R299" s="267"/>
      <c r="S299" s="265"/>
      <c r="T299" s="265"/>
      <c r="U299" s="268"/>
      <c r="V299" s="269"/>
      <c r="W299" s="119">
        <f t="shared" si="119"/>
        <v>0</v>
      </c>
      <c r="X299" s="119">
        <f t="shared" si="119"/>
        <v>0</v>
      </c>
      <c r="Y299" s="203">
        <f t="shared" si="121"/>
        <v>0</v>
      </c>
      <c r="Z299" s="119"/>
      <c r="AA299" s="119"/>
      <c r="AB299" s="119"/>
      <c r="AC299" s="88">
        <f t="shared" si="115"/>
        <v>0</v>
      </c>
      <c r="AD299" s="119"/>
      <c r="AE299" s="119"/>
      <c r="AF299" s="119"/>
      <c r="AG299" s="119"/>
      <c r="AH299" s="113"/>
      <c r="AI299" s="110"/>
      <c r="AJ299" s="110"/>
      <c r="AK299" s="110"/>
    </row>
    <row r="300" spans="1:37" s="249" customFormat="1" ht="14.25" customHeight="1" thickTop="1" thickBot="1" x14ac:dyDescent="0.25">
      <c r="A300" s="101"/>
      <c r="B300" s="102"/>
      <c r="C300" s="103"/>
      <c r="D300" s="103"/>
      <c r="E300" s="104"/>
      <c r="F300" s="105" t="s">
        <v>709</v>
      </c>
      <c r="G300" s="119">
        <v>6086483.04</v>
      </c>
      <c r="H300" s="265"/>
      <c r="I300" s="266"/>
      <c r="J300" s="267"/>
      <c r="K300" s="265"/>
      <c r="L300" s="265"/>
      <c r="M300" s="268"/>
      <c r="N300" s="269"/>
      <c r="O300" s="119"/>
      <c r="P300" s="265"/>
      <c r="Q300" s="266"/>
      <c r="R300" s="267"/>
      <c r="S300" s="265"/>
      <c r="T300" s="265"/>
      <c r="U300" s="268"/>
      <c r="V300" s="269"/>
      <c r="W300" s="119">
        <f t="shared" si="119"/>
        <v>0</v>
      </c>
      <c r="X300" s="119">
        <f t="shared" si="119"/>
        <v>0</v>
      </c>
      <c r="Y300" s="203">
        <f t="shared" si="121"/>
        <v>0</v>
      </c>
      <c r="Z300" s="119"/>
      <c r="AA300" s="119"/>
      <c r="AB300" s="119"/>
      <c r="AC300" s="88">
        <f t="shared" si="115"/>
        <v>0</v>
      </c>
      <c r="AD300" s="119"/>
      <c r="AE300" s="119"/>
      <c r="AF300" s="119"/>
      <c r="AG300" s="119"/>
      <c r="AH300" s="113"/>
      <c r="AI300" s="110"/>
      <c r="AJ300" s="110"/>
      <c r="AK300" s="110"/>
    </row>
    <row r="301" spans="1:37" s="249" customFormat="1" ht="14.25" customHeight="1" thickTop="1" thickBot="1" x14ac:dyDescent="0.25">
      <c r="A301" s="101"/>
      <c r="B301" s="102"/>
      <c r="C301" s="103"/>
      <c r="D301" s="103"/>
      <c r="E301" s="104"/>
      <c r="F301" s="105" t="s">
        <v>710</v>
      </c>
      <c r="G301" s="119">
        <v>0</v>
      </c>
      <c r="H301" s="265"/>
      <c r="I301" s="266"/>
      <c r="J301" s="267"/>
      <c r="K301" s="265"/>
      <c r="L301" s="265"/>
      <c r="M301" s="268"/>
      <c r="N301" s="269"/>
      <c r="O301" s="119"/>
      <c r="P301" s="265"/>
      <c r="Q301" s="266"/>
      <c r="R301" s="267"/>
      <c r="S301" s="265"/>
      <c r="T301" s="265"/>
      <c r="U301" s="268"/>
      <c r="V301" s="269"/>
      <c r="W301" s="119">
        <f t="shared" si="119"/>
        <v>0</v>
      </c>
      <c r="X301" s="119">
        <f t="shared" si="119"/>
        <v>0</v>
      </c>
      <c r="Y301" s="203">
        <f t="shared" si="121"/>
        <v>0</v>
      </c>
      <c r="Z301" s="119"/>
      <c r="AA301" s="119"/>
      <c r="AB301" s="119"/>
      <c r="AC301" s="88">
        <f t="shared" si="115"/>
        <v>0</v>
      </c>
      <c r="AD301" s="119"/>
      <c r="AE301" s="119"/>
      <c r="AF301" s="119"/>
      <c r="AG301" s="119"/>
      <c r="AH301" s="113"/>
      <c r="AI301" s="110"/>
      <c r="AJ301" s="110"/>
      <c r="AK301" s="110"/>
    </row>
    <row r="302" spans="1:37" s="249" customFormat="1" ht="14.25" customHeight="1" thickTop="1" thickBot="1" x14ac:dyDescent="0.25">
      <c r="A302" s="101"/>
      <c r="B302" s="102"/>
      <c r="C302" s="103"/>
      <c r="D302" s="103"/>
      <c r="E302" s="104"/>
      <c r="F302" s="105" t="s">
        <v>711</v>
      </c>
      <c r="G302" s="119">
        <v>200000</v>
      </c>
      <c r="H302" s="265"/>
      <c r="I302" s="266"/>
      <c r="J302" s="267"/>
      <c r="K302" s="265"/>
      <c r="L302" s="265"/>
      <c r="M302" s="268"/>
      <c r="N302" s="269"/>
      <c r="O302" s="119"/>
      <c r="P302" s="265"/>
      <c r="Q302" s="266"/>
      <c r="R302" s="267"/>
      <c r="S302" s="265"/>
      <c r="T302" s="265"/>
      <c r="U302" s="268"/>
      <c r="V302" s="269"/>
      <c r="W302" s="119">
        <f t="shared" si="119"/>
        <v>0</v>
      </c>
      <c r="X302" s="119">
        <f t="shared" si="119"/>
        <v>0</v>
      </c>
      <c r="Y302" s="203">
        <f t="shared" si="121"/>
        <v>0</v>
      </c>
      <c r="Z302" s="119"/>
      <c r="AA302" s="119"/>
      <c r="AB302" s="119"/>
      <c r="AC302" s="88">
        <f t="shared" si="115"/>
        <v>0</v>
      </c>
      <c r="AD302" s="119"/>
      <c r="AE302" s="119"/>
      <c r="AF302" s="119"/>
      <c r="AG302" s="119"/>
      <c r="AH302" s="113"/>
      <c r="AI302" s="110"/>
      <c r="AJ302" s="110"/>
      <c r="AK302" s="110"/>
    </row>
    <row r="303" spans="1:37" s="249" customFormat="1" ht="14.25" customHeight="1" thickTop="1" thickBot="1" x14ac:dyDescent="0.25">
      <c r="A303" s="101"/>
      <c r="B303" s="102"/>
      <c r="C303" s="103"/>
      <c r="D303" s="103"/>
      <c r="E303" s="104"/>
      <c r="F303" s="105" t="s">
        <v>712</v>
      </c>
      <c r="G303" s="119">
        <v>0</v>
      </c>
      <c r="H303" s="265"/>
      <c r="I303" s="266"/>
      <c r="J303" s="267"/>
      <c r="K303" s="265"/>
      <c r="L303" s="265"/>
      <c r="M303" s="268"/>
      <c r="N303" s="269"/>
      <c r="O303" s="119"/>
      <c r="P303" s="265"/>
      <c r="Q303" s="266"/>
      <c r="R303" s="267"/>
      <c r="S303" s="265"/>
      <c r="T303" s="265"/>
      <c r="U303" s="268"/>
      <c r="V303" s="269"/>
      <c r="W303" s="119">
        <f t="shared" si="119"/>
        <v>0</v>
      </c>
      <c r="X303" s="119">
        <f t="shared" si="119"/>
        <v>0</v>
      </c>
      <c r="Y303" s="203">
        <f t="shared" si="121"/>
        <v>0</v>
      </c>
      <c r="Z303" s="119"/>
      <c r="AA303" s="119"/>
      <c r="AB303" s="119"/>
      <c r="AC303" s="88">
        <f t="shared" si="115"/>
        <v>0</v>
      </c>
      <c r="AD303" s="119"/>
      <c r="AE303" s="119"/>
      <c r="AF303" s="119"/>
      <c r="AG303" s="119"/>
      <c r="AH303" s="113"/>
      <c r="AI303" s="110"/>
      <c r="AJ303" s="110"/>
      <c r="AK303" s="110"/>
    </row>
    <row r="304" spans="1:37" s="249" customFormat="1" ht="14.25" customHeight="1" thickTop="1" thickBot="1" x14ac:dyDescent="0.25">
      <c r="A304" s="101"/>
      <c r="B304" s="102"/>
      <c r="C304" s="103"/>
      <c r="D304" s="103"/>
      <c r="E304" s="104"/>
      <c r="F304" s="105" t="s">
        <v>713</v>
      </c>
      <c r="G304" s="119">
        <v>775000</v>
      </c>
      <c r="H304" s="265"/>
      <c r="I304" s="266"/>
      <c r="J304" s="267"/>
      <c r="K304" s="265"/>
      <c r="L304" s="265"/>
      <c r="M304" s="268"/>
      <c r="N304" s="269"/>
      <c r="O304" s="119"/>
      <c r="P304" s="265"/>
      <c r="Q304" s="266"/>
      <c r="R304" s="267"/>
      <c r="S304" s="265"/>
      <c r="T304" s="265"/>
      <c r="U304" s="268"/>
      <c r="V304" s="269"/>
      <c r="W304" s="119">
        <f t="shared" si="119"/>
        <v>0</v>
      </c>
      <c r="X304" s="119">
        <f t="shared" si="119"/>
        <v>0</v>
      </c>
      <c r="Y304" s="203">
        <f t="shared" si="121"/>
        <v>0</v>
      </c>
      <c r="Z304" s="119"/>
      <c r="AA304" s="119"/>
      <c r="AB304" s="119"/>
      <c r="AC304" s="88">
        <f t="shared" si="115"/>
        <v>0</v>
      </c>
      <c r="AD304" s="119"/>
      <c r="AE304" s="119"/>
      <c r="AF304" s="119"/>
      <c r="AG304" s="119"/>
      <c r="AH304" s="113"/>
      <c r="AI304" s="110"/>
      <c r="AJ304" s="110"/>
      <c r="AK304" s="110"/>
    </row>
    <row r="305" spans="1:37" s="249" customFormat="1" ht="14.25" customHeight="1" x14ac:dyDescent="0.2">
      <c r="A305" s="101"/>
      <c r="B305" s="102"/>
      <c r="C305" s="103"/>
      <c r="D305" s="103"/>
      <c r="E305" s="104">
        <v>830313</v>
      </c>
      <c r="F305" s="105" t="s">
        <v>714</v>
      </c>
      <c r="G305" s="119">
        <v>36395173.880000003</v>
      </c>
      <c r="H305" s="265"/>
      <c r="I305" s="266">
        <v>3705164.34</v>
      </c>
      <c r="J305" s="267">
        <v>3705164.34</v>
      </c>
      <c r="K305" s="265"/>
      <c r="L305" s="265">
        <v>1007769.1</v>
      </c>
      <c r="M305" s="268">
        <v>2046995.29</v>
      </c>
      <c r="N305" s="269"/>
      <c r="O305" s="119"/>
      <c r="P305" s="265"/>
      <c r="Q305" s="266"/>
      <c r="R305" s="267"/>
      <c r="S305" s="265"/>
      <c r="T305" s="265"/>
      <c r="U305" s="268"/>
      <c r="V305" s="269"/>
      <c r="W305" s="119">
        <f t="shared" si="119"/>
        <v>3054764.39</v>
      </c>
      <c r="X305" s="108">
        <f>W305</f>
        <v>3054764.39</v>
      </c>
      <c r="Y305" s="110">
        <v>3054764.39</v>
      </c>
      <c r="Z305" s="111">
        <v>53952993.880000003</v>
      </c>
      <c r="AA305" s="111">
        <v>0</v>
      </c>
      <c r="AB305" s="111"/>
      <c r="AC305" s="88">
        <f t="shared" si="115"/>
        <v>0</v>
      </c>
      <c r="AD305" s="120">
        <v>48831449</v>
      </c>
      <c r="AE305" s="120"/>
      <c r="AF305" s="270">
        <v>48831448.569999993</v>
      </c>
      <c r="AG305" s="120">
        <f>AF305-AD305</f>
        <v>-0.43000000715255737</v>
      </c>
      <c r="AH305" s="113">
        <v>2610222</v>
      </c>
      <c r="AI305" s="114">
        <v>3054764.39</v>
      </c>
      <c r="AJ305" s="114">
        <v>48831448.57</v>
      </c>
      <c r="AK305" s="114">
        <v>3053743.28</v>
      </c>
    </row>
    <row r="306" spans="1:37" s="249" customFormat="1" ht="14.25" customHeight="1" thickTop="1" thickBot="1" x14ac:dyDescent="0.25">
      <c r="A306" s="101"/>
      <c r="B306" s="102"/>
      <c r="C306" s="103"/>
      <c r="D306" s="103"/>
      <c r="E306" s="104"/>
      <c r="F306" s="105" t="s">
        <v>715</v>
      </c>
      <c r="G306" s="119">
        <v>2284701.56</v>
      </c>
      <c r="H306" s="265"/>
      <c r="I306" s="266"/>
      <c r="J306" s="267"/>
      <c r="K306" s="265"/>
      <c r="L306" s="265"/>
      <c r="M306" s="268"/>
      <c r="N306" s="269"/>
      <c r="O306" s="119"/>
      <c r="P306" s="265"/>
      <c r="Q306" s="266"/>
      <c r="R306" s="267"/>
      <c r="S306" s="265"/>
      <c r="T306" s="265"/>
      <c r="U306" s="268"/>
      <c r="V306" s="269"/>
      <c r="W306" s="119">
        <f t="shared" si="119"/>
        <v>0</v>
      </c>
      <c r="X306" s="119">
        <f>SUM(L306:W306)</f>
        <v>0</v>
      </c>
      <c r="Y306" s="203">
        <f>SUM(M306:X306)</f>
        <v>0</v>
      </c>
      <c r="Z306" s="119"/>
      <c r="AA306" s="119"/>
      <c r="AB306" s="119"/>
      <c r="AC306" s="88">
        <f t="shared" si="115"/>
        <v>0</v>
      </c>
      <c r="AD306" s="119"/>
      <c r="AE306" s="119"/>
      <c r="AF306" s="119"/>
      <c r="AG306" s="119"/>
      <c r="AH306" s="113"/>
      <c r="AI306" s="110"/>
      <c r="AJ306" s="110"/>
      <c r="AK306" s="110"/>
    </row>
    <row r="307" spans="1:37" s="249" customFormat="1" ht="14.25" customHeight="1" thickTop="1" thickBot="1" x14ac:dyDescent="0.25">
      <c r="A307" s="101"/>
      <c r="B307" s="102"/>
      <c r="C307" s="103"/>
      <c r="D307" s="103"/>
      <c r="E307" s="104">
        <v>830314</v>
      </c>
      <c r="F307" s="105" t="s">
        <v>716</v>
      </c>
      <c r="G307" s="119">
        <v>4653035.59</v>
      </c>
      <c r="H307" s="265"/>
      <c r="I307" s="266">
        <v>1298202.43</v>
      </c>
      <c r="J307" s="267">
        <v>1298202.43</v>
      </c>
      <c r="K307" s="265"/>
      <c r="L307" s="265">
        <v>1028314.08</v>
      </c>
      <c r="M307" s="268">
        <v>258501.83</v>
      </c>
      <c r="N307" s="269"/>
      <c r="O307" s="119"/>
      <c r="P307" s="265"/>
      <c r="Q307" s="266"/>
      <c r="R307" s="267"/>
      <c r="S307" s="265"/>
      <c r="T307" s="265"/>
      <c r="U307" s="268"/>
      <c r="V307" s="269"/>
      <c r="W307" s="119">
        <f t="shared" si="119"/>
        <v>1286815.9099999999</v>
      </c>
      <c r="X307" s="108">
        <f>W307</f>
        <v>1286815.9099999999</v>
      </c>
      <c r="Y307" s="110">
        <v>1286815.9099999999</v>
      </c>
      <c r="Z307" s="111">
        <v>1301000</v>
      </c>
      <c r="AA307" s="111">
        <v>0</v>
      </c>
      <c r="AB307" s="111"/>
      <c r="AC307" s="88">
        <f t="shared" si="115"/>
        <v>0</v>
      </c>
      <c r="AD307" s="120">
        <v>23191718</v>
      </c>
      <c r="AE307" s="120"/>
      <c r="AF307" s="270">
        <v>23191717.539999999</v>
      </c>
      <c r="AG307" s="120">
        <f>AF307-AD307</f>
        <v>-0.46000000089406967</v>
      </c>
      <c r="AH307" s="113">
        <v>2610121</v>
      </c>
      <c r="AI307" s="114">
        <v>1286815.9099999999</v>
      </c>
      <c r="AJ307" s="114">
        <v>23191717.539999999</v>
      </c>
      <c r="AK307" s="114">
        <v>0</v>
      </c>
    </row>
    <row r="308" spans="1:37" s="249" customFormat="1" ht="14.25" customHeight="1" thickTop="1" thickBot="1" x14ac:dyDescent="0.25">
      <c r="A308" s="101"/>
      <c r="B308" s="102"/>
      <c r="C308" s="103"/>
      <c r="D308" s="103"/>
      <c r="E308" s="104"/>
      <c r="F308" s="105" t="s">
        <v>717</v>
      </c>
      <c r="G308" s="119">
        <v>1141842.92</v>
      </c>
      <c r="H308" s="265"/>
      <c r="I308" s="266"/>
      <c r="J308" s="267"/>
      <c r="K308" s="265"/>
      <c r="L308" s="265"/>
      <c r="M308" s="268"/>
      <c r="N308" s="269"/>
      <c r="O308" s="119"/>
      <c r="P308" s="265"/>
      <c r="Q308" s="266"/>
      <c r="R308" s="267"/>
      <c r="S308" s="265"/>
      <c r="T308" s="265"/>
      <c r="U308" s="268"/>
      <c r="V308" s="269"/>
      <c r="W308" s="119">
        <f t="shared" si="119"/>
        <v>0</v>
      </c>
      <c r="X308" s="119">
        <f t="shared" si="119"/>
        <v>0</v>
      </c>
      <c r="Y308" s="203">
        <f t="shared" ref="Y308:Y314" si="122">SUM(M308:X308)</f>
        <v>0</v>
      </c>
      <c r="Z308" s="119"/>
      <c r="AA308" s="119"/>
      <c r="AB308" s="119"/>
      <c r="AC308" s="88">
        <f t="shared" si="115"/>
        <v>0</v>
      </c>
      <c r="AD308" s="119"/>
      <c r="AE308" s="119"/>
      <c r="AF308" s="119"/>
      <c r="AG308" s="119"/>
      <c r="AH308" s="113"/>
      <c r="AI308" s="110"/>
      <c r="AJ308" s="110"/>
      <c r="AK308" s="110"/>
    </row>
    <row r="309" spans="1:37" s="249" customFormat="1" ht="14.25" customHeight="1" thickTop="1" thickBot="1" x14ac:dyDescent="0.25">
      <c r="A309" s="101"/>
      <c r="B309" s="102"/>
      <c r="C309" s="103"/>
      <c r="D309" s="103"/>
      <c r="E309" s="104"/>
      <c r="F309" s="105" t="s">
        <v>718</v>
      </c>
      <c r="G309" s="119"/>
      <c r="H309" s="265"/>
      <c r="I309" s="266"/>
      <c r="J309" s="267"/>
      <c r="K309" s="265"/>
      <c r="L309" s="265"/>
      <c r="M309" s="268"/>
      <c r="N309" s="269"/>
      <c r="O309" s="119"/>
      <c r="P309" s="265"/>
      <c r="Q309" s="266"/>
      <c r="R309" s="267"/>
      <c r="S309" s="265"/>
      <c r="T309" s="265"/>
      <c r="U309" s="268"/>
      <c r="V309" s="269"/>
      <c r="W309" s="119">
        <f t="shared" si="119"/>
        <v>0</v>
      </c>
      <c r="X309" s="119">
        <f t="shared" si="119"/>
        <v>0</v>
      </c>
      <c r="Y309" s="203">
        <f t="shared" si="122"/>
        <v>0</v>
      </c>
      <c r="Z309" s="119"/>
      <c r="AA309" s="119"/>
      <c r="AB309" s="119"/>
      <c r="AC309" s="88">
        <f t="shared" si="115"/>
        <v>0</v>
      </c>
      <c r="AD309" s="119"/>
      <c r="AE309" s="119"/>
      <c r="AF309" s="119"/>
      <c r="AG309" s="119"/>
      <c r="AH309" s="113"/>
      <c r="AI309" s="110"/>
      <c r="AJ309" s="110"/>
      <c r="AK309" s="110"/>
    </row>
    <row r="310" spans="1:37" s="249" customFormat="1" ht="14.25" customHeight="1" thickTop="1" thickBot="1" x14ac:dyDescent="0.25">
      <c r="A310" s="101"/>
      <c r="B310" s="102"/>
      <c r="C310" s="103"/>
      <c r="D310" s="103"/>
      <c r="E310" s="104"/>
      <c r="F310" s="105" t="s">
        <v>719</v>
      </c>
      <c r="G310" s="119">
        <v>245120</v>
      </c>
      <c r="H310" s="265"/>
      <c r="I310" s="266"/>
      <c r="J310" s="267"/>
      <c r="K310" s="265"/>
      <c r="L310" s="265"/>
      <c r="M310" s="268"/>
      <c r="N310" s="269"/>
      <c r="O310" s="119"/>
      <c r="P310" s="265"/>
      <c r="Q310" s="266"/>
      <c r="R310" s="267"/>
      <c r="S310" s="265"/>
      <c r="T310" s="265"/>
      <c r="U310" s="268"/>
      <c r="V310" s="269"/>
      <c r="W310" s="119">
        <f t="shared" si="119"/>
        <v>0</v>
      </c>
      <c r="X310" s="119">
        <f t="shared" si="119"/>
        <v>0</v>
      </c>
      <c r="Y310" s="203">
        <f t="shared" si="122"/>
        <v>0</v>
      </c>
      <c r="Z310" s="119"/>
      <c r="AA310" s="119"/>
      <c r="AB310" s="119"/>
      <c r="AC310" s="88">
        <f t="shared" si="115"/>
        <v>0</v>
      </c>
      <c r="AD310" s="119"/>
      <c r="AE310" s="119"/>
      <c r="AF310" s="119"/>
      <c r="AG310" s="119"/>
      <c r="AH310" s="113"/>
      <c r="AI310" s="110"/>
      <c r="AJ310" s="110"/>
      <c r="AK310" s="110"/>
    </row>
    <row r="311" spans="1:37" s="249" customFormat="1" ht="14.25" customHeight="1" thickTop="1" thickBot="1" x14ac:dyDescent="0.25">
      <c r="A311" s="101"/>
      <c r="B311" s="102"/>
      <c r="C311" s="103"/>
      <c r="D311" s="103"/>
      <c r="E311" s="104"/>
      <c r="F311" s="105" t="s">
        <v>720</v>
      </c>
      <c r="G311" s="119"/>
      <c r="H311" s="265"/>
      <c r="I311" s="266"/>
      <c r="J311" s="267"/>
      <c r="K311" s="265"/>
      <c r="L311" s="265"/>
      <c r="M311" s="268"/>
      <c r="N311" s="269"/>
      <c r="O311" s="119"/>
      <c r="P311" s="265"/>
      <c r="Q311" s="266"/>
      <c r="R311" s="267"/>
      <c r="S311" s="265"/>
      <c r="T311" s="265"/>
      <c r="U311" s="268"/>
      <c r="V311" s="269"/>
      <c r="W311" s="119">
        <f t="shared" si="119"/>
        <v>0</v>
      </c>
      <c r="X311" s="119">
        <f t="shared" si="119"/>
        <v>0</v>
      </c>
      <c r="Y311" s="203">
        <f t="shared" si="122"/>
        <v>0</v>
      </c>
      <c r="Z311" s="119"/>
      <c r="AA311" s="119"/>
      <c r="AB311" s="119"/>
      <c r="AC311" s="88">
        <f t="shared" si="115"/>
        <v>0</v>
      </c>
      <c r="AD311" s="119"/>
      <c r="AE311" s="119"/>
      <c r="AF311" s="119"/>
      <c r="AG311" s="119"/>
      <c r="AH311" s="113"/>
      <c r="AI311" s="110"/>
      <c r="AJ311" s="110"/>
      <c r="AK311" s="110"/>
    </row>
    <row r="312" spans="1:37" s="249" customFormat="1" ht="14.25" customHeight="1" thickTop="1" thickBot="1" x14ac:dyDescent="0.25">
      <c r="A312" s="101"/>
      <c r="B312" s="102"/>
      <c r="C312" s="103"/>
      <c r="D312" s="103"/>
      <c r="E312" s="104"/>
      <c r="F312" s="105" t="s">
        <v>721</v>
      </c>
      <c r="G312" s="119">
        <v>845000</v>
      </c>
      <c r="H312" s="265"/>
      <c r="I312" s="266"/>
      <c r="J312" s="267"/>
      <c r="K312" s="265"/>
      <c r="L312" s="265"/>
      <c r="M312" s="268"/>
      <c r="N312" s="269"/>
      <c r="O312" s="119"/>
      <c r="P312" s="265"/>
      <c r="Q312" s="266"/>
      <c r="R312" s="267"/>
      <c r="S312" s="265"/>
      <c r="T312" s="265"/>
      <c r="U312" s="268"/>
      <c r="V312" s="269"/>
      <c r="W312" s="119">
        <f t="shared" si="119"/>
        <v>0</v>
      </c>
      <c r="X312" s="119">
        <f t="shared" si="119"/>
        <v>0</v>
      </c>
      <c r="Y312" s="203">
        <f t="shared" si="122"/>
        <v>0</v>
      </c>
      <c r="Z312" s="119"/>
      <c r="AA312" s="119"/>
      <c r="AB312" s="119"/>
      <c r="AC312" s="88">
        <f t="shared" si="115"/>
        <v>0</v>
      </c>
      <c r="AD312" s="119"/>
      <c r="AE312" s="119"/>
      <c r="AF312" s="119"/>
      <c r="AG312" s="119"/>
      <c r="AH312" s="113"/>
      <c r="AI312" s="110"/>
      <c r="AJ312" s="110"/>
      <c r="AK312" s="110"/>
    </row>
    <row r="313" spans="1:37" s="249" customFormat="1" ht="14.25" customHeight="1" thickTop="1" thickBot="1" x14ac:dyDescent="0.25">
      <c r="A313" s="101"/>
      <c r="B313" s="102"/>
      <c r="C313" s="103"/>
      <c r="D313" s="103"/>
      <c r="E313" s="104"/>
      <c r="F313" s="105" t="s">
        <v>722</v>
      </c>
      <c r="G313" s="119"/>
      <c r="H313" s="265"/>
      <c r="I313" s="266"/>
      <c r="J313" s="267"/>
      <c r="K313" s="265"/>
      <c r="L313" s="265"/>
      <c r="M313" s="268"/>
      <c r="N313" s="269"/>
      <c r="O313" s="119"/>
      <c r="P313" s="265"/>
      <c r="Q313" s="266"/>
      <c r="R313" s="267"/>
      <c r="S313" s="265"/>
      <c r="T313" s="265"/>
      <c r="U313" s="268"/>
      <c r="V313" s="269"/>
      <c r="W313" s="119">
        <f t="shared" si="119"/>
        <v>0</v>
      </c>
      <c r="X313" s="119">
        <f t="shared" si="119"/>
        <v>0</v>
      </c>
      <c r="Y313" s="203">
        <f t="shared" si="122"/>
        <v>0</v>
      </c>
      <c r="Z313" s="119"/>
      <c r="AA313" s="119"/>
      <c r="AB313" s="119"/>
      <c r="AC313" s="88">
        <f t="shared" si="115"/>
        <v>0</v>
      </c>
      <c r="AD313" s="119"/>
      <c r="AE313" s="119"/>
      <c r="AF313" s="119"/>
      <c r="AG313" s="119"/>
      <c r="AH313" s="113"/>
      <c r="AI313" s="110"/>
      <c r="AJ313" s="110"/>
      <c r="AK313" s="110"/>
    </row>
    <row r="314" spans="1:37" s="249" customFormat="1" ht="22.5" customHeight="1" thickTop="1" thickBot="1" x14ac:dyDescent="0.25">
      <c r="A314" s="101"/>
      <c r="B314" s="102"/>
      <c r="C314" s="103"/>
      <c r="D314" s="103"/>
      <c r="E314" s="104"/>
      <c r="F314" s="105" t="s">
        <v>723</v>
      </c>
      <c r="G314" s="119"/>
      <c r="H314" s="265"/>
      <c r="I314" s="266"/>
      <c r="J314" s="267"/>
      <c r="K314" s="265"/>
      <c r="L314" s="265"/>
      <c r="M314" s="268"/>
      <c r="N314" s="269"/>
      <c r="O314" s="119"/>
      <c r="P314" s="265"/>
      <c r="Q314" s="266"/>
      <c r="R314" s="267"/>
      <c r="S314" s="265"/>
      <c r="T314" s="265"/>
      <c r="U314" s="268"/>
      <c r="V314" s="269"/>
      <c r="W314" s="119">
        <f t="shared" si="119"/>
        <v>0</v>
      </c>
      <c r="X314" s="119">
        <f t="shared" si="119"/>
        <v>0</v>
      </c>
      <c r="Y314" s="203">
        <f t="shared" si="122"/>
        <v>0</v>
      </c>
      <c r="Z314" s="119"/>
      <c r="AA314" s="119"/>
      <c r="AB314" s="119"/>
      <c r="AC314" s="88">
        <f t="shared" si="115"/>
        <v>0</v>
      </c>
      <c r="AD314" s="119"/>
      <c r="AE314" s="119"/>
      <c r="AF314" s="119"/>
      <c r="AG314" s="119"/>
      <c r="AH314" s="113"/>
      <c r="AI314" s="110">
        <v>0</v>
      </c>
      <c r="AJ314" s="110"/>
      <c r="AK314" s="110"/>
    </row>
    <row r="315" spans="1:37" s="249" customFormat="1" ht="14.25" customHeight="1" thickTop="1" thickBot="1" x14ac:dyDescent="0.25">
      <c r="A315" s="101"/>
      <c r="B315" s="102"/>
      <c r="C315" s="103"/>
      <c r="D315" s="103"/>
      <c r="E315" s="104">
        <v>830316</v>
      </c>
      <c r="F315" s="105" t="s">
        <v>724</v>
      </c>
      <c r="G315" s="119"/>
      <c r="H315" s="265"/>
      <c r="I315" s="266">
        <v>87000000</v>
      </c>
      <c r="J315" s="267">
        <v>87000000</v>
      </c>
      <c r="K315" s="265"/>
      <c r="L315" s="265"/>
      <c r="M315" s="268"/>
      <c r="N315" s="269"/>
      <c r="O315" s="119">
        <v>87076872</v>
      </c>
      <c r="P315" s="265"/>
      <c r="Q315" s="266"/>
      <c r="R315" s="267"/>
      <c r="S315" s="265"/>
      <c r="T315" s="265"/>
      <c r="U315" s="268"/>
      <c r="V315" s="269"/>
      <c r="W315" s="119">
        <f t="shared" si="119"/>
        <v>87076872</v>
      </c>
      <c r="X315" s="108">
        <f>W315</f>
        <v>87076872</v>
      </c>
      <c r="Y315" s="110">
        <v>116309434.77</v>
      </c>
      <c r="Z315" s="108"/>
      <c r="AA315" s="108"/>
      <c r="AB315" s="108"/>
      <c r="AC315" s="88">
        <f t="shared" si="115"/>
        <v>0</v>
      </c>
      <c r="AD315" s="108"/>
      <c r="AE315" s="108"/>
      <c r="AF315" s="108"/>
      <c r="AG315" s="108"/>
      <c r="AH315" s="113">
        <v>2610121</v>
      </c>
      <c r="AI315" s="110">
        <v>116309434.77</v>
      </c>
      <c r="AJ315" s="114">
        <v>0</v>
      </c>
      <c r="AK315" s="114">
        <v>0</v>
      </c>
    </row>
    <row r="316" spans="1:37" s="249" customFormat="1" ht="14.25" customHeight="1" thickTop="1" thickBot="1" x14ac:dyDescent="0.25">
      <c r="A316" s="101"/>
      <c r="B316" s="102"/>
      <c r="C316" s="103"/>
      <c r="D316" s="103"/>
      <c r="E316" s="104">
        <v>830317</v>
      </c>
      <c r="F316" s="105" t="s">
        <v>725</v>
      </c>
      <c r="G316" s="119"/>
      <c r="H316" s="265"/>
      <c r="I316" s="266">
        <v>36277869.600000001</v>
      </c>
      <c r="J316" s="267">
        <v>36277869.600000001</v>
      </c>
      <c r="K316" s="265"/>
      <c r="L316" s="265"/>
      <c r="M316" s="268"/>
      <c r="N316" s="269"/>
      <c r="O316" s="119"/>
      <c r="P316" s="265"/>
      <c r="Q316" s="266"/>
      <c r="R316" s="267"/>
      <c r="S316" s="265"/>
      <c r="T316" s="265"/>
      <c r="U316" s="268"/>
      <c r="V316" s="269"/>
      <c r="W316" s="119">
        <f t="shared" si="119"/>
        <v>0</v>
      </c>
      <c r="X316" s="108">
        <f>W316</f>
        <v>0</v>
      </c>
      <c r="Y316" s="110"/>
      <c r="Z316" s="108"/>
      <c r="AA316" s="108"/>
      <c r="AB316" s="108"/>
      <c r="AC316" s="88">
        <f t="shared" si="115"/>
        <v>0</v>
      </c>
      <c r="AD316" s="108"/>
      <c r="AE316" s="108"/>
      <c r="AF316" s="108"/>
      <c r="AG316" s="108"/>
      <c r="AH316" s="113"/>
      <c r="AI316" s="110">
        <f>IFERROR(VLOOKUP(E316,[17]Total!$D:$S,2,FALSE),0)</f>
        <v>0</v>
      </c>
      <c r="AJ316" s="114">
        <f>IFERROR(VLOOKUP(E316,[17]Total!$D:$S,12,FALSE),0)</f>
        <v>0</v>
      </c>
      <c r="AK316" s="114">
        <f>IFERROR(VLOOKUP(E316,[17]Total!$D:$S,16,FALSE),0)</f>
        <v>0</v>
      </c>
    </row>
    <row r="317" spans="1:37" s="249" customFormat="1" ht="14.25" customHeight="1" thickTop="1" thickBot="1" x14ac:dyDescent="0.25">
      <c r="A317" s="101"/>
      <c r="B317" s="102"/>
      <c r="C317" s="103"/>
      <c r="D317" s="103"/>
      <c r="E317" s="104">
        <v>830318</v>
      </c>
      <c r="F317" s="105" t="s">
        <v>726</v>
      </c>
      <c r="G317" s="119"/>
      <c r="H317" s="265"/>
      <c r="I317" s="266">
        <v>5600000</v>
      </c>
      <c r="J317" s="267">
        <v>5600000</v>
      </c>
      <c r="K317" s="265"/>
      <c r="L317" s="265"/>
      <c r="M317" s="268"/>
      <c r="N317" s="269"/>
      <c r="O317" s="119"/>
      <c r="P317" s="265"/>
      <c r="Q317" s="266"/>
      <c r="R317" s="267"/>
      <c r="S317" s="265"/>
      <c r="T317" s="265"/>
      <c r="U317" s="268"/>
      <c r="V317" s="269">
        <v>5600000</v>
      </c>
      <c r="W317" s="119">
        <f t="shared" si="119"/>
        <v>5600000</v>
      </c>
      <c r="X317" s="119"/>
      <c r="Y317" s="203"/>
      <c r="Z317" s="119"/>
      <c r="AA317" s="119"/>
      <c r="AB317" s="119"/>
      <c r="AC317" s="271">
        <f t="shared" si="115"/>
        <v>5600000</v>
      </c>
      <c r="AD317" s="119"/>
      <c r="AE317" s="119"/>
      <c r="AF317" s="119"/>
      <c r="AG317" s="119"/>
      <c r="AH317" s="113"/>
      <c r="AI317" s="110">
        <f>IFERROR(VLOOKUP(E317,[17]Total!$D:$S,2,FALSE),0)</f>
        <v>0</v>
      </c>
      <c r="AJ317" s="114">
        <f>IFERROR(VLOOKUP(E317,[17]Total!$D:$S,12,FALSE),0)</f>
        <v>0</v>
      </c>
      <c r="AK317" s="114">
        <f>IFERROR(VLOOKUP(E317,[17]Total!$D:$S,16,FALSE),0)</f>
        <v>0</v>
      </c>
    </row>
    <row r="318" spans="1:37" s="249" customFormat="1" ht="14.25" customHeight="1" thickTop="1" thickBot="1" x14ac:dyDescent="0.25">
      <c r="A318" s="101"/>
      <c r="B318" s="102"/>
      <c r="C318" s="103"/>
      <c r="D318" s="103"/>
      <c r="E318" s="104">
        <v>830390</v>
      </c>
      <c r="F318" s="105" t="s">
        <v>727</v>
      </c>
      <c r="G318" s="119"/>
      <c r="H318" s="265"/>
      <c r="I318" s="266">
        <v>18365564.239999998</v>
      </c>
      <c r="J318" s="267">
        <v>18365564.239999998</v>
      </c>
      <c r="K318" s="265"/>
      <c r="L318" s="265"/>
      <c r="M318" s="268"/>
      <c r="N318" s="269"/>
      <c r="O318" s="119"/>
      <c r="P318" s="265">
        <v>4720767</v>
      </c>
      <c r="Q318" s="266"/>
      <c r="R318" s="267"/>
      <c r="S318" s="265"/>
      <c r="T318" s="265"/>
      <c r="U318" s="268"/>
      <c r="V318" s="269">
        <v>18365564.239999998</v>
      </c>
      <c r="W318" s="119">
        <v>15211714.24</v>
      </c>
      <c r="X318" s="108">
        <f t="shared" ref="X318:X324" si="123">W318</f>
        <v>15211714.24</v>
      </c>
      <c r="Y318" s="110"/>
      <c r="Z318" s="108"/>
      <c r="AA318" s="108"/>
      <c r="AB318" s="108"/>
      <c r="AC318" s="88">
        <f t="shared" si="115"/>
        <v>0</v>
      </c>
      <c r="AD318" s="108"/>
      <c r="AE318" s="108"/>
      <c r="AF318" s="108"/>
      <c r="AG318" s="108"/>
      <c r="AH318" s="113"/>
      <c r="AI318" s="110"/>
      <c r="AJ318" s="110"/>
      <c r="AK318" s="110"/>
    </row>
    <row r="319" spans="1:37" s="249" customFormat="1" ht="14.25" customHeight="1" thickTop="1" thickBot="1" x14ac:dyDescent="0.25">
      <c r="A319" s="101"/>
      <c r="B319" s="102"/>
      <c r="C319" s="103"/>
      <c r="D319" s="103"/>
      <c r="E319" s="104">
        <v>830391</v>
      </c>
      <c r="F319" s="105" t="s">
        <v>728</v>
      </c>
      <c r="G319" s="119"/>
      <c r="H319" s="265"/>
      <c r="I319" s="266"/>
      <c r="J319" s="267"/>
      <c r="K319" s="265"/>
      <c r="L319" s="265"/>
      <c r="M319" s="268"/>
      <c r="N319" s="269"/>
      <c r="O319" s="119"/>
      <c r="P319" s="265"/>
      <c r="Q319" s="266"/>
      <c r="R319" s="267"/>
      <c r="S319" s="265"/>
      <c r="T319" s="265"/>
      <c r="U319" s="268"/>
      <c r="V319" s="269"/>
      <c r="W319" s="119">
        <v>2443000</v>
      </c>
      <c r="X319" s="108">
        <f t="shared" si="123"/>
        <v>2443000</v>
      </c>
      <c r="Y319" s="110"/>
      <c r="Z319" s="108"/>
      <c r="AA319" s="108"/>
      <c r="AB319" s="108"/>
      <c r="AC319" s="88">
        <f t="shared" si="115"/>
        <v>0</v>
      </c>
      <c r="AD319" s="108"/>
      <c r="AE319" s="108"/>
      <c r="AF319" s="108"/>
      <c r="AG319" s="108"/>
      <c r="AH319" s="113"/>
      <c r="AI319" s="110"/>
      <c r="AJ319" s="110"/>
      <c r="AK319" s="110"/>
    </row>
    <row r="320" spans="1:37" s="249" customFormat="1" ht="14.25" customHeight="1" thickTop="1" thickBot="1" x14ac:dyDescent="0.25">
      <c r="A320" s="101"/>
      <c r="B320" s="102"/>
      <c r="C320" s="103"/>
      <c r="D320" s="103"/>
      <c r="E320" s="104">
        <v>830319</v>
      </c>
      <c r="F320" s="105" t="s">
        <v>729</v>
      </c>
      <c r="G320" s="119"/>
      <c r="H320" s="265"/>
      <c r="I320" s="266"/>
      <c r="J320" s="267"/>
      <c r="K320" s="265"/>
      <c r="L320" s="265"/>
      <c r="M320" s="268"/>
      <c r="N320" s="269"/>
      <c r="O320" s="119"/>
      <c r="P320" s="265"/>
      <c r="Q320" s="266"/>
      <c r="R320" s="267"/>
      <c r="S320" s="265"/>
      <c r="T320" s="265"/>
      <c r="U320" s="268"/>
      <c r="V320" s="269"/>
      <c r="W320" s="119">
        <v>710850</v>
      </c>
      <c r="X320" s="108">
        <f t="shared" si="123"/>
        <v>710850</v>
      </c>
      <c r="Y320" s="110">
        <v>708896.84</v>
      </c>
      <c r="Z320" s="108"/>
      <c r="AA320" s="108"/>
      <c r="AB320" s="108"/>
      <c r="AC320" s="88">
        <f t="shared" si="115"/>
        <v>0</v>
      </c>
      <c r="AD320" s="108"/>
      <c r="AE320" s="108"/>
      <c r="AF320" s="108"/>
      <c r="AG320" s="108"/>
      <c r="AH320" s="113">
        <v>2610121</v>
      </c>
      <c r="AI320" s="114">
        <v>708896.84</v>
      </c>
      <c r="AJ320" s="114">
        <v>0</v>
      </c>
      <c r="AK320" s="114">
        <v>0</v>
      </c>
    </row>
    <row r="321" spans="1:37" s="249" customFormat="1" ht="14.25" customHeight="1" thickTop="1" thickBot="1" x14ac:dyDescent="0.25">
      <c r="A321" s="101"/>
      <c r="B321" s="102"/>
      <c r="C321" s="103"/>
      <c r="D321" s="103"/>
      <c r="E321" s="104">
        <v>830321</v>
      </c>
      <c r="F321" s="105" t="s">
        <v>730</v>
      </c>
      <c r="G321" s="119"/>
      <c r="H321" s="265"/>
      <c r="I321" s="266"/>
      <c r="J321" s="267"/>
      <c r="K321" s="265"/>
      <c r="L321" s="265"/>
      <c r="M321" s="268"/>
      <c r="N321" s="269"/>
      <c r="O321" s="119"/>
      <c r="P321" s="265"/>
      <c r="Q321" s="266"/>
      <c r="R321" s="267"/>
      <c r="S321" s="265"/>
      <c r="T321" s="265"/>
      <c r="U321" s="268"/>
      <c r="V321" s="269">
        <v>9616291.2899999991</v>
      </c>
      <c r="W321" s="119">
        <v>11087580.75</v>
      </c>
      <c r="X321" s="108">
        <f t="shared" si="123"/>
        <v>11087580.75</v>
      </c>
      <c r="Y321" s="110">
        <v>7759735.7999999998</v>
      </c>
      <c r="Z321" s="108"/>
      <c r="AA321" s="108"/>
      <c r="AB321" s="108"/>
      <c r="AC321" s="88">
        <f t="shared" si="115"/>
        <v>0</v>
      </c>
      <c r="AD321" s="108"/>
      <c r="AE321" s="108"/>
      <c r="AF321" s="108"/>
      <c r="AG321" s="108"/>
      <c r="AH321" s="113">
        <v>2610121</v>
      </c>
      <c r="AI321" s="114">
        <v>7759735.7999999998</v>
      </c>
      <c r="AJ321" s="114">
        <v>0</v>
      </c>
      <c r="AK321" s="114">
        <v>0</v>
      </c>
    </row>
    <row r="322" spans="1:37" s="249" customFormat="1" ht="14.25" customHeight="1" thickTop="1" thickBot="1" x14ac:dyDescent="0.25">
      <c r="A322" s="101"/>
      <c r="B322" s="102"/>
      <c r="C322" s="103"/>
      <c r="D322" s="103"/>
      <c r="E322" s="104">
        <v>830322</v>
      </c>
      <c r="F322" s="105" t="s">
        <v>731</v>
      </c>
      <c r="G322" s="119"/>
      <c r="H322" s="265"/>
      <c r="I322" s="266"/>
      <c r="J322" s="267"/>
      <c r="K322" s="265"/>
      <c r="L322" s="265"/>
      <c r="M322" s="268"/>
      <c r="N322" s="269"/>
      <c r="O322" s="119"/>
      <c r="P322" s="265"/>
      <c r="Q322" s="266"/>
      <c r="R322" s="267"/>
      <c r="S322" s="265"/>
      <c r="T322" s="265"/>
      <c r="U322" s="268"/>
      <c r="V322" s="269">
        <v>2735260.16</v>
      </c>
      <c r="W322" s="119">
        <f>SUM(K322:V322)</f>
        <v>2735260.16</v>
      </c>
      <c r="X322" s="108">
        <f t="shared" si="123"/>
        <v>2735260.16</v>
      </c>
      <c r="Y322" s="110">
        <v>4749997.58</v>
      </c>
      <c r="Z322" s="111">
        <v>362000</v>
      </c>
      <c r="AA322" s="111">
        <v>0</v>
      </c>
      <c r="AB322" s="111"/>
      <c r="AC322" s="88">
        <f t="shared" si="115"/>
        <v>0</v>
      </c>
      <c r="AD322" s="120">
        <v>0</v>
      </c>
      <c r="AE322" s="120"/>
      <c r="AF322" s="120"/>
      <c r="AG322" s="120"/>
      <c r="AH322" s="113">
        <v>2610121</v>
      </c>
      <c r="AI322" s="114">
        <v>4749997.58</v>
      </c>
      <c r="AJ322" s="114">
        <v>0</v>
      </c>
      <c r="AK322" s="114">
        <v>0</v>
      </c>
    </row>
    <row r="323" spans="1:37" s="249" customFormat="1" ht="27" thickTop="1" thickBot="1" x14ac:dyDescent="0.25">
      <c r="A323" s="101"/>
      <c r="B323" s="102"/>
      <c r="C323" s="103"/>
      <c r="D323" s="103"/>
      <c r="E323" s="104">
        <v>830323</v>
      </c>
      <c r="F323" s="105" t="s">
        <v>732</v>
      </c>
      <c r="G323" s="119"/>
      <c r="H323" s="265"/>
      <c r="I323" s="266"/>
      <c r="J323" s="267"/>
      <c r="K323" s="265"/>
      <c r="L323" s="265"/>
      <c r="M323" s="268"/>
      <c r="N323" s="269"/>
      <c r="O323" s="119"/>
      <c r="P323" s="265"/>
      <c r="Q323" s="266"/>
      <c r="R323" s="267"/>
      <c r="S323" s="265"/>
      <c r="T323" s="265"/>
      <c r="U323" s="268"/>
      <c r="V323" s="269">
        <v>4700000</v>
      </c>
      <c r="W323" s="119">
        <f>SUM(K323:V323)+3253116</f>
        <v>7953116</v>
      </c>
      <c r="X323" s="108">
        <f t="shared" si="123"/>
        <v>7953116</v>
      </c>
      <c r="Y323" s="110">
        <v>7718296.5</v>
      </c>
      <c r="Z323" s="108"/>
      <c r="AA323" s="108"/>
      <c r="AB323" s="108"/>
      <c r="AC323" s="88">
        <f t="shared" si="115"/>
        <v>0</v>
      </c>
      <c r="AD323" s="108"/>
      <c r="AE323" s="108"/>
      <c r="AF323" s="108"/>
      <c r="AG323" s="108"/>
      <c r="AH323" s="113"/>
      <c r="AI323" s="114">
        <v>7718296.5</v>
      </c>
      <c r="AJ323" s="114">
        <v>0</v>
      </c>
      <c r="AK323" s="114">
        <v>0</v>
      </c>
    </row>
    <row r="324" spans="1:37" s="249" customFormat="1" ht="14.25" customHeight="1" thickTop="1" thickBot="1" x14ac:dyDescent="0.25">
      <c r="A324" s="101"/>
      <c r="B324" s="102"/>
      <c r="C324" s="103"/>
      <c r="D324" s="103"/>
      <c r="E324" s="104">
        <v>830393</v>
      </c>
      <c r="F324" s="105" t="s">
        <v>733</v>
      </c>
      <c r="G324" s="119"/>
      <c r="H324" s="265"/>
      <c r="I324" s="266"/>
      <c r="J324" s="267"/>
      <c r="K324" s="265"/>
      <c r="L324" s="265"/>
      <c r="M324" s="268"/>
      <c r="N324" s="269"/>
      <c r="O324" s="119"/>
      <c r="P324" s="265">
        <v>20494700.899999999</v>
      </c>
      <c r="Q324" s="266"/>
      <c r="R324" s="267"/>
      <c r="S324" s="265"/>
      <c r="T324" s="265"/>
      <c r="U324" s="268"/>
      <c r="V324" s="269">
        <v>38118489.579999998</v>
      </c>
      <c r="W324" s="119">
        <v>70403467.790000007</v>
      </c>
      <c r="X324" s="108">
        <f t="shared" si="123"/>
        <v>70403467.790000007</v>
      </c>
      <c r="Y324" s="110"/>
      <c r="Z324" s="108"/>
      <c r="AA324" s="108"/>
      <c r="AB324" s="108"/>
      <c r="AC324" s="88">
        <f t="shared" si="115"/>
        <v>0</v>
      </c>
      <c r="AD324" s="108"/>
      <c r="AE324" s="108"/>
      <c r="AF324" s="108"/>
      <c r="AG324" s="108"/>
      <c r="AH324" s="113"/>
      <c r="AI324" s="114"/>
      <c r="AJ324" s="114"/>
      <c r="AK324" s="114"/>
    </row>
    <row r="325" spans="1:37" s="249" customFormat="1" ht="14.25" customHeight="1" thickTop="1" thickBot="1" x14ac:dyDescent="0.25">
      <c r="A325" s="101"/>
      <c r="B325" s="102"/>
      <c r="C325" s="103"/>
      <c r="D325" s="103"/>
      <c r="E325" s="104"/>
      <c r="F325" s="105" t="s">
        <v>734</v>
      </c>
      <c r="G325" s="119"/>
      <c r="H325" s="265"/>
      <c r="I325" s="266"/>
      <c r="J325" s="267"/>
      <c r="K325" s="265"/>
      <c r="L325" s="265"/>
      <c r="M325" s="268"/>
      <c r="N325" s="269"/>
      <c r="O325" s="119"/>
      <c r="P325" s="265"/>
      <c r="Q325" s="266"/>
      <c r="R325" s="267"/>
      <c r="S325" s="265"/>
      <c r="T325" s="265"/>
      <c r="U325" s="268"/>
      <c r="V325" s="269">
        <v>30060839.550000001</v>
      </c>
      <c r="W325" s="119">
        <v>0</v>
      </c>
      <c r="X325" s="119">
        <v>0</v>
      </c>
      <c r="Y325" s="203">
        <v>0</v>
      </c>
      <c r="Z325" s="119"/>
      <c r="AA325" s="119"/>
      <c r="AB325" s="119"/>
      <c r="AC325" s="88">
        <f t="shared" si="115"/>
        <v>0</v>
      </c>
      <c r="AD325" s="119"/>
      <c r="AE325" s="119"/>
      <c r="AF325" s="119"/>
      <c r="AG325" s="119"/>
      <c r="AH325" s="113"/>
      <c r="AI325" s="114"/>
      <c r="AJ325" s="114"/>
      <c r="AK325" s="114"/>
    </row>
    <row r="326" spans="1:37" s="249" customFormat="1" ht="14.25" customHeight="1" thickTop="1" thickBot="1" x14ac:dyDescent="0.25">
      <c r="A326" s="101"/>
      <c r="B326" s="102"/>
      <c r="C326" s="103"/>
      <c r="D326" s="103"/>
      <c r="E326" s="104">
        <v>830324</v>
      </c>
      <c r="F326" s="105" t="s">
        <v>735</v>
      </c>
      <c r="G326" s="119"/>
      <c r="H326" s="265"/>
      <c r="I326" s="266"/>
      <c r="J326" s="267"/>
      <c r="K326" s="265"/>
      <c r="L326" s="265"/>
      <c r="M326" s="268"/>
      <c r="N326" s="269"/>
      <c r="O326" s="119"/>
      <c r="P326" s="265"/>
      <c r="Q326" s="266"/>
      <c r="R326" s="267"/>
      <c r="S326" s="265"/>
      <c r="T326" s="265"/>
      <c r="U326" s="268"/>
      <c r="V326" s="269">
        <v>10000000</v>
      </c>
      <c r="W326" s="119">
        <f>SUM(K326:V326)</f>
        <v>10000000</v>
      </c>
      <c r="X326" s="108">
        <f>W326</f>
        <v>10000000</v>
      </c>
      <c r="Y326" s="110">
        <v>10000000</v>
      </c>
      <c r="Z326" s="108"/>
      <c r="AA326" s="108"/>
      <c r="AB326" s="108"/>
      <c r="AC326" s="88">
        <f t="shared" si="115"/>
        <v>0</v>
      </c>
      <c r="AD326" s="108"/>
      <c r="AE326" s="108"/>
      <c r="AF326" s="108"/>
      <c r="AG326" s="108"/>
      <c r="AH326" s="113">
        <v>2610121</v>
      </c>
      <c r="AI326" s="114">
        <v>10000000</v>
      </c>
      <c r="AJ326" s="114">
        <v>0</v>
      </c>
      <c r="AK326" s="114">
        <v>0</v>
      </c>
    </row>
    <row r="327" spans="1:37" s="249" customFormat="1" ht="14.25" customHeight="1" thickTop="1" thickBot="1" x14ac:dyDescent="0.25">
      <c r="A327" s="101"/>
      <c r="B327" s="102"/>
      <c r="C327" s="103"/>
      <c r="D327" s="103"/>
      <c r="E327" s="104">
        <v>830325</v>
      </c>
      <c r="F327" s="105" t="s">
        <v>736</v>
      </c>
      <c r="G327" s="119"/>
      <c r="H327" s="265"/>
      <c r="I327" s="266"/>
      <c r="J327" s="267"/>
      <c r="K327" s="265"/>
      <c r="L327" s="265"/>
      <c r="M327" s="268"/>
      <c r="N327" s="269"/>
      <c r="O327" s="119"/>
      <c r="P327" s="265"/>
      <c r="Q327" s="266"/>
      <c r="R327" s="267"/>
      <c r="S327" s="265"/>
      <c r="T327" s="265"/>
      <c r="U327" s="268"/>
      <c r="V327" s="269"/>
      <c r="W327" s="119">
        <f>SUM(K327:V327)</f>
        <v>0</v>
      </c>
      <c r="X327" s="108">
        <v>4125000</v>
      </c>
      <c r="Y327" s="110">
        <v>12539288.92</v>
      </c>
      <c r="Z327" s="108"/>
      <c r="AA327" s="108"/>
      <c r="AB327" s="108"/>
      <c r="AC327" s="88">
        <f t="shared" si="115"/>
        <v>-4125000</v>
      </c>
      <c r="AD327" s="108"/>
      <c r="AE327" s="108"/>
      <c r="AF327" s="108"/>
      <c r="AG327" s="108"/>
      <c r="AH327" s="113">
        <v>2610121</v>
      </c>
      <c r="AI327" s="114">
        <v>12539288.92</v>
      </c>
      <c r="AJ327" s="114">
        <v>0</v>
      </c>
      <c r="AK327" s="114">
        <v>0</v>
      </c>
    </row>
    <row r="328" spans="1:37" s="249" customFormat="1" ht="14.25" customHeight="1" thickTop="1" thickBot="1" x14ac:dyDescent="0.25">
      <c r="A328" s="101"/>
      <c r="B328" s="102"/>
      <c r="C328" s="103"/>
      <c r="D328" s="103"/>
      <c r="E328" s="104">
        <v>830326</v>
      </c>
      <c r="F328" s="105" t="s">
        <v>737</v>
      </c>
      <c r="G328" s="119"/>
      <c r="H328" s="265"/>
      <c r="I328" s="266"/>
      <c r="J328" s="267"/>
      <c r="K328" s="265"/>
      <c r="L328" s="265"/>
      <c r="M328" s="268"/>
      <c r="N328" s="269"/>
      <c r="O328" s="119"/>
      <c r="P328" s="265"/>
      <c r="Q328" s="266"/>
      <c r="R328" s="267"/>
      <c r="S328" s="265"/>
      <c r="T328" s="265"/>
      <c r="U328" s="268"/>
      <c r="V328" s="269"/>
      <c r="W328" s="119">
        <f>SUM(K328:V328)</f>
        <v>0</v>
      </c>
      <c r="X328" s="108">
        <v>825000</v>
      </c>
      <c r="Y328" s="110">
        <v>1650000</v>
      </c>
      <c r="Z328" s="108"/>
      <c r="AA328" s="108"/>
      <c r="AB328" s="108"/>
      <c r="AC328" s="88">
        <f t="shared" si="115"/>
        <v>-825000</v>
      </c>
      <c r="AD328" s="108"/>
      <c r="AE328" s="108"/>
      <c r="AF328" s="108"/>
      <c r="AG328" s="108"/>
      <c r="AH328" s="113">
        <v>2610121</v>
      </c>
      <c r="AI328" s="114">
        <v>1650000</v>
      </c>
      <c r="AJ328" s="114">
        <v>0</v>
      </c>
      <c r="AK328" s="114">
        <v>0</v>
      </c>
    </row>
    <row r="329" spans="1:37" s="249" customFormat="1" ht="14.25" customHeight="1" thickTop="1" thickBot="1" x14ac:dyDescent="0.25">
      <c r="A329" s="101"/>
      <c r="B329" s="102"/>
      <c r="C329" s="103"/>
      <c r="D329" s="103"/>
      <c r="E329" s="104">
        <v>830327</v>
      </c>
      <c r="F329" s="105" t="s">
        <v>738</v>
      </c>
      <c r="G329" s="119"/>
      <c r="H329" s="265"/>
      <c r="I329" s="266"/>
      <c r="J329" s="267"/>
      <c r="K329" s="265"/>
      <c r="L329" s="265"/>
      <c r="M329" s="268"/>
      <c r="N329" s="269"/>
      <c r="O329" s="119"/>
      <c r="P329" s="265"/>
      <c r="Q329" s="266"/>
      <c r="R329" s="267"/>
      <c r="S329" s="265"/>
      <c r="T329" s="265"/>
      <c r="U329" s="268"/>
      <c r="V329" s="269"/>
      <c r="W329" s="119">
        <f>SUM(K329:V329)</f>
        <v>0</v>
      </c>
      <c r="X329" s="108">
        <v>650000</v>
      </c>
      <c r="Y329" s="110">
        <v>650000</v>
      </c>
      <c r="Z329" s="108"/>
      <c r="AA329" s="108"/>
      <c r="AB329" s="108"/>
      <c r="AC329" s="88">
        <f t="shared" ref="AC329" si="124">W329-X329</f>
        <v>-650000</v>
      </c>
      <c r="AD329" s="108"/>
      <c r="AE329" s="108"/>
      <c r="AF329" s="108"/>
      <c r="AG329" s="108"/>
      <c r="AH329" s="113">
        <v>2610121</v>
      </c>
      <c r="AI329" s="114">
        <v>650000</v>
      </c>
      <c r="AJ329" s="114">
        <v>0</v>
      </c>
      <c r="AK329" s="114">
        <v>0</v>
      </c>
    </row>
    <row r="330" spans="1:37" s="249" customFormat="1" ht="14.25" customHeight="1" thickTop="1" thickBot="1" x14ac:dyDescent="0.25">
      <c r="A330" s="101"/>
      <c r="B330" s="102"/>
      <c r="C330" s="103"/>
      <c r="D330" s="103"/>
      <c r="E330" s="104">
        <v>830328</v>
      </c>
      <c r="F330" s="105" t="s">
        <v>739</v>
      </c>
      <c r="G330" s="119"/>
      <c r="H330" s="265"/>
      <c r="I330" s="266"/>
      <c r="J330" s="267"/>
      <c r="K330" s="265"/>
      <c r="L330" s="265"/>
      <c r="M330" s="272"/>
      <c r="N330" s="269"/>
      <c r="O330" s="119"/>
      <c r="P330" s="265"/>
      <c r="Q330" s="266"/>
      <c r="R330" s="267"/>
      <c r="S330" s="265"/>
      <c r="T330" s="265"/>
      <c r="U330" s="272"/>
      <c r="V330" s="269"/>
      <c r="W330" s="119"/>
      <c r="X330" s="108"/>
      <c r="Y330" s="110"/>
      <c r="Z330" s="143">
        <v>4645547.04</v>
      </c>
      <c r="AA330" s="143">
        <v>0</v>
      </c>
      <c r="AB330" s="143"/>
      <c r="AC330" s="88"/>
      <c r="AD330" s="112">
        <v>4645547.04</v>
      </c>
      <c r="AE330" s="121">
        <v>1113022.3400000001</v>
      </c>
      <c r="AF330" s="270">
        <v>4645547.04</v>
      </c>
      <c r="AG330" s="120">
        <f>AF330-AD330</f>
        <v>0</v>
      </c>
      <c r="AH330" s="113">
        <v>2610121</v>
      </c>
      <c r="AI330" s="114">
        <v>0</v>
      </c>
      <c r="AJ330" s="114">
        <v>4645547.04</v>
      </c>
      <c r="AK330" s="114">
        <v>0</v>
      </c>
    </row>
    <row r="331" spans="1:37" s="249" customFormat="1" ht="14.25" customHeight="1" x14ac:dyDescent="0.2">
      <c r="A331" s="101"/>
      <c r="B331" s="102"/>
      <c r="C331" s="103"/>
      <c r="D331" s="103"/>
      <c r="E331" s="104">
        <v>830329</v>
      </c>
      <c r="F331" s="105" t="s">
        <v>740</v>
      </c>
      <c r="G331" s="119"/>
      <c r="H331" s="265"/>
      <c r="I331" s="266"/>
      <c r="J331" s="267"/>
      <c r="K331" s="265"/>
      <c r="L331" s="265"/>
      <c r="M331" s="272"/>
      <c r="N331" s="269"/>
      <c r="O331" s="119"/>
      <c r="P331" s="265"/>
      <c r="Q331" s="266"/>
      <c r="R331" s="267"/>
      <c r="S331" s="265"/>
      <c r="T331" s="265"/>
      <c r="U331" s="272"/>
      <c r="V331" s="269"/>
      <c r="W331" s="119"/>
      <c r="X331" s="108"/>
      <c r="Y331" s="110"/>
      <c r="Z331" s="143">
        <v>300000</v>
      </c>
      <c r="AA331" s="143">
        <v>0</v>
      </c>
      <c r="AB331" s="143"/>
      <c r="AC331" s="88"/>
      <c r="AD331" s="112">
        <v>300000</v>
      </c>
      <c r="AE331" s="112"/>
      <c r="AF331" s="270">
        <v>300000</v>
      </c>
      <c r="AG331" s="120">
        <f>AF331-AD331</f>
        <v>0</v>
      </c>
      <c r="AH331" s="113">
        <v>2610122</v>
      </c>
      <c r="AI331" s="114">
        <v>0</v>
      </c>
      <c r="AJ331" s="114">
        <v>300000</v>
      </c>
      <c r="AK331" s="320">
        <v>500000</v>
      </c>
    </row>
    <row r="332" spans="1:37" ht="14.25" customHeight="1" thickTop="1" thickBot="1" x14ac:dyDescent="0.25">
      <c r="A332" s="101"/>
      <c r="B332" s="102"/>
      <c r="C332" s="103"/>
      <c r="D332" s="103"/>
      <c r="E332" s="104">
        <v>830330</v>
      </c>
      <c r="F332" s="105" t="s">
        <v>741</v>
      </c>
      <c r="G332" s="119"/>
      <c r="H332" s="265"/>
      <c r="I332" s="266"/>
      <c r="J332" s="267"/>
      <c r="K332" s="265"/>
      <c r="L332" s="265"/>
      <c r="M332" s="272"/>
      <c r="N332" s="269"/>
      <c r="O332" s="119"/>
      <c r="P332" s="265"/>
      <c r="Q332" s="266"/>
      <c r="R332" s="267"/>
      <c r="S332" s="265"/>
      <c r="T332" s="265"/>
      <c r="U332" s="272"/>
      <c r="V332" s="269"/>
      <c r="W332" s="119"/>
      <c r="X332" s="119"/>
      <c r="Y332" s="203">
        <v>300000</v>
      </c>
      <c r="Z332" s="119"/>
      <c r="AA332" s="119"/>
      <c r="AB332" s="119"/>
      <c r="AC332" s="88"/>
      <c r="AD332" s="119"/>
      <c r="AE332" s="119"/>
      <c r="AF332" s="119"/>
      <c r="AG332" s="119"/>
      <c r="AH332" s="113">
        <v>2610121</v>
      </c>
      <c r="AI332" s="114">
        <v>300000</v>
      </c>
      <c r="AJ332" s="114">
        <v>0</v>
      </c>
      <c r="AK332" s="114">
        <v>0</v>
      </c>
    </row>
    <row r="333" spans="1:37" ht="14.25" customHeight="1" thickTop="1" thickBot="1" x14ac:dyDescent="0.25">
      <c r="A333" s="101"/>
      <c r="B333" s="102"/>
      <c r="C333" s="103"/>
      <c r="D333" s="103"/>
      <c r="E333" s="104">
        <v>830331</v>
      </c>
      <c r="F333" s="105" t="s">
        <v>742</v>
      </c>
      <c r="G333" s="119"/>
      <c r="H333" s="265"/>
      <c r="I333" s="266"/>
      <c r="J333" s="267"/>
      <c r="K333" s="265"/>
      <c r="L333" s="265"/>
      <c r="M333" s="272"/>
      <c r="N333" s="269"/>
      <c r="O333" s="119"/>
      <c r="P333" s="265"/>
      <c r="Q333" s="266"/>
      <c r="R333" s="267"/>
      <c r="S333" s="265"/>
      <c r="T333" s="265"/>
      <c r="U333" s="272"/>
      <c r="V333" s="269"/>
      <c r="W333" s="119"/>
      <c r="X333" s="119"/>
      <c r="Y333" s="203"/>
      <c r="Z333" s="143">
        <v>1590624</v>
      </c>
      <c r="AA333" s="143">
        <v>0</v>
      </c>
      <c r="AB333" s="143"/>
      <c r="AC333" s="88"/>
      <c r="AD333" s="112">
        <v>0</v>
      </c>
      <c r="AE333" s="112"/>
      <c r="AF333" s="112"/>
      <c r="AG333" s="112"/>
      <c r="AH333" s="113">
        <v>2610121</v>
      </c>
      <c r="AI333" s="114"/>
      <c r="AJ333" s="114">
        <f>IFERROR(VLOOKUP(E333,[17]Total!$D:$S,12,FALSE),0)</f>
        <v>0</v>
      </c>
      <c r="AK333" s="114">
        <f>IFERROR(VLOOKUP(E333,[17]Total!$D:$S,16,FALSE),0)</f>
        <v>0</v>
      </c>
    </row>
    <row r="334" spans="1:37" ht="14.25" customHeight="1" thickTop="1" thickBot="1" x14ac:dyDescent="0.25">
      <c r="A334" s="101"/>
      <c r="B334" s="102"/>
      <c r="C334" s="103"/>
      <c r="D334" s="103"/>
      <c r="E334" s="104">
        <v>830332</v>
      </c>
      <c r="F334" s="105" t="s">
        <v>743</v>
      </c>
      <c r="G334" s="119"/>
      <c r="H334" s="265"/>
      <c r="I334" s="266"/>
      <c r="J334" s="267"/>
      <c r="K334" s="265"/>
      <c r="L334" s="265"/>
      <c r="M334" s="272"/>
      <c r="N334" s="269"/>
      <c r="O334" s="119"/>
      <c r="P334" s="265"/>
      <c r="Q334" s="266"/>
      <c r="R334" s="267"/>
      <c r="S334" s="265"/>
      <c r="T334" s="265"/>
      <c r="U334" s="272"/>
      <c r="V334" s="269"/>
      <c r="W334" s="119"/>
      <c r="X334" s="119"/>
      <c r="Y334" s="203"/>
      <c r="Z334" s="143">
        <v>1010000</v>
      </c>
      <c r="AA334" s="143">
        <v>0</v>
      </c>
      <c r="AB334" s="143"/>
      <c r="AC334" s="88"/>
      <c r="AD334" s="112">
        <v>0</v>
      </c>
      <c r="AE334" s="112"/>
      <c r="AF334" s="112"/>
      <c r="AG334" s="112"/>
      <c r="AH334" s="113">
        <v>2610121</v>
      </c>
      <c r="AI334" s="114"/>
      <c r="AJ334" s="114">
        <f>IFERROR(VLOOKUP(E334,[17]Total!$D:$S,12,FALSE),0)</f>
        <v>0</v>
      </c>
      <c r="AK334" s="114">
        <f>IFERROR(VLOOKUP(E334,[17]Total!$D:$S,16,FALSE),0)</f>
        <v>0</v>
      </c>
    </row>
    <row r="335" spans="1:37" ht="14.25" customHeight="1" thickTop="1" thickBot="1" x14ac:dyDescent="0.25">
      <c r="A335" s="101"/>
      <c r="B335" s="102"/>
      <c r="C335" s="103"/>
      <c r="D335" s="103"/>
      <c r="E335" s="104">
        <v>830333</v>
      </c>
      <c r="F335" s="105" t="s">
        <v>744</v>
      </c>
      <c r="G335" s="119"/>
      <c r="H335" s="265"/>
      <c r="I335" s="266"/>
      <c r="J335" s="267"/>
      <c r="K335" s="265"/>
      <c r="L335" s="265"/>
      <c r="M335" s="272"/>
      <c r="N335" s="269"/>
      <c r="O335" s="119"/>
      <c r="P335" s="265"/>
      <c r="Q335" s="266"/>
      <c r="R335" s="267"/>
      <c r="S335" s="265"/>
      <c r="T335" s="265"/>
      <c r="U335" s="272"/>
      <c r="V335" s="269"/>
      <c r="W335" s="119"/>
      <c r="X335" s="119"/>
      <c r="Y335" s="203"/>
      <c r="Z335" s="143">
        <v>165000</v>
      </c>
      <c r="AA335" s="143">
        <v>0</v>
      </c>
      <c r="AB335" s="143"/>
      <c r="AC335" s="88"/>
      <c r="AD335" s="112">
        <v>0</v>
      </c>
      <c r="AE335" s="112"/>
      <c r="AF335" s="112"/>
      <c r="AG335" s="112"/>
      <c r="AH335" s="113">
        <v>2610121</v>
      </c>
      <c r="AI335" s="114"/>
      <c r="AJ335" s="114">
        <f>IFERROR(VLOOKUP(E335,[17]Total!$D:$S,12,FALSE),0)</f>
        <v>0</v>
      </c>
      <c r="AK335" s="114">
        <f>IFERROR(VLOOKUP(E335,[17]Total!$D:$S,16,FALSE),0)</f>
        <v>0</v>
      </c>
    </row>
    <row r="336" spans="1:37" ht="14.25" customHeight="1" thickTop="1" thickBot="1" x14ac:dyDescent="0.25">
      <c r="A336" s="101"/>
      <c r="B336" s="102"/>
      <c r="C336" s="103"/>
      <c r="D336" s="103"/>
      <c r="E336" s="104">
        <v>830334</v>
      </c>
      <c r="F336" s="273" t="s">
        <v>745</v>
      </c>
      <c r="G336" s="119"/>
      <c r="H336" s="265"/>
      <c r="I336" s="266"/>
      <c r="J336" s="267"/>
      <c r="K336" s="265"/>
      <c r="L336" s="265"/>
      <c r="M336" s="272"/>
      <c r="N336" s="269"/>
      <c r="O336" s="119"/>
      <c r="P336" s="265"/>
      <c r="Q336" s="266"/>
      <c r="R336" s="267"/>
      <c r="S336" s="265"/>
      <c r="T336" s="265"/>
      <c r="U336" s="272"/>
      <c r="V336" s="269"/>
      <c r="W336" s="119"/>
      <c r="X336" s="119"/>
      <c r="Y336" s="203"/>
      <c r="Z336" s="143"/>
      <c r="AA336" s="143"/>
      <c r="AB336" s="143"/>
      <c r="AC336" s="88"/>
      <c r="AD336" s="112">
        <v>9000000</v>
      </c>
      <c r="AE336" s="112"/>
      <c r="AF336" s="270">
        <f>9000000+1149826.5</f>
        <v>10149826.5</v>
      </c>
      <c r="AG336" s="120">
        <f t="shared" ref="AG336:AG344" si="125">AF336-AD336</f>
        <v>1149826.5</v>
      </c>
      <c r="AH336" s="274">
        <v>2610121</v>
      </c>
      <c r="AI336" s="114">
        <v>0</v>
      </c>
      <c r="AJ336" s="114">
        <v>10149826.5</v>
      </c>
      <c r="AK336" s="114">
        <v>0</v>
      </c>
    </row>
    <row r="337" spans="1:37" ht="16.5" thickTop="1" thickBot="1" x14ac:dyDescent="0.25">
      <c r="A337" s="101"/>
      <c r="B337" s="102"/>
      <c r="C337" s="103"/>
      <c r="D337" s="103"/>
      <c r="E337" s="104">
        <v>830335</v>
      </c>
      <c r="F337" s="273" t="s">
        <v>746</v>
      </c>
      <c r="G337" s="119"/>
      <c r="H337" s="265"/>
      <c r="I337" s="266"/>
      <c r="J337" s="267"/>
      <c r="K337" s="265"/>
      <c r="L337" s="265"/>
      <c r="M337" s="272"/>
      <c r="N337" s="269"/>
      <c r="O337" s="119"/>
      <c r="P337" s="265"/>
      <c r="Q337" s="266"/>
      <c r="R337" s="267"/>
      <c r="S337" s="265"/>
      <c r="T337" s="265"/>
      <c r="U337" s="272"/>
      <c r="V337" s="269"/>
      <c r="W337" s="119"/>
      <c r="X337" s="119"/>
      <c r="Y337" s="203"/>
      <c r="Z337" s="143"/>
      <c r="AA337" s="143"/>
      <c r="AB337" s="143"/>
      <c r="AC337" s="88"/>
      <c r="AD337" s="112">
        <v>5000000</v>
      </c>
      <c r="AE337" s="112"/>
      <c r="AF337" s="270">
        <v>5000000</v>
      </c>
      <c r="AG337" s="120">
        <f t="shared" si="125"/>
        <v>0</v>
      </c>
      <c r="AH337" s="274">
        <v>2610121</v>
      </c>
      <c r="AI337" s="114">
        <v>0</v>
      </c>
      <c r="AJ337" s="114">
        <v>5000000</v>
      </c>
      <c r="AK337" s="114">
        <v>0</v>
      </c>
    </row>
    <row r="338" spans="1:37" ht="16.5" thickTop="1" thickBot="1" x14ac:dyDescent="0.25">
      <c r="A338" s="101"/>
      <c r="B338" s="102"/>
      <c r="C338" s="103"/>
      <c r="D338" s="103"/>
      <c r="E338" s="104">
        <v>830336</v>
      </c>
      <c r="F338" s="273" t="s">
        <v>747</v>
      </c>
      <c r="G338" s="119"/>
      <c r="H338" s="265"/>
      <c r="I338" s="266"/>
      <c r="J338" s="267"/>
      <c r="K338" s="265"/>
      <c r="L338" s="265"/>
      <c r="M338" s="272"/>
      <c r="N338" s="269"/>
      <c r="O338" s="119"/>
      <c r="P338" s="265"/>
      <c r="Q338" s="266"/>
      <c r="R338" s="267"/>
      <c r="S338" s="265"/>
      <c r="T338" s="265"/>
      <c r="U338" s="272"/>
      <c r="V338" s="269"/>
      <c r="W338" s="119"/>
      <c r="X338" s="119"/>
      <c r="Y338" s="203"/>
      <c r="Z338" s="143"/>
      <c r="AA338" s="143"/>
      <c r="AB338" s="143"/>
      <c r="AC338" s="88"/>
      <c r="AD338" s="112">
        <v>617798</v>
      </c>
      <c r="AE338" s="112"/>
      <c r="AF338" s="270">
        <f>617797.85</f>
        <v>617797.85</v>
      </c>
      <c r="AG338" s="275">
        <f t="shared" si="125"/>
        <v>-0.15000000002328306</v>
      </c>
      <c r="AH338" s="274">
        <v>2610121</v>
      </c>
      <c r="AI338" s="114">
        <v>0</v>
      </c>
      <c r="AJ338" s="114">
        <v>617797.85</v>
      </c>
      <c r="AK338" s="114">
        <v>0</v>
      </c>
    </row>
    <row r="339" spans="1:37" ht="16.5" thickTop="1" thickBot="1" x14ac:dyDescent="0.25">
      <c r="A339" s="101"/>
      <c r="B339" s="102"/>
      <c r="C339" s="103"/>
      <c r="D339" s="103"/>
      <c r="E339" s="104">
        <v>830337</v>
      </c>
      <c r="F339" s="273" t="s">
        <v>748</v>
      </c>
      <c r="G339" s="119"/>
      <c r="H339" s="265"/>
      <c r="I339" s="266"/>
      <c r="J339" s="267"/>
      <c r="K339" s="265"/>
      <c r="L339" s="265"/>
      <c r="M339" s="272"/>
      <c r="N339" s="269"/>
      <c r="O339" s="119"/>
      <c r="P339" s="265"/>
      <c r="Q339" s="266"/>
      <c r="R339" s="267"/>
      <c r="S339" s="265"/>
      <c r="T339" s="265"/>
      <c r="U339" s="272"/>
      <c r="V339" s="269"/>
      <c r="W339" s="119"/>
      <c r="X339" s="119"/>
      <c r="Y339" s="203"/>
      <c r="Z339" s="143"/>
      <c r="AA339" s="143"/>
      <c r="AB339" s="143"/>
      <c r="AC339" s="88"/>
      <c r="AD339" s="112">
        <v>12819102</v>
      </c>
      <c r="AE339" s="112"/>
      <c r="AF339" s="270">
        <v>12819101.530000001</v>
      </c>
      <c r="AG339" s="120">
        <f t="shared" si="125"/>
        <v>-0.4699999988079071</v>
      </c>
      <c r="AH339" s="274">
        <v>2610121</v>
      </c>
      <c r="AI339" s="114">
        <v>0</v>
      </c>
      <c r="AJ339" s="114">
        <v>12819101.529999999</v>
      </c>
      <c r="AK339" s="114">
        <v>0</v>
      </c>
    </row>
    <row r="340" spans="1:37" ht="16.5" thickTop="1" thickBot="1" x14ac:dyDescent="0.25">
      <c r="A340" s="101"/>
      <c r="B340" s="102"/>
      <c r="C340" s="103"/>
      <c r="D340" s="103"/>
      <c r="E340" s="104">
        <v>830338</v>
      </c>
      <c r="F340" s="273" t="s">
        <v>749</v>
      </c>
      <c r="G340" s="276"/>
      <c r="H340" s="277"/>
      <c r="I340" s="278"/>
      <c r="J340" s="279"/>
      <c r="K340" s="277"/>
      <c r="L340" s="277"/>
      <c r="M340" s="280"/>
      <c r="N340" s="281"/>
      <c r="O340" s="276"/>
      <c r="P340" s="277"/>
      <c r="Q340" s="278"/>
      <c r="R340" s="279"/>
      <c r="S340" s="277"/>
      <c r="T340" s="277"/>
      <c r="U340" s="280"/>
      <c r="V340" s="281"/>
      <c r="W340" s="276"/>
      <c r="X340" s="276"/>
      <c r="Y340" s="282"/>
      <c r="Z340" s="283"/>
      <c r="AA340" s="283"/>
      <c r="AB340" s="283"/>
      <c r="AC340" s="284"/>
      <c r="AD340" s="285">
        <v>97650</v>
      </c>
      <c r="AE340" s="285"/>
      <c r="AF340" s="270">
        <v>153728.09</v>
      </c>
      <c r="AG340" s="286">
        <f t="shared" si="125"/>
        <v>56078.09</v>
      </c>
      <c r="AH340" s="274">
        <v>2610121</v>
      </c>
      <c r="AI340" s="114">
        <v>0</v>
      </c>
      <c r="AJ340" s="114">
        <v>153728.09</v>
      </c>
      <c r="AK340" s="114">
        <v>0</v>
      </c>
    </row>
    <row r="341" spans="1:37" ht="16.5" thickTop="1" thickBot="1" x14ac:dyDescent="0.25">
      <c r="A341" s="101"/>
      <c r="B341" s="102"/>
      <c r="C341" s="103"/>
      <c r="D341" s="103"/>
      <c r="E341" s="104">
        <v>830339</v>
      </c>
      <c r="F341" s="273" t="s">
        <v>750</v>
      </c>
      <c r="G341" s="119"/>
      <c r="H341" s="265"/>
      <c r="I341" s="266"/>
      <c r="J341" s="267"/>
      <c r="K341" s="265"/>
      <c r="L341" s="265"/>
      <c r="M341" s="272"/>
      <c r="N341" s="269"/>
      <c r="O341" s="119"/>
      <c r="P341" s="265"/>
      <c r="Q341" s="266"/>
      <c r="R341" s="267"/>
      <c r="S341" s="265"/>
      <c r="T341" s="265"/>
      <c r="U341" s="272"/>
      <c r="V341" s="269"/>
      <c r="W341" s="119"/>
      <c r="X341" s="119"/>
      <c r="Y341" s="203"/>
      <c r="Z341" s="143"/>
      <c r="AA341" s="143"/>
      <c r="AB341" s="143"/>
      <c r="AC341" s="88"/>
      <c r="AD341" s="112">
        <v>2634960</v>
      </c>
      <c r="AE341" s="112"/>
      <c r="AF341" s="270">
        <v>2634960</v>
      </c>
      <c r="AG341" s="120">
        <f t="shared" si="125"/>
        <v>0</v>
      </c>
      <c r="AH341" s="274">
        <v>2610121</v>
      </c>
      <c r="AI341" s="114">
        <v>0</v>
      </c>
      <c r="AJ341" s="114">
        <v>2634960</v>
      </c>
      <c r="AK341" s="114">
        <v>0</v>
      </c>
    </row>
    <row r="342" spans="1:37" ht="16.5" thickTop="1" thickBot="1" x14ac:dyDescent="0.25">
      <c r="A342" s="101"/>
      <c r="B342" s="102"/>
      <c r="C342" s="103"/>
      <c r="D342" s="103"/>
      <c r="E342" s="104">
        <v>830340</v>
      </c>
      <c r="F342" s="273" t="s">
        <v>751</v>
      </c>
      <c r="G342" s="119"/>
      <c r="H342" s="265"/>
      <c r="I342" s="266"/>
      <c r="J342" s="267"/>
      <c r="K342" s="265"/>
      <c r="L342" s="265"/>
      <c r="M342" s="272"/>
      <c r="N342" s="269"/>
      <c r="O342" s="119"/>
      <c r="P342" s="265"/>
      <c r="Q342" s="266"/>
      <c r="R342" s="267"/>
      <c r="S342" s="265"/>
      <c r="T342" s="265"/>
      <c r="U342" s="272"/>
      <c r="V342" s="269"/>
      <c r="W342" s="119"/>
      <c r="X342" s="119"/>
      <c r="Y342" s="203"/>
      <c r="Z342" s="143"/>
      <c r="AA342" s="143"/>
      <c r="AB342" s="143"/>
      <c r="AC342" s="88"/>
      <c r="AD342" s="112">
        <v>42372356</v>
      </c>
      <c r="AE342" s="121">
        <f>5358191.15</f>
        <v>5358191.1500000004</v>
      </c>
      <c r="AF342" s="270">
        <f>42372356+0.26</f>
        <v>42372356.259999998</v>
      </c>
      <c r="AG342" s="120">
        <f t="shared" si="125"/>
        <v>0.25999999791383743</v>
      </c>
      <c r="AH342" s="274">
        <v>2610121</v>
      </c>
      <c r="AI342" s="114">
        <v>0</v>
      </c>
      <c r="AJ342" s="114">
        <v>42372356.259999998</v>
      </c>
      <c r="AK342" s="114">
        <v>0</v>
      </c>
    </row>
    <row r="343" spans="1:37" ht="16.5" thickTop="1" thickBot="1" x14ac:dyDescent="0.25">
      <c r="A343" s="101"/>
      <c r="B343" s="102"/>
      <c r="C343" s="103"/>
      <c r="D343" s="103"/>
      <c r="E343" s="104">
        <v>830341</v>
      </c>
      <c r="F343" s="273" t="s">
        <v>363</v>
      </c>
      <c r="G343" s="119"/>
      <c r="H343" s="265"/>
      <c r="I343" s="266"/>
      <c r="J343" s="267"/>
      <c r="K343" s="265"/>
      <c r="L343" s="265"/>
      <c r="M343" s="272"/>
      <c r="N343" s="269"/>
      <c r="O343" s="119"/>
      <c r="P343" s="265"/>
      <c r="Q343" s="266"/>
      <c r="R343" s="267"/>
      <c r="S343" s="265"/>
      <c r="T343" s="265"/>
      <c r="U343" s="272"/>
      <c r="V343" s="269"/>
      <c r="W343" s="119"/>
      <c r="X343" s="119"/>
      <c r="Y343" s="203"/>
      <c r="Z343" s="143"/>
      <c r="AA343" s="143"/>
      <c r="AB343" s="143"/>
      <c r="AC343" s="88"/>
      <c r="AD343" s="112">
        <v>900000</v>
      </c>
      <c r="AE343" s="112"/>
      <c r="AF343" s="270">
        <v>900000</v>
      </c>
      <c r="AG343" s="120">
        <f t="shared" si="125"/>
        <v>0</v>
      </c>
      <c r="AH343" s="274">
        <v>2610121</v>
      </c>
      <c r="AI343" s="114">
        <v>0</v>
      </c>
      <c r="AJ343" s="114">
        <v>900000</v>
      </c>
      <c r="AK343" s="114">
        <v>0</v>
      </c>
    </row>
    <row r="344" spans="1:37" ht="14.25" customHeight="1" thickTop="1" thickBot="1" x14ac:dyDescent="0.25">
      <c r="A344" s="101"/>
      <c r="B344" s="102"/>
      <c r="C344" s="103"/>
      <c r="D344" s="103"/>
      <c r="E344" s="104">
        <v>830342</v>
      </c>
      <c r="F344" s="273" t="s">
        <v>752</v>
      </c>
      <c r="G344" s="119"/>
      <c r="H344" s="265"/>
      <c r="I344" s="266"/>
      <c r="J344" s="267"/>
      <c r="K344" s="265"/>
      <c r="L344" s="265"/>
      <c r="M344" s="272"/>
      <c r="N344" s="269"/>
      <c r="O344" s="119"/>
      <c r="P344" s="265"/>
      <c r="Q344" s="266"/>
      <c r="R344" s="267"/>
      <c r="S344" s="265"/>
      <c r="T344" s="265"/>
      <c r="U344" s="272"/>
      <c r="V344" s="269"/>
      <c r="W344" s="119"/>
      <c r="X344" s="119"/>
      <c r="Y344" s="203"/>
      <c r="Z344" s="143"/>
      <c r="AA344" s="143"/>
      <c r="AB344" s="143"/>
      <c r="AC344" s="88"/>
      <c r="AD344" s="112">
        <v>2092279</v>
      </c>
      <c r="AE344" s="112"/>
      <c r="AF344" s="270">
        <v>2092280.39</v>
      </c>
      <c r="AG344" s="120">
        <f t="shared" si="125"/>
        <v>1.3899999998975545</v>
      </c>
      <c r="AH344" s="274">
        <v>2610121</v>
      </c>
      <c r="AI344" s="114">
        <v>0</v>
      </c>
      <c r="AJ344" s="114">
        <v>2092280.39</v>
      </c>
      <c r="AK344" s="114">
        <v>0</v>
      </c>
    </row>
    <row r="345" spans="1:37" ht="14.25" customHeight="1" thickTop="1" thickBot="1" x14ac:dyDescent="0.25">
      <c r="A345" s="101"/>
      <c r="B345" s="102"/>
      <c r="C345" s="103"/>
      <c r="D345" s="103"/>
      <c r="E345" s="104">
        <v>830390</v>
      </c>
      <c r="F345" s="105" t="s">
        <v>753</v>
      </c>
      <c r="G345" s="119"/>
      <c r="H345" s="265"/>
      <c r="I345" s="266"/>
      <c r="J345" s="267"/>
      <c r="K345" s="265"/>
      <c r="L345" s="265"/>
      <c r="M345" s="272"/>
      <c r="N345" s="269"/>
      <c r="O345" s="119"/>
      <c r="P345" s="265"/>
      <c r="Q345" s="266"/>
      <c r="R345" s="267"/>
      <c r="S345" s="265"/>
      <c r="T345" s="265"/>
      <c r="U345" s="272"/>
      <c r="V345" s="269"/>
      <c r="W345" s="119"/>
      <c r="X345" s="119"/>
      <c r="Y345" s="203">
        <v>13292890</v>
      </c>
      <c r="Z345" s="241">
        <v>6377472.9000000004</v>
      </c>
      <c r="AA345" s="111">
        <v>0</v>
      </c>
      <c r="AB345" s="111"/>
      <c r="AC345" s="88"/>
      <c r="AD345" s="245">
        <v>0</v>
      </c>
      <c r="AE345" s="245"/>
      <c r="AF345" s="245"/>
      <c r="AG345" s="245"/>
      <c r="AH345" s="113">
        <v>2610221</v>
      </c>
      <c r="AI345" s="114">
        <v>13292890</v>
      </c>
      <c r="AJ345" s="114">
        <v>0</v>
      </c>
      <c r="AK345" s="114">
        <v>0</v>
      </c>
    </row>
    <row r="346" spans="1:37" ht="14.25" customHeight="1" thickTop="1" thickBot="1" x14ac:dyDescent="0.25">
      <c r="A346" s="101"/>
      <c r="B346" s="102"/>
      <c r="C346" s="103"/>
      <c r="D346" s="103"/>
      <c r="E346" s="104">
        <v>830391</v>
      </c>
      <c r="F346" s="105" t="s">
        <v>754</v>
      </c>
      <c r="G346" s="119"/>
      <c r="H346" s="265"/>
      <c r="I346" s="266"/>
      <c r="J346" s="267"/>
      <c r="K346" s="265"/>
      <c r="L346" s="265"/>
      <c r="M346" s="272"/>
      <c r="N346" s="269"/>
      <c r="O346" s="119"/>
      <c r="P346" s="265"/>
      <c r="Q346" s="266"/>
      <c r="R346" s="267"/>
      <c r="S346" s="265"/>
      <c r="T346" s="265"/>
      <c r="U346" s="272"/>
      <c r="V346" s="269"/>
      <c r="W346" s="119"/>
      <c r="X346" s="119"/>
      <c r="Y346" s="203">
        <v>2443000</v>
      </c>
      <c r="Z346" s="119"/>
      <c r="AA346" s="119"/>
      <c r="AB346" s="119"/>
      <c r="AC346" s="88"/>
      <c r="AD346" s="119"/>
      <c r="AE346" s="119"/>
      <c r="AF346" s="119"/>
      <c r="AG346" s="119"/>
      <c r="AH346" s="113">
        <v>2610221</v>
      </c>
      <c r="AI346" s="114">
        <v>2443000</v>
      </c>
      <c r="AJ346" s="114">
        <v>0</v>
      </c>
      <c r="AK346" s="114">
        <v>0</v>
      </c>
    </row>
    <row r="347" spans="1:37" ht="14.25" customHeight="1" thickTop="1" thickBot="1" x14ac:dyDescent="0.25">
      <c r="A347" s="101"/>
      <c r="B347" s="102"/>
      <c r="C347" s="103"/>
      <c r="D347" s="103"/>
      <c r="E347" s="104">
        <v>830392</v>
      </c>
      <c r="F347" s="105" t="s">
        <v>755</v>
      </c>
      <c r="G347" s="119"/>
      <c r="H347" s="265"/>
      <c r="I347" s="266"/>
      <c r="J347" s="267"/>
      <c r="K347" s="265"/>
      <c r="L347" s="265"/>
      <c r="M347" s="272"/>
      <c r="N347" s="269"/>
      <c r="O347" s="119"/>
      <c r="P347" s="265"/>
      <c r="Q347" s="266"/>
      <c r="R347" s="267"/>
      <c r="S347" s="265"/>
      <c r="T347" s="265"/>
      <c r="U347" s="272"/>
      <c r="V347" s="269"/>
      <c r="W347" s="119"/>
      <c r="X347" s="119"/>
      <c r="Y347" s="203">
        <v>2398073.83</v>
      </c>
      <c r="Z347" s="119"/>
      <c r="AA347" s="119"/>
      <c r="AB347" s="119"/>
      <c r="AC347" s="88"/>
      <c r="AD347" s="119"/>
      <c r="AE347" s="119"/>
      <c r="AF347" s="119"/>
      <c r="AG347" s="119"/>
      <c r="AH347" s="113">
        <v>2610221</v>
      </c>
      <c r="AI347" s="114">
        <v>2398073.83</v>
      </c>
      <c r="AJ347" s="114">
        <v>0</v>
      </c>
      <c r="AK347" s="114">
        <v>0</v>
      </c>
    </row>
    <row r="348" spans="1:37" ht="14.25" customHeight="1" thickTop="1" thickBot="1" x14ac:dyDescent="0.25">
      <c r="A348" s="101"/>
      <c r="B348" s="102"/>
      <c r="C348" s="103"/>
      <c r="D348" s="103"/>
      <c r="E348" s="104">
        <v>830393</v>
      </c>
      <c r="F348" s="105" t="s">
        <v>756</v>
      </c>
      <c r="G348" s="119"/>
      <c r="H348" s="265"/>
      <c r="I348" s="266"/>
      <c r="J348" s="267"/>
      <c r="K348" s="265"/>
      <c r="L348" s="265"/>
      <c r="M348" s="272"/>
      <c r="N348" s="269"/>
      <c r="O348" s="119"/>
      <c r="P348" s="265"/>
      <c r="Q348" s="266"/>
      <c r="R348" s="267"/>
      <c r="S348" s="265"/>
      <c r="T348" s="265"/>
      <c r="U348" s="272"/>
      <c r="V348" s="269"/>
      <c r="W348" s="119"/>
      <c r="X348" s="119"/>
      <c r="Y348" s="203">
        <v>69912269.790000007</v>
      </c>
      <c r="Z348" s="111">
        <v>7111000</v>
      </c>
      <c r="AA348" s="111">
        <v>0</v>
      </c>
      <c r="AB348" s="123">
        <v>22406116.68</v>
      </c>
      <c r="AC348" s="88"/>
      <c r="AD348" s="120">
        <v>0</v>
      </c>
      <c r="AE348" s="121">
        <v>37863530.450000003</v>
      </c>
      <c r="AF348" s="121">
        <v>0</v>
      </c>
      <c r="AG348" s="121">
        <f t="shared" ref="AG348:AG374" si="126">AF348-AD348</f>
        <v>0</v>
      </c>
      <c r="AH348" s="113">
        <v>2610221</v>
      </c>
      <c r="AI348" s="114">
        <v>69912269.790000007</v>
      </c>
      <c r="AJ348" s="114">
        <v>0</v>
      </c>
      <c r="AK348" s="114">
        <v>0</v>
      </c>
    </row>
    <row r="349" spans="1:37" ht="14.25" customHeight="1" thickTop="1" thickBot="1" x14ac:dyDescent="0.25">
      <c r="A349" s="101"/>
      <c r="B349" s="102"/>
      <c r="C349" s="103"/>
      <c r="D349" s="103"/>
      <c r="E349" s="104">
        <v>830394</v>
      </c>
      <c r="F349" s="105" t="s">
        <v>757</v>
      </c>
      <c r="G349" s="119"/>
      <c r="H349" s="265"/>
      <c r="I349" s="266"/>
      <c r="J349" s="267"/>
      <c r="K349" s="265"/>
      <c r="L349" s="265"/>
      <c r="M349" s="272"/>
      <c r="N349" s="269"/>
      <c r="O349" s="119"/>
      <c r="P349" s="265"/>
      <c r="Q349" s="266"/>
      <c r="R349" s="267"/>
      <c r="S349" s="265"/>
      <c r="T349" s="265"/>
      <c r="U349" s="272"/>
      <c r="V349" s="269"/>
      <c r="W349" s="119"/>
      <c r="X349" s="119"/>
      <c r="Y349" s="203"/>
      <c r="Z349" s="111"/>
      <c r="AA349" s="111"/>
      <c r="AB349" s="123"/>
      <c r="AC349" s="88"/>
      <c r="AD349" s="120">
        <v>46540648</v>
      </c>
      <c r="AE349" s="120"/>
      <c r="AF349" s="270">
        <v>46540648</v>
      </c>
      <c r="AG349" s="120">
        <f t="shared" si="126"/>
        <v>0</v>
      </c>
      <c r="AH349" s="113">
        <v>2610221</v>
      </c>
      <c r="AI349" s="114">
        <v>0</v>
      </c>
      <c r="AJ349" s="114">
        <v>46540648</v>
      </c>
      <c r="AK349" s="114">
        <v>0</v>
      </c>
    </row>
    <row r="350" spans="1:37" ht="15" x14ac:dyDescent="0.2">
      <c r="A350" s="101"/>
      <c r="B350" s="102"/>
      <c r="C350" s="103"/>
      <c r="D350" s="103"/>
      <c r="E350" s="104">
        <v>830344</v>
      </c>
      <c r="F350" s="105" t="s">
        <v>758</v>
      </c>
      <c r="G350" s="276"/>
      <c r="H350" s="277"/>
      <c r="I350" s="278"/>
      <c r="J350" s="279"/>
      <c r="K350" s="277"/>
      <c r="L350" s="277"/>
      <c r="M350" s="280"/>
      <c r="N350" s="281"/>
      <c r="O350" s="276"/>
      <c r="P350" s="277"/>
      <c r="Q350" s="278"/>
      <c r="R350" s="279"/>
      <c r="S350" s="277"/>
      <c r="T350" s="277"/>
      <c r="U350" s="280"/>
      <c r="V350" s="281"/>
      <c r="W350" s="276"/>
      <c r="X350" s="276"/>
      <c r="Y350" s="282"/>
      <c r="Z350" s="283"/>
      <c r="AA350" s="283"/>
      <c r="AB350" s="287"/>
      <c r="AC350" s="284"/>
      <c r="AD350" s="285"/>
      <c r="AE350" s="285"/>
      <c r="AF350" s="270">
        <v>13000000</v>
      </c>
      <c r="AG350" s="288">
        <f t="shared" si="126"/>
        <v>13000000</v>
      </c>
      <c r="AH350" s="113">
        <v>2610122</v>
      </c>
      <c r="AI350" s="114">
        <v>0</v>
      </c>
      <c r="AJ350" s="114">
        <v>13000000</v>
      </c>
      <c r="AK350" s="114">
        <v>11028619.220000001</v>
      </c>
    </row>
    <row r="351" spans="1:37" ht="16.5" thickTop="1" thickBot="1" x14ac:dyDescent="0.25">
      <c r="A351" s="101"/>
      <c r="B351" s="102"/>
      <c r="C351" s="103"/>
      <c r="D351" s="103"/>
      <c r="E351" s="104">
        <v>830343</v>
      </c>
      <c r="F351" s="105" t="s">
        <v>759</v>
      </c>
      <c r="G351" s="276"/>
      <c r="H351" s="277"/>
      <c r="I351" s="278"/>
      <c r="J351" s="279"/>
      <c r="K351" s="277"/>
      <c r="L351" s="277"/>
      <c r="M351" s="280"/>
      <c r="N351" s="281"/>
      <c r="O351" s="276"/>
      <c r="P351" s="277"/>
      <c r="Q351" s="278"/>
      <c r="R351" s="279"/>
      <c r="S351" s="277"/>
      <c r="T351" s="277"/>
      <c r="U351" s="280"/>
      <c r="V351" s="281"/>
      <c r="W351" s="276"/>
      <c r="X351" s="276"/>
      <c r="Y351" s="282"/>
      <c r="Z351" s="283"/>
      <c r="AA351" s="283"/>
      <c r="AB351" s="287"/>
      <c r="AC351" s="284"/>
      <c r="AD351" s="285"/>
      <c r="AE351" s="285"/>
      <c r="AF351" s="270">
        <v>1107549</v>
      </c>
      <c r="AG351" s="288">
        <f t="shared" si="126"/>
        <v>1107549</v>
      </c>
      <c r="AH351" s="113">
        <v>2610121</v>
      </c>
      <c r="AI351" s="114">
        <v>0</v>
      </c>
      <c r="AJ351" s="114">
        <v>1107549</v>
      </c>
      <c r="AK351" s="114">
        <v>0</v>
      </c>
    </row>
    <row r="352" spans="1:37" ht="16.5" thickTop="1" thickBot="1" x14ac:dyDescent="0.25">
      <c r="A352" s="101"/>
      <c r="B352" s="102"/>
      <c r="C352" s="103"/>
      <c r="D352" s="103"/>
      <c r="E352" s="104">
        <v>830345</v>
      </c>
      <c r="F352" s="105" t="s">
        <v>760</v>
      </c>
      <c r="G352" s="276"/>
      <c r="H352" s="277"/>
      <c r="I352" s="278"/>
      <c r="J352" s="279"/>
      <c r="K352" s="277"/>
      <c r="L352" s="277"/>
      <c r="M352" s="280"/>
      <c r="N352" s="281"/>
      <c r="O352" s="276"/>
      <c r="P352" s="277"/>
      <c r="Q352" s="278"/>
      <c r="R352" s="279"/>
      <c r="S352" s="277"/>
      <c r="T352" s="277"/>
      <c r="U352" s="280"/>
      <c r="V352" s="281"/>
      <c r="W352" s="276"/>
      <c r="X352" s="276"/>
      <c r="Y352" s="282"/>
      <c r="Z352" s="283"/>
      <c r="AA352" s="283"/>
      <c r="AB352" s="287"/>
      <c r="AC352" s="284"/>
      <c r="AD352" s="285"/>
      <c r="AE352" s="285"/>
      <c r="AF352" s="270">
        <v>350000</v>
      </c>
      <c r="AG352" s="288">
        <f t="shared" si="126"/>
        <v>350000</v>
      </c>
      <c r="AH352" s="113">
        <v>2610121</v>
      </c>
      <c r="AI352" s="114">
        <v>0</v>
      </c>
      <c r="AJ352" s="114">
        <v>350000</v>
      </c>
      <c r="AK352" s="114">
        <v>0</v>
      </c>
    </row>
    <row r="353" spans="1:38" ht="16.5" thickTop="1" thickBot="1" x14ac:dyDescent="0.25">
      <c r="A353" s="101"/>
      <c r="B353" s="102"/>
      <c r="C353" s="103"/>
      <c r="D353" s="103"/>
      <c r="E353" s="104">
        <v>830346</v>
      </c>
      <c r="F353" s="105" t="s">
        <v>761</v>
      </c>
      <c r="G353" s="119"/>
      <c r="H353" s="265"/>
      <c r="I353" s="266"/>
      <c r="J353" s="267"/>
      <c r="K353" s="265"/>
      <c r="L353" s="265"/>
      <c r="M353" s="272"/>
      <c r="N353" s="269"/>
      <c r="O353" s="119"/>
      <c r="P353" s="265"/>
      <c r="Q353" s="266"/>
      <c r="R353" s="267"/>
      <c r="S353" s="265"/>
      <c r="T353" s="265"/>
      <c r="U353" s="272"/>
      <c r="V353" s="269"/>
      <c r="W353" s="119"/>
      <c r="X353" s="119"/>
      <c r="Y353" s="203"/>
      <c r="Z353" s="143"/>
      <c r="AA353" s="143"/>
      <c r="AB353" s="218"/>
      <c r="AC353" s="88"/>
      <c r="AD353" s="112"/>
      <c r="AE353" s="112"/>
      <c r="AF353" s="270">
        <v>250000</v>
      </c>
      <c r="AG353" s="238">
        <f t="shared" si="126"/>
        <v>250000</v>
      </c>
      <c r="AH353" s="113">
        <v>2610121</v>
      </c>
      <c r="AI353" s="114">
        <v>0</v>
      </c>
      <c r="AJ353" s="114">
        <v>250000</v>
      </c>
      <c r="AK353" s="114">
        <v>0</v>
      </c>
    </row>
    <row r="354" spans="1:38" ht="15" customHeight="1" thickTop="1" thickBot="1" x14ac:dyDescent="0.25">
      <c r="A354" s="101"/>
      <c r="B354" s="102"/>
      <c r="C354" s="103"/>
      <c r="D354" s="103"/>
      <c r="E354" s="104">
        <v>830347</v>
      </c>
      <c r="F354" s="105" t="s">
        <v>762</v>
      </c>
      <c r="G354" s="119"/>
      <c r="H354" s="265"/>
      <c r="I354" s="266"/>
      <c r="J354" s="267"/>
      <c r="K354" s="265"/>
      <c r="L354" s="265"/>
      <c r="M354" s="272"/>
      <c r="N354" s="269"/>
      <c r="O354" s="119"/>
      <c r="P354" s="265"/>
      <c r="Q354" s="266"/>
      <c r="R354" s="267"/>
      <c r="S354" s="265"/>
      <c r="T354" s="265"/>
      <c r="U354" s="272"/>
      <c r="V354" s="269"/>
      <c r="W354" s="119"/>
      <c r="X354" s="119"/>
      <c r="Y354" s="203"/>
      <c r="Z354" s="143"/>
      <c r="AA354" s="143"/>
      <c r="AB354" s="218"/>
      <c r="AC354" s="88"/>
      <c r="AD354" s="112"/>
      <c r="AE354" s="112"/>
      <c r="AF354" s="270">
        <v>0</v>
      </c>
      <c r="AG354" s="238">
        <f t="shared" si="126"/>
        <v>0</v>
      </c>
      <c r="AH354" s="113">
        <v>2610121</v>
      </c>
      <c r="AI354" s="114"/>
      <c r="AJ354" s="114">
        <v>250000</v>
      </c>
      <c r="AK354" s="114"/>
    </row>
    <row r="355" spans="1:38" ht="15" x14ac:dyDescent="0.2">
      <c r="A355" s="101"/>
      <c r="B355" s="102"/>
      <c r="C355" s="103"/>
      <c r="D355" s="103"/>
      <c r="E355" s="104">
        <v>830348</v>
      </c>
      <c r="F355" s="105" t="s">
        <v>763</v>
      </c>
      <c r="G355" s="276"/>
      <c r="H355" s="277"/>
      <c r="I355" s="278"/>
      <c r="J355" s="279"/>
      <c r="K355" s="277"/>
      <c r="L355" s="277"/>
      <c r="M355" s="280"/>
      <c r="N355" s="281"/>
      <c r="O355" s="276"/>
      <c r="P355" s="277"/>
      <c r="Q355" s="278"/>
      <c r="R355" s="279"/>
      <c r="S355" s="277"/>
      <c r="T355" s="277"/>
      <c r="U355" s="280"/>
      <c r="V355" s="281"/>
      <c r="W355" s="276"/>
      <c r="X355" s="276"/>
      <c r="Y355" s="282"/>
      <c r="Z355" s="283"/>
      <c r="AA355" s="283"/>
      <c r="AB355" s="287"/>
      <c r="AC355" s="284"/>
      <c r="AD355" s="285"/>
      <c r="AE355" s="285"/>
      <c r="AF355" s="270">
        <v>250000</v>
      </c>
      <c r="AG355" s="288">
        <f t="shared" si="126"/>
        <v>250000</v>
      </c>
      <c r="AH355" s="113">
        <v>2610122</v>
      </c>
      <c r="AI355" s="114">
        <v>0</v>
      </c>
      <c r="AJ355" s="114">
        <v>2204000</v>
      </c>
      <c r="AK355" s="114">
        <v>5200000</v>
      </c>
      <c r="AL355" s="317" t="s">
        <v>764</v>
      </c>
    </row>
    <row r="356" spans="1:38" ht="15" x14ac:dyDescent="0.2">
      <c r="A356" s="101"/>
      <c r="B356" s="102"/>
      <c r="C356" s="103"/>
      <c r="D356" s="103"/>
      <c r="E356" s="104">
        <v>830349</v>
      </c>
      <c r="F356" s="105" t="s">
        <v>765</v>
      </c>
      <c r="G356" s="276"/>
      <c r="H356" s="277"/>
      <c r="I356" s="278"/>
      <c r="J356" s="279"/>
      <c r="K356" s="277"/>
      <c r="L356" s="277"/>
      <c r="M356" s="280"/>
      <c r="N356" s="281"/>
      <c r="O356" s="276"/>
      <c r="P356" s="277"/>
      <c r="Q356" s="278"/>
      <c r="R356" s="279"/>
      <c r="S356" s="277"/>
      <c r="T356" s="277"/>
      <c r="U356" s="280"/>
      <c r="V356" s="281"/>
      <c r="W356" s="276"/>
      <c r="X356" s="276"/>
      <c r="Y356" s="282"/>
      <c r="Z356" s="283"/>
      <c r="AA356" s="283"/>
      <c r="AB356" s="287"/>
      <c r="AC356" s="284"/>
      <c r="AD356" s="285"/>
      <c r="AE356" s="285"/>
      <c r="AF356" s="270">
        <v>2204000</v>
      </c>
      <c r="AG356" s="288">
        <f t="shared" si="126"/>
        <v>2204000</v>
      </c>
      <c r="AH356" s="113">
        <v>2610121</v>
      </c>
      <c r="AI356" s="114">
        <v>0</v>
      </c>
      <c r="AJ356" s="114">
        <v>2000000</v>
      </c>
      <c r="AK356" s="114">
        <v>0</v>
      </c>
    </row>
    <row r="357" spans="1:38" ht="15" x14ac:dyDescent="0.2">
      <c r="A357" s="101"/>
      <c r="B357" s="102"/>
      <c r="C357" s="103"/>
      <c r="D357" s="103"/>
      <c r="E357" s="104">
        <v>830350</v>
      </c>
      <c r="F357" s="105" t="s">
        <v>766</v>
      </c>
      <c r="G357" s="276"/>
      <c r="H357" s="277"/>
      <c r="I357" s="278"/>
      <c r="J357" s="279"/>
      <c r="K357" s="277"/>
      <c r="L357" s="277"/>
      <c r="M357" s="280"/>
      <c r="N357" s="281"/>
      <c r="O357" s="276"/>
      <c r="P357" s="277"/>
      <c r="Q357" s="278"/>
      <c r="R357" s="279"/>
      <c r="S357" s="277"/>
      <c r="T357" s="277"/>
      <c r="U357" s="280"/>
      <c r="V357" s="281"/>
      <c r="W357" s="276"/>
      <c r="X357" s="276"/>
      <c r="Y357" s="282"/>
      <c r="Z357" s="283"/>
      <c r="AA357" s="283"/>
      <c r="AB357" s="287"/>
      <c r="AC357" s="284"/>
      <c r="AD357" s="285"/>
      <c r="AE357" s="285"/>
      <c r="AF357" s="270"/>
      <c r="AG357" s="288"/>
      <c r="AH357" s="113">
        <v>2610122</v>
      </c>
      <c r="AI357" s="114"/>
      <c r="AJ357" s="114"/>
      <c r="AK357" s="114">
        <v>450000</v>
      </c>
      <c r="AL357" s="56" t="s">
        <v>695</v>
      </c>
    </row>
    <row r="358" spans="1:38" ht="15" x14ac:dyDescent="0.2">
      <c r="A358" s="101"/>
      <c r="B358" s="102"/>
      <c r="C358" s="103"/>
      <c r="D358" s="103"/>
      <c r="E358" s="104">
        <v>830350</v>
      </c>
      <c r="F358" s="105" t="s">
        <v>767</v>
      </c>
      <c r="G358" s="276"/>
      <c r="H358" s="277"/>
      <c r="I358" s="278"/>
      <c r="J358" s="279"/>
      <c r="K358" s="277"/>
      <c r="L358" s="277"/>
      <c r="M358" s="280"/>
      <c r="N358" s="281"/>
      <c r="O358" s="276"/>
      <c r="P358" s="277"/>
      <c r="Q358" s="278"/>
      <c r="R358" s="279"/>
      <c r="S358" s="277"/>
      <c r="T358" s="277"/>
      <c r="U358" s="280"/>
      <c r="V358" s="281"/>
      <c r="W358" s="276"/>
      <c r="X358" s="276"/>
      <c r="Y358" s="282"/>
      <c r="Z358" s="283"/>
      <c r="AA358" s="283"/>
      <c r="AB358" s="287"/>
      <c r="AC358" s="284"/>
      <c r="AD358" s="285"/>
      <c r="AE358" s="285"/>
      <c r="AF358" s="270">
        <v>2000000</v>
      </c>
      <c r="AG358" s="288">
        <f t="shared" si="126"/>
        <v>2000000</v>
      </c>
      <c r="AH358" s="113">
        <v>1100122</v>
      </c>
      <c r="AI358" s="114">
        <v>0</v>
      </c>
      <c r="AJ358" s="114">
        <v>1350000</v>
      </c>
      <c r="AK358" s="114">
        <v>0</v>
      </c>
    </row>
    <row r="359" spans="1:38" ht="16.5" thickTop="1" thickBot="1" x14ac:dyDescent="0.25">
      <c r="A359" s="101"/>
      <c r="B359" s="102"/>
      <c r="C359" s="129">
        <v>5</v>
      </c>
      <c r="D359" s="129"/>
      <c r="E359" s="129"/>
      <c r="F359" s="130" t="s">
        <v>768</v>
      </c>
      <c r="G359" s="276"/>
      <c r="H359" s="277"/>
      <c r="I359" s="278"/>
      <c r="J359" s="279"/>
      <c r="K359" s="277"/>
      <c r="L359" s="277"/>
      <c r="M359" s="280"/>
      <c r="N359" s="281"/>
      <c r="O359" s="276"/>
      <c r="P359" s="277"/>
      <c r="Q359" s="278"/>
      <c r="R359" s="279"/>
      <c r="S359" s="277"/>
      <c r="T359" s="277"/>
      <c r="U359" s="280"/>
      <c r="V359" s="281"/>
      <c r="W359" s="276"/>
      <c r="X359" s="276"/>
      <c r="Y359" s="282"/>
      <c r="Z359" s="283"/>
      <c r="AA359" s="283"/>
      <c r="AB359" s="287"/>
      <c r="AC359" s="284"/>
      <c r="AD359" s="285"/>
      <c r="AE359" s="285"/>
      <c r="AF359" s="270"/>
      <c r="AG359" s="288"/>
      <c r="AH359" s="113"/>
      <c r="AI359" s="133">
        <f>+AI360</f>
        <v>768864.88</v>
      </c>
      <c r="AJ359" s="133">
        <f t="shared" ref="AJ359:AK359" si="127">+AJ360</f>
        <v>0</v>
      </c>
      <c r="AK359" s="133">
        <f t="shared" si="127"/>
        <v>0</v>
      </c>
    </row>
    <row r="360" spans="1:38" ht="16.5" thickTop="1" thickBot="1" x14ac:dyDescent="0.25">
      <c r="A360" s="101"/>
      <c r="B360" s="102"/>
      <c r="C360" s="103"/>
      <c r="D360" s="103">
        <v>1</v>
      </c>
      <c r="E360" s="104">
        <v>830502</v>
      </c>
      <c r="F360" s="105" t="s">
        <v>769</v>
      </c>
      <c r="G360" s="119"/>
      <c r="H360" s="265"/>
      <c r="I360" s="266"/>
      <c r="J360" s="267"/>
      <c r="K360" s="265"/>
      <c r="L360" s="265"/>
      <c r="M360" s="272"/>
      <c r="N360" s="269"/>
      <c r="O360" s="119"/>
      <c r="P360" s="265"/>
      <c r="Q360" s="266"/>
      <c r="R360" s="267"/>
      <c r="S360" s="265"/>
      <c r="T360" s="265"/>
      <c r="U360" s="272"/>
      <c r="V360" s="269"/>
      <c r="W360" s="119"/>
      <c r="X360" s="119"/>
      <c r="Y360" s="203">
        <v>768864.88</v>
      </c>
      <c r="Z360" s="289">
        <v>1500000</v>
      </c>
      <c r="AA360" s="289">
        <v>85984.6</v>
      </c>
      <c r="AB360" s="123">
        <v>16933.490000000002</v>
      </c>
      <c r="AC360" s="88"/>
      <c r="AD360" s="290">
        <v>0</v>
      </c>
      <c r="AE360" s="121">
        <v>217707.69</v>
      </c>
      <c r="AF360" s="290">
        <v>100000</v>
      </c>
      <c r="AG360" s="291">
        <f t="shared" si="126"/>
        <v>100000</v>
      </c>
      <c r="AH360" s="113">
        <v>1100121</v>
      </c>
      <c r="AI360" s="114">
        <v>768864.88</v>
      </c>
      <c r="AJ360" s="114">
        <v>0</v>
      </c>
      <c r="AK360" s="114">
        <v>0</v>
      </c>
    </row>
    <row r="361" spans="1:38" ht="16.5" thickTop="1" thickBot="1" x14ac:dyDescent="0.25">
      <c r="A361" s="101"/>
      <c r="B361" s="102"/>
      <c r="C361" s="129">
        <v>9</v>
      </c>
      <c r="D361" s="129"/>
      <c r="E361" s="129"/>
      <c r="F361" s="130" t="s">
        <v>770</v>
      </c>
      <c r="G361" s="119"/>
      <c r="H361" s="265"/>
      <c r="I361" s="266"/>
      <c r="J361" s="267"/>
      <c r="K361" s="265"/>
      <c r="L361" s="265"/>
      <c r="M361" s="272"/>
      <c r="N361" s="269"/>
      <c r="O361" s="119"/>
      <c r="P361" s="265"/>
      <c r="Q361" s="266"/>
      <c r="R361" s="267"/>
      <c r="S361" s="265"/>
      <c r="T361" s="265"/>
      <c r="U361" s="272"/>
      <c r="V361" s="269"/>
      <c r="W361" s="119"/>
      <c r="X361" s="119"/>
      <c r="Y361" s="203"/>
      <c r="Z361" s="292"/>
      <c r="AA361" s="292"/>
      <c r="AB361" s="184"/>
      <c r="AC361" s="88"/>
      <c r="AD361" s="290"/>
      <c r="AE361" s="121"/>
      <c r="AF361" s="290"/>
      <c r="AG361" s="291"/>
      <c r="AH361" s="113"/>
      <c r="AI361" s="133">
        <f>+AI362</f>
        <v>0</v>
      </c>
      <c r="AJ361" s="133">
        <f t="shared" ref="AJ361:AK361" si="128">+AJ362</f>
        <v>1087900</v>
      </c>
      <c r="AK361" s="133">
        <f t="shared" si="128"/>
        <v>1087900</v>
      </c>
    </row>
    <row r="362" spans="1:38" ht="16.5" thickTop="1" thickBot="1" x14ac:dyDescent="0.25">
      <c r="A362" s="101"/>
      <c r="B362" s="102"/>
      <c r="C362" s="103"/>
      <c r="D362" s="103">
        <v>1</v>
      </c>
      <c r="E362" s="104">
        <v>830901</v>
      </c>
      <c r="F362" s="105" t="s">
        <v>771</v>
      </c>
      <c r="G362" s="119"/>
      <c r="H362" s="265"/>
      <c r="I362" s="266"/>
      <c r="J362" s="267"/>
      <c r="K362" s="265"/>
      <c r="L362" s="265"/>
      <c r="M362" s="272"/>
      <c r="N362" s="269"/>
      <c r="O362" s="119"/>
      <c r="P362" s="265"/>
      <c r="Q362" s="266"/>
      <c r="R362" s="267"/>
      <c r="S362" s="265"/>
      <c r="T362" s="265"/>
      <c r="U362" s="272"/>
      <c r="V362" s="269"/>
      <c r="W362" s="119"/>
      <c r="X362" s="119"/>
      <c r="Y362" s="203"/>
      <c r="Z362" s="292"/>
      <c r="AA362" s="292"/>
      <c r="AB362" s="184"/>
      <c r="AC362" s="88"/>
      <c r="AD362" s="290"/>
      <c r="AE362" s="121"/>
      <c r="AF362" s="290"/>
      <c r="AG362" s="291"/>
      <c r="AH362" s="113">
        <v>1100122</v>
      </c>
      <c r="AI362" s="114"/>
      <c r="AJ362" s="114">
        <v>1087900</v>
      </c>
      <c r="AK362" s="114">
        <v>1087900</v>
      </c>
    </row>
    <row r="363" spans="1:38" ht="27" thickTop="1" thickBot="1" x14ac:dyDescent="0.25">
      <c r="A363" s="101"/>
      <c r="B363" s="102" t="s">
        <v>466</v>
      </c>
      <c r="C363" s="103"/>
      <c r="D363" s="103"/>
      <c r="E363" s="104"/>
      <c r="F363" s="293" t="s">
        <v>772</v>
      </c>
      <c r="G363" s="208">
        <f>SUM(G364:G369)</f>
        <v>8449565.8599999994</v>
      </c>
      <c r="H363" s="265">
        <f>SUM(H364:H369)</f>
        <v>9735686.2599999998</v>
      </c>
      <c r="I363" s="266">
        <f>SUM(I364:I369)</f>
        <v>9735686.2599999998</v>
      </c>
      <c r="J363" s="267">
        <f t="shared" ref="J363:AB363" si="129">SUM(J364:J369)</f>
        <v>9735686.2599999998</v>
      </c>
      <c r="K363" s="265">
        <f t="shared" si="129"/>
        <v>750720.21</v>
      </c>
      <c r="L363" s="265">
        <f t="shared" si="129"/>
        <v>822545.18</v>
      </c>
      <c r="M363" s="268">
        <f t="shared" si="129"/>
        <v>685027.14000000013</v>
      </c>
      <c r="N363" s="269">
        <f t="shared" si="129"/>
        <v>653282.14999999991</v>
      </c>
      <c r="O363" s="119">
        <f t="shared" si="129"/>
        <v>583674.05000000005</v>
      </c>
      <c r="P363" s="265">
        <f t="shared" si="129"/>
        <v>385621.80000000005</v>
      </c>
      <c r="Q363" s="266">
        <f t="shared" si="129"/>
        <v>645013.94750000013</v>
      </c>
      <c r="R363" s="267">
        <f t="shared" si="129"/>
        <v>646013.94750000013</v>
      </c>
      <c r="S363" s="265">
        <f t="shared" si="129"/>
        <v>647013.94750000013</v>
      </c>
      <c r="T363" s="265">
        <f t="shared" si="129"/>
        <v>647013.94750000013</v>
      </c>
      <c r="U363" s="268">
        <f t="shared" si="129"/>
        <v>622328.35750000004</v>
      </c>
      <c r="V363" s="269">
        <f t="shared" si="129"/>
        <v>1114241.2675000001</v>
      </c>
      <c r="W363" s="119">
        <f t="shared" si="129"/>
        <v>8202495.9300000006</v>
      </c>
      <c r="X363" s="119">
        <f t="shared" si="129"/>
        <v>8202495.9300000006</v>
      </c>
      <c r="Y363" s="294">
        <f t="shared" si="129"/>
        <v>11301625.189999999</v>
      </c>
      <c r="Z363" s="208">
        <f t="shared" si="129"/>
        <v>12644362.120000001</v>
      </c>
      <c r="AA363" s="208">
        <f t="shared" si="129"/>
        <v>1157183.31</v>
      </c>
      <c r="AB363" s="208">
        <f t="shared" si="129"/>
        <v>1009135.77</v>
      </c>
      <c r="AC363" s="88">
        <f>W363-X363</f>
        <v>0</v>
      </c>
      <c r="AD363" s="208">
        <f>SUM(AD364:AD372)</f>
        <v>7626923.1800000006</v>
      </c>
      <c r="AE363" s="208">
        <f>SUM(AE364:AE372)</f>
        <v>4065407.1</v>
      </c>
      <c r="AF363" s="208">
        <f>SUM(AF364:AF372)</f>
        <v>7626923.1800000006</v>
      </c>
      <c r="AG363" s="208">
        <f t="shared" si="126"/>
        <v>0</v>
      </c>
      <c r="AH363" s="113"/>
      <c r="AI363" s="294">
        <f>SUM(AI364:AI373)</f>
        <v>11301625.189999999</v>
      </c>
      <c r="AJ363" s="294">
        <f>SUM(AJ364:AJ373)</f>
        <v>11396990.499999998</v>
      </c>
      <c r="AK363" s="294">
        <f>SUM(AK364:AK373)</f>
        <v>11738895</v>
      </c>
    </row>
    <row r="364" spans="1:38" ht="16.5" thickTop="1" thickBot="1" x14ac:dyDescent="0.25">
      <c r="A364" s="101"/>
      <c r="B364" s="102"/>
      <c r="C364" s="103">
        <v>1</v>
      </c>
      <c r="D364" s="103"/>
      <c r="E364" s="104">
        <v>840101</v>
      </c>
      <c r="F364" s="105" t="s">
        <v>773</v>
      </c>
      <c r="G364" s="108">
        <v>64285.24</v>
      </c>
      <c r="H364" s="107">
        <v>92904.26</v>
      </c>
      <c r="I364" s="107">
        <v>92904.26</v>
      </c>
      <c r="J364" s="108">
        <v>92904.26</v>
      </c>
      <c r="K364" s="204">
        <v>12262.63</v>
      </c>
      <c r="L364" s="204">
        <v>9770.19</v>
      </c>
      <c r="M364" s="204">
        <v>7523.3</v>
      </c>
      <c r="N364" s="204">
        <v>6989.37</v>
      </c>
      <c r="O364" s="190">
        <v>4139.1000000000004</v>
      </c>
      <c r="P364" s="117">
        <v>1221</v>
      </c>
      <c r="Q364" s="295">
        <v>6044.8462499999996</v>
      </c>
      <c r="R364" s="295">
        <v>7044.8462499999996</v>
      </c>
      <c r="S364" s="295">
        <v>6044.8462499999996</v>
      </c>
      <c r="T364" s="295">
        <v>6044.8462499999996</v>
      </c>
      <c r="U364" s="295">
        <v>6044.8462499999996</v>
      </c>
      <c r="V364" s="295">
        <f>6044.84625-384.68+3645.21+5823.85</f>
        <v>15129.22625</v>
      </c>
      <c r="W364" s="119">
        <v>88259.04</v>
      </c>
      <c r="X364" s="108">
        <f>W364</f>
        <v>88259.04</v>
      </c>
      <c r="Y364" s="110">
        <v>105845.68</v>
      </c>
      <c r="Z364" s="111">
        <v>89127.31</v>
      </c>
      <c r="AA364" s="111">
        <v>36399.24</v>
      </c>
      <c r="AB364" s="123">
        <v>6432.96</v>
      </c>
      <c r="AC364" s="88">
        <f>W364-X364</f>
        <v>0</v>
      </c>
      <c r="AD364" s="112">
        <v>89127.31</v>
      </c>
      <c r="AE364" s="121">
        <v>58853.82</v>
      </c>
      <c r="AF364" s="112">
        <v>89127.31</v>
      </c>
      <c r="AG364" s="112">
        <f t="shared" si="126"/>
        <v>0</v>
      </c>
      <c r="AH364" s="113">
        <v>1500722</v>
      </c>
      <c r="AI364" s="114">
        <v>105845.68</v>
      </c>
      <c r="AJ364" s="114">
        <v>101444.22</v>
      </c>
      <c r="AK364" s="114">
        <v>104487</v>
      </c>
    </row>
    <row r="365" spans="1:38" ht="16.5" thickTop="1" thickBot="1" x14ac:dyDescent="0.25">
      <c r="A365" s="101"/>
      <c r="B365" s="102"/>
      <c r="C365" s="103">
        <v>2</v>
      </c>
      <c r="D365" s="103"/>
      <c r="E365" s="104">
        <v>840201</v>
      </c>
      <c r="F365" s="105" t="s">
        <v>774</v>
      </c>
      <c r="G365" s="108">
        <v>1322869.92</v>
      </c>
      <c r="H365" s="107">
        <v>1303321</v>
      </c>
      <c r="I365" s="107">
        <v>1303321</v>
      </c>
      <c r="J365" s="296">
        <f>H365</f>
        <v>1303321</v>
      </c>
      <c r="K365" s="204">
        <v>114593.61</v>
      </c>
      <c r="L365" s="204">
        <v>114593.61</v>
      </c>
      <c r="M365" s="204">
        <v>114593.61</v>
      </c>
      <c r="N365" s="204">
        <v>114593.61</v>
      </c>
      <c r="O365" s="190">
        <v>114593.61</v>
      </c>
      <c r="P365" s="117">
        <v>114593.61</v>
      </c>
      <c r="Q365" s="295">
        <v>100618.32</v>
      </c>
      <c r="R365" s="295">
        <v>100618.32</v>
      </c>
      <c r="S365" s="295">
        <v>100618.32</v>
      </c>
      <c r="T365" s="295">
        <v>100618.32</v>
      </c>
      <c r="U365" s="295">
        <f>100618.32-24685.59</f>
        <v>75932.73000000001</v>
      </c>
      <c r="V365" s="295">
        <f>100618.32-15000+68756.15-13975.29</f>
        <v>140399.18</v>
      </c>
      <c r="W365" s="119">
        <f>SUM(K365:V365)</f>
        <v>1306366.8500000001</v>
      </c>
      <c r="X365" s="108">
        <f>W365</f>
        <v>1306366.8500000001</v>
      </c>
      <c r="Y365" s="110">
        <v>5173022.66</v>
      </c>
      <c r="Z365" s="111">
        <v>4883362.7</v>
      </c>
      <c r="AA365" s="111">
        <v>121635.12</v>
      </c>
      <c r="AB365" s="123">
        <v>121714.6</v>
      </c>
      <c r="AC365" s="88">
        <f>W365-X365</f>
        <v>0</v>
      </c>
      <c r="AD365" s="112">
        <v>1458590</v>
      </c>
      <c r="AE365" s="121">
        <v>486699.44</v>
      </c>
      <c r="AF365" s="112">
        <v>1458590</v>
      </c>
      <c r="AG365" s="112">
        <f t="shared" si="126"/>
        <v>0</v>
      </c>
      <c r="AH365" s="113">
        <v>1500722</v>
      </c>
      <c r="AI365" s="114">
        <v>5173022.66</v>
      </c>
      <c r="AJ365" s="114">
        <v>1441228.9</v>
      </c>
      <c r="AK365" s="114">
        <v>1484465</v>
      </c>
    </row>
    <row r="366" spans="1:38" ht="16.5" thickTop="1" thickBot="1" x14ac:dyDescent="0.25">
      <c r="A366" s="101"/>
      <c r="B366" s="102"/>
      <c r="C366" s="103">
        <v>3</v>
      </c>
      <c r="D366" s="103"/>
      <c r="E366" s="104">
        <v>840301</v>
      </c>
      <c r="F366" s="105" t="s">
        <v>775</v>
      </c>
      <c r="G366" s="108">
        <v>6295248.5800000001</v>
      </c>
      <c r="H366" s="107">
        <v>7556674</v>
      </c>
      <c r="I366" s="107">
        <v>7556674</v>
      </c>
      <c r="J366" s="296">
        <f>H366</f>
        <v>7556674</v>
      </c>
      <c r="K366" s="204">
        <v>578126.89</v>
      </c>
      <c r="L366" s="204">
        <v>688643.61</v>
      </c>
      <c r="M366" s="204">
        <v>539681.80000000005</v>
      </c>
      <c r="N366" s="204">
        <v>506362.23</v>
      </c>
      <c r="O366" s="190">
        <v>423011.31</v>
      </c>
      <c r="P366" s="117">
        <v>242018.73</v>
      </c>
      <c r="Q366" s="295">
        <v>455482.43375000003</v>
      </c>
      <c r="R366" s="295">
        <v>455482.43375000003</v>
      </c>
      <c r="S366" s="295">
        <v>455482.43375000003</v>
      </c>
      <c r="T366" s="295">
        <v>455482.43375000003</v>
      </c>
      <c r="U366" s="295">
        <v>455482.43375000003</v>
      </c>
      <c r="V366" s="295">
        <f>455482.43375-179150.08+319169.6+213463.71</f>
        <v>808965.66374999995</v>
      </c>
      <c r="W366" s="119">
        <v>6064222.4000000004</v>
      </c>
      <c r="X366" s="108">
        <f>W366</f>
        <v>6064222.4000000004</v>
      </c>
      <c r="Y366" s="110">
        <v>5611417.6100000003</v>
      </c>
      <c r="Z366" s="111">
        <v>5280256.25</v>
      </c>
      <c r="AA366" s="111">
        <v>613254.29</v>
      </c>
      <c r="AB366" s="123">
        <v>681735.34</v>
      </c>
      <c r="AC366" s="88">
        <f>W366-X366</f>
        <v>0</v>
      </c>
      <c r="AD366" s="112">
        <v>4599845</v>
      </c>
      <c r="AE366" s="121">
        <v>2432465.77</v>
      </c>
      <c r="AF366" s="112">
        <v>4599845</v>
      </c>
      <c r="AG366" s="112">
        <f t="shared" si="126"/>
        <v>0</v>
      </c>
      <c r="AH366" s="113">
        <v>1500722</v>
      </c>
      <c r="AI366" s="114">
        <v>5611417.6100000003</v>
      </c>
      <c r="AJ366" s="114">
        <v>7181712.6199999992</v>
      </c>
      <c r="AK366" s="114">
        <v>7397163</v>
      </c>
    </row>
    <row r="367" spans="1:38" ht="16.5" thickTop="1" thickBot="1" x14ac:dyDescent="0.25">
      <c r="A367" s="101"/>
      <c r="B367" s="102"/>
      <c r="C367" s="103"/>
      <c r="D367" s="103"/>
      <c r="E367" s="104">
        <v>840401</v>
      </c>
      <c r="F367" s="105" t="s">
        <v>669</v>
      </c>
      <c r="G367" s="108"/>
      <c r="H367" s="107"/>
      <c r="I367" s="107"/>
      <c r="J367" s="297"/>
      <c r="K367" s="204"/>
      <c r="L367" s="298"/>
      <c r="M367" s="204"/>
      <c r="N367" s="204"/>
      <c r="O367" s="190"/>
      <c r="P367" s="117"/>
      <c r="Q367" s="295"/>
      <c r="R367" s="295"/>
      <c r="S367" s="295"/>
      <c r="T367" s="295"/>
      <c r="U367" s="295"/>
      <c r="V367" s="295"/>
      <c r="W367" s="119"/>
      <c r="X367" s="108"/>
      <c r="Y367" s="110"/>
      <c r="Z367" s="143">
        <v>2009318.8</v>
      </c>
      <c r="AA367" s="143">
        <v>320193.38</v>
      </c>
      <c r="AB367" s="123">
        <v>113989.85</v>
      </c>
      <c r="AC367" s="88"/>
      <c r="AD367" s="112">
        <v>1001452</v>
      </c>
      <c r="AE367" s="121">
        <v>830234.01</v>
      </c>
      <c r="AF367" s="112">
        <v>1001452</v>
      </c>
      <c r="AG367" s="112">
        <f t="shared" si="126"/>
        <v>0</v>
      </c>
      <c r="AH367" s="113">
        <v>1500722</v>
      </c>
      <c r="AI367" s="114">
        <v>0</v>
      </c>
      <c r="AJ367" s="114">
        <v>1772397.11</v>
      </c>
      <c r="AK367" s="114">
        <v>1825569</v>
      </c>
    </row>
    <row r="368" spans="1:38" ht="14.25" customHeight="1" thickTop="1" thickBot="1" x14ac:dyDescent="0.25">
      <c r="A368" s="101"/>
      <c r="B368" s="102"/>
      <c r="C368" s="161"/>
      <c r="D368" s="161"/>
      <c r="E368" s="104">
        <v>840501</v>
      </c>
      <c r="F368" s="198" t="s">
        <v>776</v>
      </c>
      <c r="G368" s="108"/>
      <c r="H368" s="107"/>
      <c r="I368" s="107"/>
      <c r="J368" s="297"/>
      <c r="K368" s="204"/>
      <c r="L368" s="298"/>
      <c r="M368" s="204"/>
      <c r="N368" s="204"/>
      <c r="O368" s="190"/>
      <c r="P368" s="117"/>
      <c r="Q368" s="295"/>
      <c r="R368" s="295"/>
      <c r="S368" s="295"/>
      <c r="T368" s="295"/>
      <c r="U368" s="295"/>
      <c r="V368" s="295"/>
      <c r="W368" s="119"/>
      <c r="X368" s="108"/>
      <c r="Y368" s="110"/>
      <c r="Z368" s="299"/>
      <c r="AA368" s="187"/>
      <c r="AB368" s="184"/>
      <c r="AC368" s="88"/>
      <c r="AD368" s="120"/>
      <c r="AE368" s="120"/>
      <c r="AF368" s="120"/>
      <c r="AG368" s="120">
        <f t="shared" si="126"/>
        <v>0</v>
      </c>
      <c r="AH368" s="113">
        <v>1600722</v>
      </c>
      <c r="AI368" s="114">
        <v>0</v>
      </c>
      <c r="AJ368" s="114">
        <v>35918.199999999997</v>
      </c>
      <c r="AK368" s="114">
        <v>36995</v>
      </c>
    </row>
    <row r="369" spans="1:37" ht="16.5" thickTop="1" thickBot="1" x14ac:dyDescent="0.25">
      <c r="A369" s="101"/>
      <c r="B369" s="102"/>
      <c r="C369" s="103">
        <v>6</v>
      </c>
      <c r="D369" s="103"/>
      <c r="E369" s="104">
        <v>840601</v>
      </c>
      <c r="F369" s="105" t="s">
        <v>777</v>
      </c>
      <c r="G369" s="108">
        <v>767162.12</v>
      </c>
      <c r="H369" s="107">
        <v>782787</v>
      </c>
      <c r="I369" s="107">
        <v>782787</v>
      </c>
      <c r="J369" s="108">
        <v>782787</v>
      </c>
      <c r="K369" s="204">
        <v>45737.08</v>
      </c>
      <c r="L369" s="300">
        <v>9537.77</v>
      </c>
      <c r="M369" s="204">
        <v>23228.43</v>
      </c>
      <c r="N369" s="204">
        <v>25336.94</v>
      </c>
      <c r="O369" s="190">
        <v>41930.03</v>
      </c>
      <c r="P369" s="117">
        <v>27788.46</v>
      </c>
      <c r="Q369" s="295">
        <v>82868.347500000003</v>
      </c>
      <c r="R369" s="295">
        <v>82868.347500000003</v>
      </c>
      <c r="S369" s="295">
        <v>84868.347500000003</v>
      </c>
      <c r="T369" s="295">
        <v>84868.347500000003</v>
      </c>
      <c r="U369" s="295">
        <v>84868.347500000003</v>
      </c>
      <c r="V369" s="295">
        <f>84868.3475-1340.38+39139.35+27079.88</f>
        <v>149747.19750000001</v>
      </c>
      <c r="W369" s="119">
        <v>743647.64</v>
      </c>
      <c r="X369" s="108">
        <f>W369</f>
        <v>743647.64</v>
      </c>
      <c r="Y369" s="110">
        <v>411339.24</v>
      </c>
      <c r="Z369" s="301">
        <v>382297.06</v>
      </c>
      <c r="AA369" s="143">
        <v>65701.279999999999</v>
      </c>
      <c r="AB369" s="123">
        <v>85263.02</v>
      </c>
      <c r="AC369" s="88">
        <f>W369-X369</f>
        <v>0</v>
      </c>
      <c r="AD369" s="112">
        <v>364698</v>
      </c>
      <c r="AE369" s="121">
        <v>252621.17</v>
      </c>
      <c r="AF369" s="112">
        <v>364698</v>
      </c>
      <c r="AG369" s="112">
        <f t="shared" si="126"/>
        <v>0</v>
      </c>
      <c r="AH369" s="113">
        <v>1600722</v>
      </c>
      <c r="AI369" s="114">
        <v>411339.24</v>
      </c>
      <c r="AJ369" s="114">
        <v>654114.95000000007</v>
      </c>
      <c r="AK369" s="114">
        <v>673738</v>
      </c>
    </row>
    <row r="370" spans="1:37" ht="16.5" thickTop="1" thickBot="1" x14ac:dyDescent="0.25">
      <c r="A370" s="101"/>
      <c r="B370" s="102"/>
      <c r="C370" s="103"/>
      <c r="D370" s="103"/>
      <c r="E370" s="189">
        <v>840801</v>
      </c>
      <c r="F370" s="105" t="s">
        <v>640</v>
      </c>
      <c r="G370" s="108"/>
      <c r="H370" s="107"/>
      <c r="I370" s="107"/>
      <c r="J370" s="108"/>
      <c r="K370" s="204"/>
      <c r="L370" s="300"/>
      <c r="M370" s="204"/>
      <c r="N370" s="204"/>
      <c r="O370" s="190"/>
      <c r="P370" s="117"/>
      <c r="Q370" s="295"/>
      <c r="R370" s="295"/>
      <c r="S370" s="295"/>
      <c r="T370" s="295"/>
      <c r="U370" s="295"/>
      <c r="V370" s="295"/>
      <c r="W370" s="119"/>
      <c r="X370" s="108"/>
      <c r="Y370" s="110"/>
      <c r="Z370" s="302"/>
      <c r="AA370" s="239"/>
      <c r="AB370" s="184"/>
      <c r="AC370" s="88"/>
      <c r="AD370" s="112">
        <v>69570.67</v>
      </c>
      <c r="AE370" s="112"/>
      <c r="AF370" s="112">
        <v>69570.67</v>
      </c>
      <c r="AG370" s="112">
        <f t="shared" si="126"/>
        <v>0</v>
      </c>
      <c r="AH370" s="113">
        <v>1600722</v>
      </c>
      <c r="AI370" s="114">
        <v>0</v>
      </c>
      <c r="AJ370" s="114">
        <v>32482.21</v>
      </c>
      <c r="AK370" s="114">
        <v>33456</v>
      </c>
    </row>
    <row r="371" spans="1:37" ht="16.5" thickTop="1" thickBot="1" x14ac:dyDescent="0.25">
      <c r="A371" s="101"/>
      <c r="B371" s="102"/>
      <c r="C371" s="103"/>
      <c r="D371" s="103"/>
      <c r="E371" s="189">
        <v>840802</v>
      </c>
      <c r="F371" s="105" t="s">
        <v>641</v>
      </c>
      <c r="G371" s="108"/>
      <c r="H371" s="107"/>
      <c r="I371" s="107"/>
      <c r="J371" s="108"/>
      <c r="K371" s="204"/>
      <c r="L371" s="300"/>
      <c r="M371" s="204"/>
      <c r="N371" s="204"/>
      <c r="O371" s="190"/>
      <c r="P371" s="117"/>
      <c r="Q371" s="295"/>
      <c r="R371" s="295"/>
      <c r="S371" s="295"/>
      <c r="T371" s="295"/>
      <c r="U371" s="295"/>
      <c r="V371" s="295"/>
      <c r="W371" s="119"/>
      <c r="X371" s="108"/>
      <c r="Y371" s="110"/>
      <c r="Z371" s="239"/>
      <c r="AA371" s="239"/>
      <c r="AB371" s="184"/>
      <c r="AC371" s="88"/>
      <c r="AD371" s="112">
        <v>23640.2</v>
      </c>
      <c r="AE371" s="112"/>
      <c r="AF371" s="112">
        <v>23640.2</v>
      </c>
      <c r="AG371" s="112">
        <f t="shared" si="126"/>
        <v>0</v>
      </c>
      <c r="AH371" s="113">
        <v>1600722</v>
      </c>
      <c r="AI371" s="114">
        <v>0</v>
      </c>
      <c r="AJ371" s="114">
        <v>27351.05</v>
      </c>
      <c r="AK371" s="114">
        <v>28171</v>
      </c>
    </row>
    <row r="372" spans="1:37" ht="16.5" thickTop="1" thickBot="1" x14ac:dyDescent="0.25">
      <c r="A372" s="101"/>
      <c r="B372" s="102"/>
      <c r="C372" s="103"/>
      <c r="D372" s="103"/>
      <c r="E372" s="189">
        <v>840901</v>
      </c>
      <c r="F372" s="105" t="s">
        <v>778</v>
      </c>
      <c r="G372" s="108"/>
      <c r="H372" s="107"/>
      <c r="I372" s="107"/>
      <c r="J372" s="108"/>
      <c r="K372" s="204"/>
      <c r="L372" s="300"/>
      <c r="M372" s="204"/>
      <c r="N372" s="204"/>
      <c r="O372" s="190"/>
      <c r="P372" s="117"/>
      <c r="Q372" s="295"/>
      <c r="R372" s="295"/>
      <c r="S372" s="295"/>
      <c r="T372" s="295"/>
      <c r="U372" s="295"/>
      <c r="V372" s="295"/>
      <c r="W372" s="119"/>
      <c r="X372" s="108"/>
      <c r="Y372" s="110"/>
      <c r="Z372" s="239"/>
      <c r="AA372" s="239"/>
      <c r="AB372" s="184"/>
      <c r="AC372" s="88"/>
      <c r="AD372" s="112">
        <v>20000</v>
      </c>
      <c r="AE372" s="121">
        <v>4532.8900000000003</v>
      </c>
      <c r="AF372" s="112">
        <v>20000</v>
      </c>
      <c r="AG372" s="112">
        <f t="shared" si="126"/>
        <v>0</v>
      </c>
      <c r="AH372" s="113">
        <v>1600722</v>
      </c>
      <c r="AI372" s="114">
        <v>0</v>
      </c>
      <c r="AJ372" s="114">
        <v>32172.97</v>
      </c>
      <c r="AK372" s="114">
        <v>33138</v>
      </c>
    </row>
    <row r="373" spans="1:37" ht="16.5" thickTop="1" thickBot="1" x14ac:dyDescent="0.25">
      <c r="A373" s="101"/>
      <c r="B373" s="102"/>
      <c r="C373" s="103">
        <v>10</v>
      </c>
      <c r="D373" s="103"/>
      <c r="E373" s="189">
        <v>841001</v>
      </c>
      <c r="F373" s="105" t="s">
        <v>779</v>
      </c>
      <c r="G373" s="108"/>
      <c r="H373" s="107"/>
      <c r="I373" s="107"/>
      <c r="J373" s="108"/>
      <c r="K373" s="204"/>
      <c r="L373" s="300"/>
      <c r="M373" s="204"/>
      <c r="N373" s="204"/>
      <c r="O373" s="190"/>
      <c r="P373" s="117"/>
      <c r="Q373" s="295"/>
      <c r="R373" s="295"/>
      <c r="S373" s="295"/>
      <c r="T373" s="295"/>
      <c r="U373" s="295"/>
      <c r="V373" s="295"/>
      <c r="W373" s="119"/>
      <c r="X373" s="108"/>
      <c r="Y373" s="110"/>
      <c r="Z373" s="239"/>
      <c r="AA373" s="239"/>
      <c r="AB373" s="184"/>
      <c r="AC373" s="88"/>
      <c r="AD373" s="112"/>
      <c r="AE373" s="121"/>
      <c r="AF373" s="112"/>
      <c r="AG373" s="112"/>
      <c r="AH373" s="113">
        <v>1600722</v>
      </c>
      <c r="AI373" s="114"/>
      <c r="AJ373" s="114">
        <v>118168.27</v>
      </c>
      <c r="AK373" s="114">
        <v>121713</v>
      </c>
    </row>
    <row r="374" spans="1:37" s="249" customFormat="1" ht="14.25" thickTop="1" thickBot="1" x14ac:dyDescent="0.25">
      <c r="A374" s="172"/>
      <c r="B374" s="172"/>
      <c r="C374" s="75"/>
      <c r="D374" s="75"/>
      <c r="E374" s="75"/>
      <c r="F374" s="76" t="s">
        <v>780</v>
      </c>
      <c r="G374" s="77">
        <f>SUM(G375:G419)</f>
        <v>123303508.44000001</v>
      </c>
      <c r="H374" s="77">
        <f t="shared" ref="H374:AF374" si="130">SUM(H375:H419)</f>
        <v>154840408.43000001</v>
      </c>
      <c r="I374" s="77">
        <f t="shared" si="130"/>
        <v>285936691.00999999</v>
      </c>
      <c r="J374" s="77">
        <f t="shared" si="130"/>
        <v>354015037.07000005</v>
      </c>
      <c r="K374" s="77">
        <f t="shared" si="130"/>
        <v>0</v>
      </c>
      <c r="L374" s="77">
        <f t="shared" si="130"/>
        <v>12643847</v>
      </c>
      <c r="M374" s="77">
        <f t="shared" si="130"/>
        <v>47111629.640000001</v>
      </c>
      <c r="N374" s="77">
        <f t="shared" si="130"/>
        <v>8322869.4199999999</v>
      </c>
      <c r="O374" s="77">
        <f t="shared" si="130"/>
        <v>12245450.91</v>
      </c>
      <c r="P374" s="77">
        <f t="shared" si="130"/>
        <v>0</v>
      </c>
      <c r="Q374" s="77">
        <f t="shared" si="130"/>
        <v>0</v>
      </c>
      <c r="R374" s="77">
        <f t="shared" si="130"/>
        <v>0</v>
      </c>
      <c r="S374" s="77">
        <f t="shared" si="130"/>
        <v>0</v>
      </c>
      <c r="T374" s="77">
        <f t="shared" si="130"/>
        <v>0</v>
      </c>
      <c r="U374" s="77">
        <f t="shared" si="130"/>
        <v>0</v>
      </c>
      <c r="V374" s="77">
        <f t="shared" si="130"/>
        <v>0</v>
      </c>
      <c r="W374" s="77">
        <f t="shared" si="130"/>
        <v>285936691.11000001</v>
      </c>
      <c r="X374" s="77">
        <f t="shared" si="130"/>
        <v>335936691.11000001</v>
      </c>
      <c r="Y374" s="77">
        <f t="shared" si="130"/>
        <v>183471765.99999997</v>
      </c>
      <c r="Z374" s="77">
        <f t="shared" si="130"/>
        <v>250837549.97</v>
      </c>
      <c r="AA374" s="77">
        <f t="shared" si="130"/>
        <v>0</v>
      </c>
      <c r="AB374" s="77">
        <f t="shared" si="130"/>
        <v>0</v>
      </c>
      <c r="AC374" s="221">
        <f t="shared" si="130"/>
        <v>0</v>
      </c>
      <c r="AD374" s="77">
        <f t="shared" si="130"/>
        <v>684928811.10000026</v>
      </c>
      <c r="AE374" s="77">
        <f t="shared" si="130"/>
        <v>75243234.920000002</v>
      </c>
      <c r="AF374" s="77">
        <f t="shared" si="130"/>
        <v>684928811.35000026</v>
      </c>
      <c r="AG374" s="77">
        <f t="shared" si="126"/>
        <v>0.25</v>
      </c>
      <c r="AH374" s="81"/>
      <c r="AI374" s="77">
        <v>183471766</v>
      </c>
      <c r="AJ374" s="77">
        <f>SUM(AJ375:AJ419)</f>
        <v>299876245.17000002</v>
      </c>
      <c r="AK374" s="77">
        <f>SUM(AK375:AK419)</f>
        <v>131164000.32999998</v>
      </c>
    </row>
    <row r="375" spans="1:37" s="249" customFormat="1" ht="14.25" thickTop="1" thickBot="1" x14ac:dyDescent="0.25">
      <c r="A375" s="101"/>
      <c r="B375" s="102"/>
      <c r="C375" s="103"/>
      <c r="D375" s="103"/>
      <c r="E375" s="104" t="s">
        <v>781</v>
      </c>
      <c r="F375" s="105" t="s">
        <v>782</v>
      </c>
      <c r="G375" s="303">
        <v>0</v>
      </c>
      <c r="H375" s="304"/>
      <c r="I375" s="304"/>
      <c r="J375" s="303"/>
      <c r="K375" s="303"/>
      <c r="L375" s="303"/>
      <c r="M375" s="303"/>
      <c r="N375" s="303"/>
      <c r="O375" s="303"/>
      <c r="P375" s="303"/>
      <c r="Q375" s="305"/>
      <c r="R375" s="305"/>
      <c r="S375" s="305"/>
      <c r="T375" s="305"/>
      <c r="U375" s="305"/>
      <c r="V375" s="305"/>
      <c r="W375" s="246"/>
      <c r="X375" s="246">
        <v>50000000</v>
      </c>
      <c r="Y375" s="246"/>
      <c r="Z375" s="108"/>
      <c r="AA375" s="108"/>
      <c r="AB375" s="108"/>
      <c r="AC375" s="88"/>
      <c r="AD375" s="108"/>
      <c r="AE375" s="108"/>
      <c r="AF375" s="108"/>
      <c r="AG375" s="108"/>
      <c r="AH375" s="113">
        <v>1201020</v>
      </c>
      <c r="AI375" s="110"/>
      <c r="AJ375" s="110"/>
      <c r="AK375" s="110"/>
    </row>
    <row r="376" spans="1:37" s="249" customFormat="1" ht="14.25" thickTop="1" thickBot="1" x14ac:dyDescent="0.25">
      <c r="A376" s="101"/>
      <c r="B376" s="102"/>
      <c r="C376" s="103"/>
      <c r="D376" s="103"/>
      <c r="E376" s="189"/>
      <c r="F376" s="105" t="s">
        <v>783</v>
      </c>
      <c r="G376" s="303"/>
      <c r="H376" s="304"/>
      <c r="I376" s="304"/>
      <c r="J376" s="303"/>
      <c r="K376" s="303"/>
      <c r="L376" s="303"/>
      <c r="M376" s="303"/>
      <c r="N376" s="303"/>
      <c r="O376" s="303"/>
      <c r="P376" s="303"/>
      <c r="Q376" s="305"/>
      <c r="R376" s="305"/>
      <c r="S376" s="305"/>
      <c r="T376" s="305"/>
      <c r="U376" s="305"/>
      <c r="V376" s="305"/>
      <c r="W376" s="246"/>
      <c r="X376" s="246"/>
      <c r="Y376" s="246"/>
      <c r="Z376" s="108">
        <v>250837549.97</v>
      </c>
      <c r="AA376" s="108"/>
      <c r="AB376" s="108"/>
      <c r="AC376" s="88"/>
      <c r="AD376" s="108"/>
      <c r="AE376" s="108"/>
      <c r="AF376" s="108"/>
      <c r="AG376" s="108"/>
      <c r="AH376" s="113">
        <v>1201020</v>
      </c>
      <c r="AI376" s="110"/>
      <c r="AJ376" s="110"/>
      <c r="AK376" s="110"/>
    </row>
    <row r="377" spans="1:37" s="249" customFormat="1" ht="14.25" thickTop="1" thickBot="1" x14ac:dyDescent="0.25">
      <c r="A377" s="101"/>
      <c r="B377" s="102"/>
      <c r="C377" s="103"/>
      <c r="D377" s="103"/>
      <c r="E377" s="103"/>
      <c r="F377" s="105" t="s">
        <v>784</v>
      </c>
      <c r="G377" s="246">
        <v>2145768.6800000002</v>
      </c>
      <c r="H377" s="304"/>
      <c r="I377" s="304"/>
      <c r="J377" s="303"/>
      <c r="K377" s="303"/>
      <c r="L377" s="303"/>
      <c r="M377" s="303"/>
      <c r="N377" s="303"/>
      <c r="O377" s="303"/>
      <c r="P377" s="303"/>
      <c r="Q377" s="305"/>
      <c r="R377" s="305"/>
      <c r="S377" s="305"/>
      <c r="T377" s="305"/>
      <c r="U377" s="305"/>
      <c r="V377" s="305"/>
      <c r="W377" s="246"/>
      <c r="X377" s="246"/>
      <c r="Y377" s="246"/>
      <c r="Z377" s="108"/>
      <c r="AA377" s="108"/>
      <c r="AB377" s="108"/>
      <c r="AC377" s="88">
        <f t="shared" ref="AC377:AC382" si="131">W377-X377</f>
        <v>0</v>
      </c>
      <c r="AD377" s="108"/>
      <c r="AE377" s="108"/>
      <c r="AF377" s="108"/>
      <c r="AG377" s="108"/>
      <c r="AH377" s="113"/>
      <c r="AI377" s="110"/>
      <c r="AJ377" s="110"/>
      <c r="AK377" s="110"/>
    </row>
    <row r="378" spans="1:37" s="249" customFormat="1" ht="14.25" thickTop="1" thickBot="1" x14ac:dyDescent="0.25">
      <c r="A378" s="101"/>
      <c r="B378" s="102"/>
      <c r="C378" s="103"/>
      <c r="D378" s="103"/>
      <c r="E378" s="103"/>
      <c r="F378" s="105" t="s">
        <v>785</v>
      </c>
      <c r="G378" s="246">
        <v>629020</v>
      </c>
      <c r="H378" s="304"/>
      <c r="I378" s="304"/>
      <c r="J378" s="303"/>
      <c r="K378" s="303"/>
      <c r="L378" s="303"/>
      <c r="M378" s="303"/>
      <c r="N378" s="303"/>
      <c r="O378" s="303"/>
      <c r="P378" s="303"/>
      <c r="Q378" s="305"/>
      <c r="R378" s="305"/>
      <c r="S378" s="305"/>
      <c r="T378" s="305"/>
      <c r="U378" s="305"/>
      <c r="V378" s="305"/>
      <c r="W378" s="246"/>
      <c r="X378" s="246"/>
      <c r="Y378" s="246"/>
      <c r="Z378" s="108"/>
      <c r="AA378" s="108"/>
      <c r="AB378" s="108"/>
      <c r="AC378" s="88">
        <f t="shared" si="131"/>
        <v>0</v>
      </c>
      <c r="AD378" s="108"/>
      <c r="AE378" s="108"/>
      <c r="AF378" s="108"/>
      <c r="AG378" s="108"/>
      <c r="AH378" s="113"/>
      <c r="AI378" s="110"/>
      <c r="AJ378" s="110"/>
      <c r="AK378" s="110"/>
    </row>
    <row r="379" spans="1:37" s="249" customFormat="1" ht="15.75" thickTop="1" thickBot="1" x14ac:dyDescent="0.25">
      <c r="A379" s="101"/>
      <c r="B379" s="102"/>
      <c r="C379" s="103"/>
      <c r="D379" s="103"/>
      <c r="E379" s="103"/>
      <c r="F379" s="105" t="s">
        <v>785</v>
      </c>
      <c r="G379" s="304">
        <v>29729160</v>
      </c>
      <c r="H379" s="304">
        <v>1025217.4000000001</v>
      </c>
      <c r="I379" s="304"/>
      <c r="J379" s="246">
        <v>10266506.859999999</v>
      </c>
      <c r="K379" s="303"/>
      <c r="L379" s="246">
        <v>3156822.26</v>
      </c>
      <c r="M379" s="306">
        <v>7109684.5999999996</v>
      </c>
      <c r="N379" s="303"/>
      <c r="O379" s="304">
        <v>1810160</v>
      </c>
      <c r="P379" s="304"/>
      <c r="Q379" s="305"/>
      <c r="R379" s="305"/>
      <c r="S379" s="305"/>
      <c r="T379" s="305"/>
      <c r="U379" s="305"/>
      <c r="V379" s="305"/>
      <c r="W379" s="246"/>
      <c r="X379" s="246"/>
      <c r="Y379" s="246"/>
      <c r="Z379" s="108"/>
      <c r="AA379" s="108"/>
      <c r="AB379" s="108"/>
      <c r="AC379" s="88">
        <f t="shared" si="131"/>
        <v>0</v>
      </c>
      <c r="AD379" s="108"/>
      <c r="AE379" s="108"/>
      <c r="AF379" s="108"/>
      <c r="AG379" s="108"/>
      <c r="AH379" s="113">
        <v>2610718</v>
      </c>
      <c r="AI379" s="110"/>
      <c r="AJ379" s="110"/>
      <c r="AK379" s="110"/>
    </row>
    <row r="380" spans="1:37" s="249" customFormat="1" ht="15.75" thickTop="1" thickBot="1" x14ac:dyDescent="0.25">
      <c r="A380" s="101"/>
      <c r="B380" s="102"/>
      <c r="C380" s="103"/>
      <c r="D380" s="103"/>
      <c r="E380" s="103"/>
      <c r="F380" s="105" t="s">
        <v>785</v>
      </c>
      <c r="G380" s="303"/>
      <c r="H380" s="304">
        <v>4840111</v>
      </c>
      <c r="I380" s="304"/>
      <c r="J380" s="246"/>
      <c r="K380" s="303"/>
      <c r="L380" s="246"/>
      <c r="M380" s="307"/>
      <c r="N380" s="303"/>
      <c r="O380" s="303"/>
      <c r="P380" s="303"/>
      <c r="Q380" s="305"/>
      <c r="R380" s="305"/>
      <c r="S380" s="305"/>
      <c r="T380" s="305"/>
      <c r="U380" s="305"/>
      <c r="V380" s="305"/>
      <c r="W380" s="246"/>
      <c r="X380" s="246"/>
      <c r="Y380" s="246"/>
      <c r="Z380" s="108"/>
      <c r="AA380" s="108"/>
      <c r="AB380" s="108"/>
      <c r="AC380" s="88">
        <f t="shared" si="131"/>
        <v>0</v>
      </c>
      <c r="AD380" s="108"/>
      <c r="AE380" s="108"/>
      <c r="AF380" s="108"/>
      <c r="AG380" s="108"/>
      <c r="AH380" s="113">
        <v>2610717</v>
      </c>
      <c r="AI380" s="110"/>
      <c r="AJ380" s="110"/>
      <c r="AK380" s="110"/>
    </row>
    <row r="381" spans="1:37" s="249" customFormat="1" ht="15.75" thickTop="1" thickBot="1" x14ac:dyDescent="0.25">
      <c r="A381" s="101"/>
      <c r="B381" s="102"/>
      <c r="C381" s="103"/>
      <c r="D381" s="103"/>
      <c r="E381" s="104" t="s">
        <v>786</v>
      </c>
      <c r="F381" s="105" t="s">
        <v>785</v>
      </c>
      <c r="G381" s="303"/>
      <c r="H381" s="304"/>
      <c r="I381" s="304">
        <v>7000000</v>
      </c>
      <c r="J381" s="246">
        <v>7000000</v>
      </c>
      <c r="K381" s="303"/>
      <c r="L381" s="246"/>
      <c r="M381" s="307"/>
      <c r="N381" s="303"/>
      <c r="O381" s="303"/>
      <c r="P381" s="303"/>
      <c r="Q381" s="305"/>
      <c r="R381" s="305"/>
      <c r="S381" s="305"/>
      <c r="T381" s="305"/>
      <c r="U381" s="305"/>
      <c r="V381" s="305"/>
      <c r="W381" s="246">
        <v>7000000</v>
      </c>
      <c r="X381" s="246">
        <f>W381</f>
        <v>7000000</v>
      </c>
      <c r="Y381" s="246">
        <v>6999999.8499999996</v>
      </c>
      <c r="Z381" s="108"/>
      <c r="AA381" s="108"/>
      <c r="AB381" s="108"/>
      <c r="AC381" s="88">
        <f t="shared" si="131"/>
        <v>0</v>
      </c>
      <c r="AD381" s="108"/>
      <c r="AE381" s="108"/>
      <c r="AF381" s="108"/>
      <c r="AG381" s="108"/>
      <c r="AH381" s="113">
        <v>2610118</v>
      </c>
      <c r="AI381" s="110"/>
      <c r="AJ381" s="110"/>
      <c r="AK381" s="110"/>
    </row>
    <row r="382" spans="1:37" s="249" customFormat="1" ht="15.75" thickTop="1" thickBot="1" x14ac:dyDescent="0.25">
      <c r="A382" s="101"/>
      <c r="B382" s="102"/>
      <c r="C382" s="103"/>
      <c r="D382" s="103"/>
      <c r="E382" s="104" t="s">
        <v>786</v>
      </c>
      <c r="F382" s="105" t="s">
        <v>785</v>
      </c>
      <c r="G382" s="303"/>
      <c r="H382" s="304"/>
      <c r="I382" s="304">
        <v>12114805.550000001</v>
      </c>
      <c r="J382" s="246">
        <v>12114805.550000001</v>
      </c>
      <c r="K382" s="303"/>
      <c r="L382" s="246"/>
      <c r="M382" s="307"/>
      <c r="N382" s="303"/>
      <c r="O382" s="303"/>
      <c r="P382" s="303"/>
      <c r="Q382" s="305"/>
      <c r="R382" s="305"/>
      <c r="S382" s="305"/>
      <c r="T382" s="305"/>
      <c r="U382" s="305"/>
      <c r="V382" s="305"/>
      <c r="W382" s="246">
        <v>12114805.550000001</v>
      </c>
      <c r="X382" s="246">
        <f>W382</f>
        <v>12114805.550000001</v>
      </c>
      <c r="Y382" s="246">
        <v>12112828.140000001</v>
      </c>
      <c r="Z382" s="108"/>
      <c r="AA382" s="108"/>
      <c r="AB382" s="108"/>
      <c r="AC382" s="88">
        <f t="shared" si="131"/>
        <v>0</v>
      </c>
      <c r="AD382" s="108">
        <v>765129.9</v>
      </c>
      <c r="AE382" s="108"/>
      <c r="AF382" s="108">
        <v>765129.9</v>
      </c>
      <c r="AG382" s="108">
        <f>AF382-AD382</f>
        <v>0</v>
      </c>
      <c r="AH382" s="113">
        <v>2610120</v>
      </c>
      <c r="AI382" s="114">
        <v>0</v>
      </c>
      <c r="AJ382" s="114">
        <v>5081806.04</v>
      </c>
      <c r="AK382" s="114"/>
    </row>
    <row r="383" spans="1:37" s="249" customFormat="1" ht="15.75" thickTop="1" thickBot="1" x14ac:dyDescent="0.25">
      <c r="A383" s="101"/>
      <c r="B383" s="102"/>
      <c r="C383" s="103"/>
      <c r="D383" s="103"/>
      <c r="E383" s="104"/>
      <c r="F383" s="105" t="s">
        <v>787</v>
      </c>
      <c r="G383" s="303"/>
      <c r="H383" s="304"/>
      <c r="I383" s="304"/>
      <c r="J383" s="246"/>
      <c r="K383" s="303"/>
      <c r="L383" s="246"/>
      <c r="M383" s="307"/>
      <c r="N383" s="303"/>
      <c r="O383" s="303"/>
      <c r="P383" s="303"/>
      <c r="Q383" s="305"/>
      <c r="R383" s="305"/>
      <c r="S383" s="305"/>
      <c r="T383" s="305"/>
      <c r="U383" s="305"/>
      <c r="V383" s="305"/>
      <c r="W383" s="246"/>
      <c r="X383" s="246"/>
      <c r="Y383" s="246"/>
      <c r="Z383" s="108"/>
      <c r="AA383" s="108"/>
      <c r="AB383" s="108"/>
      <c r="AC383" s="88"/>
      <c r="AD383" s="108">
        <v>4316676.9600000009</v>
      </c>
      <c r="AE383" s="121">
        <v>5081806.3899999997</v>
      </c>
      <c r="AF383" s="108">
        <v>4316676.9600000009</v>
      </c>
      <c r="AG383" s="121">
        <f>AF383-AD383</f>
        <v>0</v>
      </c>
      <c r="AH383" s="113">
        <v>2610220</v>
      </c>
      <c r="AI383" s="114">
        <v>0</v>
      </c>
      <c r="AJ383" s="114">
        <v>0</v>
      </c>
      <c r="AK383" s="114">
        <v>0</v>
      </c>
    </row>
    <row r="384" spans="1:37" s="249" customFormat="1" ht="16.5" thickTop="1" thickBot="1" x14ac:dyDescent="0.25">
      <c r="A384" s="101"/>
      <c r="B384" s="102"/>
      <c r="C384" s="103"/>
      <c r="D384" s="103"/>
      <c r="E384" s="103"/>
      <c r="F384" s="105" t="s">
        <v>788</v>
      </c>
      <c r="G384" s="308"/>
      <c r="H384" s="304">
        <v>1750000</v>
      </c>
      <c r="I384" s="304"/>
      <c r="J384" s="246">
        <v>56858698.729999997</v>
      </c>
      <c r="K384" s="303"/>
      <c r="L384" s="246">
        <v>9487024.7400000002</v>
      </c>
      <c r="M384" s="309">
        <v>39034197.119999997</v>
      </c>
      <c r="N384" s="307">
        <v>8337476.8700000001</v>
      </c>
      <c r="O384" s="307">
        <v>10435290.91</v>
      </c>
      <c r="P384" s="310"/>
      <c r="Q384" s="311"/>
      <c r="R384" s="311"/>
      <c r="S384" s="311"/>
      <c r="T384" s="311"/>
      <c r="U384" s="311"/>
      <c r="V384" s="311"/>
      <c r="W384" s="312"/>
      <c r="X384" s="312"/>
      <c r="Y384" s="312"/>
      <c r="Z384" s="119"/>
      <c r="AA384" s="119"/>
      <c r="AB384" s="119"/>
      <c r="AC384" s="88">
        <f t="shared" ref="AC384:AC389" si="132">W384-X384</f>
        <v>0</v>
      </c>
      <c r="AD384" s="119"/>
      <c r="AE384" s="119"/>
      <c r="AF384" s="119"/>
      <c r="AG384" s="119"/>
      <c r="AH384" s="113">
        <v>1100119</v>
      </c>
      <c r="AI384" s="110"/>
      <c r="AJ384" s="110"/>
      <c r="AK384" s="110"/>
    </row>
    <row r="385" spans="1:38" s="249" customFormat="1" ht="15.75" thickTop="1" thickBot="1" x14ac:dyDescent="0.25">
      <c r="A385" s="101"/>
      <c r="B385" s="102"/>
      <c r="C385" s="103"/>
      <c r="D385" s="103"/>
      <c r="E385" s="104" t="s">
        <v>789</v>
      </c>
      <c r="F385" s="105" t="s">
        <v>788</v>
      </c>
      <c r="G385" s="304">
        <v>14921139</v>
      </c>
      <c r="H385" s="304">
        <v>1105768</v>
      </c>
      <c r="I385" s="304">
        <v>10712360.810000001</v>
      </c>
      <c r="J385" s="246">
        <v>10712360.810000001</v>
      </c>
      <c r="K385" s="303"/>
      <c r="L385" s="303"/>
      <c r="M385" s="303"/>
      <c r="N385" s="303"/>
      <c r="O385" s="303"/>
      <c r="P385" s="303"/>
      <c r="Q385" s="305"/>
      <c r="R385" s="305"/>
      <c r="S385" s="305"/>
      <c r="T385" s="305"/>
      <c r="U385" s="305"/>
      <c r="V385" s="305"/>
      <c r="W385" s="246">
        <v>10712360.91</v>
      </c>
      <c r="X385" s="246">
        <f>W385</f>
        <v>10712360.91</v>
      </c>
      <c r="Y385" s="246">
        <v>2612751.64</v>
      </c>
      <c r="Z385" s="108"/>
      <c r="AA385" s="108"/>
      <c r="AB385" s="108"/>
      <c r="AC385" s="88">
        <f t="shared" si="132"/>
        <v>0</v>
      </c>
      <c r="AD385" s="108">
        <v>8099609.8599999994</v>
      </c>
      <c r="AE385" s="121">
        <v>70161428.530000001</v>
      </c>
      <c r="AF385" s="108">
        <f>8099609.86+0.44</f>
        <v>8099610.3000000007</v>
      </c>
      <c r="AG385" s="121">
        <f>AF385-AD385</f>
        <v>0.44000000134110451</v>
      </c>
      <c r="AH385" s="113">
        <v>1100117</v>
      </c>
      <c r="AI385" s="114">
        <v>0</v>
      </c>
      <c r="AJ385" s="114">
        <v>294794439.13</v>
      </c>
      <c r="AK385" s="114"/>
    </row>
    <row r="386" spans="1:38" ht="14.25" thickTop="1" thickBot="1" x14ac:dyDescent="0.25">
      <c r="A386" s="101"/>
      <c r="B386" s="102"/>
      <c r="C386" s="103"/>
      <c r="D386" s="103"/>
      <c r="E386" s="104"/>
      <c r="F386" s="105" t="s">
        <v>788</v>
      </c>
      <c r="G386" s="304">
        <v>46800221</v>
      </c>
      <c r="H386" s="304">
        <v>317707.53999999998</v>
      </c>
      <c r="I386" s="304">
        <v>62963181.399999999</v>
      </c>
      <c r="J386" s="246">
        <v>62963181.399999999</v>
      </c>
      <c r="K386" s="303"/>
      <c r="L386" s="303"/>
      <c r="M386" s="303"/>
      <c r="N386" s="303"/>
      <c r="O386" s="303"/>
      <c r="P386" s="303"/>
      <c r="Q386" s="305"/>
      <c r="R386" s="305"/>
      <c r="S386" s="305"/>
      <c r="T386" s="305"/>
      <c r="U386" s="305"/>
      <c r="V386" s="305"/>
      <c r="W386" s="246">
        <v>62963181.399999999</v>
      </c>
      <c r="X386" s="246">
        <f>W386</f>
        <v>62963181.399999999</v>
      </c>
      <c r="Y386" s="246">
        <v>45395857.859999999</v>
      </c>
      <c r="Z386" s="108"/>
      <c r="AA386" s="108"/>
      <c r="AB386" s="108"/>
      <c r="AC386" s="88">
        <f t="shared" si="132"/>
        <v>0</v>
      </c>
      <c r="AD386" s="108">
        <v>17567322.59</v>
      </c>
      <c r="AE386" s="108"/>
      <c r="AF386" s="108">
        <v>17567322.59</v>
      </c>
      <c r="AG386" s="108">
        <f>AF386-AD386</f>
        <v>0</v>
      </c>
      <c r="AH386" s="113">
        <v>1100118</v>
      </c>
      <c r="AI386" s="114">
        <v>0</v>
      </c>
      <c r="AJ386" s="114">
        <v>0</v>
      </c>
      <c r="AK386" s="114">
        <v>0</v>
      </c>
    </row>
    <row r="387" spans="1:38" ht="14.25" thickTop="1" thickBot="1" x14ac:dyDescent="0.25">
      <c r="A387" s="101"/>
      <c r="B387" s="102"/>
      <c r="C387" s="103"/>
      <c r="D387" s="103"/>
      <c r="E387" s="104"/>
      <c r="F387" s="105" t="s">
        <v>788</v>
      </c>
      <c r="G387" s="304">
        <v>18535177</v>
      </c>
      <c r="H387" s="304"/>
      <c r="I387" s="304">
        <v>9031075.2699999996</v>
      </c>
      <c r="J387" s="246">
        <v>9031075.2699999996</v>
      </c>
      <c r="K387" s="303"/>
      <c r="L387" s="303"/>
      <c r="M387" s="303"/>
      <c r="N387" s="303"/>
      <c r="O387" s="303"/>
      <c r="P387" s="303"/>
      <c r="Q387" s="305"/>
      <c r="R387" s="305"/>
      <c r="S387" s="305"/>
      <c r="T387" s="305"/>
      <c r="U387" s="305"/>
      <c r="V387" s="305"/>
      <c r="W387" s="246">
        <v>9031075.2699999996</v>
      </c>
      <c r="X387" s="246">
        <f>W387</f>
        <v>9031075.2699999996</v>
      </c>
      <c r="Y387" s="246">
        <v>3937604.88</v>
      </c>
      <c r="Z387" s="108"/>
      <c r="AA387" s="108"/>
      <c r="AB387" s="108"/>
      <c r="AC387" s="88">
        <f t="shared" si="132"/>
        <v>0</v>
      </c>
      <c r="AD387" s="108">
        <v>5093469.83</v>
      </c>
      <c r="AE387" s="108"/>
      <c r="AF387" s="108">
        <v>5093469.83</v>
      </c>
      <c r="AG387" s="108">
        <f>AF387-AD387</f>
        <v>0</v>
      </c>
      <c r="AH387" s="113">
        <v>1100116</v>
      </c>
      <c r="AI387" s="114">
        <v>0</v>
      </c>
      <c r="AJ387" s="114">
        <v>0</v>
      </c>
      <c r="AK387" s="114">
        <v>0</v>
      </c>
    </row>
    <row r="388" spans="1:38" ht="14.25" thickTop="1" thickBot="1" x14ac:dyDescent="0.25">
      <c r="A388" s="101"/>
      <c r="B388" s="102"/>
      <c r="C388" s="103"/>
      <c r="D388" s="103"/>
      <c r="E388" s="103"/>
      <c r="F388" s="105" t="s">
        <v>790</v>
      </c>
      <c r="G388" s="246">
        <v>10543022.76</v>
      </c>
      <c r="H388" s="304"/>
      <c r="I388" s="304"/>
      <c r="J388" s="246"/>
      <c r="K388" s="303"/>
      <c r="L388" s="303"/>
      <c r="M388" s="303"/>
      <c r="N388" s="303"/>
      <c r="O388" s="303"/>
      <c r="P388" s="303"/>
      <c r="Q388" s="305"/>
      <c r="R388" s="305"/>
      <c r="S388" s="305"/>
      <c r="T388" s="305"/>
      <c r="U388" s="305"/>
      <c r="V388" s="305"/>
      <c r="W388" s="246"/>
      <c r="X388" s="246"/>
      <c r="Y388" s="246"/>
      <c r="Z388" s="108"/>
      <c r="AA388" s="108"/>
      <c r="AB388" s="108"/>
      <c r="AC388" s="88">
        <f t="shared" si="132"/>
        <v>0</v>
      </c>
      <c r="AD388" s="108"/>
      <c r="AE388" s="108"/>
      <c r="AF388" s="108"/>
      <c r="AG388" s="108"/>
      <c r="AH388" s="113"/>
      <c r="AI388" s="110"/>
      <c r="AJ388" s="110"/>
      <c r="AK388" s="110"/>
    </row>
    <row r="389" spans="1:38" ht="14.25" thickTop="1" thickBot="1" x14ac:dyDescent="0.25">
      <c r="A389" s="101"/>
      <c r="B389" s="102"/>
      <c r="C389" s="103"/>
      <c r="D389" s="103"/>
      <c r="E389" s="313" t="s">
        <v>791</v>
      </c>
      <c r="F389" s="105" t="s">
        <v>784</v>
      </c>
      <c r="G389" s="246"/>
      <c r="H389" s="304"/>
      <c r="I389" s="304">
        <v>194696.35</v>
      </c>
      <c r="J389" s="246">
        <v>194696.35</v>
      </c>
      <c r="K389" s="303"/>
      <c r="L389" s="303"/>
      <c r="M389" s="303"/>
      <c r="N389" s="303"/>
      <c r="O389" s="303"/>
      <c r="P389" s="303"/>
      <c r="Q389" s="305"/>
      <c r="R389" s="305"/>
      <c r="S389" s="305"/>
      <c r="T389" s="305"/>
      <c r="U389" s="305"/>
      <c r="V389" s="305"/>
      <c r="W389" s="246">
        <v>194696.35</v>
      </c>
      <c r="X389" s="246">
        <f>W389</f>
        <v>194696.35</v>
      </c>
      <c r="Y389" s="246"/>
      <c r="Z389" s="108"/>
      <c r="AA389" s="108"/>
      <c r="AB389" s="108"/>
      <c r="AC389" s="88">
        <f t="shared" si="132"/>
        <v>0</v>
      </c>
      <c r="AD389" s="108"/>
      <c r="AE389" s="108"/>
      <c r="AF389" s="108"/>
      <c r="AG389" s="108"/>
      <c r="AH389" s="113">
        <v>2510119</v>
      </c>
      <c r="AI389" s="110"/>
      <c r="AJ389" s="110"/>
      <c r="AK389" s="110"/>
    </row>
    <row r="390" spans="1:38" x14ac:dyDescent="0.2">
      <c r="A390" s="101"/>
      <c r="B390" s="102"/>
      <c r="C390" s="103"/>
      <c r="D390" s="103"/>
      <c r="E390" s="104"/>
      <c r="F390" s="105" t="s">
        <v>788</v>
      </c>
      <c r="G390" s="303"/>
      <c r="H390" s="304"/>
      <c r="I390" s="304"/>
      <c r="J390" s="246"/>
      <c r="K390" s="303"/>
      <c r="L390" s="303"/>
      <c r="M390" s="303"/>
      <c r="N390" s="303"/>
      <c r="O390" s="303"/>
      <c r="P390" s="303"/>
      <c r="Q390" s="305"/>
      <c r="R390" s="305"/>
      <c r="S390" s="305"/>
      <c r="T390" s="305"/>
      <c r="U390" s="305"/>
      <c r="V390" s="305"/>
      <c r="W390" s="246"/>
      <c r="X390" s="246"/>
      <c r="Y390" s="246"/>
      <c r="Z390" s="108"/>
      <c r="AA390" s="108"/>
      <c r="AB390" s="108"/>
      <c r="AC390" s="88"/>
      <c r="AD390" s="108">
        <v>192526282.6800001</v>
      </c>
      <c r="AE390" s="108"/>
      <c r="AF390" s="108">
        <v>192526282.6800001</v>
      </c>
      <c r="AG390" s="108">
        <f>AF390-AD390</f>
        <v>0</v>
      </c>
      <c r="AH390" s="323">
        <v>1100121</v>
      </c>
      <c r="AI390" s="114">
        <v>0</v>
      </c>
      <c r="AJ390" s="114">
        <v>0</v>
      </c>
      <c r="AK390" s="320">
        <v>50000000</v>
      </c>
      <c r="AL390" s="56" t="s">
        <v>792</v>
      </c>
    </row>
    <row r="391" spans="1:38" x14ac:dyDescent="0.2">
      <c r="A391" s="101"/>
      <c r="B391" s="102"/>
      <c r="C391" s="103"/>
      <c r="D391" s="103"/>
      <c r="E391" s="104"/>
      <c r="F391" s="105" t="s">
        <v>788</v>
      </c>
      <c r="G391" s="303"/>
      <c r="H391" s="304"/>
      <c r="I391" s="304"/>
      <c r="J391" s="246"/>
      <c r="K391" s="303"/>
      <c r="L391" s="303"/>
      <c r="M391" s="303"/>
      <c r="N391" s="303"/>
      <c r="O391" s="303"/>
      <c r="P391" s="303"/>
      <c r="Q391" s="305"/>
      <c r="R391" s="305"/>
      <c r="S391" s="305"/>
      <c r="T391" s="305"/>
      <c r="U391" s="305"/>
      <c r="V391" s="305"/>
      <c r="W391" s="246"/>
      <c r="X391" s="246"/>
      <c r="Y391" s="246"/>
      <c r="Z391" s="108"/>
      <c r="AA391" s="108"/>
      <c r="AB391" s="108"/>
      <c r="AC391" s="88"/>
      <c r="AD391" s="108">
        <v>192526282.6800001</v>
      </c>
      <c r="AE391" s="108"/>
      <c r="AF391" s="108">
        <v>192526282.6800001</v>
      </c>
      <c r="AG391" s="108">
        <f>AF391-AD391</f>
        <v>0</v>
      </c>
      <c r="AH391" s="323">
        <v>1100121</v>
      </c>
      <c r="AI391" s="114">
        <v>0</v>
      </c>
      <c r="AJ391" s="114">
        <v>0</v>
      </c>
      <c r="AK391" s="320">
        <v>1500000</v>
      </c>
      <c r="AL391" s="56" t="s">
        <v>793</v>
      </c>
    </row>
    <row r="392" spans="1:38" x14ac:dyDescent="0.2">
      <c r="A392" s="101"/>
      <c r="B392" s="102"/>
      <c r="C392" s="103"/>
      <c r="D392" s="103"/>
      <c r="E392" s="104"/>
      <c r="F392" s="105" t="s">
        <v>788</v>
      </c>
      <c r="G392" s="303"/>
      <c r="H392" s="304"/>
      <c r="I392" s="304"/>
      <c r="J392" s="246"/>
      <c r="K392" s="303"/>
      <c r="L392" s="303"/>
      <c r="M392" s="303"/>
      <c r="N392" s="303"/>
      <c r="O392" s="303"/>
      <c r="P392" s="303"/>
      <c r="Q392" s="305"/>
      <c r="R392" s="305"/>
      <c r="S392" s="305"/>
      <c r="T392" s="305"/>
      <c r="U392" s="305"/>
      <c r="V392" s="305"/>
      <c r="W392" s="246"/>
      <c r="X392" s="246"/>
      <c r="Y392" s="246"/>
      <c r="Z392" s="108"/>
      <c r="AA392" s="108"/>
      <c r="AB392" s="108"/>
      <c r="AC392" s="88"/>
      <c r="AD392" s="108">
        <v>192526282.6800001</v>
      </c>
      <c r="AE392" s="108"/>
      <c r="AF392" s="108">
        <v>192526282.6800001</v>
      </c>
      <c r="AG392" s="108">
        <f>AF392-AD392</f>
        <v>0</v>
      </c>
      <c r="AH392" s="323">
        <v>1100121</v>
      </c>
      <c r="AI392" s="114"/>
      <c r="AJ392" s="114"/>
      <c r="AK392" s="320">
        <v>510000</v>
      </c>
      <c r="AL392" s="56" t="s">
        <v>794</v>
      </c>
    </row>
    <row r="393" spans="1:38" x14ac:dyDescent="0.2">
      <c r="A393" s="101"/>
      <c r="B393" s="102"/>
      <c r="C393" s="103"/>
      <c r="D393" s="103"/>
      <c r="E393" s="104"/>
      <c r="F393" s="105"/>
      <c r="G393" s="303"/>
      <c r="H393" s="304"/>
      <c r="I393" s="304"/>
      <c r="J393" s="246"/>
      <c r="K393" s="303"/>
      <c r="L393" s="303"/>
      <c r="M393" s="303"/>
      <c r="N393" s="303"/>
      <c r="O393" s="303"/>
      <c r="P393" s="303"/>
      <c r="Q393" s="305"/>
      <c r="R393" s="305"/>
      <c r="S393" s="305"/>
      <c r="T393" s="305"/>
      <c r="U393" s="305"/>
      <c r="V393" s="305"/>
      <c r="W393" s="246"/>
      <c r="X393" s="246"/>
      <c r="Y393" s="246"/>
      <c r="Z393" s="108"/>
      <c r="AA393" s="108"/>
      <c r="AB393" s="108"/>
      <c r="AC393" s="88"/>
      <c r="AD393" s="108"/>
      <c r="AE393" s="108"/>
      <c r="AF393" s="108"/>
      <c r="AG393" s="108"/>
      <c r="AH393" s="323">
        <v>1100121</v>
      </c>
      <c r="AI393" s="114" t="s">
        <v>695</v>
      </c>
      <c r="AJ393" s="114"/>
      <c r="AK393" s="320">
        <v>115000</v>
      </c>
      <c r="AL393" s="56" t="s">
        <v>795</v>
      </c>
    </row>
    <row r="394" spans="1:38" x14ac:dyDescent="0.2">
      <c r="A394" s="101"/>
      <c r="B394" s="102"/>
      <c r="C394" s="103"/>
      <c r="D394" s="103"/>
      <c r="E394" s="104"/>
      <c r="F394" s="105"/>
      <c r="G394" s="303"/>
      <c r="H394" s="304"/>
      <c r="I394" s="304"/>
      <c r="J394" s="246"/>
      <c r="K394" s="303"/>
      <c r="L394" s="303"/>
      <c r="M394" s="303"/>
      <c r="N394" s="303"/>
      <c r="O394" s="303"/>
      <c r="P394" s="303"/>
      <c r="Q394" s="305"/>
      <c r="R394" s="305"/>
      <c r="S394" s="305"/>
      <c r="T394" s="305"/>
      <c r="U394" s="305"/>
      <c r="V394" s="305"/>
      <c r="W394" s="246"/>
      <c r="X394" s="246"/>
      <c r="Y394" s="246"/>
      <c r="Z394" s="108"/>
      <c r="AA394" s="108"/>
      <c r="AB394" s="108"/>
      <c r="AC394" s="88"/>
      <c r="AD394" s="108"/>
      <c r="AE394" s="108"/>
      <c r="AF394" s="108"/>
      <c r="AG394" s="108"/>
      <c r="AH394" s="323">
        <v>1100121</v>
      </c>
      <c r="AI394" s="114"/>
      <c r="AJ394" s="114"/>
      <c r="AK394" s="320">
        <v>280000</v>
      </c>
      <c r="AL394" s="56" t="s">
        <v>796</v>
      </c>
    </row>
    <row r="395" spans="1:38" x14ac:dyDescent="0.2">
      <c r="A395" s="101"/>
      <c r="B395" s="102"/>
      <c r="C395" s="103"/>
      <c r="D395" s="103"/>
      <c r="E395" s="104"/>
      <c r="F395" s="105"/>
      <c r="G395" s="303"/>
      <c r="H395" s="304"/>
      <c r="I395" s="304"/>
      <c r="J395" s="246"/>
      <c r="K395" s="303"/>
      <c r="L395" s="303"/>
      <c r="M395" s="303"/>
      <c r="N395" s="303"/>
      <c r="O395" s="303"/>
      <c r="P395" s="303"/>
      <c r="Q395" s="305"/>
      <c r="R395" s="305"/>
      <c r="S395" s="305"/>
      <c r="T395" s="305"/>
      <c r="U395" s="305"/>
      <c r="V395" s="305"/>
      <c r="W395" s="246"/>
      <c r="X395" s="246"/>
      <c r="Y395" s="246"/>
      <c r="Z395" s="108"/>
      <c r="AA395" s="108"/>
      <c r="AB395" s="108"/>
      <c r="AC395" s="88"/>
      <c r="AD395" s="108"/>
      <c r="AE395" s="108"/>
      <c r="AF395" s="108"/>
      <c r="AG395" s="108"/>
      <c r="AH395" s="323">
        <v>1100121</v>
      </c>
      <c r="AI395" s="114" t="s">
        <v>695</v>
      </c>
      <c r="AJ395" s="114"/>
      <c r="AK395" s="320">
        <f>112070.8+276000</f>
        <v>388070.8</v>
      </c>
      <c r="AL395" s="56" t="s">
        <v>797</v>
      </c>
    </row>
    <row r="396" spans="1:38" x14ac:dyDescent="0.2">
      <c r="A396" s="101"/>
      <c r="B396" s="102"/>
      <c r="C396" s="103"/>
      <c r="D396" s="103"/>
      <c r="E396" s="104"/>
      <c r="F396" s="105"/>
      <c r="G396" s="303"/>
      <c r="H396" s="304"/>
      <c r="I396" s="304"/>
      <c r="J396" s="246"/>
      <c r="K396" s="303"/>
      <c r="L396" s="303"/>
      <c r="M396" s="303"/>
      <c r="N396" s="303"/>
      <c r="O396" s="303"/>
      <c r="P396" s="303"/>
      <c r="Q396" s="305"/>
      <c r="R396" s="305"/>
      <c r="S396" s="305"/>
      <c r="T396" s="305"/>
      <c r="U396" s="305"/>
      <c r="V396" s="305"/>
      <c r="W396" s="246"/>
      <c r="X396" s="246"/>
      <c r="Y396" s="246"/>
      <c r="Z396" s="108"/>
      <c r="AA396" s="108"/>
      <c r="AB396" s="108"/>
      <c r="AC396" s="88"/>
      <c r="AD396" s="108"/>
      <c r="AE396" s="108"/>
      <c r="AF396" s="108"/>
      <c r="AG396" s="108"/>
      <c r="AH396" s="323">
        <v>1100121</v>
      </c>
      <c r="AI396" s="114"/>
      <c r="AJ396" s="114"/>
      <c r="AK396" s="320">
        <v>4500000</v>
      </c>
      <c r="AL396" s="56" t="s">
        <v>798</v>
      </c>
    </row>
    <row r="397" spans="1:38" x14ac:dyDescent="0.2">
      <c r="A397" s="101"/>
      <c r="B397" s="102"/>
      <c r="C397" s="103"/>
      <c r="D397" s="103"/>
      <c r="E397" s="104"/>
      <c r="F397" s="105"/>
      <c r="G397" s="303"/>
      <c r="H397" s="304"/>
      <c r="I397" s="304"/>
      <c r="J397" s="246"/>
      <c r="K397" s="303"/>
      <c r="L397" s="303"/>
      <c r="M397" s="303"/>
      <c r="N397" s="303"/>
      <c r="O397" s="303"/>
      <c r="P397" s="303"/>
      <c r="Q397" s="305"/>
      <c r="R397" s="305"/>
      <c r="S397" s="305"/>
      <c r="T397" s="305"/>
      <c r="U397" s="305"/>
      <c r="V397" s="305"/>
      <c r="W397" s="246"/>
      <c r="X397" s="246"/>
      <c r="Y397" s="246"/>
      <c r="Z397" s="108"/>
      <c r="AA397" s="108"/>
      <c r="AB397" s="108"/>
      <c r="AC397" s="88"/>
      <c r="AD397" s="108"/>
      <c r="AE397" s="108"/>
      <c r="AF397" s="108"/>
      <c r="AG397" s="108"/>
      <c r="AH397" s="326">
        <v>1100120</v>
      </c>
      <c r="AI397" s="114" t="s">
        <v>695</v>
      </c>
      <c r="AJ397" s="114"/>
      <c r="AK397" s="320">
        <f>241650+2084000</f>
        <v>2325650</v>
      </c>
      <c r="AL397" s="56" t="s">
        <v>799</v>
      </c>
    </row>
    <row r="398" spans="1:38" x14ac:dyDescent="0.2">
      <c r="A398" s="101"/>
      <c r="B398" s="102"/>
      <c r="C398" s="103"/>
      <c r="D398" s="103"/>
      <c r="E398" s="104"/>
      <c r="F398" s="105" t="s">
        <v>788</v>
      </c>
      <c r="G398" s="303"/>
      <c r="H398" s="304"/>
      <c r="I398" s="304"/>
      <c r="J398" s="246"/>
      <c r="K398" s="303"/>
      <c r="L398" s="303"/>
      <c r="M398" s="303"/>
      <c r="N398" s="303"/>
      <c r="O398" s="303"/>
      <c r="P398" s="303"/>
      <c r="Q398" s="305"/>
      <c r="R398" s="305"/>
      <c r="S398" s="305"/>
      <c r="T398" s="305"/>
      <c r="U398" s="305"/>
      <c r="V398" s="305"/>
      <c r="W398" s="246"/>
      <c r="X398" s="246"/>
      <c r="Y398" s="246"/>
      <c r="Z398" s="108"/>
      <c r="AA398" s="108"/>
      <c r="AB398" s="108"/>
      <c r="AC398" s="88"/>
      <c r="AD398" s="108"/>
      <c r="AE398" s="108"/>
      <c r="AF398" s="108"/>
      <c r="AG398" s="108"/>
      <c r="AH398" s="323">
        <v>1100121</v>
      </c>
      <c r="AI398" s="114"/>
      <c r="AJ398" s="114"/>
      <c r="AK398" s="320">
        <v>2000000</v>
      </c>
      <c r="AL398" s="56" t="s">
        <v>800</v>
      </c>
    </row>
    <row r="399" spans="1:38" x14ac:dyDescent="0.2">
      <c r="A399" s="101"/>
      <c r="B399" s="102"/>
      <c r="C399" s="103"/>
      <c r="D399" s="103"/>
      <c r="E399" s="104"/>
      <c r="F399" s="105" t="s">
        <v>788</v>
      </c>
      <c r="G399" s="303"/>
      <c r="H399" s="304">
        <f>121220+233160</f>
        <v>354380</v>
      </c>
      <c r="I399" s="304">
        <v>182778728.71000001</v>
      </c>
      <c r="J399" s="246">
        <v>182778728.71000001</v>
      </c>
      <c r="K399" s="303"/>
      <c r="L399" s="303"/>
      <c r="M399" s="303"/>
      <c r="N399" s="303"/>
      <c r="O399" s="303"/>
      <c r="P399" s="303"/>
      <c r="Q399" s="305"/>
      <c r="R399" s="305"/>
      <c r="S399" s="305"/>
      <c r="T399" s="305"/>
      <c r="U399" s="305"/>
      <c r="V399" s="305"/>
      <c r="W399" s="246">
        <v>182778728.71000001</v>
      </c>
      <c r="X399" s="246">
        <f>W399</f>
        <v>182778728.71000001</v>
      </c>
      <c r="Y399" s="246">
        <v>111270975.70999999</v>
      </c>
      <c r="Z399" s="108"/>
      <c r="AA399" s="108"/>
      <c r="AB399" s="108"/>
      <c r="AC399" s="88">
        <f t="shared" ref="AC399:AC419" si="133">W399-X399</f>
        <v>0</v>
      </c>
      <c r="AD399" s="108">
        <v>71507753.920000002</v>
      </c>
      <c r="AE399" s="108"/>
      <c r="AF399" s="108">
        <f>71507753.92-0.19</f>
        <v>71507753.730000004</v>
      </c>
      <c r="AG399" s="108">
        <f>AF399-AD399</f>
        <v>-0.18999999761581421</v>
      </c>
      <c r="AH399" s="323">
        <v>1100120</v>
      </c>
      <c r="AI399" s="114">
        <v>0</v>
      </c>
      <c r="AJ399" s="114">
        <v>0</v>
      </c>
      <c r="AK399" s="320">
        <v>2016397.94</v>
      </c>
      <c r="AL399" s="56" t="s">
        <v>801</v>
      </c>
    </row>
    <row r="400" spans="1:38" x14ac:dyDescent="0.2">
      <c r="A400" s="101"/>
      <c r="B400" s="102"/>
      <c r="C400" s="103"/>
      <c r="D400" s="103"/>
      <c r="E400" s="189"/>
      <c r="F400" s="105" t="s">
        <v>788</v>
      </c>
      <c r="G400" s="303"/>
      <c r="H400" s="304"/>
      <c r="I400" s="304"/>
      <c r="J400" s="246"/>
      <c r="K400" s="303"/>
      <c r="L400" s="303"/>
      <c r="M400" s="321"/>
      <c r="N400" s="303"/>
      <c r="O400" s="303"/>
      <c r="P400" s="303"/>
      <c r="Q400" s="305"/>
      <c r="R400" s="305"/>
      <c r="S400" s="305"/>
      <c r="T400" s="305"/>
      <c r="U400" s="305"/>
      <c r="V400" s="305"/>
      <c r="W400" s="246"/>
      <c r="X400" s="246"/>
      <c r="Y400" s="246"/>
      <c r="Z400" s="108"/>
      <c r="AA400" s="108"/>
      <c r="AB400" s="108"/>
      <c r="AC400" s="88"/>
      <c r="AD400" s="108"/>
      <c r="AE400" s="108"/>
      <c r="AF400" s="108"/>
      <c r="AG400" s="108"/>
      <c r="AH400" s="323">
        <v>1100120</v>
      </c>
      <c r="AI400" s="114"/>
      <c r="AJ400" s="114"/>
      <c r="AK400" s="320">
        <v>19443256.690000001</v>
      </c>
      <c r="AL400" s="56" t="s">
        <v>802</v>
      </c>
    </row>
    <row r="401" spans="1:38" x14ac:dyDescent="0.2">
      <c r="A401" s="101"/>
      <c r="B401" s="102"/>
      <c r="C401" s="103"/>
      <c r="D401" s="103"/>
      <c r="E401" s="189"/>
      <c r="F401" s="105" t="s">
        <v>788</v>
      </c>
      <c r="G401" s="303"/>
      <c r="H401" s="304"/>
      <c r="I401" s="304"/>
      <c r="J401" s="246"/>
      <c r="K401" s="303"/>
      <c r="L401" s="303"/>
      <c r="M401" s="321"/>
      <c r="N401" s="303"/>
      <c r="O401" s="303"/>
      <c r="P401" s="303"/>
      <c r="Q401" s="305"/>
      <c r="R401" s="305"/>
      <c r="S401" s="305"/>
      <c r="T401" s="305"/>
      <c r="U401" s="305"/>
      <c r="V401" s="305"/>
      <c r="W401" s="246"/>
      <c r="X401" s="246"/>
      <c r="Y401" s="246"/>
      <c r="Z401" s="108"/>
      <c r="AA401" s="108"/>
      <c r="AB401" s="108"/>
      <c r="AC401" s="88"/>
      <c r="AD401" s="108"/>
      <c r="AE401" s="108"/>
      <c r="AF401" s="108"/>
      <c r="AG401" s="108"/>
      <c r="AH401" s="323">
        <v>1100120</v>
      </c>
      <c r="AI401" s="114"/>
      <c r="AJ401" s="114"/>
      <c r="AK401" s="320">
        <v>9788555.9800000004</v>
      </c>
      <c r="AL401" s="56" t="s">
        <v>803</v>
      </c>
    </row>
    <row r="402" spans="1:38" x14ac:dyDescent="0.2">
      <c r="A402" s="101"/>
      <c r="B402" s="102"/>
      <c r="C402" s="103"/>
      <c r="D402" s="103"/>
      <c r="E402" s="189"/>
      <c r="F402" s="105" t="s">
        <v>788</v>
      </c>
      <c r="G402" s="303"/>
      <c r="H402" s="304"/>
      <c r="I402" s="304"/>
      <c r="J402" s="246"/>
      <c r="K402" s="303"/>
      <c r="L402" s="303"/>
      <c r="M402" s="321"/>
      <c r="N402" s="303"/>
      <c r="O402" s="303"/>
      <c r="P402" s="303"/>
      <c r="Q402" s="305"/>
      <c r="R402" s="305"/>
      <c r="S402" s="305"/>
      <c r="T402" s="305"/>
      <c r="U402" s="305"/>
      <c r="V402" s="305"/>
      <c r="W402" s="246"/>
      <c r="X402" s="246"/>
      <c r="Y402" s="246"/>
      <c r="Z402" s="108"/>
      <c r="AA402" s="108"/>
      <c r="AB402" s="108"/>
      <c r="AC402" s="88"/>
      <c r="AD402" s="108"/>
      <c r="AE402" s="108"/>
      <c r="AF402" s="108"/>
      <c r="AG402" s="108"/>
      <c r="AH402" s="323">
        <v>1100119</v>
      </c>
      <c r="AI402" s="114"/>
      <c r="AJ402" s="114" t="s">
        <v>695</v>
      </c>
      <c r="AK402" s="320">
        <v>11329468.07</v>
      </c>
      <c r="AL402" s="56" t="s">
        <v>804</v>
      </c>
    </row>
    <row r="403" spans="1:38" x14ac:dyDescent="0.2">
      <c r="A403" s="101"/>
      <c r="B403" s="102"/>
      <c r="C403" s="103"/>
      <c r="D403" s="103"/>
      <c r="E403" s="189"/>
      <c r="F403" s="105" t="s">
        <v>788</v>
      </c>
      <c r="G403" s="303"/>
      <c r="H403" s="304"/>
      <c r="I403" s="304"/>
      <c r="J403" s="246"/>
      <c r="K403" s="303"/>
      <c r="L403" s="303"/>
      <c r="M403" s="321"/>
      <c r="N403" s="303"/>
      <c r="O403" s="303"/>
      <c r="P403" s="303"/>
      <c r="Q403" s="305"/>
      <c r="R403" s="305"/>
      <c r="S403" s="305"/>
      <c r="T403" s="305"/>
      <c r="U403" s="305"/>
      <c r="V403" s="305"/>
      <c r="W403" s="246"/>
      <c r="X403" s="246"/>
      <c r="Y403" s="246"/>
      <c r="Z403" s="108"/>
      <c r="AA403" s="108"/>
      <c r="AB403" s="108"/>
      <c r="AC403" s="88"/>
      <c r="AD403" s="108"/>
      <c r="AE403" s="108"/>
      <c r="AF403" s="108"/>
      <c r="AG403" s="108"/>
      <c r="AH403" s="323">
        <v>1100118</v>
      </c>
      <c r="AI403" s="114"/>
      <c r="AJ403" s="114" t="s">
        <v>695</v>
      </c>
      <c r="AK403" s="320">
        <v>6332813.2699999996</v>
      </c>
      <c r="AL403" s="56" t="s">
        <v>805</v>
      </c>
    </row>
    <row r="404" spans="1:38" x14ac:dyDescent="0.2">
      <c r="A404" s="101"/>
      <c r="B404" s="102"/>
      <c r="C404" s="103"/>
      <c r="D404" s="103"/>
      <c r="E404" s="189"/>
      <c r="F404" s="105" t="s">
        <v>788</v>
      </c>
      <c r="G404" s="303"/>
      <c r="H404" s="304"/>
      <c r="I404" s="304"/>
      <c r="J404" s="246"/>
      <c r="K404" s="303"/>
      <c r="L404" s="303"/>
      <c r="M404" s="321"/>
      <c r="N404" s="303"/>
      <c r="O404" s="303"/>
      <c r="P404" s="303"/>
      <c r="Q404" s="305"/>
      <c r="R404" s="305"/>
      <c r="S404" s="305"/>
      <c r="T404" s="305"/>
      <c r="U404" s="305"/>
      <c r="V404" s="305"/>
      <c r="W404" s="246"/>
      <c r="X404" s="246"/>
      <c r="Y404" s="246"/>
      <c r="Z404" s="108"/>
      <c r="AA404" s="108"/>
      <c r="AB404" s="108"/>
      <c r="AC404" s="88"/>
      <c r="AD404" s="108"/>
      <c r="AE404" s="108"/>
      <c r="AF404" s="108"/>
      <c r="AG404" s="108"/>
      <c r="AH404" s="323">
        <v>1100117</v>
      </c>
      <c r="AI404" s="114"/>
      <c r="AJ404" s="114"/>
      <c r="AK404" s="320">
        <v>3736710.85</v>
      </c>
      <c r="AL404" s="56" t="s">
        <v>806</v>
      </c>
    </row>
    <row r="405" spans="1:38" x14ac:dyDescent="0.2">
      <c r="A405" s="101"/>
      <c r="B405" s="102"/>
      <c r="C405" s="103"/>
      <c r="D405" s="103"/>
      <c r="E405" s="189"/>
      <c r="F405" s="105" t="s">
        <v>788</v>
      </c>
      <c r="G405" s="303"/>
      <c r="H405" s="304"/>
      <c r="I405" s="304"/>
      <c r="J405" s="246"/>
      <c r="K405" s="303"/>
      <c r="L405" s="303"/>
      <c r="M405" s="321"/>
      <c r="N405" s="303"/>
      <c r="O405" s="303"/>
      <c r="P405" s="303"/>
      <c r="Q405" s="305"/>
      <c r="R405" s="305"/>
      <c r="S405" s="305"/>
      <c r="T405" s="305"/>
      <c r="U405" s="305"/>
      <c r="V405" s="305"/>
      <c r="W405" s="246"/>
      <c r="X405" s="246"/>
      <c r="Y405" s="246"/>
      <c r="Z405" s="108"/>
      <c r="AA405" s="108"/>
      <c r="AB405" s="108"/>
      <c r="AC405" s="88"/>
      <c r="AD405" s="108"/>
      <c r="AE405" s="108"/>
      <c r="AF405" s="108"/>
      <c r="AG405" s="108"/>
      <c r="AH405" s="323">
        <v>1100116</v>
      </c>
      <c r="AI405" s="114"/>
      <c r="AJ405" s="114"/>
      <c r="AK405" s="320">
        <v>65686.86</v>
      </c>
      <c r="AL405" s="56" t="s">
        <v>801</v>
      </c>
    </row>
    <row r="406" spans="1:38" x14ac:dyDescent="0.2">
      <c r="A406" s="101"/>
      <c r="B406" s="102"/>
      <c r="C406" s="103"/>
      <c r="D406" s="103"/>
      <c r="E406" s="189"/>
      <c r="F406" s="105" t="s">
        <v>788</v>
      </c>
      <c r="G406" s="303"/>
      <c r="H406" s="304"/>
      <c r="I406" s="304"/>
      <c r="J406" s="246"/>
      <c r="K406" s="303"/>
      <c r="L406" s="303"/>
      <c r="M406" s="321"/>
      <c r="N406" s="303"/>
      <c r="O406" s="303"/>
      <c r="P406" s="303"/>
      <c r="Q406" s="305"/>
      <c r="R406" s="305"/>
      <c r="S406" s="305"/>
      <c r="T406" s="305"/>
      <c r="U406" s="305"/>
      <c r="V406" s="305"/>
      <c r="W406" s="246"/>
      <c r="X406" s="246"/>
      <c r="Y406" s="246"/>
      <c r="Z406" s="108"/>
      <c r="AA406" s="108"/>
      <c r="AB406" s="108"/>
      <c r="AC406" s="88"/>
      <c r="AD406" s="108"/>
      <c r="AE406" s="108"/>
      <c r="AF406" s="108"/>
      <c r="AG406" s="108"/>
      <c r="AH406" s="323">
        <v>1100116</v>
      </c>
      <c r="AI406" s="114"/>
      <c r="AJ406" s="114" t="s">
        <v>695</v>
      </c>
      <c r="AK406" s="325">
        <v>1795259.87</v>
      </c>
      <c r="AL406" s="56" t="s">
        <v>807</v>
      </c>
    </row>
    <row r="407" spans="1:38" ht="15" x14ac:dyDescent="0.2">
      <c r="A407" s="101"/>
      <c r="B407" s="102"/>
      <c r="C407" s="103"/>
      <c r="D407" s="103"/>
      <c r="E407" s="103"/>
      <c r="F407" s="105" t="s">
        <v>784</v>
      </c>
      <c r="G407" s="303"/>
      <c r="H407" s="304">
        <f>121220+174000</f>
        <v>295220</v>
      </c>
      <c r="I407" s="304"/>
      <c r="J407" s="246">
        <v>953140.47</v>
      </c>
      <c r="K407" s="303"/>
      <c r="L407" s="303"/>
      <c r="M407" s="314">
        <v>967747.92</v>
      </c>
      <c r="N407" s="307">
        <v>-14607.45</v>
      </c>
      <c r="O407" s="307"/>
      <c r="P407" s="310"/>
      <c r="Q407" s="311"/>
      <c r="R407" s="311"/>
      <c r="S407" s="311"/>
      <c r="T407" s="311"/>
      <c r="U407" s="311"/>
      <c r="V407" s="311"/>
      <c r="W407" s="312"/>
      <c r="X407" s="312"/>
      <c r="Y407" s="312">
        <v>1141747.92</v>
      </c>
      <c r="Z407" s="119"/>
      <c r="AA407" s="119"/>
      <c r="AB407" s="119"/>
      <c r="AC407" s="88">
        <f t="shared" si="133"/>
        <v>0</v>
      </c>
      <c r="AD407" s="119"/>
      <c r="AE407" s="119"/>
      <c r="AF407" s="119"/>
      <c r="AG407" s="119"/>
      <c r="AH407" s="113">
        <v>2520319</v>
      </c>
      <c r="AI407" s="113"/>
      <c r="AJ407" s="113"/>
      <c r="AK407" s="113" t="s">
        <v>695</v>
      </c>
      <c r="AL407" s="56" t="s">
        <v>695</v>
      </c>
    </row>
    <row r="408" spans="1:38" s="249" customFormat="1" x14ac:dyDescent="0.2">
      <c r="A408" s="101"/>
      <c r="B408" s="102"/>
      <c r="C408" s="103"/>
      <c r="D408" s="103"/>
      <c r="E408" s="103"/>
      <c r="F408" s="105" t="s">
        <v>788</v>
      </c>
      <c r="G408" s="303"/>
      <c r="H408" s="304">
        <v>63906426.490000002</v>
      </c>
      <c r="I408" s="304"/>
      <c r="J408" s="246"/>
      <c r="K408" s="303"/>
      <c r="L408" s="303"/>
      <c r="M408" s="303"/>
      <c r="N408" s="303"/>
      <c r="O408" s="303"/>
      <c r="P408" s="303"/>
      <c r="Q408" s="305"/>
      <c r="R408" s="305"/>
      <c r="S408" s="305"/>
      <c r="T408" s="305"/>
      <c r="U408" s="305"/>
      <c r="V408" s="305"/>
      <c r="W408" s="246"/>
      <c r="X408" s="246"/>
      <c r="Y408" s="246"/>
      <c r="Z408" s="108"/>
      <c r="AA408" s="108"/>
      <c r="AB408" s="108"/>
      <c r="AC408" s="88">
        <f t="shared" si="133"/>
        <v>0</v>
      </c>
      <c r="AD408" s="108"/>
      <c r="AE408" s="108"/>
      <c r="AF408" s="108"/>
      <c r="AG408" s="108"/>
      <c r="AH408" s="113">
        <v>1100118</v>
      </c>
      <c r="AI408" s="113"/>
      <c r="AJ408" s="113"/>
      <c r="AK408" s="113" t="s">
        <v>695</v>
      </c>
    </row>
    <row r="409" spans="1:38" x14ac:dyDescent="0.2">
      <c r="A409" s="101"/>
      <c r="B409" s="102"/>
      <c r="C409" s="103"/>
      <c r="D409" s="103"/>
      <c r="E409" s="103"/>
      <c r="F409" s="105" t="s">
        <v>788</v>
      </c>
      <c r="G409" s="303"/>
      <c r="H409" s="304">
        <v>11628321.01</v>
      </c>
      <c r="I409" s="304"/>
      <c r="J409" s="246"/>
      <c r="K409" s="303"/>
      <c r="L409" s="303"/>
      <c r="M409" s="303"/>
      <c r="N409" s="303"/>
      <c r="O409" s="303"/>
      <c r="P409" s="303"/>
      <c r="Q409" s="305"/>
      <c r="R409" s="305"/>
      <c r="S409" s="305"/>
      <c r="T409" s="305"/>
      <c r="U409" s="305"/>
      <c r="V409" s="305"/>
      <c r="W409" s="246"/>
      <c r="X409" s="246"/>
      <c r="Y409" s="246"/>
      <c r="Z409" s="108"/>
      <c r="AA409" s="108"/>
      <c r="AB409" s="108"/>
      <c r="AC409" s="88">
        <f t="shared" si="133"/>
        <v>0</v>
      </c>
      <c r="AD409" s="108"/>
      <c r="AE409" s="108"/>
      <c r="AF409" s="108"/>
      <c r="AG409" s="108"/>
      <c r="AH409" s="113">
        <v>1100119</v>
      </c>
      <c r="AI409" s="113"/>
      <c r="AJ409" s="113"/>
      <c r="AK409" s="113"/>
    </row>
    <row r="410" spans="1:38" x14ac:dyDescent="0.2">
      <c r="A410" s="101"/>
      <c r="B410" s="102"/>
      <c r="C410" s="103"/>
      <c r="D410" s="103"/>
      <c r="E410" s="103"/>
      <c r="F410" s="105" t="s">
        <v>808</v>
      </c>
      <c r="G410" s="303"/>
      <c r="H410" s="304">
        <v>18000000</v>
      </c>
      <c r="I410" s="304"/>
      <c r="J410" s="246"/>
      <c r="K410" s="303"/>
      <c r="L410" s="303"/>
      <c r="M410" s="303"/>
      <c r="N410" s="303"/>
      <c r="O410" s="303"/>
      <c r="P410" s="303"/>
      <c r="Q410" s="305"/>
      <c r="R410" s="305"/>
      <c r="S410" s="305"/>
      <c r="T410" s="305"/>
      <c r="U410" s="305"/>
      <c r="V410" s="305"/>
      <c r="W410" s="246"/>
      <c r="X410" s="246"/>
      <c r="Y410" s="246"/>
      <c r="Z410" s="108"/>
      <c r="AA410" s="108"/>
      <c r="AB410" s="108"/>
      <c r="AC410" s="88">
        <f t="shared" si="133"/>
        <v>0</v>
      </c>
      <c r="AD410" s="108"/>
      <c r="AE410" s="108"/>
      <c r="AF410" s="108"/>
      <c r="AG410" s="108"/>
      <c r="AH410" s="113">
        <v>1201019</v>
      </c>
      <c r="AI410" s="113"/>
      <c r="AJ410" s="113"/>
      <c r="AK410" s="113"/>
    </row>
    <row r="411" spans="1:38" x14ac:dyDescent="0.2">
      <c r="A411" s="101"/>
      <c r="B411" s="102"/>
      <c r="C411" s="103"/>
      <c r="D411" s="103"/>
      <c r="E411" s="103"/>
      <c r="F411" s="105" t="s">
        <v>809</v>
      </c>
      <c r="G411" s="303"/>
      <c r="H411" s="304">
        <v>25559557.07</v>
      </c>
      <c r="I411" s="304"/>
      <c r="J411" s="246"/>
      <c r="K411" s="303"/>
      <c r="L411" s="303"/>
      <c r="M411" s="303"/>
      <c r="N411" s="303"/>
      <c r="O411" s="303"/>
      <c r="P411" s="303"/>
      <c r="Q411" s="305"/>
      <c r="R411" s="305"/>
      <c r="S411" s="305"/>
      <c r="T411" s="305"/>
      <c r="U411" s="305"/>
      <c r="V411" s="305"/>
      <c r="W411" s="246"/>
      <c r="X411" s="246"/>
      <c r="Y411" s="246"/>
      <c r="Z411" s="108"/>
      <c r="AA411" s="108"/>
      <c r="AB411" s="108"/>
      <c r="AC411" s="88">
        <f t="shared" si="133"/>
        <v>0</v>
      </c>
      <c r="AD411" s="108"/>
      <c r="AE411" s="108"/>
      <c r="AF411" s="108"/>
      <c r="AG411" s="108"/>
      <c r="AH411" s="323">
        <v>2610121</v>
      </c>
      <c r="AI411" s="113"/>
      <c r="AJ411" s="113"/>
      <c r="AK411" s="320">
        <v>2320351</v>
      </c>
      <c r="AL411" s="56" t="s">
        <v>810</v>
      </c>
    </row>
    <row r="412" spans="1:38" x14ac:dyDescent="0.2">
      <c r="A412" s="101"/>
      <c r="B412" s="102"/>
      <c r="C412" s="103"/>
      <c r="D412" s="103"/>
      <c r="E412" s="324"/>
      <c r="F412" s="105" t="s">
        <v>809</v>
      </c>
      <c r="G412" s="303"/>
      <c r="H412" s="304"/>
      <c r="I412" s="304"/>
      <c r="J412" s="246"/>
      <c r="K412" s="303"/>
      <c r="L412" s="303"/>
      <c r="M412" s="303"/>
      <c r="N412" s="303"/>
      <c r="O412" s="303"/>
      <c r="P412" s="303"/>
      <c r="Q412" s="305"/>
      <c r="R412" s="305"/>
      <c r="S412" s="305"/>
      <c r="T412" s="305"/>
      <c r="U412" s="305"/>
      <c r="V412" s="305"/>
      <c r="W412" s="246"/>
      <c r="X412" s="246"/>
      <c r="Y412" s="246"/>
      <c r="Z412" s="108"/>
      <c r="AA412" s="108"/>
      <c r="AB412" s="108"/>
      <c r="AC412" s="88"/>
      <c r="AD412" s="108"/>
      <c r="AE412" s="108"/>
      <c r="AF412" s="108"/>
      <c r="AG412" s="108"/>
      <c r="AH412" s="323">
        <v>2610121</v>
      </c>
      <c r="AI412" s="113"/>
      <c r="AJ412" s="113"/>
      <c r="AK412" s="325">
        <v>1971380.78</v>
      </c>
      <c r="AL412" s="56" t="s">
        <v>800</v>
      </c>
    </row>
    <row r="413" spans="1:38" x14ac:dyDescent="0.2">
      <c r="A413" s="101"/>
      <c r="B413" s="102"/>
      <c r="C413" s="103"/>
      <c r="D413" s="103"/>
      <c r="E413" s="324"/>
      <c r="F413" s="105" t="s">
        <v>809</v>
      </c>
      <c r="G413" s="303"/>
      <c r="H413" s="304"/>
      <c r="I413" s="304"/>
      <c r="J413" s="246"/>
      <c r="K413" s="303"/>
      <c r="L413" s="303"/>
      <c r="M413" s="303"/>
      <c r="N413" s="303"/>
      <c r="O413" s="303"/>
      <c r="P413" s="303"/>
      <c r="Q413" s="305"/>
      <c r="R413" s="305"/>
      <c r="S413" s="305"/>
      <c r="T413" s="305"/>
      <c r="U413" s="305"/>
      <c r="V413" s="305"/>
      <c r="W413" s="246"/>
      <c r="X413" s="246"/>
      <c r="Y413" s="246"/>
      <c r="Z413" s="108"/>
      <c r="AA413" s="108"/>
      <c r="AB413" s="108"/>
      <c r="AC413" s="88"/>
      <c r="AD413" s="108"/>
      <c r="AE413" s="108"/>
      <c r="AF413" s="108"/>
      <c r="AG413" s="108"/>
      <c r="AH413" s="323">
        <v>2610221</v>
      </c>
      <c r="AI413" s="113"/>
      <c r="AJ413" s="113"/>
      <c r="AK413" s="325">
        <v>9713438.3800000008</v>
      </c>
      <c r="AL413" s="56" t="s">
        <v>811</v>
      </c>
    </row>
    <row r="414" spans="1:38" x14ac:dyDescent="0.2">
      <c r="A414" s="101"/>
      <c r="B414" s="102"/>
      <c r="C414" s="103"/>
      <c r="D414" s="103"/>
      <c r="E414" s="324"/>
      <c r="F414" s="105" t="s">
        <v>809</v>
      </c>
      <c r="G414" s="303"/>
      <c r="H414" s="304"/>
      <c r="I414" s="304"/>
      <c r="J414" s="246"/>
      <c r="K414" s="303"/>
      <c r="L414" s="303"/>
      <c r="M414" s="303"/>
      <c r="N414" s="303"/>
      <c r="O414" s="303"/>
      <c r="P414" s="303"/>
      <c r="Q414" s="305"/>
      <c r="R414" s="305"/>
      <c r="S414" s="305"/>
      <c r="T414" s="305"/>
      <c r="U414" s="305"/>
      <c r="V414" s="305"/>
      <c r="W414" s="246"/>
      <c r="X414" s="246"/>
      <c r="Y414" s="246"/>
      <c r="Z414" s="108"/>
      <c r="AA414" s="108"/>
      <c r="AB414" s="108"/>
      <c r="AC414" s="88"/>
      <c r="AD414" s="108"/>
      <c r="AE414" s="108"/>
      <c r="AF414" s="108"/>
      <c r="AG414" s="108"/>
      <c r="AH414" s="323">
        <v>2610221</v>
      </c>
      <c r="AI414" s="113"/>
      <c r="AJ414" s="113"/>
      <c r="AK414" s="325">
        <v>1031959.84</v>
      </c>
      <c r="AL414" s="56" t="s">
        <v>812</v>
      </c>
    </row>
    <row r="415" spans="1:38" s="249" customFormat="1" x14ac:dyDescent="0.2">
      <c r="A415" s="101"/>
      <c r="B415" s="102"/>
      <c r="C415" s="103"/>
      <c r="D415" s="103"/>
      <c r="E415" s="104" t="s">
        <v>813</v>
      </c>
      <c r="F415" s="105" t="s">
        <v>814</v>
      </c>
      <c r="G415" s="303"/>
      <c r="H415" s="304">
        <v>846622.92</v>
      </c>
      <c r="I415" s="304">
        <v>1141842.92</v>
      </c>
      <c r="J415" s="246">
        <v>1141842.92</v>
      </c>
      <c r="K415" s="303"/>
      <c r="L415" s="303"/>
      <c r="M415" s="303"/>
      <c r="N415" s="303"/>
      <c r="O415" s="303"/>
      <c r="P415" s="303"/>
      <c r="Q415" s="305"/>
      <c r="R415" s="305"/>
      <c r="S415" s="305"/>
      <c r="T415" s="305"/>
      <c r="U415" s="305"/>
      <c r="V415" s="305"/>
      <c r="W415" s="246">
        <v>1141842.92</v>
      </c>
      <c r="X415" s="246">
        <f>W415</f>
        <v>1141842.92</v>
      </c>
      <c r="Y415" s="246"/>
      <c r="Z415" s="108"/>
      <c r="AA415" s="108"/>
      <c r="AB415" s="108"/>
      <c r="AC415" s="88">
        <f t="shared" si="133"/>
        <v>0</v>
      </c>
      <c r="AD415" s="108">
        <v>0</v>
      </c>
      <c r="AE415" s="108"/>
      <c r="AF415" s="108"/>
      <c r="AG415" s="108"/>
      <c r="AH415" s="113">
        <v>2520320</v>
      </c>
      <c r="AI415" s="113"/>
      <c r="AJ415" s="113"/>
      <c r="AK415" s="113" t="s">
        <v>695</v>
      </c>
    </row>
    <row r="416" spans="1:38" x14ac:dyDescent="0.2">
      <c r="A416" s="101"/>
      <c r="B416" s="102"/>
      <c r="C416" s="103"/>
      <c r="D416" s="103"/>
      <c r="E416" s="103"/>
      <c r="F416" s="105" t="s">
        <v>788</v>
      </c>
      <c r="G416" s="303"/>
      <c r="H416" s="304">
        <v>211077</v>
      </c>
      <c r="I416" s="304"/>
      <c r="J416" s="246"/>
      <c r="K416" s="303"/>
      <c r="L416" s="303"/>
      <c r="M416" s="303"/>
      <c r="N416" s="303"/>
      <c r="O416" s="303"/>
      <c r="P416" s="303"/>
      <c r="Q416" s="305"/>
      <c r="R416" s="305"/>
      <c r="S416" s="305"/>
      <c r="T416" s="305"/>
      <c r="U416" s="305"/>
      <c r="V416" s="305"/>
      <c r="W416" s="246"/>
      <c r="X416" s="246"/>
      <c r="Y416" s="246"/>
      <c r="Z416" s="108"/>
      <c r="AA416" s="108"/>
      <c r="AB416" s="108"/>
      <c r="AC416" s="88">
        <f t="shared" si="133"/>
        <v>0</v>
      </c>
      <c r="AD416" s="108"/>
      <c r="AE416" s="108"/>
      <c r="AF416" s="108"/>
      <c r="AG416" s="108"/>
      <c r="AH416" s="113">
        <v>1100119</v>
      </c>
      <c r="AI416" s="113"/>
      <c r="AJ416" s="113"/>
      <c r="AK416" s="113"/>
    </row>
    <row r="417" spans="1:37" x14ac:dyDescent="0.2">
      <c r="A417" s="101"/>
      <c r="B417" s="102"/>
      <c r="C417" s="103"/>
      <c r="D417" s="103"/>
      <c r="E417" s="103"/>
      <c r="F417" s="105" t="s">
        <v>815</v>
      </c>
      <c r="G417" s="303"/>
      <c r="H417" s="304"/>
      <c r="I417" s="304"/>
      <c r="J417" s="303"/>
      <c r="K417" s="303"/>
      <c r="L417" s="303"/>
      <c r="M417" s="303"/>
      <c r="N417" s="303"/>
      <c r="O417" s="303"/>
      <c r="P417" s="303"/>
      <c r="Q417" s="305"/>
      <c r="R417" s="305"/>
      <c r="S417" s="305"/>
      <c r="T417" s="305"/>
      <c r="U417" s="305"/>
      <c r="V417" s="305"/>
      <c r="W417" s="246"/>
      <c r="X417" s="246"/>
      <c r="Y417" s="246"/>
      <c r="Z417" s="108"/>
      <c r="AA417" s="108"/>
      <c r="AB417" s="108"/>
      <c r="AC417" s="88">
        <f t="shared" si="133"/>
        <v>0</v>
      </c>
      <c r="AD417" s="108"/>
      <c r="AE417" s="108"/>
      <c r="AF417" s="108"/>
      <c r="AG417" s="108"/>
      <c r="AH417" s="113"/>
      <c r="AI417" s="113"/>
      <c r="AJ417" s="113"/>
      <c r="AK417" s="113"/>
    </row>
    <row r="418" spans="1:37" x14ac:dyDescent="0.2">
      <c r="A418" s="101"/>
      <c r="B418" s="102"/>
      <c r="C418" s="103"/>
      <c r="D418" s="103"/>
      <c r="E418" s="103"/>
      <c r="F418" s="105" t="s">
        <v>816</v>
      </c>
      <c r="G418" s="303"/>
      <c r="H418" s="304"/>
      <c r="I418" s="304"/>
      <c r="J418" s="303"/>
      <c r="K418" s="303"/>
      <c r="L418" s="303"/>
      <c r="M418" s="303"/>
      <c r="N418" s="303"/>
      <c r="O418" s="303"/>
      <c r="P418" s="303"/>
      <c r="Q418" s="305"/>
      <c r="R418" s="305"/>
      <c r="S418" s="305"/>
      <c r="T418" s="305"/>
      <c r="U418" s="305"/>
      <c r="V418" s="305"/>
      <c r="W418" s="246"/>
      <c r="X418" s="246"/>
      <c r="Y418" s="246"/>
      <c r="Z418" s="108"/>
      <c r="AA418" s="108"/>
      <c r="AB418" s="108"/>
      <c r="AC418" s="88">
        <f t="shared" si="133"/>
        <v>0</v>
      </c>
      <c r="AD418" s="108"/>
      <c r="AE418" s="108"/>
      <c r="AF418" s="108"/>
      <c r="AG418" s="108"/>
      <c r="AH418" s="113"/>
      <c r="AI418" s="113"/>
      <c r="AJ418" s="113"/>
      <c r="AK418" s="113"/>
    </row>
    <row r="419" spans="1:37" x14ac:dyDescent="0.2">
      <c r="A419" s="101"/>
      <c r="B419" s="102"/>
      <c r="C419" s="103"/>
      <c r="D419" s="103"/>
      <c r="E419" s="103"/>
      <c r="F419" s="105" t="s">
        <v>817</v>
      </c>
      <c r="G419" s="303"/>
      <c r="H419" s="304">
        <v>25000000</v>
      </c>
      <c r="I419" s="304"/>
      <c r="J419" s="246"/>
      <c r="K419" s="303"/>
      <c r="L419" s="303"/>
      <c r="M419" s="303"/>
      <c r="N419" s="303"/>
      <c r="O419" s="303"/>
      <c r="P419" s="303"/>
      <c r="Q419" s="305"/>
      <c r="R419" s="305"/>
      <c r="S419" s="305"/>
      <c r="T419" s="305"/>
      <c r="U419" s="305"/>
      <c r="V419" s="305"/>
      <c r="W419" s="246"/>
      <c r="X419" s="246"/>
      <c r="Y419" s="246"/>
      <c r="Z419" s="108"/>
      <c r="AA419" s="108"/>
      <c r="AB419" s="108"/>
      <c r="AC419" s="88">
        <f t="shared" si="133"/>
        <v>0</v>
      </c>
      <c r="AD419" s="108"/>
      <c r="AE419" s="108"/>
      <c r="AF419" s="108"/>
      <c r="AG419" s="108"/>
      <c r="AH419" s="113">
        <v>1100119</v>
      </c>
      <c r="AI419" s="113"/>
      <c r="AJ419" s="113"/>
      <c r="AK419" s="113"/>
    </row>
    <row r="420" spans="1:37" x14ac:dyDescent="0.2">
      <c r="AH420" s="319"/>
      <c r="AI420" s="55"/>
      <c r="AJ420" s="55"/>
      <c r="AK420" s="55"/>
    </row>
    <row r="421" spans="1:37" x14ac:dyDescent="0.2">
      <c r="AH421" s="319"/>
      <c r="AI421" s="55"/>
      <c r="AJ421" s="55"/>
      <c r="AK421" s="55"/>
    </row>
    <row r="422" spans="1:37" x14ac:dyDescent="0.2">
      <c r="AH422" s="319"/>
      <c r="AI422" s="55"/>
      <c r="AJ422" s="55"/>
      <c r="AK422" s="55"/>
    </row>
    <row r="423" spans="1:37" x14ac:dyDescent="0.2">
      <c r="AH423" s="319"/>
      <c r="AI423" s="55"/>
      <c r="AJ423" s="55"/>
      <c r="AK423" s="55"/>
    </row>
    <row r="424" spans="1:37" x14ac:dyDescent="0.2">
      <c r="AH424" s="319"/>
      <c r="AI424" s="55"/>
      <c r="AJ424" s="55"/>
      <c r="AK424" s="55"/>
    </row>
    <row r="425" spans="1:37" x14ac:dyDescent="0.2">
      <c r="AH425" s="319"/>
      <c r="AI425" s="55"/>
      <c r="AJ425" s="55"/>
      <c r="AK425" s="55"/>
    </row>
    <row r="426" spans="1:37" x14ac:dyDescent="0.2">
      <c r="AH426" s="319"/>
      <c r="AI426" s="55"/>
      <c r="AJ426" s="55"/>
      <c r="AK426" s="55"/>
    </row>
    <row r="427" spans="1:37" x14ac:dyDescent="0.2">
      <c r="AH427" s="319"/>
      <c r="AI427" s="55"/>
      <c r="AJ427" s="55"/>
      <c r="AK427" s="55"/>
    </row>
    <row r="428" spans="1:37" x14ac:dyDescent="0.2">
      <c r="AH428" s="319"/>
      <c r="AI428" s="55"/>
      <c r="AJ428" s="55"/>
      <c r="AK428" s="55"/>
    </row>
    <row r="429" spans="1:37" x14ac:dyDescent="0.2">
      <c r="AH429" s="319"/>
      <c r="AI429" s="55"/>
      <c r="AJ429" s="55"/>
      <c r="AK429" s="55"/>
    </row>
    <row r="430" spans="1:37" x14ac:dyDescent="0.2">
      <c r="AH430" s="319"/>
      <c r="AI430" s="55"/>
      <c r="AJ430" s="55"/>
      <c r="AK430" s="55"/>
    </row>
    <row r="431" spans="1:37" x14ac:dyDescent="0.2">
      <c r="AH431" s="319"/>
      <c r="AI431" s="55"/>
      <c r="AJ431" s="55"/>
      <c r="AK431" s="55"/>
    </row>
    <row r="432" spans="1:37" x14ac:dyDescent="0.2">
      <c r="AH432" s="319"/>
      <c r="AI432" s="55"/>
      <c r="AJ432" s="55"/>
      <c r="AK432" s="55"/>
    </row>
    <row r="433" spans="34:37" x14ac:dyDescent="0.2">
      <c r="AH433" s="319"/>
      <c r="AI433" s="55"/>
      <c r="AJ433" s="55"/>
      <c r="AK433" s="55"/>
    </row>
    <row r="434" spans="34:37" x14ac:dyDescent="0.2">
      <c r="AH434" s="319"/>
      <c r="AI434" s="55"/>
      <c r="AJ434" s="55"/>
      <c r="AK434" s="55"/>
    </row>
    <row r="435" spans="34:37" x14ac:dyDescent="0.2">
      <c r="AH435" s="319"/>
      <c r="AI435" s="55"/>
      <c r="AJ435" s="55"/>
      <c r="AK435" s="55"/>
    </row>
    <row r="436" spans="34:37" x14ac:dyDescent="0.2">
      <c r="AH436" s="319"/>
      <c r="AI436" s="55"/>
      <c r="AJ436" s="55"/>
      <c r="AK436" s="55"/>
    </row>
    <row r="437" spans="34:37" x14ac:dyDescent="0.2">
      <c r="AH437" s="319"/>
      <c r="AI437" s="55"/>
      <c r="AJ437" s="55"/>
      <c r="AK437" s="55"/>
    </row>
    <row r="438" spans="34:37" x14ac:dyDescent="0.2">
      <c r="AH438" s="319"/>
      <c r="AI438" s="55"/>
      <c r="AJ438" s="55"/>
      <c r="AK438" s="55"/>
    </row>
    <row r="439" spans="34:37" x14ac:dyDescent="0.2">
      <c r="AH439" s="319"/>
      <c r="AI439" s="55"/>
      <c r="AJ439" s="55"/>
      <c r="AK439" s="55"/>
    </row>
    <row r="440" spans="34:37" x14ac:dyDescent="0.2">
      <c r="AH440" s="319"/>
      <c r="AI440" s="55"/>
      <c r="AJ440" s="55"/>
      <c r="AK440" s="55"/>
    </row>
    <row r="441" spans="34:37" x14ac:dyDescent="0.2">
      <c r="AH441" s="319"/>
      <c r="AI441" s="55"/>
      <c r="AJ441" s="55"/>
      <c r="AK441" s="55"/>
    </row>
    <row r="442" spans="34:37" x14ac:dyDescent="0.2">
      <c r="AH442" s="319"/>
      <c r="AI442" s="55"/>
      <c r="AJ442" s="55"/>
      <c r="AK442" s="55"/>
    </row>
    <row r="443" spans="34:37" x14ac:dyDescent="0.2">
      <c r="AH443" s="319"/>
      <c r="AI443" s="55"/>
      <c r="AJ443" s="55"/>
      <c r="AK443" s="55"/>
    </row>
    <row r="444" spans="34:37" x14ac:dyDescent="0.2">
      <c r="AH444" s="319"/>
      <c r="AI444" s="55"/>
      <c r="AJ444" s="55"/>
      <c r="AK444" s="55"/>
    </row>
    <row r="445" spans="34:37" x14ac:dyDescent="0.2">
      <c r="AH445" s="319"/>
      <c r="AI445" s="55"/>
      <c r="AJ445" s="55"/>
      <c r="AK445" s="55"/>
    </row>
    <row r="446" spans="34:37" x14ac:dyDescent="0.2">
      <c r="AH446" s="319"/>
      <c r="AI446" s="55"/>
      <c r="AJ446" s="55"/>
      <c r="AK446" s="55"/>
    </row>
    <row r="447" spans="34:37" x14ac:dyDescent="0.2">
      <c r="AH447" s="319"/>
      <c r="AI447" s="55"/>
      <c r="AJ447" s="55"/>
      <c r="AK447" s="55"/>
    </row>
    <row r="448" spans="34:37" x14ac:dyDescent="0.2">
      <c r="AH448" s="319"/>
      <c r="AI448" s="55"/>
      <c r="AJ448" s="55"/>
      <c r="AK448" s="55"/>
    </row>
    <row r="449" spans="34:37" x14ac:dyDescent="0.2">
      <c r="AH449" s="319"/>
      <c r="AI449" s="55"/>
      <c r="AJ449" s="55"/>
      <c r="AK449" s="55"/>
    </row>
    <row r="450" spans="34:37" x14ac:dyDescent="0.2">
      <c r="AH450" s="319"/>
      <c r="AI450" s="55"/>
      <c r="AJ450" s="55"/>
      <c r="AK450" s="55"/>
    </row>
    <row r="451" spans="34:37" x14ac:dyDescent="0.2">
      <c r="AH451" s="319"/>
      <c r="AI451" s="55"/>
      <c r="AJ451" s="55"/>
      <c r="AK451" s="55"/>
    </row>
    <row r="452" spans="34:37" x14ac:dyDescent="0.2">
      <c r="AH452" s="319"/>
      <c r="AI452" s="55"/>
      <c r="AJ452" s="55"/>
      <c r="AK452" s="55"/>
    </row>
    <row r="453" spans="34:37" x14ac:dyDescent="0.2">
      <c r="AH453" s="319"/>
      <c r="AI453" s="55"/>
      <c r="AJ453" s="55"/>
      <c r="AK453" s="55"/>
    </row>
    <row r="454" spans="34:37" x14ac:dyDescent="0.2">
      <c r="AH454" s="319"/>
      <c r="AI454" s="55"/>
      <c r="AJ454" s="55"/>
      <c r="AK454" s="55"/>
    </row>
    <row r="455" spans="34:37" x14ac:dyDescent="0.2">
      <c r="AH455" s="319"/>
      <c r="AI455" s="55"/>
      <c r="AJ455" s="55"/>
      <c r="AK455" s="55"/>
    </row>
    <row r="456" spans="34:37" x14ac:dyDescent="0.2">
      <c r="AH456" s="319"/>
      <c r="AI456" s="55"/>
      <c r="AJ456" s="55"/>
      <c r="AK456" s="55"/>
    </row>
    <row r="457" spans="34:37" x14ac:dyDescent="0.2">
      <c r="AH457" s="319"/>
      <c r="AI457" s="55"/>
      <c r="AJ457" s="55"/>
      <c r="AK457" s="55"/>
    </row>
    <row r="458" spans="34:37" x14ac:dyDescent="0.2">
      <c r="AH458" s="319"/>
      <c r="AI458" s="55"/>
      <c r="AJ458" s="55"/>
      <c r="AK458" s="55"/>
    </row>
    <row r="459" spans="34:37" x14ac:dyDescent="0.2">
      <c r="AH459" s="319"/>
      <c r="AI459" s="55"/>
      <c r="AJ459" s="55"/>
      <c r="AK459" s="55"/>
    </row>
    <row r="460" spans="34:37" x14ac:dyDescent="0.2">
      <c r="AH460" s="319"/>
      <c r="AI460" s="55"/>
      <c r="AJ460" s="55"/>
      <c r="AK460" s="55"/>
    </row>
    <row r="461" spans="34:37" x14ac:dyDescent="0.2">
      <c r="AH461" s="319"/>
      <c r="AI461" s="55"/>
      <c r="AJ461" s="55"/>
      <c r="AK461" s="55"/>
    </row>
    <row r="462" spans="34:37" x14ac:dyDescent="0.2">
      <c r="AH462" s="319"/>
      <c r="AI462" s="55"/>
      <c r="AJ462" s="55"/>
      <c r="AK462" s="55"/>
    </row>
    <row r="463" spans="34:37" x14ac:dyDescent="0.2">
      <c r="AH463" s="319"/>
      <c r="AI463" s="55"/>
      <c r="AJ463" s="55"/>
      <c r="AK463" s="55"/>
    </row>
    <row r="464" spans="34:37" x14ac:dyDescent="0.2">
      <c r="AH464" s="319"/>
      <c r="AI464" s="55"/>
      <c r="AJ464" s="55"/>
      <c r="AK464" s="55"/>
    </row>
    <row r="465" spans="34:37" x14ac:dyDescent="0.2">
      <c r="AH465" s="319"/>
      <c r="AI465" s="55"/>
      <c r="AJ465" s="55"/>
      <c r="AK465" s="55"/>
    </row>
    <row r="466" spans="34:37" x14ac:dyDescent="0.2">
      <c r="AH466" s="319"/>
      <c r="AI466" s="55"/>
      <c r="AJ466" s="55"/>
      <c r="AK466" s="55"/>
    </row>
    <row r="467" spans="34:37" x14ac:dyDescent="0.2">
      <c r="AH467" s="319"/>
      <c r="AI467" s="55"/>
      <c r="AJ467" s="55"/>
      <c r="AK467" s="55"/>
    </row>
    <row r="468" spans="34:37" x14ac:dyDescent="0.2">
      <c r="AH468" s="319"/>
      <c r="AI468" s="55"/>
      <c r="AJ468" s="55"/>
      <c r="AK468" s="55"/>
    </row>
    <row r="469" spans="34:37" x14ac:dyDescent="0.2">
      <c r="AH469" s="319"/>
      <c r="AI469" s="55"/>
      <c r="AJ469" s="55"/>
      <c r="AK469" s="55"/>
    </row>
    <row r="470" spans="34:37" x14ac:dyDescent="0.2">
      <c r="AH470" s="319"/>
      <c r="AI470" s="55"/>
      <c r="AJ470" s="55"/>
      <c r="AK470" s="55"/>
    </row>
    <row r="471" spans="34:37" x14ac:dyDescent="0.2">
      <c r="AH471" s="319"/>
      <c r="AI471" s="55"/>
      <c r="AJ471" s="55"/>
      <c r="AK471" s="55"/>
    </row>
    <row r="472" spans="34:37" x14ac:dyDescent="0.2">
      <c r="AH472" s="319"/>
      <c r="AI472" s="55"/>
      <c r="AJ472" s="55"/>
      <c r="AK472" s="55"/>
    </row>
    <row r="473" spans="34:37" x14ac:dyDescent="0.2">
      <c r="AH473" s="319"/>
      <c r="AI473" s="55"/>
      <c r="AJ473" s="55"/>
      <c r="AK473" s="55"/>
    </row>
    <row r="474" spans="34:37" x14ac:dyDescent="0.2">
      <c r="AH474" s="319"/>
      <c r="AI474" s="55"/>
      <c r="AJ474" s="55"/>
      <c r="AK474" s="55"/>
    </row>
    <row r="475" spans="34:37" x14ac:dyDescent="0.2">
      <c r="AH475" s="319"/>
      <c r="AI475" s="55"/>
      <c r="AJ475" s="55"/>
      <c r="AK475" s="55"/>
    </row>
    <row r="476" spans="34:37" x14ac:dyDescent="0.2">
      <c r="AH476" s="319"/>
      <c r="AI476" s="55"/>
      <c r="AJ476" s="55"/>
      <c r="AK476" s="55"/>
    </row>
    <row r="477" spans="34:37" x14ac:dyDescent="0.2">
      <c r="AH477" s="319"/>
      <c r="AI477" s="55"/>
      <c r="AJ477" s="55"/>
      <c r="AK477" s="55"/>
    </row>
    <row r="478" spans="34:37" x14ac:dyDescent="0.2">
      <c r="AH478" s="319"/>
      <c r="AI478" s="55"/>
      <c r="AJ478" s="55"/>
      <c r="AK478" s="55"/>
    </row>
    <row r="479" spans="34:37" x14ac:dyDescent="0.2">
      <c r="AH479" s="319"/>
      <c r="AI479" s="55"/>
      <c r="AJ479" s="55"/>
      <c r="AK479" s="55"/>
    </row>
    <row r="480" spans="34:37" x14ac:dyDescent="0.2">
      <c r="AH480" s="319"/>
      <c r="AI480" s="55"/>
      <c r="AJ480" s="55"/>
      <c r="AK480" s="55"/>
    </row>
    <row r="481" spans="34:37" x14ac:dyDescent="0.2">
      <c r="AH481" s="319"/>
      <c r="AI481" s="55"/>
      <c r="AJ481" s="55"/>
      <c r="AK481" s="55"/>
    </row>
    <row r="482" spans="34:37" x14ac:dyDescent="0.2">
      <c r="AH482" s="319"/>
      <c r="AI482" s="55"/>
      <c r="AJ482" s="55"/>
      <c r="AK482" s="55"/>
    </row>
    <row r="483" spans="34:37" x14ac:dyDescent="0.2">
      <c r="AH483" s="319"/>
      <c r="AI483" s="55"/>
      <c r="AJ483" s="55"/>
      <c r="AK483" s="55"/>
    </row>
    <row r="484" spans="34:37" x14ac:dyDescent="0.2">
      <c r="AH484" s="319"/>
      <c r="AI484" s="55"/>
      <c r="AJ484" s="55"/>
      <c r="AK484" s="55"/>
    </row>
    <row r="485" spans="34:37" x14ac:dyDescent="0.2">
      <c r="AH485" s="319"/>
      <c r="AI485" s="55"/>
      <c r="AJ485" s="55"/>
      <c r="AK485" s="55"/>
    </row>
    <row r="486" spans="34:37" x14ac:dyDescent="0.2">
      <c r="AH486" s="319"/>
      <c r="AI486" s="55"/>
      <c r="AJ486" s="55"/>
      <c r="AK486" s="55"/>
    </row>
    <row r="487" spans="34:37" x14ac:dyDescent="0.2">
      <c r="AH487" s="319"/>
      <c r="AI487" s="55"/>
      <c r="AJ487" s="55"/>
      <c r="AK487" s="55"/>
    </row>
    <row r="488" spans="34:37" x14ac:dyDescent="0.2">
      <c r="AH488" s="319"/>
      <c r="AI488" s="55"/>
      <c r="AJ488" s="55"/>
      <c r="AK488" s="55"/>
    </row>
    <row r="489" spans="34:37" x14ac:dyDescent="0.2">
      <c r="AH489" s="319"/>
      <c r="AI489" s="55"/>
      <c r="AJ489" s="55"/>
      <c r="AK489" s="55"/>
    </row>
    <row r="490" spans="34:37" x14ac:dyDescent="0.2">
      <c r="AH490" s="319"/>
      <c r="AI490" s="55"/>
      <c r="AJ490" s="55"/>
      <c r="AK490" s="55"/>
    </row>
    <row r="491" spans="34:37" x14ac:dyDescent="0.2">
      <c r="AH491" s="319"/>
      <c r="AI491" s="55"/>
      <c r="AJ491" s="55"/>
      <c r="AK491" s="55"/>
    </row>
    <row r="492" spans="34:37" x14ac:dyDescent="0.2">
      <c r="AH492" s="319"/>
      <c r="AI492" s="55"/>
      <c r="AJ492" s="55"/>
      <c r="AK492" s="55"/>
    </row>
    <row r="493" spans="34:37" x14ac:dyDescent="0.2">
      <c r="AH493" s="319"/>
      <c r="AI493" s="55"/>
      <c r="AJ493" s="55"/>
      <c r="AK493" s="55"/>
    </row>
    <row r="494" spans="34:37" x14ac:dyDescent="0.2">
      <c r="AH494" s="319"/>
      <c r="AI494" s="55"/>
      <c r="AJ494" s="55"/>
      <c r="AK494" s="55"/>
    </row>
    <row r="495" spans="34:37" x14ac:dyDescent="0.2">
      <c r="AH495" s="319"/>
      <c r="AI495" s="55"/>
      <c r="AJ495" s="55"/>
      <c r="AK495" s="55"/>
    </row>
    <row r="496" spans="34:37" x14ac:dyDescent="0.2">
      <c r="AH496" s="319"/>
      <c r="AI496" s="55"/>
      <c r="AJ496" s="55"/>
      <c r="AK496" s="55"/>
    </row>
    <row r="497" spans="34:37" x14ac:dyDescent="0.2">
      <c r="AH497" s="319"/>
      <c r="AI497" s="55"/>
      <c r="AJ497" s="55"/>
      <c r="AK497" s="55"/>
    </row>
    <row r="498" spans="34:37" x14ac:dyDescent="0.2">
      <c r="AH498" s="319"/>
      <c r="AI498" s="55"/>
      <c r="AJ498" s="55"/>
      <c r="AK498" s="55"/>
    </row>
    <row r="499" spans="34:37" x14ac:dyDescent="0.2">
      <c r="AH499" s="319"/>
      <c r="AI499" s="55"/>
      <c r="AJ499" s="55"/>
      <c r="AK499" s="55"/>
    </row>
    <row r="500" spans="34:37" x14ac:dyDescent="0.2">
      <c r="AH500" s="319"/>
      <c r="AI500" s="55"/>
      <c r="AJ500" s="55"/>
      <c r="AK500" s="55"/>
    </row>
    <row r="501" spans="34:37" x14ac:dyDescent="0.2">
      <c r="AH501" s="319"/>
      <c r="AI501" s="55"/>
      <c r="AJ501" s="55"/>
      <c r="AK501" s="55"/>
    </row>
    <row r="502" spans="34:37" x14ac:dyDescent="0.2">
      <c r="AH502" s="319"/>
      <c r="AI502" s="55"/>
      <c r="AJ502" s="55"/>
      <c r="AK502" s="55"/>
    </row>
    <row r="503" spans="34:37" x14ac:dyDescent="0.2">
      <c r="AH503" s="319"/>
      <c r="AI503" s="55"/>
      <c r="AJ503" s="55"/>
      <c r="AK503" s="55"/>
    </row>
    <row r="504" spans="34:37" x14ac:dyDescent="0.2">
      <c r="AH504" s="319"/>
      <c r="AI504" s="55"/>
      <c r="AJ504" s="55"/>
      <c r="AK504" s="55"/>
    </row>
  </sheetData>
  <sheetProtection formatCells="0" formatColumns="0" formatRows="0" insertColumns="0" insertRows="0" selectLockedCells="1"/>
  <mergeCells count="3">
    <mergeCell ref="A1:AH1"/>
    <mergeCell ref="A2:AH2"/>
    <mergeCell ref="A3:AH3"/>
  </mergeCells>
  <pageMargins left="0.31496062992125984" right="0.19685039370078741" top="0.35433070866141736" bottom="0.55118110236220474" header="0.31496062992125984" footer="0.31496062992125984"/>
  <pageSetup scale="51" fitToHeight="0" orientation="portrait" r:id="rId1"/>
  <headerFooter>
    <oddFooter>&amp;RPágina &amp;P de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0DD5D-B8A8-4F6A-8536-C4EBE2C860A9}">
  <sheetPr codeName="Hoja3"/>
  <dimension ref="A1:W1888"/>
  <sheetViews>
    <sheetView zoomScale="79" zoomScaleNormal="90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F3" sqref="F3"/>
    </sheetView>
  </sheetViews>
  <sheetFormatPr baseColWidth="10" defaultColWidth="10.5" defaultRowHeight="15" outlineLevelRow="1" outlineLevelCol="1" x14ac:dyDescent="0.25"/>
  <cols>
    <col min="1" max="1" width="7" style="4" bestFit="1" customWidth="1"/>
    <col min="2" max="2" width="7" style="4" hidden="1" customWidth="1"/>
    <col min="3" max="3" width="28.125" style="4" customWidth="1"/>
    <col min="4" max="5" width="16.375" style="4" bestFit="1" customWidth="1"/>
    <col min="6" max="6" width="15.25" style="4" customWidth="1"/>
    <col min="7" max="7" width="16.375" style="4" bestFit="1" customWidth="1"/>
    <col min="8" max="8" width="15.25" style="4" hidden="1" customWidth="1"/>
    <col min="9" max="10" width="15.25" style="4" customWidth="1"/>
    <col min="11" max="11" width="16.375" style="4" hidden="1" customWidth="1" outlineLevel="1"/>
    <col min="12" max="12" width="14.375" style="4" hidden="1" customWidth="1" outlineLevel="1"/>
    <col min="13" max="13" width="10.5" style="5" bestFit="1" customWidth="1" collapsed="1"/>
    <col min="14" max="14" width="16.375" style="4" bestFit="1" customWidth="1"/>
    <col min="15" max="15" width="15.25" style="4" hidden="1" customWidth="1" outlineLevel="1"/>
    <col min="16" max="16" width="16.125" style="4" hidden="1" customWidth="1" outlineLevel="1"/>
    <col min="17" max="17" width="16.125" style="4" bestFit="1" customWidth="1" collapsed="1"/>
    <col min="18" max="18" width="16.125" style="50" bestFit="1" customWidth="1"/>
    <col min="19" max="19" width="17.125" style="50" customWidth="1"/>
    <col min="20" max="20" width="13.5" style="4" customWidth="1"/>
    <col min="21" max="21" width="13.625" style="4" bestFit="1" customWidth="1"/>
    <col min="22" max="22" width="17" style="4" bestFit="1" customWidth="1"/>
    <col min="23" max="23" width="12.75" style="4" bestFit="1" customWidth="1"/>
    <col min="24" max="258" width="10.5" style="4"/>
    <col min="259" max="259" width="1.5" style="4" customWidth="1"/>
    <col min="260" max="260" width="28.125" style="4" customWidth="1"/>
    <col min="261" max="270" width="15.25" style="4" customWidth="1"/>
    <col min="271" max="514" width="10.5" style="4"/>
    <col min="515" max="515" width="1.5" style="4" customWidth="1"/>
    <col min="516" max="516" width="28.125" style="4" customWidth="1"/>
    <col min="517" max="526" width="15.25" style="4" customWidth="1"/>
    <col min="527" max="770" width="10.5" style="4"/>
    <col min="771" max="771" width="1.5" style="4" customWidth="1"/>
    <col min="772" max="772" width="28.125" style="4" customWidth="1"/>
    <col min="773" max="782" width="15.25" style="4" customWidth="1"/>
    <col min="783" max="1026" width="10.5" style="4"/>
    <col min="1027" max="1027" width="1.5" style="4" customWidth="1"/>
    <col min="1028" max="1028" width="28.125" style="4" customWidth="1"/>
    <col min="1029" max="1038" width="15.25" style="4" customWidth="1"/>
    <col min="1039" max="1282" width="10.5" style="4"/>
    <col min="1283" max="1283" width="1.5" style="4" customWidth="1"/>
    <col min="1284" max="1284" width="28.125" style="4" customWidth="1"/>
    <col min="1285" max="1294" width="15.25" style="4" customWidth="1"/>
    <col min="1295" max="1538" width="10.5" style="4"/>
    <col min="1539" max="1539" width="1.5" style="4" customWidth="1"/>
    <col min="1540" max="1540" width="28.125" style="4" customWidth="1"/>
    <col min="1541" max="1550" width="15.25" style="4" customWidth="1"/>
    <col min="1551" max="1794" width="10.5" style="4"/>
    <col min="1795" max="1795" width="1.5" style="4" customWidth="1"/>
    <col min="1796" max="1796" width="28.125" style="4" customWidth="1"/>
    <col min="1797" max="1806" width="15.25" style="4" customWidth="1"/>
    <col min="1807" max="2050" width="10.5" style="4"/>
    <col min="2051" max="2051" width="1.5" style="4" customWidth="1"/>
    <col min="2052" max="2052" width="28.125" style="4" customWidth="1"/>
    <col min="2053" max="2062" width="15.25" style="4" customWidth="1"/>
    <col min="2063" max="2306" width="10.5" style="4"/>
    <col min="2307" max="2307" width="1.5" style="4" customWidth="1"/>
    <col min="2308" max="2308" width="28.125" style="4" customWidth="1"/>
    <col min="2309" max="2318" width="15.25" style="4" customWidth="1"/>
    <col min="2319" max="2562" width="10.5" style="4"/>
    <col min="2563" max="2563" width="1.5" style="4" customWidth="1"/>
    <col min="2564" max="2564" width="28.125" style="4" customWidth="1"/>
    <col min="2565" max="2574" width="15.25" style="4" customWidth="1"/>
    <col min="2575" max="2818" width="10.5" style="4"/>
    <col min="2819" max="2819" width="1.5" style="4" customWidth="1"/>
    <col min="2820" max="2820" width="28.125" style="4" customWidth="1"/>
    <col min="2821" max="2830" width="15.25" style="4" customWidth="1"/>
    <col min="2831" max="3074" width="10.5" style="4"/>
    <col min="3075" max="3075" width="1.5" style="4" customWidth="1"/>
    <col min="3076" max="3076" width="28.125" style="4" customWidth="1"/>
    <col min="3077" max="3086" width="15.25" style="4" customWidth="1"/>
    <col min="3087" max="3330" width="10.5" style="4"/>
    <col min="3331" max="3331" width="1.5" style="4" customWidth="1"/>
    <col min="3332" max="3332" width="28.125" style="4" customWidth="1"/>
    <col min="3333" max="3342" width="15.25" style="4" customWidth="1"/>
    <col min="3343" max="3586" width="10.5" style="4"/>
    <col min="3587" max="3587" width="1.5" style="4" customWidth="1"/>
    <col min="3588" max="3588" width="28.125" style="4" customWidth="1"/>
    <col min="3589" max="3598" width="15.25" style="4" customWidth="1"/>
    <col min="3599" max="3842" width="10.5" style="4"/>
    <col min="3843" max="3843" width="1.5" style="4" customWidth="1"/>
    <col min="3844" max="3844" width="28.125" style="4" customWidth="1"/>
    <col min="3845" max="3854" width="15.25" style="4" customWidth="1"/>
    <col min="3855" max="4098" width="10.5" style="4"/>
    <col min="4099" max="4099" width="1.5" style="4" customWidth="1"/>
    <col min="4100" max="4100" width="28.125" style="4" customWidth="1"/>
    <col min="4101" max="4110" width="15.25" style="4" customWidth="1"/>
    <col min="4111" max="4354" width="10.5" style="4"/>
    <col min="4355" max="4355" width="1.5" style="4" customWidth="1"/>
    <col min="4356" max="4356" width="28.125" style="4" customWidth="1"/>
    <col min="4357" max="4366" width="15.25" style="4" customWidth="1"/>
    <col min="4367" max="4610" width="10.5" style="4"/>
    <col min="4611" max="4611" width="1.5" style="4" customWidth="1"/>
    <col min="4612" max="4612" width="28.125" style="4" customWidth="1"/>
    <col min="4613" max="4622" width="15.25" style="4" customWidth="1"/>
    <col min="4623" max="4866" width="10.5" style="4"/>
    <col min="4867" max="4867" width="1.5" style="4" customWidth="1"/>
    <col min="4868" max="4868" width="28.125" style="4" customWidth="1"/>
    <col min="4869" max="4878" width="15.25" style="4" customWidth="1"/>
    <col min="4879" max="5122" width="10.5" style="4"/>
    <col min="5123" max="5123" width="1.5" style="4" customWidth="1"/>
    <col min="5124" max="5124" width="28.125" style="4" customWidth="1"/>
    <col min="5125" max="5134" width="15.25" style="4" customWidth="1"/>
    <col min="5135" max="5378" width="10.5" style="4"/>
    <col min="5379" max="5379" width="1.5" style="4" customWidth="1"/>
    <col min="5380" max="5380" width="28.125" style="4" customWidth="1"/>
    <col min="5381" max="5390" width="15.25" style="4" customWidth="1"/>
    <col min="5391" max="5634" width="10.5" style="4"/>
    <col min="5635" max="5635" width="1.5" style="4" customWidth="1"/>
    <col min="5636" max="5636" width="28.125" style="4" customWidth="1"/>
    <col min="5637" max="5646" width="15.25" style="4" customWidth="1"/>
    <col min="5647" max="5890" width="10.5" style="4"/>
    <col min="5891" max="5891" width="1.5" style="4" customWidth="1"/>
    <col min="5892" max="5892" width="28.125" style="4" customWidth="1"/>
    <col min="5893" max="5902" width="15.25" style="4" customWidth="1"/>
    <col min="5903" max="6146" width="10.5" style="4"/>
    <col min="6147" max="6147" width="1.5" style="4" customWidth="1"/>
    <col min="6148" max="6148" width="28.125" style="4" customWidth="1"/>
    <col min="6149" max="6158" width="15.25" style="4" customWidth="1"/>
    <col min="6159" max="6402" width="10.5" style="4"/>
    <col min="6403" max="6403" width="1.5" style="4" customWidth="1"/>
    <col min="6404" max="6404" width="28.125" style="4" customWidth="1"/>
    <col min="6405" max="6414" width="15.25" style="4" customWidth="1"/>
    <col min="6415" max="6658" width="10.5" style="4"/>
    <col min="6659" max="6659" width="1.5" style="4" customWidth="1"/>
    <col min="6660" max="6660" width="28.125" style="4" customWidth="1"/>
    <col min="6661" max="6670" width="15.25" style="4" customWidth="1"/>
    <col min="6671" max="6914" width="10.5" style="4"/>
    <col min="6915" max="6915" width="1.5" style="4" customWidth="1"/>
    <col min="6916" max="6916" width="28.125" style="4" customWidth="1"/>
    <col min="6917" max="6926" width="15.25" style="4" customWidth="1"/>
    <col min="6927" max="7170" width="10.5" style="4"/>
    <col min="7171" max="7171" width="1.5" style="4" customWidth="1"/>
    <col min="7172" max="7172" width="28.125" style="4" customWidth="1"/>
    <col min="7173" max="7182" width="15.25" style="4" customWidth="1"/>
    <col min="7183" max="7426" width="10.5" style="4"/>
    <col min="7427" max="7427" width="1.5" style="4" customWidth="1"/>
    <col min="7428" max="7428" width="28.125" style="4" customWidth="1"/>
    <col min="7429" max="7438" width="15.25" style="4" customWidth="1"/>
    <col min="7439" max="7682" width="10.5" style="4"/>
    <col min="7683" max="7683" width="1.5" style="4" customWidth="1"/>
    <col min="7684" max="7684" width="28.125" style="4" customWidth="1"/>
    <col min="7685" max="7694" width="15.25" style="4" customWidth="1"/>
    <col min="7695" max="7938" width="10.5" style="4"/>
    <col min="7939" max="7939" width="1.5" style="4" customWidth="1"/>
    <col min="7940" max="7940" width="28.125" style="4" customWidth="1"/>
    <col min="7941" max="7950" width="15.25" style="4" customWidth="1"/>
    <col min="7951" max="8194" width="10.5" style="4"/>
    <col min="8195" max="8195" width="1.5" style="4" customWidth="1"/>
    <col min="8196" max="8196" width="28.125" style="4" customWidth="1"/>
    <col min="8197" max="8206" width="15.25" style="4" customWidth="1"/>
    <col min="8207" max="8450" width="10.5" style="4"/>
    <col min="8451" max="8451" width="1.5" style="4" customWidth="1"/>
    <col min="8452" max="8452" width="28.125" style="4" customWidth="1"/>
    <col min="8453" max="8462" width="15.25" style="4" customWidth="1"/>
    <col min="8463" max="8706" width="10.5" style="4"/>
    <col min="8707" max="8707" width="1.5" style="4" customWidth="1"/>
    <col min="8708" max="8708" width="28.125" style="4" customWidth="1"/>
    <col min="8709" max="8718" width="15.25" style="4" customWidth="1"/>
    <col min="8719" max="8962" width="10.5" style="4"/>
    <col min="8963" max="8963" width="1.5" style="4" customWidth="1"/>
    <col min="8964" max="8964" width="28.125" style="4" customWidth="1"/>
    <col min="8965" max="8974" width="15.25" style="4" customWidth="1"/>
    <col min="8975" max="9218" width="10.5" style="4"/>
    <col min="9219" max="9219" width="1.5" style="4" customWidth="1"/>
    <col min="9220" max="9220" width="28.125" style="4" customWidth="1"/>
    <col min="9221" max="9230" width="15.25" style="4" customWidth="1"/>
    <col min="9231" max="9474" width="10.5" style="4"/>
    <col min="9475" max="9475" width="1.5" style="4" customWidth="1"/>
    <col min="9476" max="9476" width="28.125" style="4" customWidth="1"/>
    <col min="9477" max="9486" width="15.25" style="4" customWidth="1"/>
    <col min="9487" max="9730" width="10.5" style="4"/>
    <col min="9731" max="9731" width="1.5" style="4" customWidth="1"/>
    <col min="9732" max="9732" width="28.125" style="4" customWidth="1"/>
    <col min="9733" max="9742" width="15.25" style="4" customWidth="1"/>
    <col min="9743" max="9986" width="10.5" style="4"/>
    <col min="9987" max="9987" width="1.5" style="4" customWidth="1"/>
    <col min="9988" max="9988" width="28.125" style="4" customWidth="1"/>
    <col min="9989" max="9998" width="15.25" style="4" customWidth="1"/>
    <col min="9999" max="10242" width="10.5" style="4"/>
    <col min="10243" max="10243" width="1.5" style="4" customWidth="1"/>
    <col min="10244" max="10244" width="28.125" style="4" customWidth="1"/>
    <col min="10245" max="10254" width="15.25" style="4" customWidth="1"/>
    <col min="10255" max="10498" width="10.5" style="4"/>
    <col min="10499" max="10499" width="1.5" style="4" customWidth="1"/>
    <col min="10500" max="10500" width="28.125" style="4" customWidth="1"/>
    <col min="10501" max="10510" width="15.25" style="4" customWidth="1"/>
    <col min="10511" max="10754" width="10.5" style="4"/>
    <col min="10755" max="10755" width="1.5" style="4" customWidth="1"/>
    <col min="10756" max="10756" width="28.125" style="4" customWidth="1"/>
    <col min="10757" max="10766" width="15.25" style="4" customWidth="1"/>
    <col min="10767" max="11010" width="10.5" style="4"/>
    <col min="11011" max="11011" width="1.5" style="4" customWidth="1"/>
    <col min="11012" max="11012" width="28.125" style="4" customWidth="1"/>
    <col min="11013" max="11022" width="15.25" style="4" customWidth="1"/>
    <col min="11023" max="11266" width="10.5" style="4"/>
    <col min="11267" max="11267" width="1.5" style="4" customWidth="1"/>
    <col min="11268" max="11268" width="28.125" style="4" customWidth="1"/>
    <col min="11269" max="11278" width="15.25" style="4" customWidth="1"/>
    <col min="11279" max="11522" width="10.5" style="4"/>
    <col min="11523" max="11523" width="1.5" style="4" customWidth="1"/>
    <col min="11524" max="11524" width="28.125" style="4" customWidth="1"/>
    <col min="11525" max="11534" width="15.25" style="4" customWidth="1"/>
    <col min="11535" max="11778" width="10.5" style="4"/>
    <col min="11779" max="11779" width="1.5" style="4" customWidth="1"/>
    <col min="11780" max="11780" width="28.125" style="4" customWidth="1"/>
    <col min="11781" max="11790" width="15.25" style="4" customWidth="1"/>
    <col min="11791" max="12034" width="10.5" style="4"/>
    <col min="12035" max="12035" width="1.5" style="4" customWidth="1"/>
    <col min="12036" max="12036" width="28.125" style="4" customWidth="1"/>
    <col min="12037" max="12046" width="15.25" style="4" customWidth="1"/>
    <col min="12047" max="12290" width="10.5" style="4"/>
    <col min="12291" max="12291" width="1.5" style="4" customWidth="1"/>
    <col min="12292" max="12292" width="28.125" style="4" customWidth="1"/>
    <col min="12293" max="12302" width="15.25" style="4" customWidth="1"/>
    <col min="12303" max="12546" width="10.5" style="4"/>
    <col min="12547" max="12547" width="1.5" style="4" customWidth="1"/>
    <col min="12548" max="12548" width="28.125" style="4" customWidth="1"/>
    <col min="12549" max="12558" width="15.25" style="4" customWidth="1"/>
    <col min="12559" max="12802" width="10.5" style="4"/>
    <col min="12803" max="12803" width="1.5" style="4" customWidth="1"/>
    <col min="12804" max="12804" width="28.125" style="4" customWidth="1"/>
    <col min="12805" max="12814" width="15.25" style="4" customWidth="1"/>
    <col min="12815" max="13058" width="10.5" style="4"/>
    <col min="13059" max="13059" width="1.5" style="4" customWidth="1"/>
    <col min="13060" max="13060" width="28.125" style="4" customWidth="1"/>
    <col min="13061" max="13070" width="15.25" style="4" customWidth="1"/>
    <col min="13071" max="13314" width="10.5" style="4"/>
    <col min="13315" max="13315" width="1.5" style="4" customWidth="1"/>
    <col min="13316" max="13316" width="28.125" style="4" customWidth="1"/>
    <col min="13317" max="13326" width="15.25" style="4" customWidth="1"/>
    <col min="13327" max="13570" width="10.5" style="4"/>
    <col min="13571" max="13571" width="1.5" style="4" customWidth="1"/>
    <col min="13572" max="13572" width="28.125" style="4" customWidth="1"/>
    <col min="13573" max="13582" width="15.25" style="4" customWidth="1"/>
    <col min="13583" max="13826" width="10.5" style="4"/>
    <col min="13827" max="13827" width="1.5" style="4" customWidth="1"/>
    <col min="13828" max="13828" width="28.125" style="4" customWidth="1"/>
    <col min="13829" max="13838" width="15.25" style="4" customWidth="1"/>
    <col min="13839" max="14082" width="10.5" style="4"/>
    <col min="14083" max="14083" width="1.5" style="4" customWidth="1"/>
    <col min="14084" max="14084" width="28.125" style="4" customWidth="1"/>
    <col min="14085" max="14094" width="15.25" style="4" customWidth="1"/>
    <col min="14095" max="14338" width="10.5" style="4"/>
    <col min="14339" max="14339" width="1.5" style="4" customWidth="1"/>
    <col min="14340" max="14340" width="28.125" style="4" customWidth="1"/>
    <col min="14341" max="14350" width="15.25" style="4" customWidth="1"/>
    <col min="14351" max="14594" width="10.5" style="4"/>
    <col min="14595" max="14595" width="1.5" style="4" customWidth="1"/>
    <col min="14596" max="14596" width="28.125" style="4" customWidth="1"/>
    <col min="14597" max="14606" width="15.25" style="4" customWidth="1"/>
    <col min="14607" max="14850" width="10.5" style="4"/>
    <col min="14851" max="14851" width="1.5" style="4" customWidth="1"/>
    <col min="14852" max="14852" width="28.125" style="4" customWidth="1"/>
    <col min="14853" max="14862" width="15.25" style="4" customWidth="1"/>
    <col min="14863" max="15106" width="10.5" style="4"/>
    <col min="15107" max="15107" width="1.5" style="4" customWidth="1"/>
    <col min="15108" max="15108" width="28.125" style="4" customWidth="1"/>
    <col min="15109" max="15118" width="15.25" style="4" customWidth="1"/>
    <col min="15119" max="15362" width="10.5" style="4"/>
    <col min="15363" max="15363" width="1.5" style="4" customWidth="1"/>
    <col min="15364" max="15364" width="28.125" style="4" customWidth="1"/>
    <col min="15365" max="15374" width="15.25" style="4" customWidth="1"/>
    <col min="15375" max="15618" width="10.5" style="4"/>
    <col min="15619" max="15619" width="1.5" style="4" customWidth="1"/>
    <col min="15620" max="15620" width="28.125" style="4" customWidth="1"/>
    <col min="15621" max="15630" width="15.25" style="4" customWidth="1"/>
    <col min="15631" max="15874" width="10.5" style="4"/>
    <col min="15875" max="15875" width="1.5" style="4" customWidth="1"/>
    <col min="15876" max="15876" width="28.125" style="4" customWidth="1"/>
    <col min="15877" max="15886" width="15.25" style="4" customWidth="1"/>
    <col min="15887" max="16130" width="10.5" style="4"/>
    <col min="16131" max="16131" width="1.5" style="4" customWidth="1"/>
    <col min="16132" max="16132" width="28.125" style="4" customWidth="1"/>
    <col min="16133" max="16142" width="15.25" style="4" customWidth="1"/>
    <col min="16143" max="16384" width="10.5" style="4"/>
  </cols>
  <sheetData>
    <row r="1" spans="1:23" x14ac:dyDescent="0.25">
      <c r="P1" s="5" t="s">
        <v>818</v>
      </c>
      <c r="Q1" s="5" t="s">
        <v>249</v>
      </c>
      <c r="R1" s="6" t="s">
        <v>249</v>
      </c>
      <c r="S1" s="6"/>
    </row>
    <row r="2" spans="1:23" ht="30" x14ac:dyDescent="0.25">
      <c r="C2" s="7" t="s">
        <v>819</v>
      </c>
      <c r="D2" s="8" t="s">
        <v>820</v>
      </c>
      <c r="E2" s="8" t="s">
        <v>821</v>
      </c>
      <c r="F2" s="8" t="s">
        <v>822</v>
      </c>
      <c r="G2" s="9" t="s">
        <v>823</v>
      </c>
      <c r="H2" s="8" t="s">
        <v>824</v>
      </c>
      <c r="I2" s="8" t="s">
        <v>825</v>
      </c>
      <c r="J2" s="8" t="s">
        <v>826</v>
      </c>
      <c r="K2" s="10" t="s">
        <v>827</v>
      </c>
      <c r="L2" s="11" t="s">
        <v>828</v>
      </c>
      <c r="M2" s="12" t="s">
        <v>829</v>
      </c>
      <c r="N2" s="13" t="s">
        <v>827</v>
      </c>
      <c r="O2" s="14" t="s">
        <v>830</v>
      </c>
      <c r="P2" s="14" t="s">
        <v>831</v>
      </c>
      <c r="Q2" s="15" t="s">
        <v>831</v>
      </c>
      <c r="R2" s="16" t="s">
        <v>832</v>
      </c>
      <c r="S2" s="17" t="s">
        <v>833</v>
      </c>
    </row>
    <row r="3" spans="1:23" x14ac:dyDescent="0.25">
      <c r="C3" s="18" t="s">
        <v>834</v>
      </c>
      <c r="D3" s="19">
        <f>SUM(D4:D25)</f>
        <v>342214185.07000005</v>
      </c>
      <c r="E3" s="19">
        <f>SUM(E4:E25)</f>
        <v>339012342.31</v>
      </c>
      <c r="F3" s="20">
        <v>-349574520.50999999</v>
      </c>
      <c r="G3" s="21">
        <f t="shared" ref="G3:Q3" si="0">SUM(G4:G25)</f>
        <v>344571992.01999992</v>
      </c>
      <c r="H3" s="21">
        <f t="shared" si="0"/>
        <v>0</v>
      </c>
      <c r="I3" s="21">
        <f t="shared" si="0"/>
        <v>13150662.51</v>
      </c>
      <c r="J3" s="21">
        <f t="shared" si="0"/>
        <v>18698098.699999999</v>
      </c>
      <c r="K3" s="21">
        <f t="shared" si="0"/>
        <v>376420753.22999996</v>
      </c>
      <c r="L3" s="21"/>
      <c r="M3" s="22"/>
      <c r="N3" s="21">
        <f t="shared" si="0"/>
        <v>376420753.22999996</v>
      </c>
      <c r="O3" s="21">
        <f t="shared" si="0"/>
        <v>-33453003.270000003</v>
      </c>
      <c r="P3" s="21">
        <f t="shared" si="0"/>
        <v>10000</v>
      </c>
      <c r="Q3" s="21">
        <f t="shared" si="0"/>
        <v>380816446.38</v>
      </c>
      <c r="R3" s="21">
        <f>SUM(R4:R25)</f>
        <v>401474854.31925499</v>
      </c>
      <c r="S3" s="21"/>
      <c r="T3" s="23"/>
      <c r="U3" s="23"/>
    </row>
    <row r="4" spans="1:23" hidden="1" outlineLevel="1" x14ac:dyDescent="0.25">
      <c r="A4" s="4" t="s">
        <v>835</v>
      </c>
      <c r="B4" s="4" t="s">
        <v>836</v>
      </c>
      <c r="C4" s="24" t="s">
        <v>837</v>
      </c>
      <c r="D4" s="25">
        <v>0</v>
      </c>
      <c r="E4" s="25">
        <v>25000</v>
      </c>
      <c r="F4" s="26">
        <v>-25000</v>
      </c>
      <c r="G4" s="25">
        <f>IFERROR(VLOOKUP(C4,'[18]ENE-OCT 2021'!$B$3:$D$225,3,FALSE),0)</f>
        <v>0</v>
      </c>
      <c r="H4" s="25">
        <f>(IFERROR(VLOOKUP(C4,'[19]2020'!$D$2:$E$227,2,FALSE),0)*-1)</f>
        <v>0</v>
      </c>
      <c r="I4" s="25">
        <f>(IFERROR(VLOOKUP(C4,'[19]2020'!$D$2:$G$227,4,FALSE),0)*-1)</f>
        <v>0</v>
      </c>
      <c r="J4" s="25">
        <f>(IFERROR(VLOOKUP(C4,'[19]2020'!$D$2:$I$227,6,FALSE),0)*-1)</f>
        <v>0</v>
      </c>
      <c r="K4" s="25">
        <f>G4+H4+I4+J4</f>
        <v>0</v>
      </c>
      <c r="L4" s="25"/>
      <c r="M4" s="27"/>
      <c r="N4" s="25">
        <f t="shared" ref="N4:N25" si="1">IF(M4=1,(K4*1.0395),K4+L4)</f>
        <v>0</v>
      </c>
      <c r="O4" s="25">
        <v>-25000</v>
      </c>
      <c r="P4" s="28">
        <v>0</v>
      </c>
      <c r="Q4" s="28">
        <v>20000</v>
      </c>
      <c r="R4" s="29">
        <v>20000</v>
      </c>
      <c r="S4" s="29" t="s">
        <v>838</v>
      </c>
      <c r="T4" s="54">
        <f>+R4+F4</f>
        <v>-5000</v>
      </c>
    </row>
    <row r="5" spans="1:23" hidden="1" outlineLevel="1" x14ac:dyDescent="0.25">
      <c r="A5" s="4" t="s">
        <v>839</v>
      </c>
      <c r="B5" s="4" t="s">
        <v>836</v>
      </c>
      <c r="C5" s="24" t="s">
        <v>840</v>
      </c>
      <c r="D5" s="30">
        <v>5125.6000000000004</v>
      </c>
      <c r="E5" s="25">
        <v>902972.08</v>
      </c>
      <c r="F5" s="26">
        <v>-250000</v>
      </c>
      <c r="G5" s="25">
        <f>IFERROR(VLOOKUP(C5,'[18]ENE-OCT 2021'!$B$3:$D$225,3,FALSE),0)</f>
        <v>13271</v>
      </c>
      <c r="H5" s="25"/>
      <c r="I5" s="25">
        <v>8000</v>
      </c>
      <c r="J5" s="25">
        <v>7000</v>
      </c>
      <c r="K5" s="25">
        <f t="shared" ref="K5:K68" si="2">G5+H5+I5+J5</f>
        <v>28271</v>
      </c>
      <c r="L5" s="25"/>
      <c r="M5" s="27"/>
      <c r="N5" s="25">
        <f t="shared" si="1"/>
        <v>28271</v>
      </c>
      <c r="O5" s="25">
        <v>-236945</v>
      </c>
      <c r="P5" s="28">
        <v>0</v>
      </c>
      <c r="Q5" s="28">
        <v>50000</v>
      </c>
      <c r="R5" s="29">
        <v>50000</v>
      </c>
      <c r="S5" s="29" t="s">
        <v>838</v>
      </c>
      <c r="T5" s="54">
        <f t="shared" ref="T5:T25" si="3">+R5+F5</f>
        <v>-200000</v>
      </c>
    </row>
    <row r="6" spans="1:23" hidden="1" outlineLevel="1" x14ac:dyDescent="0.25">
      <c r="A6" s="4" t="s">
        <v>839</v>
      </c>
      <c r="B6" s="4" t="s">
        <v>836</v>
      </c>
      <c r="C6" s="24" t="s">
        <v>841</v>
      </c>
      <c r="D6" s="25">
        <v>487886</v>
      </c>
      <c r="E6" s="25">
        <v>887285.28</v>
      </c>
      <c r="F6" s="26">
        <v>-427890</v>
      </c>
      <c r="G6" s="25">
        <f>IFERROR(VLOOKUP(C6,'[18]ENE-OCT 2021'!$B$3:$D$225,3,FALSE),0)</f>
        <v>100276.64</v>
      </c>
      <c r="H6" s="25"/>
      <c r="I6" s="25">
        <v>15000</v>
      </c>
      <c r="J6" s="25">
        <v>15000</v>
      </c>
      <c r="K6" s="25">
        <f t="shared" si="2"/>
        <v>130276.64</v>
      </c>
      <c r="L6" s="25"/>
      <c r="M6" s="27"/>
      <c r="N6" s="25">
        <f t="shared" si="1"/>
        <v>130276.64</v>
      </c>
      <c r="O6" s="25">
        <v>-367938.56</v>
      </c>
      <c r="P6" s="28">
        <v>0</v>
      </c>
      <c r="Q6" s="28">
        <v>120000</v>
      </c>
      <c r="R6" s="29">
        <v>150000</v>
      </c>
      <c r="S6" s="29" t="s">
        <v>838</v>
      </c>
      <c r="T6" s="54">
        <f t="shared" si="3"/>
        <v>-277890</v>
      </c>
    </row>
    <row r="7" spans="1:23" hidden="1" outlineLevel="1" x14ac:dyDescent="0.25">
      <c r="A7" s="4" t="s">
        <v>842</v>
      </c>
      <c r="B7" s="4" t="s">
        <v>836</v>
      </c>
      <c r="C7" s="24" t="s">
        <v>843</v>
      </c>
      <c r="D7" s="25">
        <v>1321672.05</v>
      </c>
      <c r="E7" s="25">
        <v>3509146.99</v>
      </c>
      <c r="F7" s="26">
        <v>-2509146.9900000002</v>
      </c>
      <c r="G7" s="25">
        <f>IFERROR(VLOOKUP(C7,'[18]ENE-OCT 2021'!$B$3:$D$225,3,FALSE),0)</f>
        <v>1645836.15</v>
      </c>
      <c r="H7" s="25"/>
      <c r="I7" s="25">
        <f>(IFERROR(VLOOKUP(C7,'[19]2020'!$D$2:$G$227,4,FALSE),0)*-1)</f>
        <v>72651</v>
      </c>
      <c r="J7" s="25">
        <f>(IFERROR(VLOOKUP(C7,'[19]2020'!$D$2:$I$227,6,FALSE),0)*-1)</f>
        <v>89277</v>
      </c>
      <c r="K7" s="25">
        <f t="shared" si="2"/>
        <v>1807764.15</v>
      </c>
      <c r="L7" s="25"/>
      <c r="M7" s="27"/>
      <c r="N7" s="25">
        <f t="shared" si="1"/>
        <v>1807764.15</v>
      </c>
      <c r="O7" s="25">
        <v>-1279999.67</v>
      </c>
      <c r="P7" s="28">
        <v>0</v>
      </c>
      <c r="Q7" s="28">
        <v>2100000</v>
      </c>
      <c r="R7" s="29">
        <v>2000000</v>
      </c>
      <c r="S7" s="29" t="s">
        <v>838</v>
      </c>
      <c r="T7" s="54">
        <f t="shared" si="3"/>
        <v>-509146.99000000022</v>
      </c>
    </row>
    <row r="8" spans="1:23" hidden="1" outlineLevel="1" x14ac:dyDescent="0.25">
      <c r="B8" s="4" t="s">
        <v>836</v>
      </c>
      <c r="C8" s="24" t="s">
        <v>844</v>
      </c>
      <c r="D8" s="25">
        <v>180044494.69999999</v>
      </c>
      <c r="E8" s="25">
        <v>188494532.86000001</v>
      </c>
      <c r="F8" s="26">
        <v>-190290422.63</v>
      </c>
      <c r="G8" s="25">
        <f>IFERROR(VLOOKUP(C8,'[18]ENE-OCT 2021'!$B$3:$D$225,3,FALSE),0)</f>
        <v>190640726.28999999</v>
      </c>
      <c r="H8" s="25"/>
      <c r="I8" s="25">
        <f>(IFERROR(VLOOKUP(C8,'[19]2020'!$D$2:$G$227,4,FALSE),0)*-1)</f>
        <v>703081.4</v>
      </c>
      <c r="J8" s="25">
        <f>(IFERROR(VLOOKUP(C8,'[19]2020'!$D$2:$I$227,6,FALSE),0)*-1)</f>
        <v>313637.98</v>
      </c>
      <c r="K8" s="25">
        <f t="shared" si="2"/>
        <v>191657445.66999999</v>
      </c>
      <c r="L8" s="25"/>
      <c r="M8" s="27"/>
      <c r="N8" s="25">
        <f t="shared" si="1"/>
        <v>191657445.66999999</v>
      </c>
      <c r="O8" s="25">
        <v>-1022387.14</v>
      </c>
      <c r="P8" s="28">
        <v>0</v>
      </c>
      <c r="Q8" s="29">
        <v>205290422.63</v>
      </c>
      <c r="R8" s="29">
        <f>'[19]IMPUESTO PREDIAL'!O2</f>
        <v>225522544.85600001</v>
      </c>
      <c r="S8" s="29" t="s">
        <v>838</v>
      </c>
      <c r="T8" s="54">
        <f t="shared" si="3"/>
        <v>35232122.226000011</v>
      </c>
      <c r="U8" s="4">
        <v>41000000</v>
      </c>
      <c r="V8" s="4">
        <f>U8*0.7</f>
        <v>28700000</v>
      </c>
      <c r="W8" s="23">
        <f>R8-N8</f>
        <v>33865099.186000019</v>
      </c>
    </row>
    <row r="9" spans="1:23" hidden="1" outlineLevel="1" x14ac:dyDescent="0.25">
      <c r="B9" s="4" t="s">
        <v>836</v>
      </c>
      <c r="C9" s="24" t="s">
        <v>845</v>
      </c>
      <c r="D9" s="25">
        <v>2578936.2200000002</v>
      </c>
      <c r="E9" s="25">
        <v>2699779.04</v>
      </c>
      <c r="F9" s="26">
        <v>-2922583.78</v>
      </c>
      <c r="G9" s="25">
        <f>IFERROR(VLOOKUP(C9,'[18]ENE-OCT 2021'!$B$3:$D$225,3,FALSE),0)</f>
        <v>2595365.38</v>
      </c>
      <c r="H9" s="25"/>
      <c r="I9" s="25">
        <f>(IFERROR(VLOOKUP(C9,'[19]2020'!$D$2:$G$227,4,FALSE),0)*-1)</f>
        <v>6646.12</v>
      </c>
      <c r="J9" s="25">
        <f>(IFERROR(VLOOKUP(C9,'[19]2020'!$D$2:$I$227,6,FALSE),0)*-1)</f>
        <v>7246.09</v>
      </c>
      <c r="K9" s="25">
        <f t="shared" si="2"/>
        <v>2609257.59</v>
      </c>
      <c r="L9" s="25"/>
      <c r="M9" s="27"/>
      <c r="N9" s="25">
        <f t="shared" si="1"/>
        <v>2609257.59</v>
      </c>
      <c r="O9" s="25">
        <v>-329667.67</v>
      </c>
      <c r="P9" s="28">
        <v>0</v>
      </c>
      <c r="Q9" s="29">
        <v>2624685</v>
      </c>
      <c r="R9" s="29">
        <f>'[19]IMPUESTO PREDIAL'!O3</f>
        <v>2712323.2648050007</v>
      </c>
      <c r="S9" s="29" t="s">
        <v>838</v>
      </c>
      <c r="T9" s="54">
        <f t="shared" si="3"/>
        <v>-210260.51519499905</v>
      </c>
    </row>
    <row r="10" spans="1:23" hidden="1" outlineLevel="1" x14ac:dyDescent="0.25">
      <c r="B10" s="4" t="s">
        <v>836</v>
      </c>
      <c r="C10" s="24" t="s">
        <v>846</v>
      </c>
      <c r="D10" s="25">
        <v>51028693.590000004</v>
      </c>
      <c r="E10" s="25">
        <v>49713376.759999998</v>
      </c>
      <c r="F10" s="26">
        <v>-56677673.539999999</v>
      </c>
      <c r="G10" s="25">
        <f>IFERROR(VLOOKUP(C10,'[18]ENE-OCT 2021'!$B$3:$D$225,3,FALSE),0)</f>
        <v>49387624.07</v>
      </c>
      <c r="H10" s="25"/>
      <c r="I10" s="25">
        <f>(IFERROR(VLOOKUP(C10,'[19]2020'!$D$2:$G$227,4,FALSE),0)*-1)</f>
        <v>4150813.65</v>
      </c>
      <c r="J10" s="25">
        <f>(IFERROR(VLOOKUP(C10,'[19]2020'!$D$2:$I$227,6,FALSE),0)*-1)</f>
        <v>11209923.039999999</v>
      </c>
      <c r="K10" s="25">
        <f t="shared" si="2"/>
        <v>64748360.759999998</v>
      </c>
      <c r="L10" s="25"/>
      <c r="M10" s="27"/>
      <c r="N10" s="25">
        <f t="shared" si="1"/>
        <v>64748360.759999998</v>
      </c>
      <c r="O10" s="25">
        <v>-15819244.34</v>
      </c>
      <c r="P10" s="28">
        <v>0</v>
      </c>
      <c r="Q10" s="29">
        <v>60000000</v>
      </c>
      <c r="R10" s="29">
        <f>'[19]IMPUESTO PREDIAL'!O4</f>
        <v>60000000</v>
      </c>
      <c r="S10" s="29" t="s">
        <v>838</v>
      </c>
      <c r="T10" s="54">
        <f t="shared" si="3"/>
        <v>3322326.4600000009</v>
      </c>
    </row>
    <row r="11" spans="1:23" hidden="1" outlineLevel="1" x14ac:dyDescent="0.25">
      <c r="B11" s="4" t="s">
        <v>836</v>
      </c>
      <c r="C11" s="24" t="s">
        <v>847</v>
      </c>
      <c r="D11" s="25">
        <v>975594.33</v>
      </c>
      <c r="E11" s="25">
        <v>958997.4</v>
      </c>
      <c r="F11" s="26">
        <v>-1647688.26</v>
      </c>
      <c r="G11" s="25">
        <f>IFERROR(VLOOKUP(C11,'[18]ENE-OCT 2021'!$B$3:$D$225,3,FALSE),0)</f>
        <v>1289758.75</v>
      </c>
      <c r="H11" s="25"/>
      <c r="I11" s="25">
        <f>(IFERROR(VLOOKUP(C11,'[19]2020'!$D$2:$G$227,4,FALSE),0)*-1)</f>
        <v>71476.710000000006</v>
      </c>
      <c r="J11" s="25">
        <f>(IFERROR(VLOOKUP(C11,'[19]2020'!$D$2:$I$227,6,FALSE),0)*-1)</f>
        <v>156269.56</v>
      </c>
      <c r="K11" s="25">
        <f t="shared" si="2"/>
        <v>1517505.02</v>
      </c>
      <c r="L11" s="25"/>
      <c r="M11" s="27"/>
      <c r="N11" s="25">
        <f t="shared" si="1"/>
        <v>1517505.02</v>
      </c>
      <c r="O11" s="25">
        <v>-594094.61</v>
      </c>
      <c r="P11" s="28">
        <v>0</v>
      </c>
      <c r="Q11" s="29">
        <v>0</v>
      </c>
      <c r="R11" s="29">
        <f>'[19]IMPUESTO PREDIAL'!O5</f>
        <v>1577446.4682900002</v>
      </c>
      <c r="S11" s="29" t="s">
        <v>838</v>
      </c>
      <c r="T11" s="54">
        <f t="shared" si="3"/>
        <v>-70241.791709999787</v>
      </c>
    </row>
    <row r="12" spans="1:23" hidden="1" outlineLevel="1" x14ac:dyDescent="0.25">
      <c r="B12" s="4" t="s">
        <v>836</v>
      </c>
      <c r="C12" s="24" t="s">
        <v>848</v>
      </c>
      <c r="D12" s="25">
        <v>0</v>
      </c>
      <c r="E12" s="25">
        <v>28672.16</v>
      </c>
      <c r="F12" s="26">
        <v>-750000</v>
      </c>
      <c r="G12" s="25">
        <f>IFERROR(VLOOKUP(C12,'[18]ENE-OCT 2021'!$B$3:$D$225,3,FALSE),0)</f>
        <v>1483383.98</v>
      </c>
      <c r="H12" s="25"/>
      <c r="I12" s="25">
        <v>80000</v>
      </c>
      <c r="J12" s="25">
        <v>100000</v>
      </c>
      <c r="K12" s="25">
        <f t="shared" si="2"/>
        <v>1663383.98</v>
      </c>
      <c r="L12" s="25"/>
      <c r="M12" s="27"/>
      <c r="N12" s="25">
        <f t="shared" si="1"/>
        <v>1663383.98</v>
      </c>
      <c r="O12" s="25">
        <v>377104.24</v>
      </c>
      <c r="P12" s="28">
        <v>0</v>
      </c>
      <c r="Q12" s="28">
        <v>1700000</v>
      </c>
      <c r="R12" s="29">
        <v>1650000</v>
      </c>
      <c r="S12" s="29" t="s">
        <v>838</v>
      </c>
      <c r="T12" s="54">
        <f t="shared" si="3"/>
        <v>900000</v>
      </c>
    </row>
    <row r="13" spans="1:23" hidden="1" outlineLevel="1" x14ac:dyDescent="0.25">
      <c r="B13" s="4" t="s">
        <v>836</v>
      </c>
      <c r="C13" s="24" t="s">
        <v>849</v>
      </c>
      <c r="D13" s="25">
        <v>0</v>
      </c>
      <c r="E13" s="25">
        <v>240736.46</v>
      </c>
      <c r="F13" s="26">
        <v>-240736.46</v>
      </c>
      <c r="G13" s="25">
        <f>IFERROR(VLOOKUP(C13,'[18]ENE-OCT 2021'!$B$3:$D$225,3,FALSE),0)</f>
        <v>240238.93</v>
      </c>
      <c r="H13" s="25"/>
      <c r="I13" s="25">
        <v>5000</v>
      </c>
      <c r="J13" s="25">
        <v>10000</v>
      </c>
      <c r="K13" s="25">
        <f t="shared" si="2"/>
        <v>255238.93</v>
      </c>
      <c r="L13" s="25"/>
      <c r="M13" s="27"/>
      <c r="N13" s="25">
        <f t="shared" si="1"/>
        <v>255238.93</v>
      </c>
      <c r="O13" s="25">
        <v>-13493.78</v>
      </c>
      <c r="P13" s="28">
        <v>0</v>
      </c>
      <c r="Q13" s="28">
        <v>250000</v>
      </c>
      <c r="R13" s="29">
        <v>260000</v>
      </c>
      <c r="S13" s="29" t="s">
        <v>838</v>
      </c>
      <c r="T13" s="54">
        <f t="shared" si="3"/>
        <v>19263.540000000008</v>
      </c>
    </row>
    <row r="14" spans="1:23" hidden="1" outlineLevel="1" x14ac:dyDescent="0.25">
      <c r="B14" s="4" t="s">
        <v>836</v>
      </c>
      <c r="C14" s="24" t="s">
        <v>850</v>
      </c>
      <c r="D14" s="25">
        <v>2915628.65</v>
      </c>
      <c r="E14" s="25">
        <v>2686823.29</v>
      </c>
      <c r="F14" s="26">
        <v>-2915628.65</v>
      </c>
      <c r="G14" s="25">
        <f>IFERROR(VLOOKUP(C14,'[18]ENE-OCT 2021'!$B$3:$D$225,3,FALSE),0)</f>
        <v>3229520.68</v>
      </c>
      <c r="H14" s="25"/>
      <c r="I14" s="25">
        <f>(IFERROR(VLOOKUP(C14,'[19]2020'!$D$2:$G$227,4,FALSE),0)*-1)</f>
        <v>102830.12</v>
      </c>
      <c r="J14" s="25">
        <f>(IFERROR(VLOOKUP(C14,'[19]2020'!$D$2:$I$227,6,FALSE),0)*-1)</f>
        <v>190751.22</v>
      </c>
      <c r="K14" s="25">
        <f t="shared" si="2"/>
        <v>3523102.0200000005</v>
      </c>
      <c r="L14" s="25"/>
      <c r="M14" s="27"/>
      <c r="N14" s="25">
        <f t="shared" si="1"/>
        <v>3523102.0200000005</v>
      </c>
      <c r="O14" s="25">
        <v>-46871.65</v>
      </c>
      <c r="P14" s="28">
        <v>0</v>
      </c>
      <c r="Q14" s="28">
        <v>3500000</v>
      </c>
      <c r="R14" s="29">
        <v>3700000</v>
      </c>
      <c r="S14" s="29" t="s">
        <v>838</v>
      </c>
      <c r="T14" s="54">
        <f t="shared" si="3"/>
        <v>784371.35000000009</v>
      </c>
    </row>
    <row r="15" spans="1:23" hidden="1" outlineLevel="1" x14ac:dyDescent="0.25">
      <c r="B15" s="4" t="s">
        <v>836</v>
      </c>
      <c r="C15" s="24" t="s">
        <v>851</v>
      </c>
      <c r="D15" s="25">
        <v>8126823.7300000004</v>
      </c>
      <c r="E15" s="25">
        <v>8704458.6899999995</v>
      </c>
      <c r="F15" s="26">
        <v>-8704459</v>
      </c>
      <c r="G15" s="25">
        <f>IFERROR(VLOOKUP(C15,'[18]ENE-OCT 2021'!$B$3:$D$225,3,FALSE),0)</f>
        <v>2388996.5099999998</v>
      </c>
      <c r="H15" s="25"/>
      <c r="I15" s="25">
        <f>(IFERROR(VLOOKUP(C15,'[19]2020'!$D$2:$G$227,4,FALSE),0)*-1)</f>
        <v>592131.06000000006</v>
      </c>
      <c r="J15" s="25">
        <f>(IFERROR(VLOOKUP(C15,'[19]2020'!$D$2:$I$227,6,FALSE),0)*-1)</f>
        <v>115525.05</v>
      </c>
      <c r="K15" s="25">
        <f t="shared" si="2"/>
        <v>3096652.6199999996</v>
      </c>
      <c r="L15" s="25"/>
      <c r="M15" s="27"/>
      <c r="N15" s="25">
        <f t="shared" si="1"/>
        <v>3096652.6199999996</v>
      </c>
      <c r="O15" s="25">
        <v>-6853847.75</v>
      </c>
      <c r="P15" s="28">
        <v>0</v>
      </c>
      <c r="Q15" s="28">
        <v>6126823.7300000004</v>
      </c>
      <c r="R15" s="28">
        <v>5126823.7300000004</v>
      </c>
      <c r="S15" s="29" t="s">
        <v>838</v>
      </c>
      <c r="T15" s="54">
        <f t="shared" si="3"/>
        <v>-3577635.2699999996</v>
      </c>
    </row>
    <row r="16" spans="1:23" hidden="1" outlineLevel="1" x14ac:dyDescent="0.25">
      <c r="B16" s="4" t="s">
        <v>836</v>
      </c>
      <c r="C16" s="24" t="s">
        <v>852</v>
      </c>
      <c r="D16" s="25">
        <v>0</v>
      </c>
      <c r="E16" s="25">
        <v>10000</v>
      </c>
      <c r="F16" s="26">
        <v>-10000</v>
      </c>
      <c r="G16" s="25">
        <f>IFERROR(VLOOKUP(C16,'[18]ENE-OCT 2021'!$B$3:$D$225,3,FALSE),0)</f>
        <v>0</v>
      </c>
      <c r="H16" s="25"/>
      <c r="I16" s="25">
        <f>(IFERROR(VLOOKUP(C16,'[19]2020'!$D$2:$G$227,4,FALSE),0)*-1)</f>
        <v>0</v>
      </c>
      <c r="J16" s="25">
        <f>(IFERROR(VLOOKUP(C16,'[19]2020'!$D$2:$I$227,6,FALSE),0)*-1)</f>
        <v>0</v>
      </c>
      <c r="K16" s="25">
        <f t="shared" si="2"/>
        <v>0</v>
      </c>
      <c r="L16" s="25"/>
      <c r="M16" s="27"/>
      <c r="N16" s="25">
        <f t="shared" si="1"/>
        <v>0</v>
      </c>
      <c r="O16" s="25">
        <v>-10000</v>
      </c>
      <c r="P16" s="28">
        <v>10000</v>
      </c>
      <c r="Q16" s="28">
        <v>10000</v>
      </c>
      <c r="R16" s="29">
        <v>10000</v>
      </c>
      <c r="S16" s="29" t="s">
        <v>838</v>
      </c>
      <c r="T16" s="54">
        <f t="shared" si="3"/>
        <v>0</v>
      </c>
    </row>
    <row r="17" spans="2:20" hidden="1" outlineLevel="1" x14ac:dyDescent="0.25">
      <c r="B17" s="4" t="s">
        <v>836</v>
      </c>
      <c r="C17" s="24" t="s">
        <v>853</v>
      </c>
      <c r="D17" s="25">
        <v>76240472.180000007</v>
      </c>
      <c r="E17" s="25">
        <v>58794465.880000003</v>
      </c>
      <c r="F17" s="26">
        <v>-58794465.880000003</v>
      </c>
      <c r="G17" s="25">
        <f>IFERROR(VLOOKUP(C17,'[18]ENE-OCT 2021'!$B$3:$D$225,3,FALSE),0)</f>
        <v>66523093.700000003</v>
      </c>
      <c r="H17" s="25"/>
      <c r="I17" s="25">
        <f>[19]ISABI!F16</f>
        <v>6112568.7699999996</v>
      </c>
      <c r="J17" s="25">
        <f>[19]ISABI!F17</f>
        <v>4131489.32</v>
      </c>
      <c r="K17" s="25">
        <f t="shared" si="2"/>
        <v>76767151.789999992</v>
      </c>
      <c r="L17" s="25"/>
      <c r="M17" s="27"/>
      <c r="N17" s="25">
        <f t="shared" si="1"/>
        <v>76767151.789999992</v>
      </c>
      <c r="O17" s="25">
        <v>-4211420.5</v>
      </c>
      <c r="P17" s="28">
        <v>0</v>
      </c>
      <c r="Q17" s="29">
        <v>75000000</v>
      </c>
      <c r="R17" s="29">
        <v>70000000</v>
      </c>
      <c r="S17" s="29" t="s">
        <v>838</v>
      </c>
      <c r="T17" s="54">
        <f t="shared" si="3"/>
        <v>11205534.119999997</v>
      </c>
    </row>
    <row r="18" spans="2:20" hidden="1" outlineLevel="1" x14ac:dyDescent="0.25">
      <c r="B18" s="4" t="s">
        <v>836</v>
      </c>
      <c r="C18" s="24" t="s">
        <v>854</v>
      </c>
      <c r="D18" s="25">
        <v>180911.17</v>
      </c>
      <c r="E18" s="25">
        <v>100000</v>
      </c>
      <c r="F18" s="26">
        <v>-200000</v>
      </c>
      <c r="G18" s="25">
        <f>IFERROR(VLOOKUP(C18,'[18]ENE-OCT 2021'!$B$3:$D$225,3,FALSE),0)</f>
        <v>237132.92</v>
      </c>
      <c r="H18" s="25"/>
      <c r="I18" s="25">
        <f>(IFERROR(VLOOKUP(C18,'[19]2020'!$D$2:$G$227,4,FALSE),0)*-1)</f>
        <v>7988.18</v>
      </c>
      <c r="J18" s="25">
        <f>(IFERROR(VLOOKUP(C18,'[19]2020'!$D$2:$I$227,6,FALSE),0)*-1)</f>
        <v>14450.16</v>
      </c>
      <c r="K18" s="25">
        <f t="shared" si="2"/>
        <v>259571.26</v>
      </c>
      <c r="L18" s="25"/>
      <c r="M18" s="27"/>
      <c r="N18" s="25">
        <f t="shared" si="1"/>
        <v>259571.26</v>
      </c>
      <c r="O18" s="25">
        <v>31378.9</v>
      </c>
      <c r="P18" s="28">
        <v>0</v>
      </c>
      <c r="Q18" s="28">
        <v>300000</v>
      </c>
      <c r="R18" s="29">
        <v>330000</v>
      </c>
      <c r="S18" s="29" t="s">
        <v>838</v>
      </c>
      <c r="T18" s="54">
        <f t="shared" si="3"/>
        <v>130000</v>
      </c>
    </row>
    <row r="19" spans="2:20" hidden="1" outlineLevel="1" x14ac:dyDescent="0.25">
      <c r="B19" s="4" t="s">
        <v>836</v>
      </c>
      <c r="C19" s="24" t="s">
        <v>855</v>
      </c>
      <c r="D19" s="25">
        <v>9758933.4199999999</v>
      </c>
      <c r="E19" s="25">
        <v>13664399.039999999</v>
      </c>
      <c r="F19" s="26">
        <v>-14664399.039999999</v>
      </c>
      <c r="G19" s="25">
        <f>IFERROR(VLOOKUP(C19,'[18]ENE-OCT 2021'!$B$3:$D$225,3,FALSE),0)</f>
        <v>15868068.33</v>
      </c>
      <c r="H19" s="25"/>
      <c r="I19" s="25">
        <f>(IFERROR(VLOOKUP(C19,'[19]2020'!$D$2:$G$227,4,FALSE),0)*-1)</f>
        <v>558233.25</v>
      </c>
      <c r="J19" s="25">
        <f>(IFERROR(VLOOKUP(C19,'[19]2020'!$D$2:$I$227,6,FALSE),0)*-1)</f>
        <v>1307478.1100000001</v>
      </c>
      <c r="K19" s="25">
        <f t="shared" si="2"/>
        <v>17733779.690000001</v>
      </c>
      <c r="L19" s="25"/>
      <c r="M19" s="27"/>
      <c r="N19" s="25">
        <f t="shared" si="1"/>
        <v>17733779.690000001</v>
      </c>
      <c r="O19" s="25">
        <v>-1750347.62</v>
      </c>
      <c r="P19" s="28">
        <v>0</v>
      </c>
      <c r="Q19" s="28">
        <v>15000000</v>
      </c>
      <c r="R19" s="29">
        <v>17522402.16573</v>
      </c>
      <c r="S19" s="29" t="s">
        <v>838</v>
      </c>
      <c r="T19" s="54">
        <f t="shared" si="3"/>
        <v>2858003.1257300004</v>
      </c>
    </row>
    <row r="20" spans="2:20" hidden="1" outlineLevel="1" x14ac:dyDescent="0.25">
      <c r="B20" s="4" t="s">
        <v>836</v>
      </c>
      <c r="C20" s="24" t="s">
        <v>856</v>
      </c>
      <c r="D20" s="25">
        <v>1596510.42</v>
      </c>
      <c r="E20" s="25">
        <v>1999565.27</v>
      </c>
      <c r="F20" s="26">
        <v>-1999565.27</v>
      </c>
      <c r="G20" s="25">
        <f>IFERROR(VLOOKUP(C20,'[18]ENE-OCT 2021'!$B$3:$D$225,3,FALSE),0)</f>
        <v>2159378.0299999998</v>
      </c>
      <c r="H20" s="25"/>
      <c r="I20" s="25">
        <f>(IFERROR(VLOOKUP(C20,'[19]2020'!$D$2:$G$227,4,FALSE),0)*-1)</f>
        <v>216988.09</v>
      </c>
      <c r="J20" s="25">
        <f>(IFERROR(VLOOKUP(C20,'[19]2020'!$D$2:$I$227,6,FALSE),0)*-1)</f>
        <v>82649.64</v>
      </c>
      <c r="K20" s="25">
        <f t="shared" si="2"/>
        <v>2459015.7599999998</v>
      </c>
      <c r="L20" s="25"/>
      <c r="M20" s="27"/>
      <c r="N20" s="25">
        <f t="shared" si="1"/>
        <v>2459015.7599999998</v>
      </c>
      <c r="O20" s="25">
        <v>-236856.43</v>
      </c>
      <c r="P20" s="28">
        <v>0</v>
      </c>
      <c r="Q20" s="28">
        <v>2000000</v>
      </c>
      <c r="R20" s="29">
        <v>2496297.6596250003</v>
      </c>
      <c r="S20" s="29" t="s">
        <v>838</v>
      </c>
      <c r="T20" s="54">
        <f t="shared" si="3"/>
        <v>496732.3896250003</v>
      </c>
    </row>
    <row r="21" spans="2:20" hidden="1" outlineLevel="1" x14ac:dyDescent="0.25">
      <c r="B21" s="4" t="s">
        <v>836</v>
      </c>
      <c r="C21" s="24" t="s">
        <v>857</v>
      </c>
      <c r="D21" s="25">
        <v>24515.02</v>
      </c>
      <c r="E21" s="25">
        <v>18632.34</v>
      </c>
      <c r="F21" s="26">
        <v>-24515</v>
      </c>
      <c r="G21" s="25">
        <f>IFERROR(VLOOKUP(C21,'[18]ENE-OCT 2021'!$B$3:$D$225,3,FALSE),0)</f>
        <v>17642.259999999998</v>
      </c>
      <c r="H21" s="25"/>
      <c r="I21" s="25">
        <f>(IFERROR(VLOOKUP(C21,'[19]2020'!$D$2:$G$227,4,FALSE),0)*-1)</f>
        <v>880.87</v>
      </c>
      <c r="J21" s="25">
        <f>(IFERROR(VLOOKUP(C21,'[19]2020'!$D$2:$I$227,6,FALSE),0)*-1)</f>
        <v>4167.72</v>
      </c>
      <c r="K21" s="25">
        <f t="shared" si="2"/>
        <v>22690.85</v>
      </c>
      <c r="L21" s="25"/>
      <c r="M21" s="27"/>
      <c r="N21" s="25">
        <f t="shared" si="1"/>
        <v>22690.85</v>
      </c>
      <c r="O21" s="25">
        <v>-8802.49</v>
      </c>
      <c r="P21" s="28">
        <v>0</v>
      </c>
      <c r="Q21" s="28">
        <v>24515.02</v>
      </c>
      <c r="R21" s="29">
        <v>21865.612230000002</v>
      </c>
      <c r="S21" s="29" t="s">
        <v>838</v>
      </c>
      <c r="T21" s="54">
        <f t="shared" si="3"/>
        <v>-2649.3877699999975</v>
      </c>
    </row>
    <row r="22" spans="2:20" hidden="1" outlineLevel="1" x14ac:dyDescent="0.25">
      <c r="B22" s="4" t="s">
        <v>836</v>
      </c>
      <c r="C22" s="24" t="s">
        <v>858</v>
      </c>
      <c r="D22" s="25">
        <v>2605940.9500000002</v>
      </c>
      <c r="E22" s="25">
        <v>2361663.11</v>
      </c>
      <c r="F22" s="26">
        <v>-2605940.9500000002</v>
      </c>
      <c r="G22" s="25">
        <f>IFERROR(VLOOKUP(C22,'[18]ENE-OCT 2021'!$B$3:$D$225,3,FALSE),0)</f>
        <v>1712723.76</v>
      </c>
      <c r="H22" s="25"/>
      <c r="I22" s="25">
        <f>(IFERROR(VLOOKUP(C22,'[19]2020'!$D$2:$G$227,4,FALSE),0)*-1)</f>
        <v>152256.16</v>
      </c>
      <c r="J22" s="25">
        <f>(IFERROR(VLOOKUP(C22,'[19]2020'!$D$2:$I$227,6,FALSE),0)*-1)</f>
        <v>142614.97</v>
      </c>
      <c r="K22" s="25">
        <f t="shared" si="2"/>
        <v>2007594.89</v>
      </c>
      <c r="L22" s="25"/>
      <c r="M22" s="27"/>
      <c r="N22" s="25">
        <f t="shared" si="1"/>
        <v>2007594.89</v>
      </c>
      <c r="O22" s="25">
        <v>-1214039.5900000001</v>
      </c>
      <c r="P22" s="28">
        <v>0</v>
      </c>
      <c r="Q22" s="28">
        <v>2200000</v>
      </c>
      <c r="R22" s="29">
        <v>2054464.3280699998</v>
      </c>
      <c r="S22" s="29" t="s">
        <v>838</v>
      </c>
      <c r="T22" s="54">
        <f t="shared" si="3"/>
        <v>-551476.62193000037</v>
      </c>
    </row>
    <row r="23" spans="2:20" hidden="1" outlineLevel="1" x14ac:dyDescent="0.25">
      <c r="B23" s="4" t="s">
        <v>836</v>
      </c>
      <c r="C23" s="24" t="s">
        <v>859</v>
      </c>
      <c r="D23" s="25">
        <v>3914405.06</v>
      </c>
      <c r="E23" s="25">
        <v>3211835.66</v>
      </c>
      <c r="F23" s="26">
        <v>-3914405.06</v>
      </c>
      <c r="G23" s="25">
        <f>IFERROR(VLOOKUP(C23,'[18]ENE-OCT 2021'!$B$3:$D$225,3,FALSE),0)</f>
        <v>5038954.6399999997</v>
      </c>
      <c r="H23" s="25"/>
      <c r="I23" s="25">
        <f>(IFERROR(VLOOKUP(C23,'[19]2020'!$D$2:$G$227,4,FALSE),0)*-1)</f>
        <v>294117.13</v>
      </c>
      <c r="J23" s="25">
        <f>(IFERROR(VLOOKUP(C23,'[19]2020'!$D$2:$I$227,6,FALSE),0)*-1)</f>
        <v>800618.84</v>
      </c>
      <c r="K23" s="25">
        <f t="shared" si="2"/>
        <v>6133690.6099999994</v>
      </c>
      <c r="L23" s="25"/>
      <c r="M23" s="27"/>
      <c r="N23" s="25">
        <f t="shared" si="1"/>
        <v>6133690.6099999994</v>
      </c>
      <c r="O23" s="25">
        <v>159470.39000000001</v>
      </c>
      <c r="P23" s="28">
        <v>0</v>
      </c>
      <c r="Q23" s="28">
        <v>4500000</v>
      </c>
      <c r="R23" s="29">
        <v>6270686.2345049996</v>
      </c>
      <c r="S23" s="29" t="s">
        <v>838</v>
      </c>
      <c r="T23" s="54">
        <f t="shared" si="3"/>
        <v>2356281.1745049995</v>
      </c>
    </row>
    <row r="24" spans="2:20" hidden="1" outlineLevel="1" x14ac:dyDescent="0.25">
      <c r="B24" s="4" t="s">
        <v>836</v>
      </c>
      <c r="C24" s="24" t="s">
        <v>860</v>
      </c>
      <c r="D24" s="25">
        <v>169005.16</v>
      </c>
      <c r="E24" s="25">
        <v>0</v>
      </c>
      <c r="F24" s="31">
        <v>0</v>
      </c>
      <c r="G24" s="25">
        <f>IFERROR(VLOOKUP(C24,'[18]ENE-OCT 2021'!$B$3:$D$225,3,FALSE),0)</f>
        <v>0</v>
      </c>
      <c r="H24" s="25">
        <v>0</v>
      </c>
      <c r="I24" s="25">
        <v>0</v>
      </c>
      <c r="J24" s="25">
        <v>0</v>
      </c>
      <c r="K24" s="25">
        <f t="shared" si="2"/>
        <v>0</v>
      </c>
      <c r="L24" s="25"/>
      <c r="M24" s="27"/>
      <c r="N24" s="25">
        <f t="shared" si="1"/>
        <v>0</v>
      </c>
      <c r="O24" s="25">
        <v>0</v>
      </c>
      <c r="P24" s="28">
        <v>0</v>
      </c>
      <c r="Q24" s="32">
        <v>0</v>
      </c>
      <c r="R24" s="29">
        <v>0</v>
      </c>
      <c r="S24" s="29" t="s">
        <v>838</v>
      </c>
      <c r="T24" s="54">
        <f t="shared" si="3"/>
        <v>0</v>
      </c>
    </row>
    <row r="25" spans="2:20" hidden="1" outlineLevel="1" x14ac:dyDescent="0.25">
      <c r="B25" s="4" t="s">
        <v>836</v>
      </c>
      <c r="C25" s="24" t="s">
        <v>861</v>
      </c>
      <c r="D25" s="25">
        <v>238636.82</v>
      </c>
      <c r="E25" s="25">
        <v>0</v>
      </c>
      <c r="F25" s="31">
        <v>0</v>
      </c>
      <c r="G25" s="25">
        <f>IFERROR(VLOOKUP(C25,'[18]ENE-OCT 2021'!$B$3:$D$225,3,FALSE),0)</f>
        <v>0</v>
      </c>
      <c r="H25" s="25">
        <v>0</v>
      </c>
      <c r="I25" s="25">
        <v>0</v>
      </c>
      <c r="J25" s="25">
        <v>0</v>
      </c>
      <c r="K25" s="25">
        <f t="shared" si="2"/>
        <v>0</v>
      </c>
      <c r="L25" s="25"/>
      <c r="M25" s="27"/>
      <c r="N25" s="25">
        <f t="shared" si="1"/>
        <v>0</v>
      </c>
      <c r="O25" s="25">
        <v>0</v>
      </c>
      <c r="P25" s="28">
        <v>0</v>
      </c>
      <c r="Q25" s="32">
        <v>0</v>
      </c>
      <c r="R25" s="29">
        <v>0</v>
      </c>
      <c r="S25" s="29" t="s">
        <v>838</v>
      </c>
      <c r="T25" s="54">
        <f t="shared" si="3"/>
        <v>0</v>
      </c>
    </row>
    <row r="26" spans="2:20" collapsed="1" x14ac:dyDescent="0.25">
      <c r="C26" s="18" t="s">
        <v>862</v>
      </c>
      <c r="D26" s="33">
        <f>SUM(D27:D29)</f>
        <v>1760136.6</v>
      </c>
      <c r="E26" s="33">
        <f>SUM(E27:E29)</f>
        <v>0</v>
      </c>
      <c r="F26" s="20">
        <v>-1500000</v>
      </c>
      <c r="G26" s="21">
        <f t="shared" ref="G26:Q26" si="4">SUM(G27:G29)</f>
        <v>680081.57000000007</v>
      </c>
      <c r="H26" s="21">
        <f t="shared" si="4"/>
        <v>0</v>
      </c>
      <c r="I26" s="21">
        <f t="shared" si="4"/>
        <v>0</v>
      </c>
      <c r="J26" s="21">
        <f t="shared" si="4"/>
        <v>0</v>
      </c>
      <c r="K26" s="21">
        <f t="shared" si="4"/>
        <v>680081.57000000007</v>
      </c>
      <c r="L26" s="21"/>
      <c r="M26" s="22"/>
      <c r="N26" s="21">
        <f t="shared" si="4"/>
        <v>680081.57000000007</v>
      </c>
      <c r="O26" s="21">
        <f t="shared" si="4"/>
        <v>-929170.95</v>
      </c>
      <c r="P26" s="21">
        <f t="shared" si="4"/>
        <v>0</v>
      </c>
      <c r="Q26" s="21">
        <f t="shared" si="4"/>
        <v>900000</v>
      </c>
      <c r="R26" s="21">
        <f>SUM(R27:R29)</f>
        <v>900000</v>
      </c>
      <c r="S26" s="21"/>
    </row>
    <row r="27" spans="2:20" hidden="1" outlineLevel="1" x14ac:dyDescent="0.25">
      <c r="B27" s="4" t="s">
        <v>863</v>
      </c>
      <c r="C27" s="24" t="s">
        <v>864</v>
      </c>
      <c r="D27" s="25">
        <v>0</v>
      </c>
      <c r="E27" s="25">
        <v>0</v>
      </c>
      <c r="F27" s="31">
        <v>0</v>
      </c>
      <c r="G27" s="25">
        <f>IFERROR(VLOOKUP(C27,'[18]ENE-OCT 2021'!$B$3:$D$225,3,FALSE),0)</f>
        <v>159426.54</v>
      </c>
      <c r="H27" s="25">
        <f>(IFERROR(VLOOKUP(C27,'[19]2020'!$D$2:$E$227,2,FALSE),0)*-1)</f>
        <v>0</v>
      </c>
      <c r="I27" s="25">
        <f>(IFERROR(VLOOKUP(C27,'[19]2020'!$D$2:$G$227,4,FALSE),0)*-1)</f>
        <v>0</v>
      </c>
      <c r="J27" s="25">
        <f>(IFERROR(VLOOKUP(C27,'[19]2020'!$D$2:$I$227,6,FALSE),0)*-1)</f>
        <v>0</v>
      </c>
      <c r="K27" s="25">
        <f t="shared" si="2"/>
        <v>159426.54</v>
      </c>
      <c r="L27" s="25"/>
      <c r="M27" s="27"/>
      <c r="N27" s="25">
        <f>IF(M27=1,(K27*1.0395),K27+L27)</f>
        <v>159426.54</v>
      </c>
      <c r="O27" s="25">
        <v>159426.54</v>
      </c>
      <c r="P27" s="28">
        <v>0</v>
      </c>
      <c r="Q27" s="28">
        <v>0</v>
      </c>
      <c r="R27" s="29">
        <v>0</v>
      </c>
      <c r="S27" s="29" t="s">
        <v>838</v>
      </c>
    </row>
    <row r="28" spans="2:20" hidden="1" outlineLevel="1" x14ac:dyDescent="0.25">
      <c r="B28" s="4" t="s">
        <v>863</v>
      </c>
      <c r="C28" s="24" t="s">
        <v>865</v>
      </c>
      <c r="D28" s="25">
        <v>0</v>
      </c>
      <c r="E28" s="25">
        <v>0</v>
      </c>
      <c r="F28" s="31">
        <v>-1500000</v>
      </c>
      <c r="G28" s="25">
        <f>IFERROR(VLOOKUP(C28,'[18]ENE-OCT 2021'!$B$3:$D$225,3,FALSE),0)</f>
        <v>520655.03</v>
      </c>
      <c r="H28" s="25">
        <f>(IFERROR(VLOOKUP(C28,'[19]2020'!$D$2:$E$227,2,FALSE),0)*-1)</f>
        <v>0</v>
      </c>
      <c r="I28" s="25">
        <f>(IFERROR(VLOOKUP(C28,'[19]2020'!$D$2:$G$227,4,FALSE),0)*-1)</f>
        <v>0</v>
      </c>
      <c r="J28" s="25">
        <f>(IFERROR(VLOOKUP(C28,'[19]2020'!$D$2:$I$227,6,FALSE),0)*-1)</f>
        <v>0</v>
      </c>
      <c r="K28" s="25">
        <f t="shared" si="2"/>
        <v>520655.03</v>
      </c>
      <c r="L28" s="25"/>
      <c r="M28" s="27"/>
      <c r="N28" s="25">
        <f>IF(M28=1,(K28*1.0395),K28+L28)</f>
        <v>520655.03</v>
      </c>
      <c r="O28" s="25"/>
      <c r="P28" s="28"/>
      <c r="Q28" s="28">
        <v>900000</v>
      </c>
      <c r="R28" s="29">
        <v>900000</v>
      </c>
      <c r="S28" s="29" t="s">
        <v>838</v>
      </c>
    </row>
    <row r="29" spans="2:20" hidden="1" outlineLevel="1" x14ac:dyDescent="0.25">
      <c r="B29" s="4" t="s">
        <v>863</v>
      </c>
      <c r="C29" s="24" t="s">
        <v>866</v>
      </c>
      <c r="D29" s="25">
        <v>1760136.6</v>
      </c>
      <c r="E29" s="25">
        <v>0</v>
      </c>
      <c r="F29" s="31">
        <v>0</v>
      </c>
      <c r="G29" s="25">
        <f>IFERROR(VLOOKUP(C29,'[18]ENE-OCT 2021'!$B$3:$D$225,3,FALSE),0)</f>
        <v>0</v>
      </c>
      <c r="H29" s="25">
        <v>0</v>
      </c>
      <c r="I29" s="25">
        <v>0</v>
      </c>
      <c r="J29" s="25">
        <v>0</v>
      </c>
      <c r="K29" s="25">
        <f t="shared" si="2"/>
        <v>0</v>
      </c>
      <c r="L29" s="25"/>
      <c r="M29" s="27"/>
      <c r="N29" s="25">
        <f>IF(M29=1,(K29*1.0395),K29+L29)</f>
        <v>0</v>
      </c>
      <c r="O29" s="25">
        <v>-1088597.49</v>
      </c>
      <c r="P29" s="28">
        <v>0</v>
      </c>
      <c r="Q29" s="28">
        <v>0</v>
      </c>
      <c r="R29" s="29">
        <v>0</v>
      </c>
      <c r="S29" s="29" t="s">
        <v>838</v>
      </c>
    </row>
    <row r="30" spans="2:20" collapsed="1" x14ac:dyDescent="0.25">
      <c r="C30" s="18" t="s">
        <v>867</v>
      </c>
      <c r="D30" s="33">
        <f>SUM(D31:D116)</f>
        <v>149592455.81</v>
      </c>
      <c r="E30" s="33">
        <f>SUM(E31:E116)</f>
        <v>159938489.99000001</v>
      </c>
      <c r="F30" s="20">
        <v>-162658514.43000001</v>
      </c>
      <c r="G30" s="21">
        <f t="shared" ref="G30:Q30" si="5">SUM(G31:G116)</f>
        <v>122852794.31</v>
      </c>
      <c r="H30" s="21">
        <f t="shared" si="5"/>
        <v>0</v>
      </c>
      <c r="I30" s="21">
        <f t="shared" si="5"/>
        <v>12383771.339166665</v>
      </c>
      <c r="J30" s="21">
        <f t="shared" si="5"/>
        <v>19851658.859166671</v>
      </c>
      <c r="K30" s="21">
        <f t="shared" si="5"/>
        <v>155088224.50833333</v>
      </c>
      <c r="L30" s="21"/>
      <c r="M30" s="22"/>
      <c r="N30" s="21">
        <f t="shared" si="5"/>
        <v>155088224.50833333</v>
      </c>
      <c r="O30" s="21">
        <f t="shared" si="5"/>
        <v>-64824844.770000011</v>
      </c>
      <c r="P30" s="21">
        <f t="shared" si="5"/>
        <v>51854768</v>
      </c>
      <c r="Q30" s="21">
        <f t="shared" si="5"/>
        <v>154692295.0948</v>
      </c>
      <c r="R30" s="21">
        <f>SUM(R31:R116)</f>
        <v>167703840.28900197</v>
      </c>
      <c r="S30" s="21"/>
      <c r="T30" s="23"/>
    </row>
    <row r="31" spans="2:20" hidden="1" outlineLevel="1" x14ac:dyDescent="0.25">
      <c r="B31" s="4" t="s">
        <v>868</v>
      </c>
      <c r="C31" s="24" t="s">
        <v>869</v>
      </c>
      <c r="D31" s="25">
        <f>IFERROR(VLOOKUP(C31,'[19]2020'!$B$3:$C$227,2,FALSE),0)</f>
        <v>3274982.86</v>
      </c>
      <c r="E31" s="25">
        <v>3823605.5</v>
      </c>
      <c r="F31" s="26">
        <v>-4823605.5</v>
      </c>
      <c r="G31" s="25">
        <f>IFERROR(VLOOKUP(C31,'[18]ENE-OCT 2021'!$B$3:$D$225,3,FALSE),0)</f>
        <v>4517680.29</v>
      </c>
      <c r="H31" s="25"/>
      <c r="I31" s="25">
        <v>456588.17555555556</v>
      </c>
      <c r="J31" s="25">
        <v>456588.17555555556</v>
      </c>
      <c r="K31" s="25">
        <f t="shared" si="2"/>
        <v>5430856.6411111103</v>
      </c>
      <c r="L31" s="25"/>
      <c r="M31" s="27">
        <v>1</v>
      </c>
      <c r="N31" s="25">
        <f>K31</f>
        <v>5430856.6411111103</v>
      </c>
      <c r="O31" s="25">
        <v>-1181378.45</v>
      </c>
      <c r="P31" s="28">
        <v>4790720</v>
      </c>
      <c r="Q31" s="28">
        <v>5800000</v>
      </c>
      <c r="R31" s="29">
        <f>IF(M31=1,(N31*1.0395),N31)</f>
        <v>5645375.4784349995</v>
      </c>
      <c r="S31" s="29" t="s">
        <v>838</v>
      </c>
    </row>
    <row r="32" spans="2:20" hidden="1" outlineLevel="1" x14ac:dyDescent="0.25">
      <c r="B32" s="4" t="s">
        <v>868</v>
      </c>
      <c r="C32" s="24" t="s">
        <v>870</v>
      </c>
      <c r="D32" s="25">
        <f>IFERROR(VLOOKUP(C32,'[19]2020'!$B$3:$C$227,2,FALSE),0)</f>
        <v>613331</v>
      </c>
      <c r="E32" s="25">
        <v>1081879</v>
      </c>
      <c r="F32" s="26">
        <v>-781879</v>
      </c>
      <c r="G32" s="25">
        <f>IFERROR(VLOOKUP(C32,'[18]ENE-OCT 2021'!$B$3:$D$225,3,FALSE),0)</f>
        <v>335477.69</v>
      </c>
      <c r="H32" s="25"/>
      <c r="I32" s="25">
        <v>6018.41</v>
      </c>
      <c r="J32" s="25">
        <v>6018.41</v>
      </c>
      <c r="K32" s="25">
        <f t="shared" si="2"/>
        <v>347514.50999999995</v>
      </c>
      <c r="L32" s="25"/>
      <c r="M32" s="27"/>
      <c r="N32" s="25">
        <f t="shared" ref="N32:N95" si="6">K32</f>
        <v>347514.50999999995</v>
      </c>
      <c r="O32" s="25">
        <v>-732197.57</v>
      </c>
      <c r="P32" s="28">
        <v>1808928</v>
      </c>
      <c r="Q32" s="28">
        <v>100000</v>
      </c>
      <c r="R32" s="29">
        <v>100000</v>
      </c>
      <c r="S32" s="29" t="s">
        <v>838</v>
      </c>
    </row>
    <row r="33" spans="2:19" hidden="1" outlineLevel="1" x14ac:dyDescent="0.25">
      <c r="B33" s="4" t="s">
        <v>868</v>
      </c>
      <c r="C33" s="24" t="s">
        <v>871</v>
      </c>
      <c r="D33" s="25">
        <f>IFERROR(VLOOKUP(C33,'[19]2020'!$B$3:$C$227,2,FALSE),0)</f>
        <v>9360</v>
      </c>
      <c r="E33" s="25">
        <v>76954.179999999993</v>
      </c>
      <c r="F33" s="26">
        <v>-76954</v>
      </c>
      <c r="G33" s="25">
        <f>IFERROR(VLOOKUP(C33,'[18]ENE-OCT 2021'!$B$3:$D$225,3,FALSE),0)</f>
        <v>2550.6</v>
      </c>
      <c r="H33" s="25"/>
      <c r="I33" s="25">
        <f>(IFERROR(VLOOKUP(C33,'[19]2020'!$D$2:$G$227,4,FALSE),0)*-1)</f>
        <v>0</v>
      </c>
      <c r="J33" s="25">
        <f>(IFERROR(VLOOKUP(C33,'[19]2020'!$D$2:$I$227,6,FALSE),0)*-1)</f>
        <v>312</v>
      </c>
      <c r="K33" s="25">
        <f t="shared" si="2"/>
        <v>2862.6</v>
      </c>
      <c r="L33" s="25"/>
      <c r="M33" s="27"/>
      <c r="N33" s="25">
        <f t="shared" si="6"/>
        <v>2862.6</v>
      </c>
      <c r="O33" s="25">
        <v>-74726.320000000007</v>
      </c>
      <c r="P33" s="28">
        <v>73077</v>
      </c>
      <c r="Q33" s="28">
        <v>10000</v>
      </c>
      <c r="R33" s="29">
        <v>10000</v>
      </c>
      <c r="S33" s="29" t="s">
        <v>838</v>
      </c>
    </row>
    <row r="34" spans="2:19" hidden="1" outlineLevel="1" x14ac:dyDescent="0.25">
      <c r="B34" s="4" t="s">
        <v>868</v>
      </c>
      <c r="C34" s="24" t="s">
        <v>872</v>
      </c>
      <c r="D34" s="25">
        <f>IFERROR(VLOOKUP(C34,'[19]2020'!$B$3:$C$227,2,FALSE),0)</f>
        <v>16944</v>
      </c>
      <c r="E34" s="25">
        <v>17537.04</v>
      </c>
      <c r="F34" s="26">
        <v>-16944</v>
      </c>
      <c r="G34" s="25">
        <f>IFERROR(VLOOKUP(C34,'[18]ENE-OCT 2021'!$B$3:$D$225,3,FALSE),0)</f>
        <v>14120</v>
      </c>
      <c r="H34" s="25"/>
      <c r="I34" s="25">
        <f>(IFERROR(VLOOKUP(C34,'[19]2020'!$D$2:$G$227,4,FALSE),0)*-1)</f>
        <v>1412</v>
      </c>
      <c r="J34" s="25">
        <f>(IFERROR(VLOOKUP(C34,'[19]2020'!$D$2:$I$227,6,FALSE),0)*-1)</f>
        <v>1412</v>
      </c>
      <c r="K34" s="25">
        <f t="shared" si="2"/>
        <v>16944</v>
      </c>
      <c r="L34" s="25"/>
      <c r="M34" s="27">
        <v>1</v>
      </c>
      <c r="N34" s="25">
        <f t="shared" si="6"/>
        <v>16944</v>
      </c>
      <c r="O34" s="25">
        <v>-5648</v>
      </c>
      <c r="P34" s="28">
        <v>17544</v>
      </c>
      <c r="Q34" s="28">
        <f>F34*-1.0395</f>
        <v>17613.288</v>
      </c>
      <c r="R34" s="29">
        <f t="shared" ref="R34:R97" si="7">IF(M34=1,(N34*1.0395),N34)</f>
        <v>17613.288</v>
      </c>
      <c r="S34" s="29" t="s">
        <v>838</v>
      </c>
    </row>
    <row r="35" spans="2:19" hidden="1" outlineLevel="1" x14ac:dyDescent="0.25">
      <c r="B35" s="4" t="s">
        <v>868</v>
      </c>
      <c r="C35" s="24" t="s">
        <v>873</v>
      </c>
      <c r="D35" s="25">
        <f>IFERROR(VLOOKUP(C35,'[19]2020'!$B$3:$C$227,2,FALSE),0)</f>
        <v>47678.400000000001</v>
      </c>
      <c r="E35" s="25">
        <v>47678.400000000001</v>
      </c>
      <c r="F35" s="26">
        <v>-47678.400000000001</v>
      </c>
      <c r="G35" s="25">
        <f>IFERROR(VLOOKUP(C35,'[18]ENE-OCT 2021'!$B$3:$D$225,3,FALSE),0)</f>
        <v>39730.400000000001</v>
      </c>
      <c r="H35" s="25"/>
      <c r="I35" s="25">
        <f>(IFERROR(VLOOKUP(C35,'[19]2020'!$D$2:$G$227,4,FALSE),0)*-1)</f>
        <v>3973.2</v>
      </c>
      <c r="J35" s="25">
        <f>(IFERROR(VLOOKUP(C35,'[19]2020'!$D$2:$I$227,6,FALSE),0)*-1)</f>
        <v>3973.2</v>
      </c>
      <c r="K35" s="25">
        <f t="shared" si="2"/>
        <v>47676.799999999996</v>
      </c>
      <c r="L35" s="25"/>
      <c r="M35" s="27">
        <v>1</v>
      </c>
      <c r="N35" s="25">
        <f t="shared" si="6"/>
        <v>47676.799999999996</v>
      </c>
      <c r="O35" s="25">
        <v>-15894</v>
      </c>
      <c r="P35" s="28">
        <v>49344</v>
      </c>
      <c r="Q35" s="28">
        <f>F35*-1.0395</f>
        <v>49561.696800000005</v>
      </c>
      <c r="R35" s="29">
        <f t="shared" si="7"/>
        <v>49560.033600000002</v>
      </c>
      <c r="S35" s="29" t="s">
        <v>838</v>
      </c>
    </row>
    <row r="36" spans="2:19" hidden="1" outlineLevel="1" x14ac:dyDescent="0.25">
      <c r="B36" s="4" t="s">
        <v>868</v>
      </c>
      <c r="C36" s="24" t="s">
        <v>874</v>
      </c>
      <c r="D36" s="25">
        <f>IFERROR(VLOOKUP(C36,'[19]2020'!$B$3:$C$227,2,FALSE),0)</f>
        <v>56680</v>
      </c>
      <c r="E36" s="25">
        <v>65210</v>
      </c>
      <c r="F36" s="26">
        <v>-61080</v>
      </c>
      <c r="G36" s="25">
        <f>IFERROR(VLOOKUP(C36,'[18]ENE-OCT 2021'!$B$3:$D$225,3,FALSE),0)</f>
        <v>50900</v>
      </c>
      <c r="H36" s="25"/>
      <c r="I36" s="25">
        <f>(IFERROR(VLOOKUP(C36,'[19]2020'!$D$2:$G$227,4,FALSE),0)*-1)</f>
        <v>5090</v>
      </c>
      <c r="J36" s="25">
        <f>(IFERROR(VLOOKUP(C36,'[19]2020'!$D$2:$I$227,6,FALSE),0)*-1)</f>
        <v>5090</v>
      </c>
      <c r="K36" s="25">
        <f t="shared" si="2"/>
        <v>61080</v>
      </c>
      <c r="L36" s="25"/>
      <c r="M36" s="27">
        <v>1</v>
      </c>
      <c r="N36" s="25">
        <f t="shared" si="6"/>
        <v>61080</v>
      </c>
      <c r="O36" s="25">
        <v>-20360</v>
      </c>
      <c r="P36" s="28">
        <v>63228</v>
      </c>
      <c r="Q36" s="28">
        <f>F36*-1.0395</f>
        <v>63492.66</v>
      </c>
      <c r="R36" s="29">
        <f t="shared" si="7"/>
        <v>63492.66</v>
      </c>
      <c r="S36" s="29" t="s">
        <v>838</v>
      </c>
    </row>
    <row r="37" spans="2:19" hidden="1" outlineLevel="1" x14ac:dyDescent="0.25">
      <c r="B37" s="4" t="s">
        <v>868</v>
      </c>
      <c r="C37" s="24" t="s">
        <v>875</v>
      </c>
      <c r="D37" s="25">
        <f>IFERROR(VLOOKUP(C37,'[19]2020'!$B$3:$C$227,2,FALSE),0)</f>
        <v>65680</v>
      </c>
      <c r="E37" s="25">
        <v>60590</v>
      </c>
      <c r="F37" s="26">
        <v>-60000</v>
      </c>
      <c r="G37" s="25">
        <f>IFERROR(VLOOKUP(C37,'[18]ENE-OCT 2021'!$B$3:$D$225,3,FALSE),0)</f>
        <v>50000</v>
      </c>
      <c r="H37" s="25"/>
      <c r="I37" s="25">
        <f>(IFERROR(VLOOKUP(C37,'[19]2020'!$D$2:$G$227,4,FALSE),0)*-1)</f>
        <v>5000</v>
      </c>
      <c r="J37" s="25">
        <f>(IFERROR(VLOOKUP(C37,'[19]2020'!$D$2:$I$227,6,FALSE),0)*-1)</f>
        <v>5000</v>
      </c>
      <c r="K37" s="25">
        <f t="shared" si="2"/>
        <v>60000</v>
      </c>
      <c r="L37" s="25"/>
      <c r="M37" s="27">
        <v>1</v>
      </c>
      <c r="N37" s="25">
        <f t="shared" si="6"/>
        <v>60000</v>
      </c>
      <c r="O37" s="25">
        <v>-20000</v>
      </c>
      <c r="P37" s="28">
        <v>62100</v>
      </c>
      <c r="Q37" s="28">
        <f>F37*-1.0395</f>
        <v>62370.000000000007</v>
      </c>
      <c r="R37" s="29">
        <f t="shared" si="7"/>
        <v>62370.000000000007</v>
      </c>
      <c r="S37" s="29" t="s">
        <v>838</v>
      </c>
    </row>
    <row r="38" spans="2:19" hidden="1" outlineLevel="1" x14ac:dyDescent="0.25">
      <c r="B38" s="4" t="s">
        <v>868</v>
      </c>
      <c r="C38" s="24" t="s">
        <v>876</v>
      </c>
      <c r="D38" s="25">
        <f>IFERROR(VLOOKUP(C38,'[19]2020'!$B$3:$C$227,2,FALSE),0)</f>
        <v>9200</v>
      </c>
      <c r="E38" s="25">
        <v>10550</v>
      </c>
      <c r="F38" s="26">
        <v>-10550</v>
      </c>
      <c r="G38" s="25">
        <f>IFERROR(VLOOKUP(C38,'[18]ENE-OCT 2021'!$B$3:$D$225,3,FALSE),0)</f>
        <v>5731.4</v>
      </c>
      <c r="H38" s="25"/>
      <c r="I38" s="25">
        <f>(IFERROR(VLOOKUP(C38,'[19]2020'!$D$2:$G$227,4,FALSE),0)*-1)</f>
        <v>675</v>
      </c>
      <c r="J38" s="25">
        <f>(IFERROR(VLOOKUP(C38,'[19]2020'!$D$2:$I$227,6,FALSE),0)*-1)</f>
        <v>1600</v>
      </c>
      <c r="K38" s="25">
        <f t="shared" si="2"/>
        <v>8006.4</v>
      </c>
      <c r="L38" s="25"/>
      <c r="M38" s="27">
        <v>1</v>
      </c>
      <c r="N38" s="25">
        <f t="shared" si="6"/>
        <v>8006.4</v>
      </c>
      <c r="O38" s="25">
        <v>-6077.92</v>
      </c>
      <c r="P38" s="28">
        <v>0</v>
      </c>
      <c r="Q38" s="28">
        <v>9200</v>
      </c>
      <c r="R38" s="29">
        <f t="shared" si="7"/>
        <v>8322.6527999999998</v>
      </c>
      <c r="S38" s="29" t="s">
        <v>838</v>
      </c>
    </row>
    <row r="39" spans="2:19" hidden="1" outlineLevel="1" x14ac:dyDescent="0.25">
      <c r="B39" s="4" t="s">
        <v>868</v>
      </c>
      <c r="C39" s="24" t="s">
        <v>877</v>
      </c>
      <c r="D39" s="25">
        <f>IFERROR(VLOOKUP(C39,'[19]2020'!$B$3:$C$227,2,FALSE),0)</f>
        <v>0</v>
      </c>
      <c r="E39" s="25">
        <v>5000</v>
      </c>
      <c r="F39" s="26">
        <v>-5000</v>
      </c>
      <c r="G39" s="25">
        <f>IFERROR(VLOOKUP(C39,'[18]ENE-OCT 2021'!$B$3:$D$225,3,FALSE),0)</f>
        <v>0</v>
      </c>
      <c r="H39" s="25"/>
      <c r="I39" s="25">
        <f>(IFERROR(VLOOKUP(C39,'[19]2020'!$D$2:$G$227,4,FALSE),0)*-1)</f>
        <v>0</v>
      </c>
      <c r="J39" s="25">
        <f>(IFERROR(VLOOKUP(C39,'[19]2020'!$D$2:$I$227,6,FALSE),0)*-1)</f>
        <v>0</v>
      </c>
      <c r="K39" s="25">
        <f t="shared" si="2"/>
        <v>0</v>
      </c>
      <c r="L39" s="25"/>
      <c r="M39" s="27"/>
      <c r="N39" s="25">
        <f t="shared" si="6"/>
        <v>0</v>
      </c>
      <c r="O39" s="25">
        <v>-5000</v>
      </c>
      <c r="P39" s="28">
        <v>0</v>
      </c>
      <c r="Q39" s="28">
        <v>5000</v>
      </c>
      <c r="R39" s="29">
        <v>5000</v>
      </c>
      <c r="S39" s="29" t="s">
        <v>838</v>
      </c>
    </row>
    <row r="40" spans="2:19" hidden="1" outlineLevel="1" x14ac:dyDescent="0.25">
      <c r="B40" s="4" t="s">
        <v>868</v>
      </c>
      <c r="C40" s="24" t="s">
        <v>878</v>
      </c>
      <c r="D40" s="25">
        <f>IFERROR(VLOOKUP(C40,'[19]2020'!$B$3:$C$227,2,FALSE),0)</f>
        <v>44925</v>
      </c>
      <c r="E40" s="25">
        <v>262406.96000000002</v>
      </c>
      <c r="F40" s="26">
        <v>-150000</v>
      </c>
      <c r="G40" s="25">
        <f>IFERROR(VLOOKUP(C40,'[18]ENE-OCT 2021'!$B$3:$D$225,3,FALSE),0)</f>
        <v>23670</v>
      </c>
      <c r="H40" s="25"/>
      <c r="I40" s="25">
        <v>1972.5</v>
      </c>
      <c r="J40" s="25">
        <v>1972.5</v>
      </c>
      <c r="K40" s="25">
        <f t="shared" si="2"/>
        <v>27615</v>
      </c>
      <c r="L40" s="25"/>
      <c r="M40" s="27"/>
      <c r="N40" s="25">
        <f t="shared" si="6"/>
        <v>27615</v>
      </c>
      <c r="O40" s="25">
        <v>-126330</v>
      </c>
      <c r="P40" s="28">
        <v>150000</v>
      </c>
      <c r="Q40" s="28">
        <v>100000</v>
      </c>
      <c r="R40" s="29">
        <v>100000</v>
      </c>
      <c r="S40" s="29" t="s">
        <v>838</v>
      </c>
    </row>
    <row r="41" spans="2:19" hidden="1" outlineLevel="1" x14ac:dyDescent="0.25">
      <c r="B41" s="4" t="s">
        <v>868</v>
      </c>
      <c r="C41" s="24" t="s">
        <v>879</v>
      </c>
      <c r="D41" s="25">
        <f>IFERROR(VLOOKUP(C41,'[19]2020'!$B$3:$C$227,2,FALSE),0)</f>
        <v>1867</v>
      </c>
      <c r="E41" s="25">
        <v>11836</v>
      </c>
      <c r="F41" s="26">
        <v>-5000</v>
      </c>
      <c r="G41" s="25">
        <f>IFERROR(VLOOKUP(C41,'[18]ENE-OCT 2021'!$B$3:$D$225,3,FALSE),0)</f>
        <v>1932.35</v>
      </c>
      <c r="H41" s="25"/>
      <c r="I41" s="25">
        <v>161.02916666666667</v>
      </c>
      <c r="J41" s="25">
        <v>161.02916666666667</v>
      </c>
      <c r="K41" s="25">
        <f t="shared" si="2"/>
        <v>2254.4083333333333</v>
      </c>
      <c r="L41" s="25"/>
      <c r="M41" s="27">
        <v>1</v>
      </c>
      <c r="N41" s="25">
        <f t="shared" si="6"/>
        <v>2254.4083333333333</v>
      </c>
      <c r="O41" s="25">
        <v>-3067.65</v>
      </c>
      <c r="P41" s="28">
        <v>0</v>
      </c>
      <c r="Q41" s="28">
        <v>2500</v>
      </c>
      <c r="R41" s="29">
        <f t="shared" si="7"/>
        <v>2343.4574625</v>
      </c>
      <c r="S41" s="29" t="s">
        <v>838</v>
      </c>
    </row>
    <row r="42" spans="2:19" hidden="1" outlineLevel="1" x14ac:dyDescent="0.25">
      <c r="B42" s="4" t="s">
        <v>868</v>
      </c>
      <c r="C42" s="24" t="s">
        <v>880</v>
      </c>
      <c r="D42" s="25">
        <f>IFERROR(VLOOKUP(C42,'[19]2020'!$B$3:$C$227,2,FALSE),0)</f>
        <v>0</v>
      </c>
      <c r="E42" s="25">
        <v>1000</v>
      </c>
      <c r="F42" s="26">
        <v>-1000</v>
      </c>
      <c r="G42" s="25">
        <f>IFERROR(VLOOKUP(C42,'[18]ENE-OCT 2021'!$B$3:$D$225,3,FALSE),0)</f>
        <v>0</v>
      </c>
      <c r="H42" s="25"/>
      <c r="I42" s="25">
        <f>(IFERROR(VLOOKUP(C42,'[19]2020'!$D$2:$G$227,4,FALSE),0)*-1)</f>
        <v>0</v>
      </c>
      <c r="J42" s="25">
        <f>(IFERROR(VLOOKUP(C42,'[19]2020'!$D$2:$I$227,6,FALSE),0)*-1)</f>
        <v>0</v>
      </c>
      <c r="K42" s="25">
        <f t="shared" si="2"/>
        <v>0</v>
      </c>
      <c r="L42" s="25"/>
      <c r="M42" s="27"/>
      <c r="N42" s="25">
        <f t="shared" si="6"/>
        <v>0</v>
      </c>
      <c r="O42" s="25">
        <v>-1000</v>
      </c>
      <c r="P42" s="28">
        <v>0</v>
      </c>
      <c r="Q42" s="28">
        <v>1000</v>
      </c>
      <c r="R42" s="29">
        <v>1000</v>
      </c>
      <c r="S42" s="29" t="s">
        <v>838</v>
      </c>
    </row>
    <row r="43" spans="2:19" hidden="1" outlineLevel="1" x14ac:dyDescent="0.25">
      <c r="B43" s="4" t="s">
        <v>868</v>
      </c>
      <c r="C43" s="24" t="s">
        <v>881</v>
      </c>
      <c r="D43" s="25">
        <f>IFERROR(VLOOKUP(C43,'[19]2020'!$B$3:$C$227,2,FALSE),0)</f>
        <v>2700094.08</v>
      </c>
      <c r="E43" s="25">
        <v>3200656</v>
      </c>
      <c r="F43" s="26">
        <v>-3200656</v>
      </c>
      <c r="G43" s="25">
        <f>IFERROR(VLOOKUP(C43,'[18]ENE-OCT 2021'!$B$3:$D$225,3,FALSE),0)</f>
        <v>2437952.7200000002</v>
      </c>
      <c r="H43" s="25"/>
      <c r="I43" s="25">
        <v>251278.11888888886</v>
      </c>
      <c r="J43" s="25">
        <v>251278.11888888886</v>
      </c>
      <c r="K43" s="25">
        <f t="shared" si="2"/>
        <v>2940508.9577777782</v>
      </c>
      <c r="L43" s="25"/>
      <c r="M43" s="27">
        <v>1</v>
      </c>
      <c r="N43" s="25">
        <f t="shared" si="6"/>
        <v>2940508.9577777782</v>
      </c>
      <c r="O43" s="25">
        <v>-1129336.1299999999</v>
      </c>
      <c r="P43" s="28">
        <v>3200000</v>
      </c>
      <c r="Q43" s="28">
        <v>3200000</v>
      </c>
      <c r="R43" s="29">
        <f t="shared" si="7"/>
        <v>3056659.0616100007</v>
      </c>
      <c r="S43" s="29" t="s">
        <v>838</v>
      </c>
    </row>
    <row r="44" spans="2:19" hidden="1" outlineLevel="1" x14ac:dyDescent="0.25">
      <c r="B44" s="4" t="s">
        <v>868</v>
      </c>
      <c r="C44" s="24" t="s">
        <v>882</v>
      </c>
      <c r="D44" s="25">
        <f>IFERROR(VLOOKUP(C44,'[19]2020'!$B$3:$C$227,2,FALSE),0)</f>
        <v>945623.2</v>
      </c>
      <c r="E44" s="25">
        <v>850000</v>
      </c>
      <c r="F44" s="26">
        <v>-945623</v>
      </c>
      <c r="G44" s="25">
        <f>IFERROR(VLOOKUP(C44,'[18]ENE-OCT 2021'!$B$3:$D$225,3,FALSE),0)</f>
        <v>899662.8</v>
      </c>
      <c r="H44" s="25"/>
      <c r="I44" s="25">
        <f>(IFERROR(VLOOKUP(C44,'[19]2020'!$D$2:$G$227,4,FALSE),0)*-1)</f>
        <v>74668.7</v>
      </c>
      <c r="J44" s="25">
        <f>(IFERROR(VLOOKUP(C44,'[19]2020'!$D$2:$I$227,6,FALSE),0)*-1)</f>
        <v>85644.52</v>
      </c>
      <c r="K44" s="25">
        <f t="shared" si="2"/>
        <v>1059976.02</v>
      </c>
      <c r="L44" s="25"/>
      <c r="M44" s="27">
        <v>1</v>
      </c>
      <c r="N44" s="25">
        <f t="shared" si="6"/>
        <v>1059976.02</v>
      </c>
      <c r="O44" s="25">
        <v>-264162.59999999998</v>
      </c>
      <c r="P44" s="28">
        <v>1100000</v>
      </c>
      <c r="Q44" s="28">
        <v>1100000</v>
      </c>
      <c r="R44" s="29">
        <f t="shared" si="7"/>
        <v>1101845.0727900001</v>
      </c>
      <c r="S44" s="29" t="s">
        <v>838</v>
      </c>
    </row>
    <row r="45" spans="2:19" hidden="1" outlineLevel="1" x14ac:dyDescent="0.25">
      <c r="B45" s="4" t="s">
        <v>868</v>
      </c>
      <c r="C45" s="24" t="s">
        <v>883</v>
      </c>
      <c r="D45" s="25">
        <f>IFERROR(VLOOKUP(C45,'[19]2020'!$B$3:$C$227,2,FALSE),0)</f>
        <v>10688</v>
      </c>
      <c r="E45" s="25">
        <v>29842.84</v>
      </c>
      <c r="F45" s="26">
        <v>-29843</v>
      </c>
      <c r="G45" s="25">
        <f>IFERROR(VLOOKUP(C45,'[18]ENE-OCT 2021'!$B$3:$D$225,3,FALSE),0)</f>
        <v>13611.33</v>
      </c>
      <c r="H45" s="25"/>
      <c r="I45" s="25">
        <v>1000</v>
      </c>
      <c r="J45" s="25">
        <v>1000</v>
      </c>
      <c r="K45" s="25">
        <f t="shared" si="2"/>
        <v>15611.33</v>
      </c>
      <c r="L45" s="25"/>
      <c r="M45" s="27">
        <v>1</v>
      </c>
      <c r="N45" s="25">
        <f t="shared" si="6"/>
        <v>15611.33</v>
      </c>
      <c r="O45" s="25">
        <v>-16563.59</v>
      </c>
      <c r="P45" s="28">
        <v>0</v>
      </c>
      <c r="Q45" s="28">
        <v>17000</v>
      </c>
      <c r="R45" s="29">
        <f t="shared" si="7"/>
        <v>16227.977535000002</v>
      </c>
      <c r="S45" s="29" t="s">
        <v>838</v>
      </c>
    </row>
    <row r="46" spans="2:19" hidden="1" outlineLevel="1" x14ac:dyDescent="0.25">
      <c r="B46" s="4" t="s">
        <v>868</v>
      </c>
      <c r="C46" s="24" t="s">
        <v>884</v>
      </c>
      <c r="D46" s="25">
        <f>IFERROR(VLOOKUP(C46,'[19]2020'!$B$3:$C$227,2,FALSE),0)</f>
        <v>0</v>
      </c>
      <c r="E46" s="25">
        <v>60000</v>
      </c>
      <c r="F46" s="26">
        <v>-60000</v>
      </c>
      <c r="G46" s="25">
        <f>IFERROR(VLOOKUP(C46,'[18]ENE-OCT 2021'!$B$3:$D$225,3,FALSE),0)</f>
        <v>0</v>
      </c>
      <c r="H46" s="25"/>
      <c r="I46" s="25">
        <f>(IFERROR(VLOOKUP(C46,'[19]2020'!$D$2:$G$227,4,FALSE),0)*-1)</f>
        <v>0</v>
      </c>
      <c r="J46" s="25">
        <f>(IFERROR(VLOOKUP(C46,'[19]2020'!$D$2:$I$227,6,FALSE),0)*-1)</f>
        <v>0</v>
      </c>
      <c r="K46" s="25">
        <f t="shared" si="2"/>
        <v>0</v>
      </c>
      <c r="L46" s="25"/>
      <c r="M46" s="27"/>
      <c r="N46" s="25">
        <f t="shared" si="6"/>
        <v>0</v>
      </c>
      <c r="O46" s="25">
        <v>-60000</v>
      </c>
      <c r="P46" s="28">
        <v>60000</v>
      </c>
      <c r="Q46" s="28">
        <v>60000</v>
      </c>
      <c r="R46" s="29">
        <v>60000</v>
      </c>
      <c r="S46" s="29" t="s">
        <v>838</v>
      </c>
    </row>
    <row r="47" spans="2:19" hidden="1" outlineLevel="1" x14ac:dyDescent="0.25">
      <c r="B47" s="4" t="s">
        <v>868</v>
      </c>
      <c r="C47" s="24" t="s">
        <v>885</v>
      </c>
      <c r="D47" s="25">
        <f>IFERROR(VLOOKUP(C47,'[19]2020'!$B$3:$C$227,2,FALSE),0)</f>
        <v>172364.79999999999</v>
      </c>
      <c r="E47" s="25">
        <v>167268.18</v>
      </c>
      <c r="F47" s="26">
        <v>-172365</v>
      </c>
      <c r="G47" s="25">
        <f>IFERROR(VLOOKUP(C47,'[18]ENE-OCT 2021'!$B$3:$D$225,3,FALSE),0)</f>
        <v>152235.20000000001</v>
      </c>
      <c r="H47" s="25"/>
      <c r="I47" s="25">
        <f>(IFERROR(VLOOKUP(C47,'[19]2020'!$D$2:$G$227,4,FALSE),0)*-1)</f>
        <v>15379</v>
      </c>
      <c r="J47" s="25">
        <f>(IFERROR(VLOOKUP(C47,'[19]2020'!$D$2:$I$227,6,FALSE),0)*-1)</f>
        <v>20431</v>
      </c>
      <c r="K47" s="25">
        <f t="shared" si="2"/>
        <v>188045.2</v>
      </c>
      <c r="L47" s="25"/>
      <c r="M47" s="27">
        <v>1</v>
      </c>
      <c r="N47" s="25">
        <f t="shared" si="6"/>
        <v>188045.2</v>
      </c>
      <c r="O47" s="25">
        <v>-57901.4</v>
      </c>
      <c r="P47" s="28">
        <v>0</v>
      </c>
      <c r="Q47" s="28">
        <v>172365</v>
      </c>
      <c r="R47" s="29">
        <f t="shared" si="7"/>
        <v>195472.98540000003</v>
      </c>
      <c r="S47" s="29" t="s">
        <v>838</v>
      </c>
    </row>
    <row r="48" spans="2:19" hidden="1" outlineLevel="1" x14ac:dyDescent="0.25">
      <c r="B48" s="4" t="s">
        <v>868</v>
      </c>
      <c r="C48" s="24" t="s">
        <v>886</v>
      </c>
      <c r="D48" s="25">
        <f>IFERROR(VLOOKUP(C48,'[19]2020'!$B$3:$C$227,2,FALSE),0)</f>
        <v>284270</v>
      </c>
      <c r="E48" s="25">
        <v>243674.92</v>
      </c>
      <c r="F48" s="26">
        <v>-533764.5</v>
      </c>
      <c r="G48" s="25">
        <f>IFERROR(VLOOKUP(C48,'[18]ENE-OCT 2021'!$B$3:$D$225,3,FALSE),0)</f>
        <v>559946</v>
      </c>
      <c r="H48" s="25"/>
      <c r="I48" s="25">
        <f>(IFERROR(VLOOKUP(C48,'[19]2020'!$D$2:$G$227,4,FALSE),0)*-1)</f>
        <v>59173</v>
      </c>
      <c r="J48" s="25">
        <f>(IFERROR(VLOOKUP(C48,'[19]2020'!$D$2:$I$227,6,FALSE),0)*-1)</f>
        <v>17697</v>
      </c>
      <c r="K48" s="25">
        <f t="shared" si="2"/>
        <v>636816</v>
      </c>
      <c r="L48" s="25"/>
      <c r="M48" s="27">
        <v>1</v>
      </c>
      <c r="N48" s="25">
        <f t="shared" si="6"/>
        <v>636816</v>
      </c>
      <c r="O48" s="25">
        <v>-104023.5</v>
      </c>
      <c r="P48" s="28">
        <v>0</v>
      </c>
      <c r="Q48" s="28">
        <v>550000</v>
      </c>
      <c r="R48" s="29">
        <f t="shared" si="7"/>
        <v>661970.23200000008</v>
      </c>
      <c r="S48" s="29" t="s">
        <v>838</v>
      </c>
    </row>
    <row r="49" spans="2:19" hidden="1" outlineLevel="1" x14ac:dyDescent="0.25">
      <c r="B49" s="4" t="s">
        <v>868</v>
      </c>
      <c r="C49" s="24" t="s">
        <v>887</v>
      </c>
      <c r="D49" s="25">
        <f>IFERROR(VLOOKUP(C49,'[19]2020'!$B$3:$C$227,2,FALSE),0)</f>
        <v>57099.64</v>
      </c>
      <c r="E49" s="25">
        <v>68264.800000000003</v>
      </c>
      <c r="F49" s="26">
        <v>-68265</v>
      </c>
      <c r="G49" s="25">
        <f>IFERROR(VLOOKUP(C49,'[18]ENE-OCT 2021'!$B$3:$D$225,3,FALSE),0)</f>
        <v>61665.68</v>
      </c>
      <c r="H49" s="25"/>
      <c r="I49" s="25">
        <f>(IFERROR(VLOOKUP(C49,'[19]2020'!$D$2:$G$227,4,FALSE),0)*-1)</f>
        <v>874.47</v>
      </c>
      <c r="J49" s="25">
        <f>(IFERROR(VLOOKUP(C49,'[19]2020'!$D$2:$I$227,6,FALSE),0)*-1)</f>
        <v>0</v>
      </c>
      <c r="K49" s="25">
        <f t="shared" si="2"/>
        <v>62540.15</v>
      </c>
      <c r="L49" s="25"/>
      <c r="M49" s="27">
        <v>1</v>
      </c>
      <c r="N49" s="25">
        <f t="shared" si="6"/>
        <v>62540.15</v>
      </c>
      <c r="O49" s="25">
        <v>-17464.03</v>
      </c>
      <c r="P49" s="28">
        <v>84267</v>
      </c>
      <c r="Q49" s="28">
        <v>60000</v>
      </c>
      <c r="R49" s="29">
        <f t="shared" si="7"/>
        <v>65010.485925000008</v>
      </c>
      <c r="S49" s="29" t="s">
        <v>838</v>
      </c>
    </row>
    <row r="50" spans="2:19" hidden="1" outlineLevel="1" x14ac:dyDescent="0.25">
      <c r="B50" s="4" t="s">
        <v>868</v>
      </c>
      <c r="C50" s="24" t="s">
        <v>888</v>
      </c>
      <c r="D50" s="25">
        <f>IFERROR(VLOOKUP(C50,'[19]2020'!$B$3:$C$227,2,FALSE),0)</f>
        <v>4556197.92</v>
      </c>
      <c r="E50" s="25">
        <v>4522998.1500000004</v>
      </c>
      <c r="F50" s="26">
        <v>-5315664.84</v>
      </c>
      <c r="G50" s="25">
        <f>IFERROR(VLOOKUP(C50,'[18]ENE-OCT 2021'!$B$3:$D$225,3,FALSE),0)</f>
        <v>4164360.2</v>
      </c>
      <c r="H50" s="25"/>
      <c r="I50" s="25">
        <f>(IFERROR(VLOOKUP(C50,'[19]2020'!$D$2:$G$227,4,FALSE),0)*-1)</f>
        <v>510251.65</v>
      </c>
      <c r="J50" s="25">
        <f>(IFERROR(VLOOKUP(C50,'[19]2020'!$D$2:$I$227,6,FALSE),0)*-1)</f>
        <v>547814.54</v>
      </c>
      <c r="K50" s="25">
        <f t="shared" si="2"/>
        <v>5222426.3900000006</v>
      </c>
      <c r="L50" s="25"/>
      <c r="M50" s="27">
        <v>1</v>
      </c>
      <c r="N50" s="25">
        <f t="shared" si="6"/>
        <v>5222426.3900000006</v>
      </c>
      <c r="O50" s="25">
        <v>-2014732.89</v>
      </c>
      <c r="P50" s="28">
        <v>0</v>
      </c>
      <c r="Q50" s="28">
        <v>4000000</v>
      </c>
      <c r="R50" s="29">
        <f t="shared" si="7"/>
        <v>5428712.2324050013</v>
      </c>
      <c r="S50" s="29" t="s">
        <v>838</v>
      </c>
    </row>
    <row r="51" spans="2:19" hidden="1" outlineLevel="1" x14ac:dyDescent="0.25">
      <c r="B51" s="4" t="s">
        <v>868</v>
      </c>
      <c r="C51" s="24" t="s">
        <v>889</v>
      </c>
      <c r="D51" s="25">
        <f>IFERROR(VLOOKUP(C51,'[19]2020'!$B$3:$C$227,2,FALSE),0)</f>
        <v>331094.40000000002</v>
      </c>
      <c r="E51" s="25">
        <v>307276.21000000002</v>
      </c>
      <c r="F51" s="26">
        <v>-437247</v>
      </c>
      <c r="G51" s="25">
        <f>IFERROR(VLOOKUP(C51,'[18]ENE-OCT 2021'!$B$3:$D$225,3,FALSE),0)</f>
        <v>316668.79999999999</v>
      </c>
      <c r="H51" s="25"/>
      <c r="I51" s="25">
        <f>(IFERROR(VLOOKUP(C51,'[19]2020'!$D$2:$G$227,4,FALSE),0)*-1)</f>
        <v>33996.300000000003</v>
      </c>
      <c r="J51" s="25">
        <f>(IFERROR(VLOOKUP(C51,'[19]2020'!$D$2:$I$227,6,FALSE),0)*-1)</f>
        <v>36361.26</v>
      </c>
      <c r="K51" s="25">
        <f t="shared" si="2"/>
        <v>387026.36</v>
      </c>
      <c r="L51" s="25"/>
      <c r="M51" s="27">
        <v>1</v>
      </c>
      <c r="N51" s="25">
        <f t="shared" si="6"/>
        <v>387026.36</v>
      </c>
      <c r="O51" s="25">
        <v>-183913.99</v>
      </c>
      <c r="P51" s="28">
        <v>0</v>
      </c>
      <c r="Q51" s="28">
        <v>270000</v>
      </c>
      <c r="R51" s="29">
        <f t="shared" si="7"/>
        <v>402313.90122</v>
      </c>
      <c r="S51" s="29" t="s">
        <v>838</v>
      </c>
    </row>
    <row r="52" spans="2:19" hidden="1" outlineLevel="1" x14ac:dyDescent="0.25">
      <c r="B52" s="4" t="s">
        <v>868</v>
      </c>
      <c r="C52" s="24" t="s">
        <v>890</v>
      </c>
      <c r="D52" s="25">
        <f>IFERROR(VLOOKUP(C52,'[19]2020'!$B$3:$C$227,2,FALSE),0)</f>
        <v>143064.62</v>
      </c>
      <c r="E52" s="25">
        <v>228818.93</v>
      </c>
      <c r="F52" s="26">
        <v>-143064.62</v>
      </c>
      <c r="G52" s="25">
        <f>IFERROR(VLOOKUP(C52,'[18]ENE-OCT 2021'!$B$3:$D$225,3,FALSE),0)</f>
        <v>237536.71</v>
      </c>
      <c r="H52" s="25"/>
      <c r="I52" s="25">
        <f>(IFERROR(VLOOKUP(C52,'[19]2020'!$D$2:$G$227,4,FALSE),0)*-1)</f>
        <v>9813.06</v>
      </c>
      <c r="J52" s="25">
        <f>(IFERROR(VLOOKUP(C52,'[19]2020'!$D$2:$I$227,6,FALSE),0)*-1)</f>
        <v>35058.639999999999</v>
      </c>
      <c r="K52" s="25">
        <f t="shared" si="2"/>
        <v>282408.40999999997</v>
      </c>
      <c r="L52" s="25"/>
      <c r="M52" s="27">
        <v>1</v>
      </c>
      <c r="N52" s="25">
        <f t="shared" si="6"/>
        <v>282408.40999999997</v>
      </c>
      <c r="O52" s="25">
        <v>3943.61</v>
      </c>
      <c r="P52" s="28">
        <v>0</v>
      </c>
      <c r="Q52" s="28">
        <v>160000</v>
      </c>
      <c r="R52" s="29">
        <f t="shared" si="7"/>
        <v>293563.54219499999</v>
      </c>
      <c r="S52" s="29" t="s">
        <v>838</v>
      </c>
    </row>
    <row r="53" spans="2:19" hidden="1" outlineLevel="1" x14ac:dyDescent="0.25">
      <c r="B53" s="4" t="s">
        <v>868</v>
      </c>
      <c r="C53" s="24" t="s">
        <v>891</v>
      </c>
      <c r="D53" s="25">
        <f>IFERROR(VLOOKUP(C53,'[19]2020'!$B$3:$C$227,2,FALSE),0)</f>
        <v>1313161.07</v>
      </c>
      <c r="E53" s="25">
        <v>835731.44</v>
      </c>
      <c r="F53" s="26">
        <v>-1713161.07</v>
      </c>
      <c r="G53" s="25">
        <f>IFERROR(VLOOKUP(C53,'[18]ENE-OCT 2021'!$B$3:$D$225,3,FALSE),0)</f>
        <v>1267176.99</v>
      </c>
      <c r="H53" s="25"/>
      <c r="I53" s="25">
        <f>(IFERROR(VLOOKUP(C53,'[19]2020'!$D$2:$G$227,4,FALSE),0)*-1)</f>
        <v>146840.37</v>
      </c>
      <c r="J53" s="25">
        <f>(IFERROR(VLOOKUP(C53,'[19]2020'!$D$2:$I$227,6,FALSE),0)*-1)</f>
        <v>222461.16</v>
      </c>
      <c r="K53" s="25">
        <f t="shared" si="2"/>
        <v>1636478.5199999998</v>
      </c>
      <c r="L53" s="25"/>
      <c r="M53" s="27">
        <v>1</v>
      </c>
      <c r="N53" s="25">
        <f t="shared" si="6"/>
        <v>1636478.5199999998</v>
      </c>
      <c r="O53" s="25">
        <v>-674158.58</v>
      </c>
      <c r="P53" s="28">
        <v>0</v>
      </c>
      <c r="Q53" s="28">
        <v>1000000</v>
      </c>
      <c r="R53" s="29">
        <f t="shared" si="7"/>
        <v>1701119.42154</v>
      </c>
      <c r="S53" s="29" t="s">
        <v>838</v>
      </c>
    </row>
    <row r="54" spans="2:19" hidden="1" outlineLevel="1" x14ac:dyDescent="0.25">
      <c r="B54" s="4" t="s">
        <v>868</v>
      </c>
      <c r="C54" s="24" t="s">
        <v>892</v>
      </c>
      <c r="D54" s="25">
        <f>IFERROR(VLOOKUP(C54,'[19]2020'!$B$3:$C$227,2,FALSE),0)</f>
        <v>1989463.91</v>
      </c>
      <c r="E54" s="25">
        <v>970506.8</v>
      </c>
      <c r="F54" s="26">
        <v>-1989463.91</v>
      </c>
      <c r="G54" s="25">
        <f>IFERROR(VLOOKUP(C54,'[18]ENE-OCT 2021'!$B$3:$D$225,3,FALSE),0)</f>
        <v>1713815.21</v>
      </c>
      <c r="H54" s="25"/>
      <c r="I54" s="25">
        <f>(IFERROR(VLOOKUP(C54,'[19]2020'!$D$2:$G$227,4,FALSE),0)*-1)</f>
        <v>186171.06</v>
      </c>
      <c r="J54" s="25">
        <f>(IFERROR(VLOOKUP(C54,'[19]2020'!$D$2:$I$227,6,FALSE),0)*-1)</f>
        <v>178712.82</v>
      </c>
      <c r="K54" s="25">
        <f t="shared" si="2"/>
        <v>2078699.09</v>
      </c>
      <c r="L54" s="25"/>
      <c r="M54" s="27">
        <v>1</v>
      </c>
      <c r="N54" s="25">
        <f t="shared" si="6"/>
        <v>2078699.09</v>
      </c>
      <c r="O54" s="25">
        <v>-716234.23999999999</v>
      </c>
      <c r="P54" s="28">
        <v>0</v>
      </c>
      <c r="Q54" s="28">
        <v>1200000</v>
      </c>
      <c r="R54" s="29">
        <f t="shared" si="7"/>
        <v>2160807.7040550001</v>
      </c>
      <c r="S54" s="29" t="s">
        <v>838</v>
      </c>
    </row>
    <row r="55" spans="2:19" hidden="1" outlineLevel="1" x14ac:dyDescent="0.25">
      <c r="B55" s="4" t="s">
        <v>868</v>
      </c>
      <c r="C55" s="24" t="s">
        <v>893</v>
      </c>
      <c r="D55" s="25">
        <f>IFERROR(VLOOKUP(C55,'[19]2020'!$B$3:$C$227,2,FALSE),0)</f>
        <v>2974683.96</v>
      </c>
      <c r="E55" s="25">
        <v>3135324.71</v>
      </c>
      <c r="F55" s="26">
        <v>-3135324.71</v>
      </c>
      <c r="G55" s="25">
        <f>IFERROR(VLOOKUP(C55,'[18]ENE-OCT 2021'!$B$3:$D$225,3,FALSE),0)</f>
        <v>2587506.35</v>
      </c>
      <c r="H55" s="25"/>
      <c r="I55" s="25">
        <f>(IFERROR(VLOOKUP(C55,'[19]2020'!$D$2:$G$227,4,FALSE),0)*-1)</f>
        <v>250346.97</v>
      </c>
      <c r="J55" s="25">
        <f>(IFERROR(VLOOKUP(C55,'[19]2020'!$D$2:$I$227,6,FALSE),0)*-1)</f>
        <v>326349.27</v>
      </c>
      <c r="K55" s="25">
        <f t="shared" si="2"/>
        <v>3164202.5900000003</v>
      </c>
      <c r="L55" s="25"/>
      <c r="M55" s="27">
        <v>1</v>
      </c>
      <c r="N55" s="25">
        <f t="shared" si="6"/>
        <v>3164202.5900000003</v>
      </c>
      <c r="O55" s="25">
        <v>-1059122.01</v>
      </c>
      <c r="P55" s="28">
        <v>4015823</v>
      </c>
      <c r="Q55" s="28">
        <v>3200000</v>
      </c>
      <c r="R55" s="29">
        <f t="shared" si="7"/>
        <v>3289188.5923050004</v>
      </c>
      <c r="S55" s="29" t="s">
        <v>838</v>
      </c>
    </row>
    <row r="56" spans="2:19" hidden="1" outlineLevel="1" x14ac:dyDescent="0.25">
      <c r="B56" s="4" t="s">
        <v>868</v>
      </c>
      <c r="C56" s="24" t="s">
        <v>894</v>
      </c>
      <c r="D56" s="25">
        <f>IFERROR(VLOOKUP(C56,'[19]2020'!$B$3:$C$227,2,FALSE),0)</f>
        <v>4748845.6399999997</v>
      </c>
      <c r="E56" s="25">
        <v>4542475.83</v>
      </c>
      <c r="F56" s="26">
        <v>-4748845.6399999997</v>
      </c>
      <c r="G56" s="25">
        <f>IFERROR(VLOOKUP(C56,'[18]ENE-OCT 2021'!$B$3:$D$225,3,FALSE),0)</f>
        <v>3543741.7</v>
      </c>
      <c r="H56" s="25"/>
      <c r="I56" s="25">
        <f>(IFERROR(VLOOKUP(C56,'[19]2020'!$D$2:$G$227,4,FALSE),0)*-1)</f>
        <v>383292</v>
      </c>
      <c r="J56" s="25">
        <f>(IFERROR(VLOOKUP(C56,'[19]2020'!$D$2:$I$227,6,FALSE),0)*-1)</f>
        <v>514402.2</v>
      </c>
      <c r="K56" s="25">
        <f t="shared" si="2"/>
        <v>4441435.9000000004</v>
      </c>
      <c r="L56" s="25"/>
      <c r="M56" s="27">
        <v>1</v>
      </c>
      <c r="N56" s="25">
        <f t="shared" si="6"/>
        <v>4441435.9000000004</v>
      </c>
      <c r="O56" s="25">
        <v>-1826722.79</v>
      </c>
      <c r="P56" s="28">
        <v>5744204</v>
      </c>
      <c r="Q56" s="28">
        <v>4748845</v>
      </c>
      <c r="R56" s="29">
        <f t="shared" si="7"/>
        <v>4616872.6180500006</v>
      </c>
      <c r="S56" s="29" t="s">
        <v>838</v>
      </c>
    </row>
    <row r="57" spans="2:19" hidden="1" outlineLevel="1" x14ac:dyDescent="0.25">
      <c r="B57" s="4" t="s">
        <v>868</v>
      </c>
      <c r="C57" s="24" t="s">
        <v>895</v>
      </c>
      <c r="D57" s="25">
        <f>IFERROR(VLOOKUP(C57,'[19]2020'!$B$3:$C$227,2,FALSE),0)</f>
        <v>3628.35</v>
      </c>
      <c r="E57" s="25">
        <v>2998.54</v>
      </c>
      <c r="F57" s="26">
        <v>-3628.35</v>
      </c>
      <c r="G57" s="25">
        <f>IFERROR(VLOOKUP(C57,'[18]ENE-OCT 2021'!$B$3:$D$225,3,FALSE),0)</f>
        <v>113.79</v>
      </c>
      <c r="H57" s="25"/>
      <c r="I57" s="25">
        <f>(IFERROR(VLOOKUP(C57,'[19]2020'!$D$2:$G$227,4,FALSE),0)*-1)</f>
        <v>183.25</v>
      </c>
      <c r="J57" s="25">
        <f>(IFERROR(VLOOKUP(C57,'[19]2020'!$D$2:$I$227,6,FALSE),0)*-1)</f>
        <v>0</v>
      </c>
      <c r="K57" s="25">
        <f t="shared" si="2"/>
        <v>297.04000000000002</v>
      </c>
      <c r="L57" s="25"/>
      <c r="M57" s="27"/>
      <c r="N57" s="25">
        <f t="shared" si="6"/>
        <v>297.04000000000002</v>
      </c>
      <c r="O57" s="25">
        <v>-3628.35</v>
      </c>
      <c r="P57" s="28" t="s">
        <v>896</v>
      </c>
      <c r="Q57" s="28">
        <v>3000</v>
      </c>
      <c r="R57" s="29">
        <v>3000</v>
      </c>
      <c r="S57" s="29" t="s">
        <v>838</v>
      </c>
    </row>
    <row r="58" spans="2:19" hidden="1" outlineLevel="1" x14ac:dyDescent="0.25">
      <c r="B58" s="4" t="s">
        <v>868</v>
      </c>
      <c r="C58" s="24" t="s">
        <v>897</v>
      </c>
      <c r="D58" s="25">
        <f>IFERROR(VLOOKUP(C58,'[19]2020'!$B$3:$C$227,2,FALSE),0)</f>
        <v>229496.2</v>
      </c>
      <c r="E58" s="25">
        <v>224921.06</v>
      </c>
      <c r="F58" s="26">
        <v>-229496.2</v>
      </c>
      <c r="G58" s="25">
        <f>IFERROR(VLOOKUP(C58,'[18]ENE-OCT 2021'!$B$3:$D$225,3,FALSE),0)</f>
        <v>151053.9</v>
      </c>
      <c r="H58" s="25"/>
      <c r="I58" s="25">
        <f>(IFERROR(VLOOKUP(C58,'[19]2020'!$D$2:$G$227,4,FALSE),0)*-1)</f>
        <v>15660</v>
      </c>
      <c r="J58" s="25">
        <f>(IFERROR(VLOOKUP(C58,'[19]2020'!$D$2:$I$227,6,FALSE),0)*-1)</f>
        <v>16624.599999999999</v>
      </c>
      <c r="K58" s="25">
        <f t="shared" si="2"/>
        <v>183338.5</v>
      </c>
      <c r="L58" s="25"/>
      <c r="M58" s="27">
        <v>1</v>
      </c>
      <c r="N58" s="25">
        <f t="shared" si="6"/>
        <v>183338.5</v>
      </c>
      <c r="O58" s="25">
        <v>-109668.75</v>
      </c>
      <c r="P58" s="28">
        <v>221400</v>
      </c>
      <c r="Q58" s="28">
        <v>229496.2</v>
      </c>
      <c r="R58" s="29">
        <f t="shared" si="7"/>
        <v>190580.37075000003</v>
      </c>
      <c r="S58" s="29" t="s">
        <v>838</v>
      </c>
    </row>
    <row r="59" spans="2:19" hidden="1" outlineLevel="1" x14ac:dyDescent="0.25">
      <c r="B59" s="4" t="s">
        <v>868</v>
      </c>
      <c r="C59" s="24" t="s">
        <v>898</v>
      </c>
      <c r="D59" s="25">
        <f>IFERROR(VLOOKUP(C59,'[19]2020'!$B$3:$C$227,2,FALSE),0)</f>
        <v>888141.48</v>
      </c>
      <c r="E59" s="25">
        <v>787912.82</v>
      </c>
      <c r="F59" s="26">
        <v>-888141.48</v>
      </c>
      <c r="G59" s="25">
        <f>IFERROR(VLOOKUP(C59,'[18]ENE-OCT 2021'!$B$3:$D$225,3,FALSE),0)</f>
        <v>823516.72</v>
      </c>
      <c r="H59" s="25"/>
      <c r="I59" s="25">
        <f>(IFERROR(VLOOKUP(C59,'[19]2020'!$D$2:$G$227,4,FALSE),0)*-1)</f>
        <v>72217.320000000007</v>
      </c>
      <c r="J59" s="25">
        <f>(IFERROR(VLOOKUP(C59,'[19]2020'!$D$2:$I$227,6,FALSE),0)*-1)</f>
        <v>105244.8</v>
      </c>
      <c r="K59" s="25">
        <f t="shared" si="2"/>
        <v>1000978.8400000001</v>
      </c>
      <c r="L59" s="25"/>
      <c r="M59" s="27">
        <v>1</v>
      </c>
      <c r="N59" s="25">
        <f t="shared" si="6"/>
        <v>1000978.8400000001</v>
      </c>
      <c r="O59" s="25">
        <v>-221918.46</v>
      </c>
      <c r="P59" s="28">
        <v>1266134</v>
      </c>
      <c r="Q59" s="28">
        <v>888141.48</v>
      </c>
      <c r="R59" s="29">
        <f t="shared" si="7"/>
        <v>1040517.5041800002</v>
      </c>
      <c r="S59" s="29" t="s">
        <v>838</v>
      </c>
    </row>
    <row r="60" spans="2:19" hidden="1" outlineLevel="1" x14ac:dyDescent="0.25">
      <c r="B60" s="4" t="s">
        <v>868</v>
      </c>
      <c r="C60" s="24" t="s">
        <v>899</v>
      </c>
      <c r="D60" s="25">
        <f>IFERROR(VLOOKUP(C60,'[19]2020'!$B$3:$C$227,2,FALSE),0)</f>
        <v>14238.65</v>
      </c>
      <c r="E60" s="25">
        <v>12567.68</v>
      </c>
      <c r="F60" s="26">
        <v>-14238.65</v>
      </c>
      <c r="G60" s="25">
        <f>IFERROR(VLOOKUP(C60,'[18]ENE-OCT 2021'!$B$3:$D$225,3,FALSE),0)</f>
        <v>8555.2199999999993</v>
      </c>
      <c r="H60" s="25"/>
      <c r="I60" s="25">
        <f>(IFERROR(VLOOKUP(C60,'[19]2020'!$D$2:$G$227,4,FALSE),0)*-1)</f>
        <v>768.4</v>
      </c>
      <c r="J60" s="25">
        <f>(IFERROR(VLOOKUP(C60,'[19]2020'!$D$2:$I$227,6,FALSE),0)*-1)</f>
        <v>1027.6199999999999</v>
      </c>
      <c r="K60" s="25">
        <f t="shared" si="2"/>
        <v>10351.239999999998</v>
      </c>
      <c r="L60" s="25"/>
      <c r="M60" s="27">
        <v>1</v>
      </c>
      <c r="N60" s="25">
        <f t="shared" si="6"/>
        <v>10351.239999999998</v>
      </c>
      <c r="O60" s="25">
        <v>-9342.6299999999992</v>
      </c>
      <c r="P60" s="28">
        <v>8532</v>
      </c>
      <c r="Q60" s="28">
        <v>8532</v>
      </c>
      <c r="R60" s="29">
        <f t="shared" si="7"/>
        <v>10760.113979999998</v>
      </c>
      <c r="S60" s="29" t="s">
        <v>838</v>
      </c>
    </row>
    <row r="61" spans="2:19" hidden="1" outlineLevel="1" x14ac:dyDescent="0.25">
      <c r="B61" s="4" t="s">
        <v>868</v>
      </c>
      <c r="C61" s="24" t="s">
        <v>900</v>
      </c>
      <c r="D61" s="25">
        <f>IFERROR(VLOOKUP(C61,'[19]2020'!$B$3:$C$227,2,FALSE),0)</f>
        <v>64550</v>
      </c>
      <c r="E61" s="25">
        <v>58265</v>
      </c>
      <c r="F61" s="26">
        <v>-64550</v>
      </c>
      <c r="G61" s="25">
        <f>IFERROR(VLOOKUP(C61,'[18]ENE-OCT 2021'!$B$3:$D$225,3,FALSE),0)</f>
        <v>55718.86</v>
      </c>
      <c r="H61" s="25"/>
      <c r="I61" s="25">
        <f>(IFERROR(VLOOKUP(C61,'[19]2020'!$D$2:$G$227,4,FALSE),0)*-1)</f>
        <v>5420</v>
      </c>
      <c r="J61" s="25">
        <f>(IFERROR(VLOOKUP(C61,'[19]2020'!$D$2:$I$227,6,FALSE),0)*-1)</f>
        <v>7055</v>
      </c>
      <c r="K61" s="25">
        <f t="shared" si="2"/>
        <v>68193.86</v>
      </c>
      <c r="L61" s="25"/>
      <c r="M61" s="27">
        <v>1</v>
      </c>
      <c r="N61" s="25">
        <f t="shared" si="6"/>
        <v>68193.86</v>
      </c>
      <c r="O61" s="25">
        <v>-19942.240000000002</v>
      </c>
      <c r="P61" s="28">
        <v>84354</v>
      </c>
      <c r="Q61" s="28">
        <v>64550</v>
      </c>
      <c r="R61" s="29">
        <f t="shared" si="7"/>
        <v>70887.517470000006</v>
      </c>
      <c r="S61" s="29" t="s">
        <v>838</v>
      </c>
    </row>
    <row r="62" spans="2:19" hidden="1" outlineLevel="1" x14ac:dyDescent="0.25">
      <c r="B62" s="4" t="s">
        <v>868</v>
      </c>
      <c r="C62" s="24" t="s">
        <v>901</v>
      </c>
      <c r="D62" s="25">
        <f>IFERROR(VLOOKUP(C62,'[19]2020'!$B$3:$C$227,2,FALSE),0)</f>
        <v>32645</v>
      </c>
      <c r="E62" s="25">
        <v>27371.9</v>
      </c>
      <c r="F62" s="26">
        <v>-32645</v>
      </c>
      <c r="G62" s="25">
        <f>IFERROR(VLOOKUP(C62,'[18]ENE-OCT 2021'!$B$3:$D$225,3,FALSE),0)</f>
        <v>10555.52</v>
      </c>
      <c r="H62" s="25"/>
      <c r="I62" s="25">
        <f>(IFERROR(VLOOKUP(C62,'[19]2020'!$D$2:$G$227,4,FALSE),0)*-1)</f>
        <v>1740</v>
      </c>
      <c r="J62" s="25">
        <f>(IFERROR(VLOOKUP(C62,'[19]2020'!$D$2:$I$227,6,FALSE),0)*-1)</f>
        <v>2425</v>
      </c>
      <c r="K62" s="25">
        <f t="shared" si="2"/>
        <v>14720.52</v>
      </c>
      <c r="L62" s="25"/>
      <c r="M62" s="27">
        <v>1</v>
      </c>
      <c r="N62" s="25">
        <f t="shared" si="6"/>
        <v>14720.52</v>
      </c>
      <c r="O62" s="25">
        <v>-24513.72</v>
      </c>
      <c r="P62" s="28">
        <v>15228</v>
      </c>
      <c r="Q62" s="28">
        <v>32645</v>
      </c>
      <c r="R62" s="29">
        <f t="shared" si="7"/>
        <v>15301.980540000002</v>
      </c>
      <c r="S62" s="29" t="s">
        <v>838</v>
      </c>
    </row>
    <row r="63" spans="2:19" hidden="1" outlineLevel="1" x14ac:dyDescent="0.25">
      <c r="B63" s="4" t="s">
        <v>868</v>
      </c>
      <c r="C63" s="24" t="s">
        <v>902</v>
      </c>
      <c r="D63" s="25">
        <f>IFERROR(VLOOKUP(C63,'[19]2020'!$B$3:$C$227,2,FALSE),0)</f>
        <v>5633896.25</v>
      </c>
      <c r="E63" s="25">
        <v>6160000.2000000002</v>
      </c>
      <c r="F63" s="26">
        <v>-6160000.2000000002</v>
      </c>
      <c r="G63" s="25">
        <f>IFERROR(VLOOKUP(C63,'[18]ENE-OCT 2021'!$B$3:$D$225,3,FALSE),0)</f>
        <v>3031272.76</v>
      </c>
      <c r="H63" s="25"/>
      <c r="I63" s="25">
        <v>311919.19555555552</v>
      </c>
      <c r="J63" s="25">
        <v>311919.19555555552</v>
      </c>
      <c r="K63" s="25">
        <f t="shared" si="2"/>
        <v>3655111.151111111</v>
      </c>
      <c r="L63" s="25"/>
      <c r="M63" s="27">
        <v>0</v>
      </c>
      <c r="N63" s="25">
        <f t="shared" si="6"/>
        <v>3655111.151111111</v>
      </c>
      <c r="O63" s="25">
        <v>-3672727.44</v>
      </c>
      <c r="P63" s="28">
        <v>3865222</v>
      </c>
      <c r="Q63" s="28">
        <v>3865222</v>
      </c>
      <c r="R63" s="29">
        <f t="shared" si="7"/>
        <v>3655111.151111111</v>
      </c>
      <c r="S63" s="29" t="s">
        <v>838</v>
      </c>
    </row>
    <row r="64" spans="2:19" hidden="1" outlineLevel="1" x14ac:dyDescent="0.25">
      <c r="B64" s="4" t="s">
        <v>868</v>
      </c>
      <c r="C64" s="24" t="s">
        <v>903</v>
      </c>
      <c r="D64" s="25">
        <f>IFERROR(VLOOKUP(C64,'[19]2020'!$B$3:$C$227,2,FALSE),0)</f>
        <v>1307664</v>
      </c>
      <c r="E64" s="25">
        <v>2064415.89</v>
      </c>
      <c r="F64" s="26">
        <v>-1307664</v>
      </c>
      <c r="G64" s="25">
        <f>IFERROR(VLOOKUP(C64,'[18]ENE-OCT 2021'!$B$3:$D$225,3,FALSE),0)</f>
        <v>1186200</v>
      </c>
      <c r="H64" s="25"/>
      <c r="I64" s="25">
        <f>(IFERROR(VLOOKUP(C64,'[19]2020'!$D$2:$G$227,4,FALSE),0)*-1)</f>
        <v>90086.1</v>
      </c>
      <c r="J64" s="25">
        <f>(IFERROR(VLOOKUP(C64,'[19]2020'!$D$2:$I$227,6,FALSE),0)*-1)</f>
        <v>46373.96</v>
      </c>
      <c r="K64" s="25">
        <f t="shared" si="2"/>
        <v>1322660.06</v>
      </c>
      <c r="L64" s="25"/>
      <c r="M64" s="27" t="s">
        <v>904</v>
      </c>
      <c r="N64" s="25">
        <f t="shared" si="6"/>
        <v>1322660.06</v>
      </c>
      <c r="O64" s="25">
        <v>-429024</v>
      </c>
      <c r="P64" s="28">
        <v>1451816</v>
      </c>
      <c r="Q64" s="28">
        <v>1307664</v>
      </c>
      <c r="R64" s="29">
        <f t="shared" si="7"/>
        <v>1322660.06</v>
      </c>
      <c r="S64" s="29" t="s">
        <v>838</v>
      </c>
    </row>
    <row r="65" spans="2:19" hidden="1" outlineLevel="1" x14ac:dyDescent="0.25">
      <c r="B65" s="4" t="s">
        <v>868</v>
      </c>
      <c r="C65" s="24" t="s">
        <v>905</v>
      </c>
      <c r="D65" s="25">
        <f>IFERROR(VLOOKUP(C65,'[19]2020'!$B$3:$C$227,2,FALSE),0)</f>
        <v>205900</v>
      </c>
      <c r="E65" s="25">
        <v>171650</v>
      </c>
      <c r="F65" s="26">
        <v>-213106.5</v>
      </c>
      <c r="G65" s="25">
        <f>IFERROR(VLOOKUP(C65,'[18]ENE-OCT 2021'!$B$3:$D$225,3,FALSE),0)</f>
        <v>216780.75</v>
      </c>
      <c r="H65" s="25"/>
      <c r="I65" s="25">
        <f>(IFERROR(VLOOKUP(C65,'[19]2020'!$D$2:$G$227,4,FALSE),0)*-1)</f>
        <v>21300</v>
      </c>
      <c r="J65" s="25">
        <f>(IFERROR(VLOOKUP(C65,'[19]2020'!$D$2:$I$227,6,FALSE),0)*-1)</f>
        <v>24850</v>
      </c>
      <c r="K65" s="25">
        <f t="shared" si="2"/>
        <v>262930.75</v>
      </c>
      <c r="L65" s="25"/>
      <c r="M65" s="27">
        <v>1</v>
      </c>
      <c r="N65" s="25">
        <f t="shared" si="6"/>
        <v>262930.75</v>
      </c>
      <c r="O65" s="25">
        <v>-69810.75</v>
      </c>
      <c r="P65" s="28">
        <v>280088</v>
      </c>
      <c r="Q65" s="28">
        <v>205900</v>
      </c>
      <c r="R65" s="29">
        <f t="shared" si="7"/>
        <v>273316.51462500001</v>
      </c>
      <c r="S65" s="29" t="s">
        <v>838</v>
      </c>
    </row>
    <row r="66" spans="2:19" hidden="1" outlineLevel="1" x14ac:dyDescent="0.25">
      <c r="B66" s="4" t="s">
        <v>868</v>
      </c>
      <c r="C66" s="24" t="s">
        <v>906</v>
      </c>
      <c r="D66" s="25">
        <f>IFERROR(VLOOKUP(C66,'[19]2020'!$B$3:$C$227,2,FALSE),0)</f>
        <v>65611.62</v>
      </c>
      <c r="E66" s="25">
        <v>235658.69</v>
      </c>
      <c r="F66" s="26">
        <v>-67908.02</v>
      </c>
      <c r="G66" s="25">
        <f>IFERROR(VLOOKUP(C66,'[18]ENE-OCT 2021'!$B$3:$D$225,3,FALSE),0)</f>
        <v>41203.699999999997</v>
      </c>
      <c r="H66" s="25"/>
      <c r="I66" s="25">
        <f>(IFERROR(VLOOKUP(C66,'[19]2020'!$D$2:$G$227,4,FALSE),0)*-1)</f>
        <v>1299.24</v>
      </c>
      <c r="J66" s="25">
        <f>(IFERROR(VLOOKUP(C66,'[19]2020'!$D$2:$I$227,6,FALSE),0)*-1)</f>
        <v>1299.24</v>
      </c>
      <c r="K66" s="25">
        <f t="shared" si="2"/>
        <v>43802.179999999993</v>
      </c>
      <c r="L66" s="25"/>
      <c r="M66" s="27">
        <v>1</v>
      </c>
      <c r="N66" s="25">
        <f t="shared" si="6"/>
        <v>43802.179999999993</v>
      </c>
      <c r="O66" s="25">
        <v>-40151.519999999997</v>
      </c>
      <c r="P66" s="28">
        <v>223784</v>
      </c>
      <c r="Q66" s="28">
        <v>65611.62</v>
      </c>
      <c r="R66" s="29">
        <f t="shared" si="7"/>
        <v>45532.366109999995</v>
      </c>
      <c r="S66" s="29" t="s">
        <v>838</v>
      </c>
    </row>
    <row r="67" spans="2:19" hidden="1" outlineLevel="1" x14ac:dyDescent="0.25">
      <c r="B67" s="4" t="s">
        <v>868</v>
      </c>
      <c r="C67" s="24" t="s">
        <v>907</v>
      </c>
      <c r="D67" s="25">
        <f>IFERROR(VLOOKUP(C67,'[19]2020'!$B$3:$C$227,2,FALSE),0)</f>
        <v>354728.64</v>
      </c>
      <c r="E67" s="25">
        <v>444261.5</v>
      </c>
      <c r="F67" s="26">
        <v>-444261.5</v>
      </c>
      <c r="G67" s="25">
        <f>IFERROR(VLOOKUP(C67,'[18]ENE-OCT 2021'!$B$3:$D$225,3,FALSE),0)</f>
        <v>229649.42</v>
      </c>
      <c r="H67" s="25"/>
      <c r="I67" s="25">
        <f>(IFERROR(VLOOKUP(C67,'[19]2020'!$D$2:$G$227,4,FALSE),0)*-1)</f>
        <v>0</v>
      </c>
      <c r="J67" s="25">
        <f>(IFERROR(VLOOKUP(C67,'[19]2020'!$D$2:$I$227,6,FALSE),0)*-1)</f>
        <v>0</v>
      </c>
      <c r="K67" s="25">
        <f t="shared" si="2"/>
        <v>229649.42</v>
      </c>
      <c r="L67" s="25"/>
      <c r="M67" s="27">
        <v>1</v>
      </c>
      <c r="N67" s="25">
        <f t="shared" si="6"/>
        <v>229649.42</v>
      </c>
      <c r="O67" s="25">
        <v>-223499.42</v>
      </c>
      <c r="P67" s="28">
        <v>459811</v>
      </c>
      <c r="Q67" s="28">
        <v>370000</v>
      </c>
      <c r="R67" s="29">
        <f t="shared" si="7"/>
        <v>238720.57209000003</v>
      </c>
      <c r="S67" s="29" t="s">
        <v>838</v>
      </c>
    </row>
    <row r="68" spans="2:19" hidden="1" outlineLevel="1" x14ac:dyDescent="0.25">
      <c r="B68" s="4" t="s">
        <v>868</v>
      </c>
      <c r="C68" s="24" t="s">
        <v>908</v>
      </c>
      <c r="D68" s="25">
        <f>IFERROR(VLOOKUP(C68,'[19]2020'!$B$3:$C$227,2,FALSE),0)</f>
        <v>152016.85</v>
      </c>
      <c r="E68" s="25">
        <v>144764.67000000001</v>
      </c>
      <c r="F68" s="26">
        <v>-157337.43</v>
      </c>
      <c r="G68" s="25">
        <f>IFERROR(VLOOKUP(C68,'[18]ENE-OCT 2021'!$B$3:$D$225,3,FALSE),0)</f>
        <v>169173.04</v>
      </c>
      <c r="H68" s="25"/>
      <c r="I68" s="25">
        <f>(IFERROR(VLOOKUP(C68,'[19]2020'!$D$2:$G$227,4,FALSE),0)*-1)</f>
        <v>17014.73</v>
      </c>
      <c r="J68" s="25">
        <f>(IFERROR(VLOOKUP(C68,'[19]2020'!$D$2:$I$227,6,FALSE),0)*-1)</f>
        <v>1394.65</v>
      </c>
      <c r="K68" s="25">
        <f t="shared" si="2"/>
        <v>187582.42</v>
      </c>
      <c r="L68" s="25"/>
      <c r="M68" s="27">
        <v>1</v>
      </c>
      <c r="N68" s="25">
        <f t="shared" si="6"/>
        <v>187582.42</v>
      </c>
      <c r="O68" s="25">
        <v>-33778.11</v>
      </c>
      <c r="P68" s="28">
        <v>162844</v>
      </c>
      <c r="Q68" s="28">
        <v>162844</v>
      </c>
      <c r="R68" s="29">
        <f t="shared" si="7"/>
        <v>194991.92559000003</v>
      </c>
      <c r="S68" s="29" t="s">
        <v>838</v>
      </c>
    </row>
    <row r="69" spans="2:19" hidden="1" outlineLevel="1" x14ac:dyDescent="0.25">
      <c r="B69" s="4" t="s">
        <v>868</v>
      </c>
      <c r="C69" s="24" t="s">
        <v>909</v>
      </c>
      <c r="D69" s="25">
        <f>IFERROR(VLOOKUP(C69,'[19]2020'!$B$3:$C$227,2,FALSE),0)</f>
        <v>628063.4</v>
      </c>
      <c r="E69" s="25">
        <v>728453.86</v>
      </c>
      <c r="F69" s="26">
        <v>-728453.86</v>
      </c>
      <c r="G69" s="25">
        <f>IFERROR(VLOOKUP(C69,'[18]ENE-OCT 2021'!$B$3:$D$225,3,FALSE),0)</f>
        <v>480215.24</v>
      </c>
      <c r="H69" s="25"/>
      <c r="I69" s="25">
        <f>(IFERROR(VLOOKUP(C69,'[19]2020'!$D$2:$G$227,4,FALSE),0)*-1)</f>
        <v>56100</v>
      </c>
      <c r="J69" s="25">
        <f>(IFERROR(VLOOKUP(C69,'[19]2020'!$D$2:$I$227,6,FALSE),0)*-1)</f>
        <v>49723.4</v>
      </c>
      <c r="K69" s="25">
        <f t="shared" ref="K69:K133" si="8">G69+H69+I69+J69</f>
        <v>586038.64</v>
      </c>
      <c r="L69" s="25"/>
      <c r="M69" s="27">
        <v>1</v>
      </c>
      <c r="N69" s="25">
        <f t="shared" si="6"/>
        <v>586038.64</v>
      </c>
      <c r="O69" s="25">
        <v>-332322.21999999997</v>
      </c>
      <c r="P69" s="28">
        <v>691749</v>
      </c>
      <c r="Q69" s="28">
        <v>728453</v>
      </c>
      <c r="R69" s="29">
        <f t="shared" si="7"/>
        <v>609187.16628000012</v>
      </c>
      <c r="S69" s="29" t="s">
        <v>838</v>
      </c>
    </row>
    <row r="70" spans="2:19" hidden="1" outlineLevel="1" x14ac:dyDescent="0.25">
      <c r="B70" s="4" t="s">
        <v>868</v>
      </c>
      <c r="C70" s="24" t="s">
        <v>910</v>
      </c>
      <c r="D70" s="25">
        <f>IFERROR(VLOOKUP(C70,'[19]2020'!$B$3:$C$227,2,FALSE),0)</f>
        <v>0</v>
      </c>
      <c r="E70" s="25">
        <v>10000</v>
      </c>
      <c r="F70" s="26">
        <v>-10000</v>
      </c>
      <c r="G70" s="25">
        <f>IFERROR(VLOOKUP(C70,'[18]ENE-OCT 2021'!$B$3:$D$225,3,FALSE),0)</f>
        <v>75.56</v>
      </c>
      <c r="H70" s="25"/>
      <c r="I70" s="25">
        <f>(IFERROR(VLOOKUP(C70,'[19]2020'!$D$2:$G$227,4,FALSE),0)*-1)</f>
        <v>0</v>
      </c>
      <c r="J70" s="25">
        <f>(IFERROR(VLOOKUP(C70,'[19]2020'!$D$2:$I$227,6,FALSE),0)*-1)</f>
        <v>0</v>
      </c>
      <c r="K70" s="25">
        <f t="shared" si="8"/>
        <v>75.56</v>
      </c>
      <c r="L70" s="25"/>
      <c r="M70" s="27"/>
      <c r="N70" s="25">
        <f t="shared" si="6"/>
        <v>75.56</v>
      </c>
      <c r="O70" s="25">
        <v>-9924.44</v>
      </c>
      <c r="P70" s="28">
        <v>10350</v>
      </c>
      <c r="Q70" s="28">
        <v>10395</v>
      </c>
      <c r="R70" s="29">
        <v>10000</v>
      </c>
      <c r="S70" s="29" t="s">
        <v>838</v>
      </c>
    </row>
    <row r="71" spans="2:19" hidden="1" outlineLevel="1" x14ac:dyDescent="0.25">
      <c r="B71" s="4" t="s">
        <v>868</v>
      </c>
      <c r="C71" s="24" t="s">
        <v>911</v>
      </c>
      <c r="D71" s="25">
        <f>IFERROR(VLOOKUP(C71,'[19]2020'!$B$3:$C$227,2,FALSE),0)</f>
        <v>21989.360000000001</v>
      </c>
      <c r="E71" s="25">
        <v>78512.72</v>
      </c>
      <c r="F71" s="26">
        <v>-78512.72</v>
      </c>
      <c r="G71" s="25">
        <f>IFERROR(VLOOKUP(C71,'[18]ENE-OCT 2021'!$B$3:$D$225,3,FALSE),0)</f>
        <v>114079.69</v>
      </c>
      <c r="H71" s="25"/>
      <c r="I71" s="25">
        <f>(IFERROR(VLOOKUP(C71,'[19]2020'!$D$2:$G$227,4,FALSE),0)*-1)</f>
        <v>0</v>
      </c>
      <c r="J71" s="25">
        <f>(IFERROR(VLOOKUP(C71,'[19]2020'!$D$2:$I$227,6,FALSE),0)*-1)</f>
        <v>0</v>
      </c>
      <c r="K71" s="25">
        <f t="shared" si="8"/>
        <v>114079.69</v>
      </c>
      <c r="L71" s="25"/>
      <c r="M71" s="27">
        <v>1</v>
      </c>
      <c r="N71" s="25">
        <f t="shared" si="6"/>
        <v>114079.69</v>
      </c>
      <c r="O71" s="25">
        <v>1122.17</v>
      </c>
      <c r="P71" s="28">
        <v>0</v>
      </c>
      <c r="Q71" s="28">
        <v>90000</v>
      </c>
      <c r="R71" s="29">
        <f t="shared" si="7"/>
        <v>118585.83775500002</v>
      </c>
      <c r="S71" s="29" t="s">
        <v>838</v>
      </c>
    </row>
    <row r="72" spans="2:19" hidden="1" outlineLevel="1" x14ac:dyDescent="0.25">
      <c r="B72" s="4" t="s">
        <v>868</v>
      </c>
      <c r="C72" s="24" t="s">
        <v>912</v>
      </c>
      <c r="D72" s="25">
        <f>IFERROR(VLOOKUP(C72,'[19]2020'!$B$3:$C$227,2,FALSE),0)</f>
        <v>1092582.6200000001</v>
      </c>
      <c r="E72" s="25">
        <v>952160.24</v>
      </c>
      <c r="F72" s="26">
        <v>-1092582.6200000001</v>
      </c>
      <c r="G72" s="25">
        <f>IFERROR(VLOOKUP(C72,'[18]ENE-OCT 2021'!$B$3:$D$225,3,FALSE),0)</f>
        <v>763976.43</v>
      </c>
      <c r="H72" s="25"/>
      <c r="I72" s="25">
        <f>(IFERROR(VLOOKUP(C72,'[19]2020'!$D$2:$G$227,4,FALSE),0)*-1)</f>
        <v>173561.28</v>
      </c>
      <c r="J72" s="25">
        <f>(IFERROR(VLOOKUP(C72,'[19]2020'!$D$2:$I$227,6,FALSE),0)*-1)</f>
        <v>207485.39</v>
      </c>
      <c r="K72" s="25">
        <f t="shared" si="8"/>
        <v>1145023.1000000001</v>
      </c>
      <c r="L72" s="25"/>
      <c r="M72" s="27">
        <v>1</v>
      </c>
      <c r="N72" s="25">
        <f t="shared" si="6"/>
        <v>1145023.1000000001</v>
      </c>
      <c r="O72" s="25">
        <v>-475762.67</v>
      </c>
      <c r="P72" s="28">
        <v>1070731</v>
      </c>
      <c r="Q72" s="28">
        <v>1070731</v>
      </c>
      <c r="R72" s="29">
        <f t="shared" si="7"/>
        <v>1190251.5124500003</v>
      </c>
      <c r="S72" s="29" t="s">
        <v>838</v>
      </c>
    </row>
    <row r="73" spans="2:19" hidden="1" outlineLevel="1" x14ac:dyDescent="0.25">
      <c r="B73" s="4" t="s">
        <v>868</v>
      </c>
      <c r="C73" s="24" t="s">
        <v>913</v>
      </c>
      <c r="D73" s="25">
        <f>IFERROR(VLOOKUP(C73,'[19]2020'!$B$3:$C$227,2,FALSE),0)</f>
        <v>618133</v>
      </c>
      <c r="E73" s="25">
        <v>656901.02</v>
      </c>
      <c r="F73" s="26">
        <v>-656901.02</v>
      </c>
      <c r="G73" s="25">
        <f>IFERROR(VLOOKUP(C73,'[18]ENE-OCT 2021'!$B$3:$D$225,3,FALSE),0)</f>
        <v>673582.92</v>
      </c>
      <c r="H73" s="25"/>
      <c r="I73" s="25">
        <f>(IFERROR(VLOOKUP(C73,'[19]2020'!$D$2:$G$227,4,FALSE),0)*-1)</f>
        <v>24269</v>
      </c>
      <c r="J73" s="25">
        <f>(IFERROR(VLOOKUP(C73,'[19]2020'!$D$2:$I$227,6,FALSE),0)*-1)</f>
        <v>18052</v>
      </c>
      <c r="K73" s="25">
        <f t="shared" si="8"/>
        <v>715903.92</v>
      </c>
      <c r="L73" s="25"/>
      <c r="M73" s="27">
        <v>1</v>
      </c>
      <c r="N73" s="25">
        <f t="shared" si="6"/>
        <v>715903.92</v>
      </c>
      <c r="O73" s="25">
        <v>-72688.179999999993</v>
      </c>
      <c r="P73" s="28">
        <v>858793</v>
      </c>
      <c r="Q73" s="28">
        <v>858793</v>
      </c>
      <c r="R73" s="29">
        <f t="shared" si="7"/>
        <v>744182.12484000006</v>
      </c>
      <c r="S73" s="29" t="s">
        <v>838</v>
      </c>
    </row>
    <row r="74" spans="2:19" hidden="1" outlineLevel="1" x14ac:dyDescent="0.25">
      <c r="B74" s="4" t="s">
        <v>868</v>
      </c>
      <c r="C74" s="24" t="s">
        <v>914</v>
      </c>
      <c r="D74" s="25">
        <f>IFERROR(VLOOKUP(C74,'[19]2020'!$B$3:$C$227,2,FALSE),0)</f>
        <v>36895.69</v>
      </c>
      <c r="E74" s="25">
        <v>36895.69</v>
      </c>
      <c r="F74" s="26">
        <v>-36895.69</v>
      </c>
      <c r="G74" s="25">
        <f>IFERROR(VLOOKUP(C74,'[18]ENE-OCT 2021'!$B$3:$D$225,3,FALSE),0)</f>
        <v>0</v>
      </c>
      <c r="H74" s="25"/>
      <c r="I74" s="25">
        <f>(IFERROR(VLOOKUP(C74,'[19]2020'!$D$2:$G$227,4,FALSE),0)*-1)</f>
        <v>0</v>
      </c>
      <c r="J74" s="25">
        <f>(IFERROR(VLOOKUP(C74,'[19]2020'!$D$2:$I$227,6,FALSE),0)*-1)</f>
        <v>0</v>
      </c>
      <c r="K74" s="25">
        <f t="shared" si="8"/>
        <v>0</v>
      </c>
      <c r="L74" s="25"/>
      <c r="M74" s="27"/>
      <c r="N74" s="25">
        <f t="shared" si="6"/>
        <v>0</v>
      </c>
      <c r="O74" s="25">
        <v>-36895.69</v>
      </c>
      <c r="P74" s="28">
        <v>0</v>
      </c>
      <c r="Q74" s="32">
        <v>36895.69</v>
      </c>
      <c r="R74" s="29">
        <f t="shared" si="7"/>
        <v>0</v>
      </c>
      <c r="S74" s="29" t="s">
        <v>838</v>
      </c>
    </row>
    <row r="75" spans="2:19" hidden="1" outlineLevel="1" x14ac:dyDescent="0.25">
      <c r="B75" s="4" t="s">
        <v>868</v>
      </c>
      <c r="C75" s="24" t="s">
        <v>915</v>
      </c>
      <c r="D75" s="25">
        <f>IFERROR(VLOOKUP(C75,'[19]2020'!$B$3:$C$227,2,FALSE),0)</f>
        <v>346197.2</v>
      </c>
      <c r="E75" s="25">
        <v>321995.2</v>
      </c>
      <c r="F75" s="26">
        <v>-358314.1</v>
      </c>
      <c r="G75" s="25">
        <f>IFERROR(VLOOKUP(C75,'[18]ENE-OCT 2021'!$B$3:$D$225,3,FALSE),0)</f>
        <v>432845.18</v>
      </c>
      <c r="H75" s="25"/>
      <c r="I75" s="25">
        <f>(IFERROR(VLOOKUP(C75,'[19]2020'!$D$2:$G$227,4,FALSE),0)*-1)</f>
        <v>49074.44</v>
      </c>
      <c r="J75" s="25">
        <f>(IFERROR(VLOOKUP(C75,'[19]2020'!$D$2:$I$227,6,FALSE),0)*-1)</f>
        <v>46623.65</v>
      </c>
      <c r="K75" s="25">
        <f t="shared" si="8"/>
        <v>528543.27</v>
      </c>
      <c r="L75" s="25"/>
      <c r="M75" s="27">
        <v>1</v>
      </c>
      <c r="N75" s="25">
        <f t="shared" si="6"/>
        <v>528543.27</v>
      </c>
      <c r="O75" s="25">
        <v>3947.08</v>
      </c>
      <c r="P75" s="28">
        <v>562410</v>
      </c>
      <c r="Q75" s="28">
        <v>562410</v>
      </c>
      <c r="R75" s="29">
        <f t="shared" si="7"/>
        <v>549420.72916500003</v>
      </c>
      <c r="S75" s="29" t="s">
        <v>838</v>
      </c>
    </row>
    <row r="76" spans="2:19" hidden="1" outlineLevel="1" x14ac:dyDescent="0.25">
      <c r="B76" s="4" t="s">
        <v>868</v>
      </c>
      <c r="C76" s="24" t="s">
        <v>916</v>
      </c>
      <c r="D76" s="25">
        <f>IFERROR(VLOOKUP(C76,'[19]2020'!$B$3:$C$227,2,FALSE),0)</f>
        <v>1369578.98</v>
      </c>
      <c r="E76" s="25">
        <v>1780000</v>
      </c>
      <c r="F76" s="26">
        <v>-1780000</v>
      </c>
      <c r="G76" s="25">
        <f>IFERROR(VLOOKUP(C76,'[18]ENE-OCT 2021'!$B$3:$D$225,3,FALSE),0)</f>
        <v>1669535.71</v>
      </c>
      <c r="H76" s="25"/>
      <c r="I76" s="25">
        <f>(IFERROR(VLOOKUP(C76,'[19]2020'!$D$2:$G$227,4,FALSE),0)*-1)</f>
        <v>138900.5</v>
      </c>
      <c r="J76" s="25">
        <f>(IFERROR(VLOOKUP(C76,'[19]2020'!$D$2:$I$227,6,FALSE),0)*-1)</f>
        <v>102780.06</v>
      </c>
      <c r="K76" s="25">
        <f t="shared" si="8"/>
        <v>1911216.27</v>
      </c>
      <c r="L76" s="25"/>
      <c r="M76" s="27">
        <v>1</v>
      </c>
      <c r="N76" s="25">
        <f t="shared" si="6"/>
        <v>1911216.27</v>
      </c>
      <c r="O76" s="25">
        <v>-435978.75</v>
      </c>
      <c r="P76" s="28">
        <v>2300000</v>
      </c>
      <c r="Q76" s="28">
        <v>1500000</v>
      </c>
      <c r="R76" s="29">
        <f t="shared" si="7"/>
        <v>1986709.3126650001</v>
      </c>
      <c r="S76" s="29" t="s">
        <v>838</v>
      </c>
    </row>
    <row r="77" spans="2:19" hidden="1" outlineLevel="1" x14ac:dyDescent="0.25">
      <c r="B77" s="4" t="s">
        <v>868</v>
      </c>
      <c r="C77" s="24" t="s">
        <v>917</v>
      </c>
      <c r="D77" s="25">
        <f>IFERROR(VLOOKUP(C77,'[19]2020'!$B$3:$C$227,2,FALSE),0)</f>
        <v>37452.519999999997</v>
      </c>
      <c r="E77" s="25">
        <v>75000</v>
      </c>
      <c r="F77" s="26">
        <v>-75000</v>
      </c>
      <c r="G77" s="25">
        <f>IFERROR(VLOOKUP(C77,'[18]ENE-OCT 2021'!$B$3:$D$225,3,FALSE),0)</f>
        <v>28129.67</v>
      </c>
      <c r="H77" s="25"/>
      <c r="I77" s="25">
        <f>(IFERROR(VLOOKUP(C77,'[19]2020'!$D$2:$G$227,4,FALSE),0)*-1)</f>
        <v>854.48</v>
      </c>
      <c r="J77" s="25">
        <f>(IFERROR(VLOOKUP(C77,'[19]2020'!$D$2:$I$227,6,FALSE),0)*-1)</f>
        <v>2908</v>
      </c>
      <c r="K77" s="25">
        <f t="shared" si="8"/>
        <v>31892.149999999998</v>
      </c>
      <c r="L77" s="25"/>
      <c r="M77" s="27">
        <v>1</v>
      </c>
      <c r="N77" s="25">
        <f t="shared" si="6"/>
        <v>31892.149999999998</v>
      </c>
      <c r="O77" s="25">
        <v>-56163.64</v>
      </c>
      <c r="P77" s="28">
        <v>75000</v>
      </c>
      <c r="Q77" s="28">
        <v>75000</v>
      </c>
      <c r="R77" s="29">
        <f t="shared" si="7"/>
        <v>33151.889925000003</v>
      </c>
      <c r="S77" s="29" t="s">
        <v>838</v>
      </c>
    </row>
    <row r="78" spans="2:19" hidden="1" outlineLevel="1" x14ac:dyDescent="0.25">
      <c r="B78" s="4" t="s">
        <v>868</v>
      </c>
      <c r="C78" s="24" t="s">
        <v>918</v>
      </c>
      <c r="D78" s="25">
        <f>IFERROR(VLOOKUP(C78,'[19]2020'!$B$3:$C$227,2,FALSE),0)</f>
        <v>69250.5</v>
      </c>
      <c r="E78" s="25">
        <v>75000</v>
      </c>
      <c r="F78" s="26">
        <v>-75000</v>
      </c>
      <c r="G78" s="25">
        <f>IFERROR(VLOOKUP(C78,'[18]ENE-OCT 2021'!$B$3:$D$225,3,FALSE),0)</f>
        <v>65809.179999999993</v>
      </c>
      <c r="H78" s="25"/>
      <c r="I78" s="25">
        <f>(IFERROR(VLOOKUP(C78,'[19]2020'!$D$2:$G$227,4,FALSE),0)*-1)</f>
        <v>0</v>
      </c>
      <c r="J78" s="25">
        <f>(IFERROR(VLOOKUP(C78,'[19]2020'!$D$2:$I$227,6,FALSE),0)*-1)</f>
        <v>3147.75</v>
      </c>
      <c r="K78" s="25">
        <f t="shared" si="8"/>
        <v>68956.929999999993</v>
      </c>
      <c r="L78" s="25"/>
      <c r="M78" s="27">
        <v>1</v>
      </c>
      <c r="N78" s="25">
        <f t="shared" si="6"/>
        <v>68956.929999999993</v>
      </c>
      <c r="O78" s="25">
        <v>-17661.36</v>
      </c>
      <c r="P78" s="28">
        <v>85000</v>
      </c>
      <c r="Q78" s="28">
        <v>85000</v>
      </c>
      <c r="R78" s="29">
        <f t="shared" si="7"/>
        <v>71680.728734999997</v>
      </c>
      <c r="S78" s="29" t="s">
        <v>838</v>
      </c>
    </row>
    <row r="79" spans="2:19" hidden="1" outlineLevel="1" x14ac:dyDescent="0.25">
      <c r="B79" s="4" t="s">
        <v>868</v>
      </c>
      <c r="C79" s="24" t="s">
        <v>919</v>
      </c>
      <c r="D79" s="25">
        <f>IFERROR(VLOOKUP(C79,'[19]2020'!$B$3:$C$227,2,FALSE),0)</f>
        <v>1711970.77</v>
      </c>
      <c r="E79" s="25">
        <v>2111781.36</v>
      </c>
      <c r="F79" s="26">
        <v>-2211970.77</v>
      </c>
      <c r="G79" s="25">
        <f>IFERROR(VLOOKUP(C79,'[18]ENE-OCT 2021'!$B$3:$D$225,3,FALSE),0)</f>
        <v>2165945.94</v>
      </c>
      <c r="H79" s="25"/>
      <c r="I79" s="25">
        <f>(IFERROR(VLOOKUP(C79,'[19]2020'!$D$2:$G$227,4,FALSE),0)*-1)</f>
        <v>50405.599999999999</v>
      </c>
      <c r="J79" s="25">
        <f>(IFERROR(VLOOKUP(C79,'[19]2020'!$D$2:$I$227,6,FALSE),0)*-1)</f>
        <v>95582.5</v>
      </c>
      <c r="K79" s="25">
        <f t="shared" si="8"/>
        <v>2311934.04</v>
      </c>
      <c r="L79" s="25"/>
      <c r="M79" s="27">
        <v>1</v>
      </c>
      <c r="N79" s="25">
        <f t="shared" si="6"/>
        <v>2311934.04</v>
      </c>
      <c r="O79" s="25">
        <v>-553525.94999999995</v>
      </c>
      <c r="P79" s="28">
        <v>2582699</v>
      </c>
      <c r="Q79" s="28">
        <v>2582699</v>
      </c>
      <c r="R79" s="29">
        <f t="shared" si="7"/>
        <v>2403255.4345800001</v>
      </c>
      <c r="S79" s="29" t="s">
        <v>838</v>
      </c>
    </row>
    <row r="80" spans="2:19" hidden="1" outlineLevel="1" x14ac:dyDescent="0.25">
      <c r="B80" s="4" t="s">
        <v>868</v>
      </c>
      <c r="C80" s="24" t="s">
        <v>920</v>
      </c>
      <c r="D80" s="25">
        <f>IFERROR(VLOOKUP(C80,'[19]2020'!$B$3:$C$227,2,FALSE),0)</f>
        <v>1894678.83</v>
      </c>
      <c r="E80" s="25">
        <v>1913126.62</v>
      </c>
      <c r="F80" s="26">
        <v>-1913127</v>
      </c>
      <c r="G80" s="25">
        <f>IFERROR(VLOOKUP(C80,'[18]ENE-OCT 2021'!$B$3:$D$225,3,FALSE),0)</f>
        <v>870363.04</v>
      </c>
      <c r="H80" s="25"/>
      <c r="I80" s="25">
        <f>(IFERROR(VLOOKUP(C80,'[19]2020'!$D$2:$G$227,4,FALSE),0)*-1)</f>
        <v>206930.97</v>
      </c>
      <c r="J80" s="25">
        <f>(IFERROR(VLOOKUP(C80,'[19]2020'!$D$2:$I$227,6,FALSE),0)*-1)</f>
        <v>194573.47</v>
      </c>
      <c r="K80" s="25">
        <f t="shared" si="8"/>
        <v>1271867.48</v>
      </c>
      <c r="L80" s="25"/>
      <c r="M80" s="27">
        <v>1</v>
      </c>
      <c r="N80" s="25">
        <f t="shared" si="6"/>
        <v>1271867.48</v>
      </c>
      <c r="O80" s="25">
        <v>-1221504.44</v>
      </c>
      <c r="P80" s="28">
        <v>1357501</v>
      </c>
      <c r="Q80" s="28">
        <v>1357501</v>
      </c>
      <c r="R80" s="29">
        <f t="shared" si="7"/>
        <v>1322106.2454600001</v>
      </c>
      <c r="S80" s="29" t="s">
        <v>838</v>
      </c>
    </row>
    <row r="81" spans="2:19" hidden="1" outlineLevel="1" x14ac:dyDescent="0.25">
      <c r="B81" s="4" t="s">
        <v>868</v>
      </c>
      <c r="C81" s="24" t="s">
        <v>921</v>
      </c>
      <c r="D81" s="25">
        <f>IFERROR(VLOOKUP(C81,'[19]2020'!$B$3:$C$227,2,FALSE),0)</f>
        <v>1157300.28</v>
      </c>
      <c r="E81" s="25">
        <v>1108340.95</v>
      </c>
      <c r="F81" s="26">
        <v>-1157300</v>
      </c>
      <c r="G81" s="25">
        <f>IFERROR(VLOOKUP(C81,'[18]ENE-OCT 2021'!$B$3:$D$225,3,FALSE),0)</f>
        <v>1340786.48</v>
      </c>
      <c r="H81" s="25"/>
      <c r="I81" s="25">
        <f>(IFERROR(VLOOKUP(C81,'[19]2020'!$D$2:$G$227,4,FALSE),0)*-1)</f>
        <v>83957.53</v>
      </c>
      <c r="J81" s="25">
        <f>(IFERROR(VLOOKUP(C81,'[19]2020'!$D$2:$I$227,6,FALSE),0)*-1)</f>
        <v>109816.37</v>
      </c>
      <c r="K81" s="25">
        <f t="shared" si="8"/>
        <v>1534560.38</v>
      </c>
      <c r="L81" s="25"/>
      <c r="M81" s="27">
        <v>1</v>
      </c>
      <c r="N81" s="25">
        <f t="shared" si="6"/>
        <v>1534560.38</v>
      </c>
      <c r="O81" s="25">
        <v>-81576.73</v>
      </c>
      <c r="P81" s="28">
        <v>1726741</v>
      </c>
      <c r="Q81" s="28">
        <v>1726741</v>
      </c>
      <c r="R81" s="29">
        <f t="shared" si="7"/>
        <v>1595175.51501</v>
      </c>
      <c r="S81" s="29" t="s">
        <v>838</v>
      </c>
    </row>
    <row r="82" spans="2:19" hidden="1" outlineLevel="1" x14ac:dyDescent="0.25">
      <c r="B82" s="4" t="s">
        <v>868</v>
      </c>
      <c r="C82" s="24" t="s">
        <v>922</v>
      </c>
      <c r="D82" s="25">
        <f>IFERROR(VLOOKUP(C82,'[19]2020'!$B$3:$C$227,2,FALSE),0)</f>
        <v>572849.81000000006</v>
      </c>
      <c r="E82" s="25">
        <v>772020.39</v>
      </c>
      <c r="F82" s="26">
        <v>-772020</v>
      </c>
      <c r="G82" s="25">
        <f>IFERROR(VLOOKUP(C82,'[18]ENE-OCT 2021'!$B$3:$D$225,3,FALSE),0)</f>
        <v>637018.74</v>
      </c>
      <c r="H82" s="25"/>
      <c r="I82" s="25">
        <f>(IFERROR(VLOOKUP(C82,'[19]2020'!$D$2:$G$227,4,FALSE),0)*-1)</f>
        <v>42042.6</v>
      </c>
      <c r="J82" s="25">
        <f>(IFERROR(VLOOKUP(C82,'[19]2020'!$D$2:$I$227,6,FALSE),0)*-1)</f>
        <v>51803.07</v>
      </c>
      <c r="K82" s="25">
        <f t="shared" si="8"/>
        <v>730864.40999999992</v>
      </c>
      <c r="L82" s="25"/>
      <c r="M82" s="27">
        <v>1</v>
      </c>
      <c r="N82" s="25">
        <f t="shared" si="6"/>
        <v>730864.40999999992</v>
      </c>
      <c r="O82" s="25">
        <v>-289330.90999999997</v>
      </c>
      <c r="P82" s="28">
        <v>624349</v>
      </c>
      <c r="Q82" s="28">
        <v>624349</v>
      </c>
      <c r="R82" s="29">
        <f t="shared" si="7"/>
        <v>759733.55419499998</v>
      </c>
      <c r="S82" s="29" t="s">
        <v>838</v>
      </c>
    </row>
    <row r="83" spans="2:19" hidden="1" outlineLevel="1" x14ac:dyDescent="0.25">
      <c r="B83" s="4" t="s">
        <v>868</v>
      </c>
      <c r="C83" s="34" t="s">
        <v>923</v>
      </c>
      <c r="D83" s="35">
        <f>IFERROR(VLOOKUP(C83,'[19]2020'!$B$3:$C$227,2,FALSE),0)</f>
        <v>2854268.7</v>
      </c>
      <c r="E83" s="35">
        <v>783574.45</v>
      </c>
      <c r="F83" s="36">
        <v>-2954168</v>
      </c>
      <c r="G83" s="25">
        <f>IFERROR(VLOOKUP(C83,'[18]ENE-OCT 2021'!$B$3:$D$225,3,FALSE),0)</f>
        <v>518046.76</v>
      </c>
      <c r="H83" s="35"/>
      <c r="I83" s="35">
        <f>(IFERROR(VLOOKUP(C83,'[19]2020'!$D$2:$G$227,4,FALSE),0)*-1)</f>
        <v>16891.689999999999</v>
      </c>
      <c r="J83" s="35">
        <f>(IFERROR(VLOOKUP(C83,'[19]2020'!$D$2:$I$227,6,FALSE),0)*-1)</f>
        <v>385842.84</v>
      </c>
      <c r="K83" s="35">
        <f t="shared" si="8"/>
        <v>920781.29</v>
      </c>
      <c r="L83" s="35"/>
      <c r="M83" s="37"/>
      <c r="N83" s="35">
        <f t="shared" si="6"/>
        <v>920781.29</v>
      </c>
      <c r="O83" s="35">
        <v>-2495629.96</v>
      </c>
      <c r="P83" s="38">
        <v>1735435</v>
      </c>
      <c r="Q83" s="38">
        <v>1735435</v>
      </c>
      <c r="R83" s="38">
        <f t="shared" si="7"/>
        <v>920781.29</v>
      </c>
      <c r="S83" s="29" t="s">
        <v>838</v>
      </c>
    </row>
    <row r="84" spans="2:19" hidden="1" outlineLevel="1" x14ac:dyDescent="0.25">
      <c r="B84" s="4" t="s">
        <v>868</v>
      </c>
      <c r="C84" s="24" t="s">
        <v>924</v>
      </c>
      <c r="D84" s="25">
        <f>IFERROR(VLOOKUP(C84,'[19]2020'!$B$3:$C$227,2,FALSE),0)</f>
        <v>2254403.5</v>
      </c>
      <c r="E84" s="25">
        <v>1357313.57</v>
      </c>
      <c r="F84" s="26">
        <v>-2254403.5</v>
      </c>
      <c r="G84" s="25">
        <f>IFERROR(VLOOKUP(C84,'[18]ENE-OCT 2021'!$B$3:$D$225,3,FALSE),0)</f>
        <v>1254475.3799999999</v>
      </c>
      <c r="H84" s="25"/>
      <c r="I84" s="25">
        <v>136124.91666666666</v>
      </c>
      <c r="J84" s="25">
        <v>136124.91666666666</v>
      </c>
      <c r="K84" s="25">
        <f t="shared" si="8"/>
        <v>1526725.2133333334</v>
      </c>
      <c r="L84" s="25"/>
      <c r="M84" s="27">
        <v>0</v>
      </c>
      <c r="N84" s="25">
        <f t="shared" si="6"/>
        <v>1526725.2133333334</v>
      </c>
      <c r="O84" s="25">
        <v>-1120399.67</v>
      </c>
      <c r="P84" s="28">
        <v>1664239</v>
      </c>
      <c r="Q84" s="28">
        <v>1664239</v>
      </c>
      <c r="R84" s="29">
        <f t="shared" si="7"/>
        <v>1526725.2133333334</v>
      </c>
      <c r="S84" s="29" t="s">
        <v>838</v>
      </c>
    </row>
    <row r="85" spans="2:19" hidden="1" outlineLevel="1" x14ac:dyDescent="0.25">
      <c r="B85" s="4" t="s">
        <v>868</v>
      </c>
      <c r="C85" s="24" t="s">
        <v>925</v>
      </c>
      <c r="D85" s="25">
        <f>IFERROR(VLOOKUP(C85,'[19]2020'!$B$3:$C$227,2,FALSE),0)</f>
        <v>94013.35</v>
      </c>
      <c r="E85" s="25">
        <v>104321.76</v>
      </c>
      <c r="F85" s="26">
        <v>-104321.76</v>
      </c>
      <c r="G85" s="25">
        <f>IFERROR(VLOOKUP(C85,'[18]ENE-OCT 2021'!$B$3:$D$225,3,FALSE),0)</f>
        <v>79639.179999999993</v>
      </c>
      <c r="H85" s="25"/>
      <c r="I85" s="25">
        <f>(IFERROR(VLOOKUP(C85,'[19]2020'!$D$2:$G$227,4,FALSE),0)*-1)</f>
        <v>5682.52</v>
      </c>
      <c r="J85" s="25">
        <f>(IFERROR(VLOOKUP(C85,'[19]2020'!$D$2:$I$227,6,FALSE),0)*-1)</f>
        <v>6531.28</v>
      </c>
      <c r="K85" s="25">
        <f t="shared" si="8"/>
        <v>91852.98</v>
      </c>
      <c r="L85" s="25"/>
      <c r="M85" s="27">
        <v>1</v>
      </c>
      <c r="N85" s="25">
        <f t="shared" si="6"/>
        <v>91852.98</v>
      </c>
      <c r="O85" s="25">
        <v>-40438.769999999997</v>
      </c>
      <c r="P85" s="28">
        <v>0</v>
      </c>
      <c r="Q85" s="28">
        <v>104000</v>
      </c>
      <c r="R85" s="29">
        <f t="shared" si="7"/>
        <v>95481.172709999999</v>
      </c>
      <c r="S85" s="29" t="s">
        <v>838</v>
      </c>
    </row>
    <row r="86" spans="2:19" hidden="1" outlineLevel="1" x14ac:dyDescent="0.25">
      <c r="B86" s="4" t="s">
        <v>868</v>
      </c>
      <c r="C86" s="24" t="s">
        <v>926</v>
      </c>
      <c r="D86" s="25">
        <f>IFERROR(VLOOKUP(C86,'[19]2020'!$B$3:$C$227,2,FALSE),0)</f>
        <v>4616711.71</v>
      </c>
      <c r="E86" s="25">
        <v>5128232.1399999997</v>
      </c>
      <c r="F86" s="26">
        <v>-6128232.1399999997</v>
      </c>
      <c r="G86" s="25">
        <f>IFERROR(VLOOKUP(C86,'[18]ENE-OCT 2021'!$B$3:$D$225,3,FALSE),0)</f>
        <v>3216759.25</v>
      </c>
      <c r="H86" s="25"/>
      <c r="I86" s="25">
        <f>(IFERROR(VLOOKUP(C86,'[19]2020'!$D$2:$G$227,4,FALSE),0)*-1)</f>
        <v>116856.24</v>
      </c>
      <c r="J86" s="25">
        <f>(IFERROR(VLOOKUP(C86,'[19]2020'!$D$2:$I$227,6,FALSE),0)*-1)</f>
        <v>233208.95</v>
      </c>
      <c r="K86" s="25">
        <f t="shared" si="8"/>
        <v>3566824.4400000004</v>
      </c>
      <c r="L86" s="25"/>
      <c r="M86" s="27">
        <v>1</v>
      </c>
      <c r="N86" s="25">
        <f t="shared" si="6"/>
        <v>3566824.4400000004</v>
      </c>
      <c r="O86" s="25">
        <v>-3308328.25</v>
      </c>
      <c r="P86" s="28">
        <v>0</v>
      </c>
      <c r="Q86" s="28">
        <v>4616711.71</v>
      </c>
      <c r="R86" s="29">
        <f t="shared" si="7"/>
        <v>3707714.0053800009</v>
      </c>
      <c r="S86" s="29" t="s">
        <v>838</v>
      </c>
    </row>
    <row r="87" spans="2:19" hidden="1" outlineLevel="1" x14ac:dyDescent="0.25">
      <c r="B87" s="4" t="s">
        <v>868</v>
      </c>
      <c r="C87" s="24" t="s">
        <v>927</v>
      </c>
      <c r="D87" s="25">
        <f>IFERROR(VLOOKUP(C87,'[19]2020'!$B$3:$C$227,2,FALSE),0)</f>
        <v>1416657.88</v>
      </c>
      <c r="E87" s="25">
        <v>1483901.46</v>
      </c>
      <c r="F87" s="26">
        <v>-1483901.46</v>
      </c>
      <c r="G87" s="25">
        <f>IFERROR(VLOOKUP(C87,'[18]ENE-OCT 2021'!$B$3:$D$225,3,FALSE),0)</f>
        <v>1338166.9099999999</v>
      </c>
      <c r="H87" s="25"/>
      <c r="I87" s="25">
        <f>(IFERROR(VLOOKUP(C87,'[19]2020'!$D$2:$G$227,4,FALSE),0)*-1)</f>
        <v>97714.78</v>
      </c>
      <c r="J87" s="25">
        <f>(IFERROR(VLOOKUP(C87,'[19]2020'!$D$2:$I$227,6,FALSE),0)*-1)</f>
        <v>157234.59</v>
      </c>
      <c r="K87" s="25">
        <f t="shared" si="8"/>
        <v>1593116.28</v>
      </c>
      <c r="L87" s="25"/>
      <c r="M87" s="27">
        <v>1</v>
      </c>
      <c r="N87" s="25">
        <f t="shared" si="6"/>
        <v>1593116.28</v>
      </c>
      <c r="O87" s="25">
        <v>-389191.45</v>
      </c>
      <c r="P87" s="28">
        <v>0</v>
      </c>
      <c r="Q87" s="28">
        <v>1416657.88</v>
      </c>
      <c r="R87" s="29">
        <f t="shared" si="7"/>
        <v>1656044.3730600001</v>
      </c>
      <c r="S87" s="29" t="s">
        <v>838</v>
      </c>
    </row>
    <row r="88" spans="2:19" hidden="1" outlineLevel="1" x14ac:dyDescent="0.25">
      <c r="B88" s="4" t="s">
        <v>868</v>
      </c>
      <c r="C88" s="24" t="s">
        <v>928</v>
      </c>
      <c r="D88" s="25">
        <f>IFERROR(VLOOKUP(C88,'[19]2020'!$B$3:$C$227,2,FALSE),0)</f>
        <v>632.48</v>
      </c>
      <c r="E88" s="25">
        <v>542.63</v>
      </c>
      <c r="F88" s="26">
        <v>-20000</v>
      </c>
      <c r="G88" s="25">
        <f>IFERROR(VLOOKUP(C88,'[18]ENE-OCT 2021'!$B$3:$D$225,3,FALSE),0)</f>
        <v>0</v>
      </c>
      <c r="H88" s="25"/>
      <c r="I88" s="25">
        <f>(IFERROR(VLOOKUP(C88,'[19]2020'!$D$2:$G$227,4,FALSE),0)*-1)</f>
        <v>0</v>
      </c>
      <c r="J88" s="25">
        <f>(IFERROR(VLOOKUP(C88,'[19]2020'!$D$2:$I$227,6,FALSE),0)*-1)</f>
        <v>316.24</v>
      </c>
      <c r="K88" s="25">
        <f t="shared" si="8"/>
        <v>316.24</v>
      </c>
      <c r="L88" s="25"/>
      <c r="M88" s="27"/>
      <c r="N88" s="25">
        <f t="shared" si="6"/>
        <v>316.24</v>
      </c>
      <c r="O88" s="25">
        <v>-20000</v>
      </c>
      <c r="P88" s="28">
        <v>0</v>
      </c>
      <c r="Q88" s="28">
        <v>10000</v>
      </c>
      <c r="R88" s="29">
        <v>700</v>
      </c>
      <c r="S88" s="29" t="s">
        <v>838</v>
      </c>
    </row>
    <row r="89" spans="2:19" hidden="1" outlineLevel="1" x14ac:dyDescent="0.25">
      <c r="B89" s="4" t="s">
        <v>868</v>
      </c>
      <c r="C89" s="24" t="s">
        <v>929</v>
      </c>
      <c r="D89" s="25">
        <f>IFERROR(VLOOKUP(C89,'[19]2020'!$B$3:$C$227,2,FALSE),0)</f>
        <v>0</v>
      </c>
      <c r="E89" s="25">
        <v>0</v>
      </c>
      <c r="F89" s="26">
        <v>-27000</v>
      </c>
      <c r="G89" s="25">
        <f>IFERROR(VLOOKUP(C89,'[18]ENE-OCT 2021'!$B$3:$D$225,3,FALSE),0)</f>
        <v>36592.35</v>
      </c>
      <c r="H89" s="25"/>
      <c r="I89" s="25">
        <f>(IFERROR(VLOOKUP(C89,'[19]2020'!$D$2:$G$227,4,FALSE),0)*-1)</f>
        <v>0</v>
      </c>
      <c r="J89" s="25">
        <f>(IFERROR(VLOOKUP(C89,'[19]2020'!$D$2:$I$227,6,FALSE),0)*-1)</f>
        <v>0</v>
      </c>
      <c r="K89" s="25">
        <f t="shared" si="8"/>
        <v>36592.35</v>
      </c>
      <c r="L89" s="25"/>
      <c r="M89" s="27">
        <v>1</v>
      </c>
      <c r="N89" s="25">
        <f t="shared" si="6"/>
        <v>36592.35</v>
      </c>
      <c r="O89" s="25">
        <v>486.45</v>
      </c>
      <c r="P89" s="28">
        <v>0</v>
      </c>
      <c r="Q89" s="28">
        <v>30000</v>
      </c>
      <c r="R89" s="29">
        <f t="shared" si="7"/>
        <v>38037.747824999999</v>
      </c>
      <c r="S89" s="29" t="s">
        <v>838</v>
      </c>
    </row>
    <row r="90" spans="2:19" hidden="1" outlineLevel="1" x14ac:dyDescent="0.25">
      <c r="B90" s="4" t="s">
        <v>868</v>
      </c>
      <c r="C90" s="24" t="s">
        <v>930</v>
      </c>
      <c r="D90" s="25">
        <f>IFERROR(VLOOKUP(C90,'[19]2020'!$B$3:$C$227,2,FALSE),0)</f>
        <v>437586.69</v>
      </c>
      <c r="E90" s="25">
        <v>429026.09</v>
      </c>
      <c r="F90" s="26">
        <v>-452902.22</v>
      </c>
      <c r="G90" s="25">
        <f>IFERROR(VLOOKUP(C90,'[18]ENE-OCT 2021'!$B$3:$D$225,3,FALSE),0)</f>
        <v>763499.82</v>
      </c>
      <c r="H90" s="25"/>
      <c r="I90" s="25">
        <f>(IFERROR(VLOOKUP(C90,'[19]2020'!$D$2:$G$227,4,FALSE),0)*-1)</f>
        <v>9943.82</v>
      </c>
      <c r="J90" s="25">
        <f>(IFERROR(VLOOKUP(C90,'[19]2020'!$D$2:$I$227,6,FALSE),0)*-1)</f>
        <v>36730.239999999998</v>
      </c>
      <c r="K90" s="25">
        <f t="shared" si="8"/>
        <v>810173.87999999989</v>
      </c>
      <c r="L90" s="25"/>
      <c r="M90" s="27">
        <v>1</v>
      </c>
      <c r="N90" s="25">
        <f t="shared" si="6"/>
        <v>810173.87999999989</v>
      </c>
      <c r="O90" s="25">
        <v>-101698.17</v>
      </c>
      <c r="P90" s="28">
        <v>161555</v>
      </c>
      <c r="Q90" s="28">
        <v>437586.69</v>
      </c>
      <c r="R90" s="29">
        <f t="shared" si="7"/>
        <v>842175.74825999991</v>
      </c>
      <c r="S90" s="29" t="s">
        <v>838</v>
      </c>
    </row>
    <row r="91" spans="2:19" hidden="1" outlineLevel="1" x14ac:dyDescent="0.25">
      <c r="B91" s="4" t="s">
        <v>868</v>
      </c>
      <c r="C91" s="24" t="s">
        <v>931</v>
      </c>
      <c r="D91" s="25">
        <f>IFERROR(VLOOKUP(C91,'[19]2020'!$B$3:$C$227,2,FALSE),0)</f>
        <v>2097115.76</v>
      </c>
      <c r="E91" s="25">
        <v>2196290.65</v>
      </c>
      <c r="F91" s="26">
        <v>-2696290.65</v>
      </c>
      <c r="G91" s="25">
        <f>IFERROR(VLOOKUP(C91,'[18]ENE-OCT 2021'!$B$3:$D$225,3,FALSE),0)</f>
        <v>2651182.9500000002</v>
      </c>
      <c r="H91" s="25"/>
      <c r="I91" s="25">
        <v>279826.3133333333</v>
      </c>
      <c r="J91" s="25">
        <v>279826.3133333333</v>
      </c>
      <c r="K91" s="25">
        <f t="shared" si="8"/>
        <v>3210835.5766666671</v>
      </c>
      <c r="L91" s="25"/>
      <c r="M91" s="27">
        <v>1</v>
      </c>
      <c r="N91" s="25">
        <f t="shared" si="6"/>
        <v>3210835.5766666671</v>
      </c>
      <c r="O91" s="25">
        <v>-336552.65</v>
      </c>
      <c r="P91" s="28">
        <v>2299000</v>
      </c>
      <c r="Q91" s="28">
        <v>2500000</v>
      </c>
      <c r="R91" s="29">
        <f t="shared" si="7"/>
        <v>3337663.5819450007</v>
      </c>
      <c r="S91" s="29" t="s">
        <v>838</v>
      </c>
    </row>
    <row r="92" spans="2:19" hidden="1" outlineLevel="1" x14ac:dyDescent="0.25">
      <c r="B92" s="4" t="s">
        <v>868</v>
      </c>
      <c r="C92" s="24" t="s">
        <v>932</v>
      </c>
      <c r="D92" s="25">
        <f>IFERROR(VLOOKUP(C92,'[19]2020'!$B$3:$C$227,2,FALSE),0)</f>
        <v>472464.13</v>
      </c>
      <c r="E92" s="25">
        <v>531625.93999999994</v>
      </c>
      <c r="F92" s="26">
        <v>-531625.93999999994</v>
      </c>
      <c r="G92" s="25">
        <f>IFERROR(VLOOKUP(C92,'[18]ENE-OCT 2021'!$B$3:$D$225,3,FALSE),0)</f>
        <v>388409.45</v>
      </c>
      <c r="H92" s="25"/>
      <c r="I92" s="25">
        <f>(IFERROR(VLOOKUP(C92,'[19]2020'!$D$2:$G$227,4,FALSE),0)*-1)</f>
        <v>31241.4</v>
      </c>
      <c r="J92" s="25">
        <f>(IFERROR(VLOOKUP(C92,'[19]2020'!$D$2:$I$227,6,FALSE),0)*-1)</f>
        <v>38671.620000000003</v>
      </c>
      <c r="K92" s="25">
        <f t="shared" si="8"/>
        <v>458322.47000000003</v>
      </c>
      <c r="L92" s="25"/>
      <c r="M92" s="27">
        <v>1</v>
      </c>
      <c r="N92" s="25">
        <f t="shared" si="6"/>
        <v>458322.47000000003</v>
      </c>
      <c r="O92" s="25">
        <v>-240494.85</v>
      </c>
      <c r="P92" s="28">
        <v>0</v>
      </c>
      <c r="Q92" s="28">
        <v>472464.13</v>
      </c>
      <c r="R92" s="29">
        <f t="shared" si="7"/>
        <v>476426.20756500005</v>
      </c>
      <c r="S92" s="29" t="s">
        <v>838</v>
      </c>
    </row>
    <row r="93" spans="2:19" hidden="1" outlineLevel="1" x14ac:dyDescent="0.25">
      <c r="B93" s="4" t="s">
        <v>868</v>
      </c>
      <c r="C93" s="24" t="s">
        <v>933</v>
      </c>
      <c r="D93" s="25">
        <f>IFERROR(VLOOKUP(C93,'[19]2020'!$B$3:$C$227,2,FALSE),0)</f>
        <v>0</v>
      </c>
      <c r="E93" s="25">
        <v>542.63</v>
      </c>
      <c r="F93" s="26">
        <v>-542.63</v>
      </c>
      <c r="G93" s="25">
        <f>IFERROR(VLOOKUP(C93,'[18]ENE-OCT 2021'!$B$3:$D$225,3,FALSE),0)</f>
        <v>0</v>
      </c>
      <c r="H93" s="25"/>
      <c r="I93" s="25">
        <f>(IFERROR(VLOOKUP(C93,'[19]2020'!$D$2:$G$227,4,FALSE),0)*-1)</f>
        <v>0</v>
      </c>
      <c r="J93" s="25">
        <f>(IFERROR(VLOOKUP(C93,'[19]2020'!$D$2:$I$227,6,FALSE),0)*-1)</f>
        <v>0</v>
      </c>
      <c r="K93" s="25">
        <f t="shared" si="8"/>
        <v>0</v>
      </c>
      <c r="L93" s="25"/>
      <c r="M93" s="27"/>
      <c r="N93" s="25">
        <f t="shared" si="6"/>
        <v>0</v>
      </c>
      <c r="O93" s="25">
        <v>-542.63</v>
      </c>
      <c r="P93" s="28">
        <v>0</v>
      </c>
      <c r="Q93" s="28">
        <v>1000</v>
      </c>
      <c r="R93" s="29">
        <v>500</v>
      </c>
      <c r="S93" s="29" t="s">
        <v>838</v>
      </c>
    </row>
    <row r="94" spans="2:19" hidden="1" outlineLevel="1" x14ac:dyDescent="0.25">
      <c r="B94" s="4" t="s">
        <v>868</v>
      </c>
      <c r="C94" s="24" t="s">
        <v>934</v>
      </c>
      <c r="D94" s="25">
        <f>IFERROR(VLOOKUP(C94,'[19]2020'!$B$3:$C$227,2,FALSE),0)</f>
        <v>3546385.73</v>
      </c>
      <c r="E94" s="25">
        <v>2836779.25</v>
      </c>
      <c r="F94" s="26">
        <v>-3546385.73</v>
      </c>
      <c r="G94" s="25">
        <f>IFERROR(VLOOKUP(C94,'[18]ENE-OCT 2021'!$B$3:$D$225,3,FALSE),0)</f>
        <v>3524910.9</v>
      </c>
      <c r="H94" s="25"/>
      <c r="I94" s="25">
        <f>(IFERROR(VLOOKUP(C94,'[19]2020'!$D$2:$G$227,4,FALSE),0)*-1)</f>
        <v>382675.11</v>
      </c>
      <c r="J94" s="25">
        <f>(IFERROR(VLOOKUP(C94,'[19]2020'!$D$2:$I$227,6,FALSE),0)*-1)</f>
        <v>303975.84000000003</v>
      </c>
      <c r="K94" s="25">
        <f t="shared" si="8"/>
        <v>4211561.8499999996</v>
      </c>
      <c r="L94" s="25"/>
      <c r="M94" s="27">
        <v>1</v>
      </c>
      <c r="N94" s="25">
        <f t="shared" si="6"/>
        <v>4211561.8499999996</v>
      </c>
      <c r="O94" s="25">
        <v>-582375.38</v>
      </c>
      <c r="P94" s="28">
        <v>3698897</v>
      </c>
      <c r="Q94" s="28">
        <v>3600000</v>
      </c>
      <c r="R94" s="29">
        <f t="shared" si="7"/>
        <v>4377918.5430749999</v>
      </c>
      <c r="S94" s="29" t="s">
        <v>838</v>
      </c>
    </row>
    <row r="95" spans="2:19" hidden="1" outlineLevel="1" x14ac:dyDescent="0.25">
      <c r="B95" s="4" t="s">
        <v>868</v>
      </c>
      <c r="C95" s="24" t="s">
        <v>935</v>
      </c>
      <c r="D95" s="25">
        <f>IFERROR(VLOOKUP(C95,'[19]2020'!$B$3:$C$227,2,FALSE),0)</f>
        <v>48095.24</v>
      </c>
      <c r="E95" s="25">
        <v>0</v>
      </c>
      <c r="F95" s="26">
        <v>0</v>
      </c>
      <c r="G95" s="25">
        <f>IFERROR(VLOOKUP(C95,'[18]ENE-OCT 2021'!$B$3:$D$225,3,FALSE),0)</f>
        <v>0</v>
      </c>
      <c r="H95" s="25"/>
      <c r="I95" s="25">
        <f>(IFERROR(VLOOKUP(C95,'[19]2020'!$D$2:$G$227,4,FALSE),0)*-1)</f>
        <v>0</v>
      </c>
      <c r="J95" s="25">
        <f>(IFERROR(VLOOKUP(C95,'[19]2020'!$D$2:$I$227,6,FALSE),0)*-1)</f>
        <v>0</v>
      </c>
      <c r="K95" s="25">
        <f t="shared" si="8"/>
        <v>0</v>
      </c>
      <c r="L95" s="25"/>
      <c r="M95" s="27"/>
      <c r="N95" s="25">
        <f t="shared" si="6"/>
        <v>0</v>
      </c>
      <c r="O95" s="25">
        <v>0</v>
      </c>
      <c r="P95" s="28">
        <v>0</v>
      </c>
      <c r="Q95" s="29">
        <v>0</v>
      </c>
      <c r="R95" s="29">
        <f t="shared" si="7"/>
        <v>0</v>
      </c>
      <c r="S95" s="29" t="s">
        <v>838</v>
      </c>
    </row>
    <row r="96" spans="2:19" hidden="1" outlineLevel="1" x14ac:dyDescent="0.25">
      <c r="B96" s="4" t="s">
        <v>868</v>
      </c>
      <c r="C96" s="24" t="s">
        <v>936</v>
      </c>
      <c r="D96" s="25">
        <f>IFERROR(VLOOKUP(C96,'[19]2020'!$B$3:$C$227,2,FALSE),0)</f>
        <v>91715.32</v>
      </c>
      <c r="E96" s="25">
        <v>0</v>
      </c>
      <c r="F96" s="26">
        <v>0</v>
      </c>
      <c r="G96" s="25">
        <f>IFERROR(VLOOKUP(C96,'[18]ENE-OCT 2021'!$B$3:$D$225,3,FALSE),0)</f>
        <v>0</v>
      </c>
      <c r="H96" s="25"/>
      <c r="I96" s="25">
        <f>(IFERROR(VLOOKUP(C96,'[19]2020'!$D$2:$G$227,4,FALSE),0)*-1)</f>
        <v>0</v>
      </c>
      <c r="J96" s="25">
        <f>(IFERROR(VLOOKUP(C96,'[19]2020'!$D$2:$I$227,6,FALSE),0)*-1)</f>
        <v>0</v>
      </c>
      <c r="K96" s="25">
        <f t="shared" si="8"/>
        <v>0</v>
      </c>
      <c r="L96" s="25"/>
      <c r="M96" s="27"/>
      <c r="N96" s="25">
        <f t="shared" ref="N96:N159" si="9">K96</f>
        <v>0</v>
      </c>
      <c r="O96" s="25">
        <v>0</v>
      </c>
      <c r="P96" s="28">
        <v>0</v>
      </c>
      <c r="Q96" s="29">
        <v>0</v>
      </c>
      <c r="R96" s="29">
        <f t="shared" si="7"/>
        <v>0</v>
      </c>
      <c r="S96" s="29" t="s">
        <v>838</v>
      </c>
    </row>
    <row r="97" spans="2:19" hidden="1" outlineLevel="1" x14ac:dyDescent="0.25">
      <c r="B97" s="4" t="s">
        <v>868</v>
      </c>
      <c r="C97" s="24" t="s">
        <v>937</v>
      </c>
      <c r="D97" s="25">
        <f>IFERROR(VLOOKUP(C97,'[19]2020'!$B$3:$C$227,2,FALSE),0)</f>
        <v>207688.4</v>
      </c>
      <c r="E97" s="25">
        <v>268861.37</v>
      </c>
      <c r="F97" s="26">
        <v>-268861.37</v>
      </c>
      <c r="G97" s="25">
        <f>IFERROR(VLOOKUP(C97,'[18]ENE-OCT 2021'!$B$3:$D$225,3,FALSE),0)</f>
        <v>225572.27</v>
      </c>
      <c r="H97" s="25"/>
      <c r="I97" s="25">
        <f>(IFERROR(VLOOKUP(C97,'[19]2020'!$D$2:$G$227,4,FALSE),0)*-1)</f>
        <v>25870.880000000001</v>
      </c>
      <c r="J97" s="25">
        <f>(IFERROR(VLOOKUP(C97,'[19]2020'!$D$2:$I$227,6,FALSE),0)*-1)</f>
        <v>13859.4</v>
      </c>
      <c r="K97" s="25">
        <f t="shared" si="8"/>
        <v>265302.55</v>
      </c>
      <c r="L97" s="25"/>
      <c r="M97" s="27">
        <v>1</v>
      </c>
      <c r="N97" s="25">
        <f t="shared" si="9"/>
        <v>265302.55</v>
      </c>
      <c r="O97" s="25">
        <v>-90730.86</v>
      </c>
      <c r="P97" s="28">
        <v>264690</v>
      </c>
      <c r="Q97" s="28">
        <v>264690</v>
      </c>
      <c r="R97" s="29">
        <f t="shared" si="7"/>
        <v>275782.00072499999</v>
      </c>
      <c r="S97" s="29" t="s">
        <v>838</v>
      </c>
    </row>
    <row r="98" spans="2:19" hidden="1" outlineLevel="1" x14ac:dyDescent="0.25">
      <c r="B98" s="4" t="s">
        <v>868</v>
      </c>
      <c r="C98" s="24" t="s">
        <v>938</v>
      </c>
      <c r="D98" s="25">
        <f>IFERROR(VLOOKUP(C98,'[19]2020'!$B$3:$C$227,2,FALSE),0)</f>
        <v>149712.75</v>
      </c>
      <c r="E98" s="25">
        <v>230345.83</v>
      </c>
      <c r="F98" s="26">
        <v>-150000</v>
      </c>
      <c r="G98" s="25">
        <f>IFERROR(VLOOKUP(C98,'[18]ENE-OCT 2021'!$B$3:$D$225,3,FALSE),0)</f>
        <v>194426.1</v>
      </c>
      <c r="H98" s="25"/>
      <c r="I98" s="25">
        <f>(IFERROR(VLOOKUP(C98,'[19]2020'!$D$2:$G$227,4,FALSE),0)*-1)</f>
        <v>6072</v>
      </c>
      <c r="J98" s="25">
        <f>(IFERROR(VLOOKUP(C98,'[19]2020'!$D$2:$I$227,6,FALSE),0)*-1)</f>
        <v>5313</v>
      </c>
      <c r="K98" s="25">
        <f t="shared" si="8"/>
        <v>205811.1</v>
      </c>
      <c r="L98" s="25"/>
      <c r="M98" s="27">
        <v>1</v>
      </c>
      <c r="N98" s="25">
        <f t="shared" si="9"/>
        <v>205811.1</v>
      </c>
      <c r="O98" s="25">
        <v>24983.49</v>
      </c>
      <c r="P98" s="28">
        <v>160000</v>
      </c>
      <c r="Q98" s="28">
        <v>190000</v>
      </c>
      <c r="R98" s="29">
        <f t="shared" ref="R98:R155" si="10">IF(M98=1,(N98*1.0395),N98)</f>
        <v>213940.63845000003</v>
      </c>
      <c r="S98" s="29" t="s">
        <v>838</v>
      </c>
    </row>
    <row r="99" spans="2:19" hidden="1" outlineLevel="1" x14ac:dyDescent="0.25">
      <c r="B99" s="4" t="s">
        <v>868</v>
      </c>
      <c r="C99" s="24" t="s">
        <v>939</v>
      </c>
      <c r="D99" s="25">
        <f>IFERROR(VLOOKUP(C99,'[19]2020'!$B$3:$C$227,2,FALSE),0)</f>
        <v>51106.44</v>
      </c>
      <c r="E99" s="25">
        <v>59335.16</v>
      </c>
      <c r="F99" s="26">
        <v>-59335.16</v>
      </c>
      <c r="G99" s="25">
        <f>IFERROR(VLOOKUP(C99,'[18]ENE-OCT 2021'!$B$3:$D$225,3,FALSE),0)</f>
        <v>32458.32</v>
      </c>
      <c r="H99" s="25"/>
      <c r="I99" s="25">
        <f>(IFERROR(VLOOKUP(C99,'[19]2020'!$D$2:$G$227,4,FALSE),0)*-1)</f>
        <v>15099.63</v>
      </c>
      <c r="J99" s="25">
        <f>(IFERROR(VLOOKUP(C99,'[19]2020'!$D$2:$I$227,6,FALSE),0)*-1)</f>
        <v>1161.51</v>
      </c>
      <c r="K99" s="25">
        <f t="shared" si="8"/>
        <v>48719.46</v>
      </c>
      <c r="L99" s="25"/>
      <c r="M99" s="27">
        <v>1</v>
      </c>
      <c r="N99" s="25">
        <f t="shared" si="9"/>
        <v>48719.46</v>
      </c>
      <c r="O99" s="25">
        <v>-31685.48</v>
      </c>
      <c r="P99" s="28">
        <v>84151</v>
      </c>
      <c r="Q99" s="28">
        <v>84151</v>
      </c>
      <c r="R99" s="29">
        <f t="shared" si="10"/>
        <v>50643.878670000006</v>
      </c>
      <c r="S99" s="29" t="s">
        <v>838</v>
      </c>
    </row>
    <row r="100" spans="2:19" hidden="1" outlineLevel="1" x14ac:dyDescent="0.25">
      <c r="B100" s="4" t="s">
        <v>868</v>
      </c>
      <c r="C100" s="24" t="s">
        <v>940</v>
      </c>
      <c r="D100" s="25">
        <f>IFERROR(VLOOKUP(C100,'[19]2020'!$B$3:$C$227,2,FALSE),0)</f>
        <v>86198.53</v>
      </c>
      <c r="E100" s="25">
        <v>150359.42000000001</v>
      </c>
      <c r="F100" s="26">
        <v>-100000</v>
      </c>
      <c r="G100" s="25">
        <f>IFERROR(VLOOKUP(C100,'[18]ENE-OCT 2021'!$B$3:$D$225,3,FALSE),0)</f>
        <v>50611.040000000001</v>
      </c>
      <c r="H100" s="25"/>
      <c r="I100" s="25">
        <f>(IFERROR(VLOOKUP(C100,'[19]2020'!$D$2:$G$227,4,FALSE),0)*-1)</f>
        <v>2837.67</v>
      </c>
      <c r="J100" s="25">
        <f>(IFERROR(VLOOKUP(C100,'[19]2020'!$D$2:$I$227,6,FALSE),0)*-1)</f>
        <v>515.94000000000005</v>
      </c>
      <c r="K100" s="25">
        <f t="shared" si="8"/>
        <v>53964.65</v>
      </c>
      <c r="L100" s="25"/>
      <c r="M100" s="27">
        <v>1</v>
      </c>
      <c r="N100" s="25">
        <f t="shared" si="9"/>
        <v>53964.65</v>
      </c>
      <c r="O100" s="25">
        <v>-53097.07</v>
      </c>
      <c r="P100" s="28">
        <v>42427</v>
      </c>
      <c r="Q100" s="28">
        <v>86198.53</v>
      </c>
      <c r="R100" s="29">
        <f t="shared" si="10"/>
        <v>56096.253675000007</v>
      </c>
      <c r="S100" s="29" t="s">
        <v>838</v>
      </c>
    </row>
    <row r="101" spans="2:19" hidden="1" outlineLevel="1" x14ac:dyDescent="0.25">
      <c r="B101" s="4" t="s">
        <v>868</v>
      </c>
      <c r="C101" s="24" t="s">
        <v>941</v>
      </c>
      <c r="D101" s="25">
        <f>IFERROR(VLOOKUP(C101,'[19]2020'!$B$3:$C$227,2,FALSE),0)</f>
        <v>0</v>
      </c>
      <c r="E101" s="25">
        <v>13000</v>
      </c>
      <c r="F101" s="26">
        <v>-13000</v>
      </c>
      <c r="G101" s="25">
        <f>IFERROR(VLOOKUP(C101,'[18]ENE-OCT 2021'!$B$3:$D$225,3,FALSE),0)</f>
        <v>0</v>
      </c>
      <c r="H101" s="25"/>
      <c r="I101" s="25">
        <f>(IFERROR(VLOOKUP(C101,'[19]2020'!$D$2:$G$227,4,FALSE),0)*-1)</f>
        <v>0</v>
      </c>
      <c r="J101" s="25">
        <f>(IFERROR(VLOOKUP(C101,'[19]2020'!$D$2:$I$227,6,FALSE),0)*-1)</f>
        <v>0</v>
      </c>
      <c r="K101" s="25">
        <f t="shared" si="8"/>
        <v>0</v>
      </c>
      <c r="L101" s="25"/>
      <c r="M101" s="27"/>
      <c r="N101" s="25">
        <f t="shared" si="9"/>
        <v>0</v>
      </c>
      <c r="O101" s="25">
        <v>-13000</v>
      </c>
      <c r="P101" s="28">
        <v>4000</v>
      </c>
      <c r="Q101" s="28">
        <v>4000</v>
      </c>
      <c r="R101" s="29">
        <v>4000</v>
      </c>
      <c r="S101" s="29" t="s">
        <v>838</v>
      </c>
    </row>
    <row r="102" spans="2:19" hidden="1" outlineLevel="1" x14ac:dyDescent="0.25">
      <c r="B102" s="4" t="s">
        <v>868</v>
      </c>
      <c r="C102" s="24" t="s">
        <v>942</v>
      </c>
      <c r="D102" s="25">
        <f>IFERROR(VLOOKUP(C102,'[19]2020'!$B$3:$C$227,2,FALSE),0)</f>
        <v>192545.5</v>
      </c>
      <c r="E102" s="25">
        <v>150000</v>
      </c>
      <c r="F102" s="26">
        <v>-192000</v>
      </c>
      <c r="G102" s="25">
        <f>IFERROR(VLOOKUP(C102,'[18]ENE-OCT 2021'!$B$3:$D$225,3,FALSE),0)</f>
        <v>268959.2</v>
      </c>
      <c r="H102" s="25"/>
      <c r="I102" s="25">
        <f>(IFERROR(VLOOKUP(C102,'[19]2020'!$D$2:$G$227,4,FALSE),0)*-1)</f>
        <v>11490</v>
      </c>
      <c r="J102" s="25">
        <f>(IFERROR(VLOOKUP(C102,'[19]2020'!$D$2:$I$227,6,FALSE),0)*-1)</f>
        <v>10908</v>
      </c>
      <c r="K102" s="25">
        <f t="shared" si="8"/>
        <v>291357.2</v>
      </c>
      <c r="L102" s="25"/>
      <c r="M102" s="27">
        <v>1</v>
      </c>
      <c r="N102" s="25">
        <f t="shared" si="9"/>
        <v>291357.2</v>
      </c>
      <c r="O102" s="25">
        <v>59546.16</v>
      </c>
      <c r="P102" s="28">
        <v>198000</v>
      </c>
      <c r="Q102" s="28">
        <v>260000</v>
      </c>
      <c r="R102" s="29">
        <f t="shared" si="10"/>
        <v>302865.80940000003</v>
      </c>
      <c r="S102" s="29" t="s">
        <v>838</v>
      </c>
    </row>
    <row r="103" spans="2:19" hidden="1" outlineLevel="1" x14ac:dyDescent="0.25">
      <c r="B103" s="4" t="s">
        <v>868</v>
      </c>
      <c r="C103" s="24" t="s">
        <v>943</v>
      </c>
      <c r="D103" s="25">
        <f>IFERROR(VLOOKUP(C103,'[19]2020'!$B$3:$C$227,2,FALSE),0)</f>
        <v>182365.91</v>
      </c>
      <c r="E103" s="25">
        <v>245655.08</v>
      </c>
      <c r="F103" s="26">
        <v>-188748.71</v>
      </c>
      <c r="G103" s="25">
        <f>IFERROR(VLOOKUP(C103,'[18]ENE-OCT 2021'!$B$3:$D$225,3,FALSE),0)</f>
        <v>99284.61</v>
      </c>
      <c r="H103" s="25"/>
      <c r="I103" s="25">
        <f>(IFERROR(VLOOKUP(C103,'[19]2020'!$D$2:$G$227,4,FALSE),0)*-1)</f>
        <v>16041.39</v>
      </c>
      <c r="J103" s="25">
        <f>(IFERROR(VLOOKUP(C103,'[19]2020'!$D$2:$I$227,6,FALSE),0)*-1)</f>
        <v>20235.75</v>
      </c>
      <c r="K103" s="25">
        <f t="shared" si="8"/>
        <v>135561.75</v>
      </c>
      <c r="L103" s="25"/>
      <c r="M103" s="27">
        <v>1</v>
      </c>
      <c r="N103" s="25">
        <f t="shared" si="9"/>
        <v>135561.75</v>
      </c>
      <c r="O103" s="25">
        <v>-104261.21</v>
      </c>
      <c r="P103" s="28">
        <v>0</v>
      </c>
      <c r="Q103" s="28">
        <v>182365.91</v>
      </c>
      <c r="R103" s="29">
        <f t="shared" si="10"/>
        <v>140916.439125</v>
      </c>
      <c r="S103" s="29" t="s">
        <v>838</v>
      </c>
    </row>
    <row r="104" spans="2:19" hidden="1" outlineLevel="1" x14ac:dyDescent="0.25">
      <c r="B104" s="4" t="s">
        <v>868</v>
      </c>
      <c r="C104" s="24" t="s">
        <v>944</v>
      </c>
      <c r="D104" s="25">
        <f>IFERROR(VLOOKUP(C104,'[19]2020'!$B$3:$C$227,2,FALSE),0)</f>
        <v>284728.96999999997</v>
      </c>
      <c r="E104" s="25">
        <v>281999.26</v>
      </c>
      <c r="F104" s="26">
        <v>-294979.21000000002</v>
      </c>
      <c r="G104" s="25">
        <f>IFERROR(VLOOKUP(C104,'[18]ENE-OCT 2021'!$B$3:$D$225,3,FALSE),0)</f>
        <v>412592.98</v>
      </c>
      <c r="H104" s="25"/>
      <c r="I104" s="25">
        <f>(IFERROR(VLOOKUP(C104,'[19]2020'!$D$2:$G$227,4,FALSE),0)*-1)</f>
        <v>28479.18</v>
      </c>
      <c r="J104" s="25">
        <f>(IFERROR(VLOOKUP(C104,'[19]2020'!$D$2:$I$227,6,FALSE),0)*-1)</f>
        <v>25162.47</v>
      </c>
      <c r="K104" s="25">
        <f t="shared" si="8"/>
        <v>466234.63</v>
      </c>
      <c r="L104" s="25"/>
      <c r="M104" s="27">
        <v>1</v>
      </c>
      <c r="N104" s="25">
        <f t="shared" si="9"/>
        <v>466234.63</v>
      </c>
      <c r="O104" s="25">
        <v>11090.98</v>
      </c>
      <c r="P104" s="28">
        <v>324477</v>
      </c>
      <c r="Q104" s="28">
        <v>330000</v>
      </c>
      <c r="R104" s="29">
        <f t="shared" si="10"/>
        <v>484650.89788500004</v>
      </c>
      <c r="S104" s="29" t="s">
        <v>838</v>
      </c>
    </row>
    <row r="105" spans="2:19" hidden="1" outlineLevel="1" x14ac:dyDescent="0.25">
      <c r="B105" s="4" t="s">
        <v>868</v>
      </c>
      <c r="C105" s="24" t="s">
        <v>945</v>
      </c>
      <c r="D105" s="25">
        <f>IFERROR(VLOOKUP(C105,'[19]2020'!$B$3:$C$227,2,FALSE),0)</f>
        <v>378.15</v>
      </c>
      <c r="E105" s="25">
        <v>31000</v>
      </c>
      <c r="F105" s="26">
        <v>-20000</v>
      </c>
      <c r="G105" s="25">
        <f>IFERROR(VLOOKUP(C105,'[18]ENE-OCT 2021'!$B$3:$D$225,3,FALSE),0)</f>
        <v>10061.67</v>
      </c>
      <c r="H105" s="25"/>
      <c r="I105" s="25">
        <f>(IFERROR(VLOOKUP(C105,'[19]2020'!$D$2:$G$227,4,FALSE),0)*-1)</f>
        <v>0</v>
      </c>
      <c r="J105" s="25">
        <f>(IFERROR(VLOOKUP(C105,'[19]2020'!$D$2:$I$227,6,FALSE),0)*-1)</f>
        <v>0</v>
      </c>
      <c r="K105" s="25">
        <f t="shared" si="8"/>
        <v>10061.67</v>
      </c>
      <c r="L105" s="25"/>
      <c r="M105" s="27">
        <v>1</v>
      </c>
      <c r="N105" s="25">
        <f t="shared" si="9"/>
        <v>10061.67</v>
      </c>
      <c r="O105" s="25">
        <v>-12241.92</v>
      </c>
      <c r="P105" s="28">
        <v>12056</v>
      </c>
      <c r="Q105" s="28">
        <v>12056</v>
      </c>
      <c r="R105" s="29">
        <f t="shared" si="10"/>
        <v>10459.105965000001</v>
      </c>
      <c r="S105" s="29" t="s">
        <v>838</v>
      </c>
    </row>
    <row r="106" spans="2:19" hidden="1" outlineLevel="1" x14ac:dyDescent="0.25">
      <c r="B106" s="4" t="s">
        <v>868</v>
      </c>
      <c r="C106" s="24" t="s">
        <v>946</v>
      </c>
      <c r="D106" s="25">
        <f>IFERROR(VLOOKUP(C106,'[19]2020'!$B$3:$C$227,2,FALSE),0)</f>
        <v>206241.07</v>
      </c>
      <c r="E106" s="25">
        <v>174299.8</v>
      </c>
      <c r="F106" s="26">
        <v>-206241.07</v>
      </c>
      <c r="G106" s="25">
        <f>IFERROR(VLOOKUP(C106,'[18]ENE-OCT 2021'!$B$3:$D$225,3,FALSE),0)</f>
        <v>296354.13</v>
      </c>
      <c r="H106" s="25"/>
      <c r="I106" s="25">
        <f>(IFERROR(VLOOKUP(C106,'[19]2020'!$D$2:$G$227,4,FALSE),0)*-1)</f>
        <v>6396.89</v>
      </c>
      <c r="J106" s="25">
        <f>(IFERROR(VLOOKUP(C106,'[19]2020'!$D$2:$I$227,6,FALSE),0)*-1)</f>
        <v>8815.86</v>
      </c>
      <c r="K106" s="25">
        <f t="shared" si="8"/>
        <v>311566.88</v>
      </c>
      <c r="L106" s="25"/>
      <c r="M106" s="27"/>
      <c r="N106" s="25">
        <f t="shared" si="9"/>
        <v>311566.88</v>
      </c>
      <c r="O106" s="25">
        <v>71506.42</v>
      </c>
      <c r="P106" s="28">
        <v>0</v>
      </c>
      <c r="Q106" s="28">
        <v>210000</v>
      </c>
      <c r="R106" s="29">
        <v>210000</v>
      </c>
      <c r="S106" s="29" t="s">
        <v>838</v>
      </c>
    </row>
    <row r="107" spans="2:19" hidden="1" outlineLevel="1" x14ac:dyDescent="0.25">
      <c r="B107" s="4" t="s">
        <v>868</v>
      </c>
      <c r="C107" s="24" t="s">
        <v>947</v>
      </c>
      <c r="D107" s="25">
        <f>IFERROR(VLOOKUP(C107,'[19]2020'!$B$3:$C$227,2,FALSE),0)</f>
        <v>1444946.95</v>
      </c>
      <c r="E107" s="25">
        <v>1370886.21</v>
      </c>
      <c r="F107" s="26">
        <v>-1444946.95</v>
      </c>
      <c r="G107" s="25">
        <f>IFERROR(VLOOKUP(C107,'[18]ENE-OCT 2021'!$B$3:$D$225,3,FALSE),0)</f>
        <v>1225824.06</v>
      </c>
      <c r="H107" s="25"/>
      <c r="I107" s="25">
        <f>(IFERROR(VLOOKUP(C107,'[19]2020'!$D$2:$G$227,4,FALSE),0)*-1)</f>
        <v>101881.26</v>
      </c>
      <c r="J107" s="25">
        <f>(IFERROR(VLOOKUP(C107,'[19]2020'!$D$2:$I$227,6,FALSE),0)*-1)</f>
        <v>97143.15</v>
      </c>
      <c r="K107" s="25">
        <f t="shared" si="8"/>
        <v>1424848.47</v>
      </c>
      <c r="L107" s="25"/>
      <c r="M107" s="27">
        <v>1</v>
      </c>
      <c r="N107" s="25">
        <f t="shared" si="9"/>
        <v>1424848.47</v>
      </c>
      <c r="O107" s="25">
        <v>-443627.8</v>
      </c>
      <c r="P107" s="28">
        <v>0</v>
      </c>
      <c r="Q107" s="28">
        <v>1500000</v>
      </c>
      <c r="R107" s="29">
        <f t="shared" si="10"/>
        <v>1481129.984565</v>
      </c>
      <c r="S107" s="29" t="s">
        <v>838</v>
      </c>
    </row>
    <row r="108" spans="2:19" hidden="1" outlineLevel="1" x14ac:dyDescent="0.25">
      <c r="B108" s="4" t="s">
        <v>868</v>
      </c>
      <c r="C108" s="24" t="s">
        <v>948</v>
      </c>
      <c r="D108" s="25">
        <f>IFERROR(VLOOKUP(C108,'[19]2020'!$B$3:$C$227,2,FALSE),0)</f>
        <v>251416.64</v>
      </c>
      <c r="E108" s="25">
        <v>350000</v>
      </c>
      <c r="F108" s="26">
        <v>-350000</v>
      </c>
      <c r="G108" s="25">
        <f>IFERROR(VLOOKUP(C108,'[18]ENE-OCT 2021'!$B$3:$D$225,3,FALSE),0)</f>
        <v>281013.69</v>
      </c>
      <c r="H108" s="25"/>
      <c r="I108" s="25">
        <f>(IFERROR(VLOOKUP(C108,'[19]2020'!$D$2:$G$227,4,FALSE),0)*-1)</f>
        <v>32361</v>
      </c>
      <c r="J108" s="25">
        <f>(IFERROR(VLOOKUP(C108,'[19]2020'!$D$2:$I$227,6,FALSE),0)*-1)</f>
        <v>37213.870000000003</v>
      </c>
      <c r="K108" s="25">
        <f t="shared" si="8"/>
        <v>350588.56</v>
      </c>
      <c r="L108" s="25"/>
      <c r="M108" s="27">
        <v>1</v>
      </c>
      <c r="N108" s="25">
        <f t="shared" si="9"/>
        <v>350588.56</v>
      </c>
      <c r="O108" s="25">
        <v>-123266.3</v>
      </c>
      <c r="P108" s="28">
        <v>0</v>
      </c>
      <c r="Q108" s="28">
        <v>350000</v>
      </c>
      <c r="R108" s="29">
        <f t="shared" si="10"/>
        <v>364436.80812</v>
      </c>
      <c r="S108" s="29" t="s">
        <v>838</v>
      </c>
    </row>
    <row r="109" spans="2:19" hidden="1" outlineLevel="1" x14ac:dyDescent="0.25">
      <c r="B109" s="4" t="s">
        <v>868</v>
      </c>
      <c r="C109" s="24" t="s">
        <v>949</v>
      </c>
      <c r="D109" s="25">
        <f>IFERROR(VLOOKUP(C109,'[19]2020'!$B$3:$C$227,2,FALSE),0)</f>
        <v>0</v>
      </c>
      <c r="E109" s="25">
        <v>1000</v>
      </c>
      <c r="F109" s="26">
        <v>-1000</v>
      </c>
      <c r="G109" s="25">
        <f>IFERROR(VLOOKUP(C109,'[18]ENE-OCT 2021'!$B$3:$D$225,3,FALSE),0)</f>
        <v>0</v>
      </c>
      <c r="H109" s="25"/>
      <c r="I109" s="25">
        <f>(IFERROR(VLOOKUP(C109,'[19]2020'!$D$2:$G$227,4,FALSE),0)*-1)</f>
        <v>0</v>
      </c>
      <c r="J109" s="25">
        <f>(IFERROR(VLOOKUP(C109,'[19]2020'!$D$2:$I$227,6,FALSE),0)*-1)</f>
        <v>0</v>
      </c>
      <c r="K109" s="25">
        <f t="shared" si="8"/>
        <v>0</v>
      </c>
      <c r="L109" s="25"/>
      <c r="M109" s="27"/>
      <c r="N109" s="25">
        <f t="shared" si="9"/>
        <v>0</v>
      </c>
      <c r="O109" s="25">
        <v>-1000</v>
      </c>
      <c r="P109" s="28">
        <v>0</v>
      </c>
      <c r="Q109" s="28">
        <v>1000</v>
      </c>
      <c r="R109" s="29">
        <v>1000</v>
      </c>
      <c r="S109" s="29" t="s">
        <v>838</v>
      </c>
    </row>
    <row r="110" spans="2:19" hidden="1" outlineLevel="1" x14ac:dyDescent="0.25">
      <c r="B110" s="4" t="s">
        <v>868</v>
      </c>
      <c r="C110" s="24" t="s">
        <v>950</v>
      </c>
      <c r="D110" s="25">
        <f>IFERROR(VLOOKUP(C110,'[19]2020'!$B$3:$C$227,2,FALSE),0)</f>
        <v>1203387.3700000001</v>
      </c>
      <c r="E110" s="25">
        <v>1006485.36</v>
      </c>
      <c r="F110" s="26">
        <v>-1203387.3700000001</v>
      </c>
      <c r="G110" s="25">
        <f>IFERROR(VLOOKUP(C110,'[18]ENE-OCT 2021'!$B$3:$D$225,3,FALSE),0)</f>
        <v>595008.67000000004</v>
      </c>
      <c r="H110" s="25"/>
      <c r="I110" s="25">
        <f>(IFERROR(VLOOKUP(C110,'[19]2020'!$D$2:$G$227,4,FALSE),0)*-1)</f>
        <v>64188.51</v>
      </c>
      <c r="J110" s="25">
        <f>(IFERROR(VLOOKUP(C110,'[19]2020'!$D$2:$I$227,6,FALSE),0)*-1)</f>
        <v>45729.14</v>
      </c>
      <c r="K110" s="25">
        <f t="shared" si="8"/>
        <v>704926.32000000007</v>
      </c>
      <c r="L110" s="25"/>
      <c r="M110" s="27">
        <v>1</v>
      </c>
      <c r="N110" s="25">
        <f t="shared" si="9"/>
        <v>704926.32000000007</v>
      </c>
      <c r="O110" s="25">
        <v>-724412.55</v>
      </c>
      <c r="P110" s="28">
        <v>0</v>
      </c>
      <c r="Q110" s="28">
        <v>800000</v>
      </c>
      <c r="R110" s="29">
        <f t="shared" si="10"/>
        <v>732770.90964000009</v>
      </c>
      <c r="S110" s="29" t="s">
        <v>838</v>
      </c>
    </row>
    <row r="111" spans="2:19" hidden="1" outlineLevel="1" x14ac:dyDescent="0.25">
      <c r="B111" s="4" t="s">
        <v>868</v>
      </c>
      <c r="C111" s="24" t="s">
        <v>951</v>
      </c>
      <c r="D111" s="25">
        <f>IFERROR(VLOOKUP(C111,'[19]2020'!$B$3:$C$227,2,FALSE),0)</f>
        <v>2000</v>
      </c>
      <c r="E111" s="25">
        <v>1375</v>
      </c>
      <c r="F111" s="26">
        <v>-2000</v>
      </c>
      <c r="G111" s="25">
        <f>IFERROR(VLOOKUP(C111,'[18]ENE-OCT 2021'!$B$3:$D$225,3,FALSE),0)</f>
        <v>1793.8</v>
      </c>
      <c r="H111" s="25"/>
      <c r="I111" s="25">
        <f>(IFERROR(VLOOKUP(C111,'[19]2020'!$D$2:$G$227,4,FALSE),0)*-1)</f>
        <v>500</v>
      </c>
      <c r="J111" s="25">
        <f>(IFERROR(VLOOKUP(C111,'[19]2020'!$D$2:$I$227,6,FALSE),0)*-1)</f>
        <v>125</v>
      </c>
      <c r="K111" s="25">
        <f t="shared" si="8"/>
        <v>2418.8000000000002</v>
      </c>
      <c r="L111" s="25"/>
      <c r="M111" s="27">
        <v>1</v>
      </c>
      <c r="N111" s="25">
        <f t="shared" si="9"/>
        <v>2418.8000000000002</v>
      </c>
      <c r="O111" s="25">
        <v>-594.34</v>
      </c>
      <c r="P111" s="28">
        <v>2070</v>
      </c>
      <c r="Q111" s="28">
        <v>2000</v>
      </c>
      <c r="R111" s="29">
        <f t="shared" si="10"/>
        <v>2514.3426000000004</v>
      </c>
      <c r="S111" s="29" t="s">
        <v>838</v>
      </c>
    </row>
    <row r="112" spans="2:19" hidden="1" outlineLevel="1" x14ac:dyDescent="0.25">
      <c r="B112" s="4" t="s">
        <v>868</v>
      </c>
      <c r="C112" s="24" t="s">
        <v>952</v>
      </c>
      <c r="D112" s="25">
        <f>IFERROR(VLOOKUP(C112,'[19]2020'!$B$3:$C$227,2,FALSE),0)</f>
        <v>13340</v>
      </c>
      <c r="E112" s="25">
        <v>10530</v>
      </c>
      <c r="F112" s="26">
        <v>-18340</v>
      </c>
      <c r="G112" s="25">
        <f>IFERROR(VLOOKUP(C112,'[18]ENE-OCT 2021'!$B$3:$D$225,3,FALSE),0)</f>
        <v>34220</v>
      </c>
      <c r="H112" s="25"/>
      <c r="I112" s="25">
        <f>(IFERROR(VLOOKUP(C112,'[19]2020'!$D$2:$G$227,4,FALSE),0)*-1)</f>
        <v>3430</v>
      </c>
      <c r="J112" s="25">
        <f>(IFERROR(VLOOKUP(C112,'[19]2020'!$D$2:$I$227,6,FALSE),0)*-1)</f>
        <v>2160</v>
      </c>
      <c r="K112" s="25">
        <f t="shared" si="8"/>
        <v>39810</v>
      </c>
      <c r="L112" s="25"/>
      <c r="M112" s="27"/>
      <c r="N112" s="25">
        <f t="shared" si="9"/>
        <v>39810</v>
      </c>
      <c r="O112" s="25">
        <v>7840</v>
      </c>
      <c r="P112" s="28">
        <v>0</v>
      </c>
      <c r="Q112" s="28">
        <v>27000</v>
      </c>
      <c r="R112" s="29">
        <f t="shared" si="10"/>
        <v>39810</v>
      </c>
      <c r="S112" s="29" t="s">
        <v>838</v>
      </c>
    </row>
    <row r="113" spans="2:20" hidden="1" outlineLevel="1" x14ac:dyDescent="0.25">
      <c r="B113" s="4" t="s">
        <v>868</v>
      </c>
      <c r="C113" s="24" t="s">
        <v>953</v>
      </c>
      <c r="D113" s="25">
        <f>IFERROR(VLOOKUP(C113,'[19]2020'!$B$3:$C$227,2,FALSE),0)</f>
        <v>78393123.519999996</v>
      </c>
      <c r="E113" s="25">
        <v>89659145.040000007</v>
      </c>
      <c r="F113" s="26">
        <v>-82242217.609999999</v>
      </c>
      <c r="G113" s="25">
        <f>IFERROR(VLOOKUP(C113,'[18]ENE-OCT 2021'!$B$3:$D$225,3,FALSE),0)</f>
        <v>60669804.390000001</v>
      </c>
      <c r="H113" s="25"/>
      <c r="I113" s="25">
        <v>6600000</v>
      </c>
      <c r="J113" s="25">
        <f>+I113*2</f>
        <v>13200000</v>
      </c>
      <c r="K113" s="25">
        <f t="shared" si="8"/>
        <v>80469804.390000001</v>
      </c>
      <c r="L113" s="25"/>
      <c r="M113" s="27"/>
      <c r="N113" s="25">
        <f t="shared" si="9"/>
        <v>80469804.390000001</v>
      </c>
      <c r="O113" s="25">
        <v>-34788153.649999999</v>
      </c>
      <c r="P113" s="28">
        <v>0</v>
      </c>
      <c r="Q113" s="29">
        <v>82242217.609999999</v>
      </c>
      <c r="R113" s="29">
        <f>90643176.16</f>
        <v>90643176.159999996</v>
      </c>
      <c r="S113" s="29" t="s">
        <v>838</v>
      </c>
      <c r="T113" s="23"/>
    </row>
    <row r="114" spans="2:20" hidden="1" outlineLevel="1" x14ac:dyDescent="0.25">
      <c r="B114" s="4" t="s">
        <v>868</v>
      </c>
      <c r="C114" s="24" t="s">
        <v>954</v>
      </c>
      <c r="D114" s="25">
        <f>IFERROR(VLOOKUP(C114,'[19]2020'!$B$3:$C$227,2,FALSE),0)</f>
        <v>57390</v>
      </c>
      <c r="E114" s="25">
        <v>85000</v>
      </c>
      <c r="F114" s="26">
        <v>-85000</v>
      </c>
      <c r="G114" s="25">
        <f>IFERROR(VLOOKUP(C114,'[18]ENE-OCT 2021'!$B$3:$D$225,3,FALSE),0)</f>
        <v>79718.28</v>
      </c>
      <c r="H114" s="25"/>
      <c r="I114" s="25">
        <f>(IFERROR(VLOOKUP(C114,'[19]2020'!$D$2:$G$227,4,FALSE),0)*-1)</f>
        <v>3928</v>
      </c>
      <c r="J114" s="25">
        <f>(IFERROR(VLOOKUP(C114,'[19]2020'!$D$2:$I$227,6,FALSE),0)*-1)</f>
        <v>5103</v>
      </c>
      <c r="K114" s="25">
        <f t="shared" si="8"/>
        <v>88749.28</v>
      </c>
      <c r="L114" s="25"/>
      <c r="M114" s="27">
        <v>1</v>
      </c>
      <c r="N114" s="25">
        <f t="shared" si="9"/>
        <v>88749.28</v>
      </c>
      <c r="O114" s="25">
        <v>-28976.74</v>
      </c>
      <c r="P114" s="28">
        <v>0</v>
      </c>
      <c r="Q114" s="28">
        <v>85000</v>
      </c>
      <c r="R114" s="29">
        <f t="shared" si="10"/>
        <v>92254.876560000004</v>
      </c>
      <c r="S114" s="29" t="s">
        <v>838</v>
      </c>
    </row>
    <row r="115" spans="2:20" hidden="1" outlineLevel="1" x14ac:dyDescent="0.25">
      <c r="B115" s="4" t="s">
        <v>868</v>
      </c>
      <c r="C115" s="24" t="s">
        <v>955</v>
      </c>
      <c r="D115" s="25">
        <f>IFERROR(VLOOKUP(C115,'[19]2020'!$B$3:$C$227,2,FALSE),0)</f>
        <v>6056648.6500000004</v>
      </c>
      <c r="E115" s="25">
        <v>5415000</v>
      </c>
      <c r="F115" s="26">
        <v>-6556648.6500000004</v>
      </c>
      <c r="G115" s="25">
        <f>IFERROR(VLOOKUP(C115,'[18]ENE-OCT 2021'!$B$3:$D$225,3,FALSE),0)</f>
        <v>6439578.2699999996</v>
      </c>
      <c r="H115" s="25"/>
      <c r="I115" s="25">
        <f>(IFERROR(VLOOKUP(C115,'[19]2020'!$D$2:$G$227,4,FALSE),0)*-1)</f>
        <v>620558.49</v>
      </c>
      <c r="J115" s="25">
        <f>(IFERROR(VLOOKUP(C115,'[19]2020'!$D$2:$I$227,6,FALSE),0)*-1)</f>
        <v>679702.37</v>
      </c>
      <c r="K115" s="25">
        <f t="shared" si="8"/>
        <v>7739839.1299999999</v>
      </c>
      <c r="L115" s="25"/>
      <c r="M115" s="27">
        <v>1</v>
      </c>
      <c r="N115" s="25">
        <f t="shared" si="9"/>
        <v>7739839.1299999999</v>
      </c>
      <c r="O115" s="25">
        <v>-1201255.3999999999</v>
      </c>
      <c r="P115" s="28">
        <v>0</v>
      </c>
      <c r="Q115" s="28">
        <v>7000000</v>
      </c>
      <c r="R115" s="29">
        <f t="shared" si="10"/>
        <v>8045562.7756350003</v>
      </c>
      <c r="S115" s="29" t="s">
        <v>838</v>
      </c>
    </row>
    <row r="116" spans="2:20" hidden="1" outlineLevel="1" x14ac:dyDescent="0.25">
      <c r="B116" s="4" t="s">
        <v>868</v>
      </c>
      <c r="C116" s="24" t="s">
        <v>956</v>
      </c>
      <c r="D116" s="25">
        <f>IFERROR(VLOOKUP(C116,'[19]2020'!$B$3:$C$227,2,FALSE),0)</f>
        <v>2426.9699999999998</v>
      </c>
      <c r="E116" s="25">
        <v>0</v>
      </c>
      <c r="F116" s="26">
        <v>0</v>
      </c>
      <c r="G116" s="25">
        <f>IFERROR(VLOOKUP(C116,'[18]ENE-OCT 2021'!$B$3:$D$225,3,FALSE),0)</f>
        <v>0</v>
      </c>
      <c r="H116" s="25"/>
      <c r="I116" s="25">
        <v>0</v>
      </c>
      <c r="J116" s="25">
        <v>0</v>
      </c>
      <c r="K116" s="25">
        <f t="shared" si="8"/>
        <v>0</v>
      </c>
      <c r="L116" s="25"/>
      <c r="M116" s="27"/>
      <c r="N116" s="25">
        <f t="shared" si="9"/>
        <v>0</v>
      </c>
      <c r="O116" s="25">
        <v>0</v>
      </c>
      <c r="P116" s="28">
        <v>0</v>
      </c>
      <c r="Q116" s="28">
        <v>2000</v>
      </c>
      <c r="R116" s="29">
        <v>2000</v>
      </c>
      <c r="S116" s="29" t="s">
        <v>838</v>
      </c>
    </row>
    <row r="117" spans="2:20" collapsed="1" x14ac:dyDescent="0.25">
      <c r="C117" s="18" t="s">
        <v>957</v>
      </c>
      <c r="D117" s="33">
        <f>SUM(D118:D131)</f>
        <v>27262838.569999997</v>
      </c>
      <c r="E117" s="33">
        <f>SUM(E118:E131)</f>
        <v>25168726.48</v>
      </c>
      <c r="F117" s="20">
        <v>-26863440.48</v>
      </c>
      <c r="G117" s="21">
        <f t="shared" ref="G117:Q117" si="11">SUM(G118:G131)</f>
        <v>22259272.690000001</v>
      </c>
      <c r="H117" s="21">
        <f t="shared" si="11"/>
        <v>0</v>
      </c>
      <c r="I117" s="21">
        <f t="shared" si="11"/>
        <v>1015350.35</v>
      </c>
      <c r="J117" s="21">
        <f t="shared" si="11"/>
        <v>1162050.4300000002</v>
      </c>
      <c r="K117" s="21">
        <f t="shared" si="11"/>
        <v>24436673.470000003</v>
      </c>
      <c r="L117" s="21"/>
      <c r="M117" s="22"/>
      <c r="N117" s="21">
        <f t="shared" si="11"/>
        <v>24436673.470000003</v>
      </c>
      <c r="O117" s="21">
        <f t="shared" si="11"/>
        <v>-8180724.9499999993</v>
      </c>
      <c r="P117" s="21">
        <f t="shared" si="11"/>
        <v>0</v>
      </c>
      <c r="Q117" s="21">
        <f t="shared" si="11"/>
        <v>22038967.27</v>
      </c>
      <c r="R117" s="21">
        <f>SUM(R118:R131)</f>
        <v>26885990.139699467</v>
      </c>
      <c r="S117" s="21"/>
    </row>
    <row r="118" spans="2:20" hidden="1" outlineLevel="1" x14ac:dyDescent="0.25">
      <c r="B118" s="4" t="s">
        <v>958</v>
      </c>
      <c r="C118" s="24" t="s">
        <v>959</v>
      </c>
      <c r="D118" s="25">
        <f>IFERROR(VLOOKUP(C118,'[19]2020'!$B$3:$C$227,2,FALSE),0)</f>
        <v>18274453.370000001</v>
      </c>
      <c r="E118" s="25">
        <v>15497557.529999999</v>
      </c>
      <c r="F118" s="26">
        <v>-15497557.529999999</v>
      </c>
      <c r="G118" s="25">
        <f>IFERROR(VLOOKUP(C118,'[18]ENE-OCT 2021'!$B$3:$D$225,3,FALSE),0)</f>
        <v>11087629.02</v>
      </c>
      <c r="H118" s="25"/>
      <c r="I118" s="25">
        <f>(IFERROR(VLOOKUP(C118,'[19]2020'!$D$2:$G$227,4,FALSE),0)*-1)</f>
        <v>980088.1</v>
      </c>
      <c r="J118" s="25">
        <f>(IFERROR(VLOOKUP(C118,'[19]2020'!$D$2:$I$227,6,FALSE),0)*-1)</f>
        <v>1100366.6000000001</v>
      </c>
      <c r="K118" s="25">
        <f t="shared" si="8"/>
        <v>13168083.719999999</v>
      </c>
      <c r="L118" s="25"/>
      <c r="M118" s="27"/>
      <c r="N118" s="25">
        <f t="shared" si="9"/>
        <v>13168083.719999999</v>
      </c>
      <c r="O118" s="25">
        <v>-5963680.6399999997</v>
      </c>
      <c r="P118" s="28">
        <v>0</v>
      </c>
      <c r="Q118" s="28">
        <v>15497557.529999999</v>
      </c>
      <c r="R118" s="29">
        <v>16533779.721200747</v>
      </c>
      <c r="S118" s="29" t="s">
        <v>838</v>
      </c>
    </row>
    <row r="119" spans="2:20" hidden="1" outlineLevel="1" x14ac:dyDescent="0.25">
      <c r="B119" s="4" t="s">
        <v>958</v>
      </c>
      <c r="C119" s="24" t="s">
        <v>960</v>
      </c>
      <c r="D119" s="25">
        <f>IFERROR(VLOOKUP(C119,'[19]2020'!$B$3:$C$227,2,FALSE),0)</f>
        <v>0</v>
      </c>
      <c r="E119" s="25">
        <v>1450000</v>
      </c>
      <c r="F119" s="31">
        <v>0</v>
      </c>
      <c r="G119" s="25">
        <f>IFERROR(VLOOKUP(C119,'[18]ENE-OCT 2021'!$B$3:$D$225,3,FALSE),0)</f>
        <v>0</v>
      </c>
      <c r="H119" s="25"/>
      <c r="I119" s="25">
        <f>(IFERROR(VLOOKUP(C119,'[19]2020'!$D$2:$G$227,4,FALSE),0)*-1)</f>
        <v>0</v>
      </c>
      <c r="J119" s="25">
        <f>(IFERROR(VLOOKUP(C119,'[19]2020'!$D$2:$I$227,6,FALSE),0)*-1)</f>
        <v>0</v>
      </c>
      <c r="K119" s="25">
        <f t="shared" si="8"/>
        <v>0</v>
      </c>
      <c r="L119" s="25"/>
      <c r="M119" s="27"/>
      <c r="N119" s="25">
        <f t="shared" si="9"/>
        <v>0</v>
      </c>
      <c r="O119" s="25">
        <v>0</v>
      </c>
      <c r="P119" s="28">
        <v>0</v>
      </c>
      <c r="Q119" s="28">
        <v>0</v>
      </c>
      <c r="R119" s="29">
        <f t="shared" si="10"/>
        <v>0</v>
      </c>
      <c r="S119" s="29" t="s">
        <v>961</v>
      </c>
    </row>
    <row r="120" spans="2:20" hidden="1" outlineLevel="1" x14ac:dyDescent="0.25">
      <c r="B120" s="4" t="s">
        <v>958</v>
      </c>
      <c r="C120" s="24" t="s">
        <v>962</v>
      </c>
      <c r="D120" s="25">
        <f>IFERROR(VLOOKUP(C120,'[19]2020'!$B$3:$C$227,2,FALSE),0)</f>
        <v>1592215.3</v>
      </c>
      <c r="E120" s="25">
        <v>0</v>
      </c>
      <c r="F120" s="31">
        <v>0</v>
      </c>
      <c r="G120" s="25">
        <f>IFERROR(VLOOKUP(C120,'[18]ENE-OCT 2021'!$B$3:$D$225,3,FALSE),0)</f>
        <v>0</v>
      </c>
      <c r="H120" s="25"/>
      <c r="I120" s="25">
        <v>0</v>
      </c>
      <c r="J120" s="25">
        <v>0</v>
      </c>
      <c r="K120" s="25">
        <f t="shared" si="8"/>
        <v>0</v>
      </c>
      <c r="L120" s="25"/>
      <c r="M120" s="27"/>
      <c r="N120" s="25">
        <f t="shared" si="9"/>
        <v>0</v>
      </c>
      <c r="O120" s="25">
        <v>0</v>
      </c>
      <c r="P120" s="28">
        <v>0</v>
      </c>
      <c r="Q120" s="28">
        <v>0</v>
      </c>
      <c r="R120" s="29">
        <v>3290531.0915189572</v>
      </c>
      <c r="S120" s="29" t="s">
        <v>961</v>
      </c>
    </row>
    <row r="121" spans="2:20" hidden="1" outlineLevel="1" x14ac:dyDescent="0.25">
      <c r="B121" s="4" t="s">
        <v>958</v>
      </c>
      <c r="C121" s="24" t="s">
        <v>963</v>
      </c>
      <c r="D121" s="25">
        <f>IFERROR(VLOOKUP(C121,'[19]2020'!$B$3:$C$227,2,FALSE),0)</f>
        <v>1615760.75</v>
      </c>
      <c r="E121" s="25">
        <v>0</v>
      </c>
      <c r="F121" s="31">
        <v>0</v>
      </c>
      <c r="G121" s="25">
        <f>IFERROR(VLOOKUP(C121,'[18]ENE-OCT 2021'!$B$3:$D$225,3,FALSE),0)</f>
        <v>0</v>
      </c>
      <c r="H121" s="25"/>
      <c r="I121" s="25">
        <v>0</v>
      </c>
      <c r="J121" s="25">
        <v>0</v>
      </c>
      <c r="K121" s="25">
        <f t="shared" si="8"/>
        <v>0</v>
      </c>
      <c r="L121" s="25"/>
      <c r="M121" s="27"/>
      <c r="N121" s="25">
        <f t="shared" si="9"/>
        <v>0</v>
      </c>
      <c r="O121" s="25">
        <v>0</v>
      </c>
      <c r="P121" s="28">
        <v>0</v>
      </c>
      <c r="Q121" s="28">
        <v>0</v>
      </c>
      <c r="R121" s="29">
        <v>1691695.6323261322</v>
      </c>
      <c r="S121" s="29" t="s">
        <v>961</v>
      </c>
    </row>
    <row r="122" spans="2:20" hidden="1" outlineLevel="1" x14ac:dyDescent="0.25">
      <c r="B122" s="4" t="s">
        <v>958</v>
      </c>
      <c r="C122" s="24" t="s">
        <v>964</v>
      </c>
      <c r="D122" s="25">
        <f>IFERROR(VLOOKUP(C122,'[19]2020'!$B$3:$C$227,2,FALSE),0)</f>
        <v>4460860.0599999996</v>
      </c>
      <c r="E122" s="25">
        <v>0</v>
      </c>
      <c r="F122" s="31">
        <v>0</v>
      </c>
      <c r="G122" s="25">
        <f>IFERROR(VLOOKUP(C122,'[18]ENE-OCT 2021'!$B$3:$D$225,3,FALSE),0)</f>
        <v>0</v>
      </c>
      <c r="H122" s="25"/>
      <c r="I122" s="25">
        <v>0</v>
      </c>
      <c r="J122" s="25">
        <v>0</v>
      </c>
      <c r="K122" s="25">
        <f t="shared" si="8"/>
        <v>0</v>
      </c>
      <c r="L122" s="25"/>
      <c r="M122" s="27"/>
      <c r="N122" s="25">
        <f t="shared" si="9"/>
        <v>0</v>
      </c>
      <c r="O122" s="25">
        <v>0</v>
      </c>
      <c r="P122" s="28">
        <v>0</v>
      </c>
      <c r="Q122" s="28">
        <v>0</v>
      </c>
      <c r="R122" s="29">
        <v>2867017.5651036305</v>
      </c>
      <c r="S122" s="29" t="s">
        <v>838</v>
      </c>
    </row>
    <row r="123" spans="2:20" hidden="1" outlineLevel="1" x14ac:dyDescent="0.25">
      <c r="B123" s="4" t="s">
        <v>958</v>
      </c>
      <c r="C123" s="24" t="s">
        <v>965</v>
      </c>
      <c r="D123" s="25">
        <f>IFERROR(VLOOKUP(C123,'[19]2020'!$B$3:$C$227,2,FALSE),0)</f>
        <v>177215.27</v>
      </c>
      <c r="E123" s="25">
        <v>0</v>
      </c>
      <c r="F123" s="31">
        <v>0</v>
      </c>
      <c r="G123" s="25">
        <f>IFERROR(VLOOKUP(C123,'[18]ENE-OCT 2021'!$B$3:$D$225,3,FALSE),0)</f>
        <v>0</v>
      </c>
      <c r="H123" s="25"/>
      <c r="I123" s="25">
        <v>0</v>
      </c>
      <c r="J123" s="25">
        <v>0</v>
      </c>
      <c r="K123" s="25">
        <f t="shared" si="8"/>
        <v>0</v>
      </c>
      <c r="L123" s="25"/>
      <c r="M123" s="27"/>
      <c r="N123" s="25">
        <f t="shared" si="9"/>
        <v>0</v>
      </c>
      <c r="O123" s="25">
        <v>0</v>
      </c>
      <c r="P123" s="28">
        <v>0</v>
      </c>
      <c r="Q123" s="28">
        <v>0</v>
      </c>
      <c r="R123" s="29">
        <v>0</v>
      </c>
      <c r="S123" s="29" t="s">
        <v>838</v>
      </c>
    </row>
    <row r="124" spans="2:20" hidden="1" outlineLevel="1" x14ac:dyDescent="0.25">
      <c r="B124" s="4" t="s">
        <v>958</v>
      </c>
      <c r="C124" s="24" t="s">
        <v>966</v>
      </c>
      <c r="D124" s="25">
        <f>IFERROR(VLOOKUP(C124,'[19]2020'!$B$3:$C$227,2,FALSE),0)</f>
        <v>0</v>
      </c>
      <c r="E124" s="25">
        <v>1306000</v>
      </c>
      <c r="F124" s="31">
        <v>0</v>
      </c>
      <c r="G124" s="25">
        <f>IFERROR(VLOOKUP(C124,'[18]ENE-OCT 2021'!$B$3:$D$225,3,FALSE),0)</f>
        <v>0</v>
      </c>
      <c r="H124" s="25"/>
      <c r="I124" s="25">
        <f>(IFERROR(VLOOKUP(C124,'[19]2020'!$D$2:$G$227,4,FALSE),0)*-1)</f>
        <v>0</v>
      </c>
      <c r="J124" s="25">
        <f>(IFERROR(VLOOKUP(C124,'[19]2020'!$D$2:$I$227,6,FALSE),0)*-1)</f>
        <v>0</v>
      </c>
      <c r="K124" s="25">
        <f t="shared" si="8"/>
        <v>0</v>
      </c>
      <c r="L124" s="25"/>
      <c r="M124" s="27"/>
      <c r="N124" s="25">
        <f t="shared" si="9"/>
        <v>0</v>
      </c>
      <c r="O124" s="25">
        <v>0</v>
      </c>
      <c r="P124" s="28">
        <v>0</v>
      </c>
      <c r="Q124" s="28">
        <v>0</v>
      </c>
      <c r="R124" s="29">
        <f t="shared" si="10"/>
        <v>0</v>
      </c>
      <c r="S124" s="29" t="s">
        <v>961</v>
      </c>
    </row>
    <row r="125" spans="2:20" hidden="1" outlineLevel="1" x14ac:dyDescent="0.25">
      <c r="B125" s="4" t="s">
        <v>958</v>
      </c>
      <c r="C125" s="24" t="s">
        <v>967</v>
      </c>
      <c r="D125" s="25">
        <f>IFERROR(VLOOKUP(C125,'[19]2020'!$B$3:$C$227,2,FALSE),0)</f>
        <v>0</v>
      </c>
      <c r="E125" s="25">
        <v>4000000</v>
      </c>
      <c r="F125" s="26">
        <v>-4000000</v>
      </c>
      <c r="G125" s="25">
        <f>IFERROR(VLOOKUP(C125,'[18]ENE-OCT 2021'!$B$3:$D$225,3,FALSE),0)</f>
        <v>3391419.82</v>
      </c>
      <c r="H125" s="25"/>
      <c r="I125" s="25">
        <f>(IFERROR(VLOOKUP(C125,'[19]2020'!$D$2:$G$227,4,FALSE),0)*-1)</f>
        <v>0</v>
      </c>
      <c r="J125" s="25">
        <f>(IFERROR(VLOOKUP(C125,'[19]2020'!$D$2:$I$227,6,FALSE),0)*-1)</f>
        <v>0</v>
      </c>
      <c r="K125" s="25">
        <f t="shared" si="8"/>
        <v>3391419.82</v>
      </c>
      <c r="L125" s="25"/>
      <c r="M125" s="27"/>
      <c r="N125" s="25">
        <f t="shared" si="9"/>
        <v>3391419.82</v>
      </c>
      <c r="O125" s="25">
        <v>-1588003.45</v>
      </c>
      <c r="P125" s="28">
        <v>0</v>
      </c>
      <c r="Q125" s="28">
        <v>3500000</v>
      </c>
      <c r="R125" s="29">
        <v>0</v>
      </c>
      <c r="S125" s="29" t="s">
        <v>838</v>
      </c>
    </row>
    <row r="126" spans="2:20" hidden="1" outlineLevel="1" x14ac:dyDescent="0.25">
      <c r="B126" s="4" t="s">
        <v>958</v>
      </c>
      <c r="C126" s="24" t="s">
        <v>968</v>
      </c>
      <c r="D126" s="25">
        <f>IFERROR(VLOOKUP(C126,'[19]2020'!$B$3:$C$227,2,FALSE),0)</f>
        <v>123759.79</v>
      </c>
      <c r="E126" s="25">
        <v>118646.97</v>
      </c>
      <c r="F126" s="26">
        <v>-118646.97</v>
      </c>
      <c r="G126" s="25">
        <f>IFERROR(VLOOKUP(C126,'[18]ENE-OCT 2021'!$B$3:$D$225,3,FALSE),0)</f>
        <v>97323.61</v>
      </c>
      <c r="H126" s="25"/>
      <c r="I126" s="25">
        <f>(IFERROR(VLOOKUP(C126,'[19]2020'!$D$2:$G$227,4,FALSE),0)*-1)</f>
        <v>8350</v>
      </c>
      <c r="J126" s="25">
        <f>(IFERROR(VLOOKUP(C126,'[19]2020'!$D$2:$I$227,6,FALSE),0)*-1)</f>
        <v>7562.59</v>
      </c>
      <c r="K126" s="25">
        <f t="shared" si="8"/>
        <v>113236.2</v>
      </c>
      <c r="L126" s="25"/>
      <c r="M126" s="27">
        <v>1</v>
      </c>
      <c r="N126" s="25">
        <f t="shared" si="9"/>
        <v>113236.2</v>
      </c>
      <c r="O126" s="25">
        <v>-39622.160000000003</v>
      </c>
      <c r="P126" s="28">
        <v>0</v>
      </c>
      <c r="Q126" s="28">
        <v>123759.79</v>
      </c>
      <c r="R126" s="29">
        <f t="shared" si="10"/>
        <v>117709.02990000001</v>
      </c>
      <c r="S126" s="29" t="s">
        <v>838</v>
      </c>
    </row>
    <row r="127" spans="2:20" hidden="1" outlineLevel="1" x14ac:dyDescent="0.25">
      <c r="B127" s="4" t="s">
        <v>958</v>
      </c>
      <c r="C127" s="24" t="s">
        <v>969</v>
      </c>
      <c r="D127" s="25">
        <f>IFERROR(VLOOKUP(C127,'[19]2020'!$B$3:$C$227,2,FALSE),0)</f>
        <v>646.95000000000005</v>
      </c>
      <c r="E127" s="25">
        <v>1340</v>
      </c>
      <c r="F127" s="26">
        <v>-1340</v>
      </c>
      <c r="G127" s="25">
        <f>IFERROR(VLOOKUP(C127,'[18]ENE-OCT 2021'!$B$3:$D$225,3,FALSE),0)</f>
        <v>72.959999999999994</v>
      </c>
      <c r="H127" s="25"/>
      <c r="I127" s="25">
        <f>(IFERROR(VLOOKUP(C127,'[19]2020'!$D$2:$G$227,4,FALSE),0)*-1)</f>
        <v>0</v>
      </c>
      <c r="J127" s="25">
        <f>(IFERROR(VLOOKUP(C127,'[19]2020'!$D$2:$I$227,6,FALSE),0)*-1)</f>
        <v>0</v>
      </c>
      <c r="K127" s="25">
        <f t="shared" si="8"/>
        <v>72.959999999999994</v>
      </c>
      <c r="L127" s="25"/>
      <c r="M127" s="27"/>
      <c r="N127" s="25">
        <f t="shared" si="9"/>
        <v>72.959999999999994</v>
      </c>
      <c r="O127" s="25">
        <v>-1267.04</v>
      </c>
      <c r="P127" s="28">
        <v>0</v>
      </c>
      <c r="Q127" s="28">
        <v>649.95000000000005</v>
      </c>
      <c r="R127" s="29">
        <v>500</v>
      </c>
      <c r="S127" s="29" t="s">
        <v>838</v>
      </c>
    </row>
    <row r="128" spans="2:20" hidden="1" outlineLevel="1" x14ac:dyDescent="0.25">
      <c r="B128" s="4" t="s">
        <v>958</v>
      </c>
      <c r="C128" s="24" t="s">
        <v>970</v>
      </c>
      <c r="D128" s="25">
        <f>IFERROR(VLOOKUP(C128,'[19]2020'!$B$3:$C$227,2,FALSE),0)</f>
        <v>9796</v>
      </c>
      <c r="E128" s="25">
        <v>7932.98</v>
      </c>
      <c r="F128" s="26">
        <v>-12932.98</v>
      </c>
      <c r="G128" s="25">
        <f>IFERROR(VLOOKUP(C128,'[18]ENE-OCT 2021'!$B$3:$D$225,3,FALSE),0)</f>
        <v>16571.259999999998</v>
      </c>
      <c r="H128" s="25"/>
      <c r="I128" s="25">
        <f>(IFERROR(VLOOKUP(C128,'[19]2020'!$D$2:$G$227,4,FALSE),0)*-1)</f>
        <v>771</v>
      </c>
      <c r="J128" s="25">
        <f>(IFERROR(VLOOKUP(C128,'[19]2020'!$D$2:$I$227,6,FALSE),0)*-1)</f>
        <v>880</v>
      </c>
      <c r="K128" s="25">
        <f t="shared" si="8"/>
        <v>18222.259999999998</v>
      </c>
      <c r="L128" s="25"/>
      <c r="M128" s="27">
        <v>1</v>
      </c>
      <c r="N128" s="25">
        <f t="shared" si="9"/>
        <v>18222.259999999998</v>
      </c>
      <c r="O128" s="25">
        <v>2411.91</v>
      </c>
      <c r="P128" s="28">
        <v>0</v>
      </c>
      <c r="Q128" s="28">
        <v>17000</v>
      </c>
      <c r="R128" s="29">
        <f t="shared" si="10"/>
        <v>18942.039270000001</v>
      </c>
      <c r="S128" s="29" t="s">
        <v>838</v>
      </c>
    </row>
    <row r="129" spans="2:20" hidden="1" outlineLevel="1" x14ac:dyDescent="0.25">
      <c r="B129" s="4" t="s">
        <v>958</v>
      </c>
      <c r="C129" s="24" t="s">
        <v>971</v>
      </c>
      <c r="D129" s="25">
        <f>IFERROR(VLOOKUP(C129,'[19]2020'!$B$3:$C$227,2,FALSE),0)</f>
        <v>637594.69999999995</v>
      </c>
      <c r="E129" s="25">
        <v>1714286</v>
      </c>
      <c r="F129" s="26">
        <v>-5800000</v>
      </c>
      <c r="G129" s="25">
        <f>IFERROR(VLOOKUP(C129,'[18]ENE-OCT 2021'!$B$3:$D$225,3,FALSE),0)</f>
        <v>5346823</v>
      </c>
      <c r="H129" s="39"/>
      <c r="I129" s="39">
        <f>(IFERROR(VLOOKUP(C129,'[19]2020'!$D$2:$G$227,4,FALSE),0)*-1)</f>
        <v>0</v>
      </c>
      <c r="J129" s="39"/>
      <c r="K129" s="25">
        <f t="shared" si="8"/>
        <v>5346823</v>
      </c>
      <c r="L129" s="25"/>
      <c r="M129" s="27"/>
      <c r="N129" s="25">
        <f t="shared" si="9"/>
        <v>5346823</v>
      </c>
      <c r="O129" s="25">
        <v>-1337640</v>
      </c>
      <c r="P129" s="28">
        <v>0</v>
      </c>
      <c r="Q129" s="28">
        <v>2000000</v>
      </c>
      <c r="R129" s="29">
        <v>1500000</v>
      </c>
      <c r="S129" s="29" t="s">
        <v>838</v>
      </c>
    </row>
    <row r="130" spans="2:20" hidden="1" outlineLevel="1" x14ac:dyDescent="0.25">
      <c r="B130" s="4" t="s">
        <v>958</v>
      </c>
      <c r="C130" s="24" t="s">
        <v>972</v>
      </c>
      <c r="D130" s="25">
        <f>IFERROR(VLOOKUP(C130,'[19]2020'!$B$3:$C$227,2,FALSE),0)</f>
        <v>0</v>
      </c>
      <c r="E130" s="25">
        <v>180000</v>
      </c>
      <c r="F130" s="26">
        <v>-540000</v>
      </c>
      <c r="G130" s="25">
        <f>IFERROR(VLOOKUP(C130,'[18]ENE-OCT 2021'!$B$3:$D$225,3,FALSE),0)</f>
        <v>2046901.07</v>
      </c>
      <c r="H130" s="39"/>
      <c r="I130" s="39">
        <f>(IFERROR(VLOOKUP(C130,'[19]2020'!$D$2:$G$227,4,FALSE),0)*-1)</f>
        <v>0</v>
      </c>
      <c r="J130" s="39">
        <f>(IFERROR(VLOOKUP(C130,'[19]2020'!$D$2:$I$227,6,FALSE),0)*-1)</f>
        <v>0</v>
      </c>
      <c r="K130" s="25">
        <f t="shared" si="8"/>
        <v>2046901.07</v>
      </c>
      <c r="L130" s="25"/>
      <c r="M130" s="27"/>
      <c r="N130" s="25">
        <f t="shared" si="9"/>
        <v>2046901.07</v>
      </c>
      <c r="O130" s="25">
        <v>1426017.1</v>
      </c>
      <c r="P130" s="28">
        <v>0</v>
      </c>
      <c r="Q130" s="28">
        <v>500000</v>
      </c>
      <c r="R130" s="29">
        <v>500000</v>
      </c>
      <c r="S130" s="29" t="s">
        <v>838</v>
      </c>
    </row>
    <row r="131" spans="2:20" hidden="1" outlineLevel="1" x14ac:dyDescent="0.25">
      <c r="B131" s="4" t="s">
        <v>958</v>
      </c>
      <c r="C131" s="24" t="s">
        <v>973</v>
      </c>
      <c r="D131" s="25">
        <f>IFERROR(VLOOKUP(C131,'[19]2020'!$B$3:$C$227,2,FALSE),0)</f>
        <v>370536.38</v>
      </c>
      <c r="E131" s="25">
        <v>892963</v>
      </c>
      <c r="F131" s="26">
        <v>-892963</v>
      </c>
      <c r="G131" s="25">
        <f>IFERROR(VLOOKUP(C131,'[18]ENE-OCT 2021'!$B$3:$D$225,3,FALSE),0)</f>
        <v>272531.95</v>
      </c>
      <c r="H131" s="25"/>
      <c r="I131" s="25">
        <f>(IFERROR(VLOOKUP(C131,'[19]2020'!$D$2:$G$227,4,FALSE),0)*-1)</f>
        <v>26141.25</v>
      </c>
      <c r="J131" s="25">
        <f>(IFERROR(VLOOKUP(C131,'[19]2020'!$D$2:$I$227,6,FALSE),0)*-1)</f>
        <v>53241.24</v>
      </c>
      <c r="K131" s="25">
        <f t="shared" si="8"/>
        <v>351914.44</v>
      </c>
      <c r="L131" s="25"/>
      <c r="M131" s="27">
        <v>1</v>
      </c>
      <c r="N131" s="25">
        <f t="shared" si="9"/>
        <v>351914.44</v>
      </c>
      <c r="O131" s="25">
        <v>-678940.67</v>
      </c>
      <c r="P131" s="28">
        <v>0</v>
      </c>
      <c r="Q131" s="28">
        <v>400000</v>
      </c>
      <c r="R131" s="29">
        <f t="shared" si="10"/>
        <v>365815.06038000004</v>
      </c>
      <c r="S131" s="29" t="s">
        <v>838</v>
      </c>
    </row>
    <row r="132" spans="2:20" collapsed="1" x14ac:dyDescent="0.25">
      <c r="C132" s="18" t="s">
        <v>974</v>
      </c>
      <c r="D132" s="33">
        <f>SUM(D133:D170)</f>
        <v>64257698.31000001</v>
      </c>
      <c r="E132" s="33">
        <f>SUM(E133:E170)</f>
        <v>78683055.750000015</v>
      </c>
      <c r="F132" s="20">
        <v>-74897776.909999996</v>
      </c>
      <c r="G132" s="21">
        <f t="shared" ref="G132:R132" si="12">SUM(G133:G170)</f>
        <v>66786818.61999999</v>
      </c>
      <c r="H132" s="21">
        <f t="shared" si="12"/>
        <v>0</v>
      </c>
      <c r="I132" s="21">
        <f t="shared" si="12"/>
        <v>4905637.3377777785</v>
      </c>
      <c r="J132" s="21">
        <f t="shared" si="12"/>
        <v>6123308.857777779</v>
      </c>
      <c r="K132" s="21">
        <f t="shared" si="12"/>
        <v>77815764.815555558</v>
      </c>
      <c r="L132" s="21"/>
      <c r="M132" s="22"/>
      <c r="N132" s="21">
        <f t="shared" si="12"/>
        <v>77815764.815555558</v>
      </c>
      <c r="O132" s="21">
        <f t="shared" si="12"/>
        <v>-24678127.959999997</v>
      </c>
      <c r="P132" s="21">
        <f t="shared" si="12"/>
        <v>69236432</v>
      </c>
      <c r="Q132" s="21">
        <f t="shared" si="12"/>
        <v>79524127.159999996</v>
      </c>
      <c r="R132" s="21">
        <f t="shared" si="12"/>
        <v>73361300.187415004</v>
      </c>
      <c r="S132" s="21"/>
    </row>
    <row r="133" spans="2:20" hidden="1" outlineLevel="1" x14ac:dyDescent="0.25">
      <c r="B133" s="4" t="s">
        <v>975</v>
      </c>
      <c r="C133" s="24" t="s">
        <v>976</v>
      </c>
      <c r="D133" s="25">
        <f>IFERROR(VLOOKUP(C133,'[19]2020'!$B$3:$C$227,2,FALSE),0)</f>
        <v>185910</v>
      </c>
      <c r="E133" s="25">
        <v>168498</v>
      </c>
      <c r="F133" s="26">
        <v>-185910</v>
      </c>
      <c r="G133" s="25">
        <f>IFERROR(VLOOKUP(C133,'[18]ENE-OCT 2021'!$B$3:$D$225,3,FALSE),0)</f>
        <v>141421.4</v>
      </c>
      <c r="H133" s="25"/>
      <c r="I133" s="25">
        <f>(IFERROR(VLOOKUP(C133,'[19]2020'!$D$2:$G$227,4,FALSE),0)*-1)</f>
        <v>17760</v>
      </c>
      <c r="J133" s="25">
        <f>(IFERROR(VLOOKUP(C133,'[19]2020'!$D$2:$I$227,6,FALSE),0)*-1)</f>
        <v>14800</v>
      </c>
      <c r="K133" s="25">
        <f t="shared" si="8"/>
        <v>173981.4</v>
      </c>
      <c r="L133" s="25"/>
      <c r="M133" s="27">
        <v>1</v>
      </c>
      <c r="N133" s="25">
        <f t="shared" si="9"/>
        <v>173981.4</v>
      </c>
      <c r="O133" s="25">
        <v>-52147.6</v>
      </c>
      <c r="P133" s="28">
        <v>0</v>
      </c>
      <c r="Q133" s="28">
        <v>185910</v>
      </c>
      <c r="R133" s="29">
        <f t="shared" si="10"/>
        <v>180853.66530000002</v>
      </c>
      <c r="S133" s="29" t="s">
        <v>838</v>
      </c>
    </row>
    <row r="134" spans="2:20" hidden="1" outlineLevel="1" x14ac:dyDescent="0.25">
      <c r="B134" s="4" t="s">
        <v>975</v>
      </c>
      <c r="C134" s="24" t="s">
        <v>977</v>
      </c>
      <c r="D134" s="25">
        <f>IFERROR(VLOOKUP(C134,'[19]2020'!$B$3:$C$227,2,FALSE),0)</f>
        <v>215190</v>
      </c>
      <c r="E134" s="25">
        <v>50000</v>
      </c>
      <c r="F134" s="26">
        <v>-215190</v>
      </c>
      <c r="G134" s="25">
        <f>IFERROR(VLOOKUP(C134,'[18]ENE-OCT 2021'!$B$3:$D$225,3,FALSE),0)</f>
        <v>113394.6</v>
      </c>
      <c r="H134" s="25"/>
      <c r="I134" s="25">
        <f>(IFERROR(VLOOKUP(C134,'[19]2020'!$D$2:$G$227,4,FALSE),0)*-1)</f>
        <v>25380</v>
      </c>
      <c r="J134" s="25">
        <f>(IFERROR(VLOOKUP(C134,'[19]2020'!$D$2:$I$227,6,FALSE),0)*-1)</f>
        <v>75480</v>
      </c>
      <c r="K134" s="25">
        <f t="shared" ref="K134:K197" si="13">G134+H134+I134+J134</f>
        <v>214254.6</v>
      </c>
      <c r="L134" s="25"/>
      <c r="M134" s="27">
        <v>1</v>
      </c>
      <c r="N134" s="25">
        <f t="shared" si="9"/>
        <v>214254.6</v>
      </c>
      <c r="O134" s="25">
        <v>-103410</v>
      </c>
      <c r="P134" s="28">
        <v>0</v>
      </c>
      <c r="Q134" s="28">
        <v>215190</v>
      </c>
      <c r="R134" s="29">
        <f t="shared" si="10"/>
        <v>222717.65670000002</v>
      </c>
      <c r="S134" s="29" t="s">
        <v>838</v>
      </c>
    </row>
    <row r="135" spans="2:20" hidden="1" outlineLevel="1" x14ac:dyDescent="0.25">
      <c r="B135" s="4" t="s">
        <v>975</v>
      </c>
      <c r="C135" s="24" t="s">
        <v>978</v>
      </c>
      <c r="D135" s="25">
        <f>IFERROR(VLOOKUP(C135,'[19]2020'!$B$3:$C$227,2,FALSE),0)</f>
        <v>80190</v>
      </c>
      <c r="E135" s="25">
        <v>70504.2</v>
      </c>
      <c r="F135" s="26">
        <v>-82996.649999999994</v>
      </c>
      <c r="G135" s="25">
        <f>IFERROR(VLOOKUP(C135,'[18]ENE-OCT 2021'!$B$3:$D$225,3,FALSE),0)</f>
        <v>84945.3</v>
      </c>
      <c r="H135" s="25"/>
      <c r="I135" s="25">
        <f>(IFERROR(VLOOKUP(C135,'[19]2020'!$D$2:$G$227,4,FALSE),0)*-1)</f>
        <v>3630</v>
      </c>
      <c r="J135" s="25">
        <f>(IFERROR(VLOOKUP(C135,'[19]2020'!$D$2:$I$227,6,FALSE),0)*-1)</f>
        <v>3300</v>
      </c>
      <c r="K135" s="25">
        <f t="shared" si="13"/>
        <v>91875.3</v>
      </c>
      <c r="L135" s="25"/>
      <c r="M135" s="27">
        <v>1</v>
      </c>
      <c r="N135" s="25">
        <f t="shared" si="9"/>
        <v>91875.3</v>
      </c>
      <c r="O135" s="25">
        <v>-6248.55</v>
      </c>
      <c r="P135" s="28">
        <v>0</v>
      </c>
      <c r="Q135" s="28">
        <v>83000</v>
      </c>
      <c r="R135" s="29">
        <f t="shared" si="10"/>
        <v>95504.374350000013</v>
      </c>
      <c r="S135" s="29" t="s">
        <v>838</v>
      </c>
    </row>
    <row r="136" spans="2:20" hidden="1" outlineLevel="1" x14ac:dyDescent="0.25">
      <c r="B136" s="4" t="s">
        <v>975</v>
      </c>
      <c r="C136" s="24" t="s">
        <v>979</v>
      </c>
      <c r="D136" s="25">
        <f>IFERROR(VLOOKUP(C136,'[19]2020'!$B$3:$C$227,2,FALSE),0)</f>
        <v>217417</v>
      </c>
      <c r="E136" s="25">
        <v>230303.8</v>
      </c>
      <c r="F136" s="26">
        <v>-230303.8</v>
      </c>
      <c r="G136" s="25">
        <f>IFERROR(VLOOKUP(C136,'[18]ENE-OCT 2021'!$B$3:$D$225,3,FALSE),0)</f>
        <v>250564.97</v>
      </c>
      <c r="H136" s="25"/>
      <c r="I136" s="25">
        <f>(IFERROR(VLOOKUP(C136,'[19]2020'!$D$2:$G$227,4,FALSE),0)*-1)</f>
        <v>6627</v>
      </c>
      <c r="J136" s="25">
        <f>(IFERROR(VLOOKUP(C136,'[19]2020'!$D$2:$I$227,6,FALSE),0)*-1)</f>
        <v>7549</v>
      </c>
      <c r="K136" s="25">
        <f t="shared" si="13"/>
        <v>264740.96999999997</v>
      </c>
      <c r="L136" s="25"/>
      <c r="M136" s="27">
        <v>1</v>
      </c>
      <c r="N136" s="25">
        <f t="shared" si="9"/>
        <v>264740.96999999997</v>
      </c>
      <c r="O136" s="25">
        <v>-8613.5300000000007</v>
      </c>
      <c r="P136" s="28">
        <v>172080</v>
      </c>
      <c r="Q136" s="28">
        <v>230000</v>
      </c>
      <c r="R136" s="29">
        <f t="shared" si="10"/>
        <v>275198.23831499997</v>
      </c>
      <c r="S136" s="29" t="s">
        <v>838</v>
      </c>
    </row>
    <row r="137" spans="2:20" hidden="1" outlineLevel="1" x14ac:dyDescent="0.25">
      <c r="B137" s="4" t="s">
        <v>975</v>
      </c>
      <c r="C137" s="24" t="s">
        <v>980</v>
      </c>
      <c r="D137" s="25">
        <f>IFERROR(VLOOKUP(C137,'[19]2020'!$B$3:$C$227,2,FALSE),0)</f>
        <v>0</v>
      </c>
      <c r="E137" s="25">
        <v>3865900.75</v>
      </c>
      <c r="F137" s="26">
        <v>-1000000</v>
      </c>
      <c r="G137" s="25">
        <f>IFERROR(VLOOKUP(C137,'[18]ENE-OCT 2021'!$B$3:$D$225,3,FALSE),0)</f>
        <v>0</v>
      </c>
      <c r="H137" s="25"/>
      <c r="I137" s="25">
        <f>(IFERROR(VLOOKUP(C137,'[19]2020'!$D$2:$G$227,4,FALSE),0)*-1)</f>
        <v>0</v>
      </c>
      <c r="J137" s="25">
        <f>(IFERROR(VLOOKUP(C137,'[19]2020'!$D$2:$I$227,6,FALSE),0)*-1)</f>
        <v>0</v>
      </c>
      <c r="K137" s="25">
        <f t="shared" si="13"/>
        <v>0</v>
      </c>
      <c r="L137" s="25"/>
      <c r="M137" s="27"/>
      <c r="N137" s="25">
        <f t="shared" si="9"/>
        <v>0</v>
      </c>
      <c r="O137" s="25">
        <v>-1000000</v>
      </c>
      <c r="P137" s="28">
        <v>0</v>
      </c>
      <c r="Q137" s="28">
        <v>3865900.75</v>
      </c>
      <c r="R137" s="28">
        <v>3865900.75</v>
      </c>
      <c r="S137" s="29" t="s">
        <v>838</v>
      </c>
    </row>
    <row r="138" spans="2:20" hidden="1" outlineLevel="1" x14ac:dyDescent="0.25">
      <c r="B138" s="4" t="s">
        <v>975</v>
      </c>
      <c r="C138" s="24" t="s">
        <v>981</v>
      </c>
      <c r="D138" s="25">
        <f>IFERROR(VLOOKUP(C138,'[19]2020'!$B$3:$C$227,2,FALSE),0)</f>
        <v>2411929.81</v>
      </c>
      <c r="E138" s="25">
        <v>2061929.81</v>
      </c>
      <c r="F138" s="26">
        <v>-500000</v>
      </c>
      <c r="G138" s="25">
        <f>IFERROR(VLOOKUP(C138,'[18]ENE-OCT 2021'!$B$3:$D$225,3,FALSE),0)</f>
        <v>748000</v>
      </c>
      <c r="H138" s="25"/>
      <c r="I138" s="25">
        <f>(IFERROR(VLOOKUP(C138,'[19]2020'!$D$2:$G$227,4,FALSE),0)*-1)</f>
        <v>0</v>
      </c>
      <c r="J138" s="25">
        <f>(IFERROR(VLOOKUP(C138,'[19]2020'!$D$2:$I$227,6,FALSE),0)*-1)</f>
        <v>0</v>
      </c>
      <c r="K138" s="25">
        <f t="shared" si="13"/>
        <v>748000</v>
      </c>
      <c r="L138" s="25"/>
      <c r="M138" s="27"/>
      <c r="N138" s="25">
        <f t="shared" si="9"/>
        <v>748000</v>
      </c>
      <c r="O138" s="25">
        <v>-152000</v>
      </c>
      <c r="P138" s="28">
        <v>0</v>
      </c>
      <c r="Q138" s="28">
        <v>1000000</v>
      </c>
      <c r="R138" s="28">
        <v>1000000</v>
      </c>
      <c r="S138" s="29" t="s">
        <v>838</v>
      </c>
    </row>
    <row r="139" spans="2:20" hidden="1" outlineLevel="1" x14ac:dyDescent="0.25">
      <c r="B139" s="4" t="s">
        <v>975</v>
      </c>
      <c r="C139" s="24" t="s">
        <v>982</v>
      </c>
      <c r="D139" s="25">
        <f>IFERROR(VLOOKUP(C139,'[19]2020'!$B$3:$C$227,2,FALSE),0)</f>
        <v>2360100.13</v>
      </c>
      <c r="E139" s="25">
        <v>52807.199999999997</v>
      </c>
      <c r="F139" s="26">
        <v>-52807.199999999997</v>
      </c>
      <c r="G139" s="25">
        <f>IFERROR(VLOOKUP(C139,'[18]ENE-OCT 2021'!$B$3:$D$225,3,FALSE),0)</f>
        <v>2994555.2</v>
      </c>
      <c r="H139" s="25"/>
      <c r="I139" s="25">
        <f>(IFERROR(VLOOKUP(C139,'[19]2020'!$D$2:$G$227,4,FALSE),0)*-1)</f>
        <v>1700</v>
      </c>
      <c r="J139" s="25">
        <v>0</v>
      </c>
      <c r="K139" s="25">
        <f t="shared" si="13"/>
        <v>2996255.2</v>
      </c>
      <c r="L139" s="25"/>
      <c r="M139" s="27"/>
      <c r="N139" s="25">
        <f t="shared" si="9"/>
        <v>2996255.2</v>
      </c>
      <c r="O139" s="25">
        <v>-52807.199999999997</v>
      </c>
      <c r="P139" s="28">
        <v>0</v>
      </c>
      <c r="Q139" s="28">
        <v>500000</v>
      </c>
      <c r="R139" s="28">
        <v>100000</v>
      </c>
      <c r="S139" s="29" t="s">
        <v>838</v>
      </c>
    </row>
    <row r="140" spans="2:20" hidden="1" outlineLevel="1" x14ac:dyDescent="0.25">
      <c r="B140" s="4" t="s">
        <v>975</v>
      </c>
      <c r="C140" s="24" t="s">
        <v>983</v>
      </c>
      <c r="D140" s="25">
        <f>IFERROR(VLOOKUP(C140,'[19]2020'!$B$3:$C$227,2,FALSE),0)</f>
        <v>1152702.9099999999</v>
      </c>
      <c r="E140" s="25">
        <v>793428.04</v>
      </c>
      <c r="F140" s="26">
        <v>-1000000</v>
      </c>
      <c r="G140" s="25">
        <f>IFERROR(VLOOKUP(C140,'[18]ENE-OCT 2021'!$B$3:$D$225,3,FALSE),0)</f>
        <v>843616.51</v>
      </c>
      <c r="H140" s="25"/>
      <c r="I140" s="25">
        <v>81895.047777777785</v>
      </c>
      <c r="J140" s="25">
        <v>81895.047777777785</v>
      </c>
      <c r="K140" s="25">
        <f t="shared" si="13"/>
        <v>1007406.6055555556</v>
      </c>
      <c r="L140" s="25"/>
      <c r="M140" s="27">
        <v>1</v>
      </c>
      <c r="N140" s="25">
        <f t="shared" si="9"/>
        <v>1007406.6055555556</v>
      </c>
      <c r="O140" s="25">
        <v>-380989.21</v>
      </c>
      <c r="P140" s="28">
        <v>0</v>
      </c>
      <c r="Q140" s="28">
        <v>1000000</v>
      </c>
      <c r="R140" s="29">
        <f t="shared" si="10"/>
        <v>1047199.1664750001</v>
      </c>
      <c r="S140" s="29" t="s">
        <v>838</v>
      </c>
    </row>
    <row r="141" spans="2:20" hidden="1" outlineLevel="1" x14ac:dyDescent="0.25">
      <c r="B141" s="4" t="s">
        <v>975</v>
      </c>
      <c r="C141" s="24" t="s">
        <v>984</v>
      </c>
      <c r="D141" s="25">
        <f>IFERROR(VLOOKUP(C141,'[19]2020'!$B$3:$C$227,2,FALSE),0)</f>
        <v>30891.67</v>
      </c>
      <c r="E141" s="25">
        <v>2482722.91</v>
      </c>
      <c r="F141" s="26">
        <v>-500000</v>
      </c>
      <c r="G141" s="25">
        <f>IFERROR(VLOOKUP(C141,'[18]ENE-OCT 2021'!$B$3:$D$225,3,FALSE),0)</f>
        <v>1030912.79</v>
      </c>
      <c r="H141" s="25"/>
      <c r="I141" s="25">
        <f>(IFERROR(VLOOKUP(C141,'[19]2020'!$D$2:$G$227,4,FALSE),0)*-1)</f>
        <v>0</v>
      </c>
      <c r="J141" s="25">
        <f>(IFERROR(VLOOKUP(C141,'[19]2020'!$D$2:$I$227,6,FALSE),0)*-1)</f>
        <v>0</v>
      </c>
      <c r="K141" s="25">
        <f t="shared" si="13"/>
        <v>1030912.79</v>
      </c>
      <c r="L141" s="25"/>
      <c r="M141" s="27">
        <v>1</v>
      </c>
      <c r="N141" s="25">
        <f t="shared" si="9"/>
        <v>1030912.79</v>
      </c>
      <c r="O141" s="25">
        <v>176611.83</v>
      </c>
      <c r="P141" s="28">
        <v>0</v>
      </c>
      <c r="Q141" s="28">
        <v>800000</v>
      </c>
      <c r="R141" s="29">
        <f t="shared" si="10"/>
        <v>1071633.8452050001</v>
      </c>
      <c r="S141" s="29" t="s">
        <v>838</v>
      </c>
    </row>
    <row r="142" spans="2:20" hidden="1" outlineLevel="1" x14ac:dyDescent="0.25">
      <c r="B142" s="4" t="s">
        <v>975</v>
      </c>
      <c r="C142" s="24" t="s">
        <v>985</v>
      </c>
      <c r="D142" s="25">
        <f>IFERROR(VLOOKUP(C142,'[19]2020'!$B$3:$C$227,2,FALSE),0)</f>
        <v>170573.82</v>
      </c>
      <c r="E142" s="25">
        <v>186300</v>
      </c>
      <c r="F142" s="26">
        <v>-186300</v>
      </c>
      <c r="G142" s="25">
        <f>IFERROR(VLOOKUP(C142,'[18]ENE-OCT 2021'!$B$3:$D$225,3,FALSE),0)</f>
        <v>0</v>
      </c>
      <c r="H142" s="25"/>
      <c r="I142" s="25">
        <f>(IFERROR(VLOOKUP(C142,'[19]2020'!$D$2:$G$227,4,FALSE),0)*-1)</f>
        <v>0</v>
      </c>
      <c r="J142" s="25">
        <f>(IFERROR(VLOOKUP(C142,'[19]2020'!$D$2:$I$227,6,FALSE),0)*-1)</f>
        <v>11193</v>
      </c>
      <c r="K142" s="25">
        <f t="shared" si="13"/>
        <v>11193</v>
      </c>
      <c r="L142" s="25"/>
      <c r="M142" s="27">
        <v>1</v>
      </c>
      <c r="N142" s="25">
        <f t="shared" si="9"/>
        <v>11193</v>
      </c>
      <c r="O142" s="25">
        <v>-186300</v>
      </c>
      <c r="P142" s="28">
        <v>0</v>
      </c>
      <c r="Q142" s="28">
        <v>100000</v>
      </c>
      <c r="R142" s="29">
        <f t="shared" si="10"/>
        <v>11635.123500000002</v>
      </c>
      <c r="S142" s="29" t="s">
        <v>838</v>
      </c>
    </row>
    <row r="143" spans="2:20" hidden="1" outlineLevel="1" x14ac:dyDescent="0.25">
      <c r="B143" s="4" t="s">
        <v>975</v>
      </c>
      <c r="C143" s="24" t="s">
        <v>986</v>
      </c>
      <c r="D143" s="25">
        <f>IFERROR(VLOOKUP(C143,'[19]2020'!$B$3:$C$227,2,FALSE),0)</f>
        <v>22809843.75</v>
      </c>
      <c r="E143" s="25">
        <v>27483308.370000001</v>
      </c>
      <c r="F143" s="26">
        <v>-27983308.370000001</v>
      </c>
      <c r="G143" s="25">
        <f>IFERROR(VLOOKUP(C143,'[18]ENE-OCT 2021'!$B$3:$D$225,3,FALSE),0)</f>
        <v>22819768.390000001</v>
      </c>
      <c r="H143" s="25"/>
      <c r="I143" s="25">
        <f>(IFERROR(VLOOKUP(C143,'[19]2020'!$D$2:$G$227,4,FALSE),0)*-1)</f>
        <v>1842940.8</v>
      </c>
      <c r="J143" s="25">
        <f>(IFERROR(VLOOKUP(C143,'[19]2020'!$D$2:$I$227,6,FALSE),0)*-1)</f>
        <v>2621732.38</v>
      </c>
      <c r="K143" s="25">
        <f t="shared" si="13"/>
        <v>27284441.57</v>
      </c>
      <c r="L143" s="25"/>
      <c r="M143" s="27"/>
      <c r="N143" s="25">
        <f t="shared" si="9"/>
        <v>27284441.57</v>
      </c>
      <c r="O143" s="25">
        <v>-9497935.4800000004</v>
      </c>
      <c r="P143" s="28">
        <v>28532173</v>
      </c>
      <c r="Q143" s="28">
        <v>28532173</v>
      </c>
      <c r="R143" s="28">
        <v>29532173</v>
      </c>
      <c r="S143" s="29" t="s">
        <v>838</v>
      </c>
      <c r="T143" s="23">
        <f>G143+G144</f>
        <v>27021196.350000001</v>
      </c>
    </row>
    <row r="144" spans="2:20" hidden="1" outlineLevel="1" x14ac:dyDescent="0.25">
      <c r="B144" s="4" t="s">
        <v>975</v>
      </c>
      <c r="C144" s="24" t="s">
        <v>987</v>
      </c>
      <c r="D144" s="25">
        <f>IFERROR(VLOOKUP(C144,'[19]2020'!$B$3:$C$227,2,FALSE),0)</f>
        <v>1109889.5900000001</v>
      </c>
      <c r="E144" s="25">
        <v>2872936.05</v>
      </c>
      <c r="F144" s="26">
        <v>-2072936.05</v>
      </c>
      <c r="G144" s="25">
        <f>IFERROR(VLOOKUP(C144,'[18]ENE-OCT 2021'!$B$3:$D$225,3,FALSE),0)</f>
        <v>4201427.96</v>
      </c>
      <c r="H144" s="25"/>
      <c r="I144" s="25">
        <f>(IFERROR(VLOOKUP(C144,'[19]2020'!$D$2:$G$227,4,FALSE),0)*-1)</f>
        <v>115060.86</v>
      </c>
      <c r="J144" s="25">
        <f>(IFERROR(VLOOKUP(C144,'[19]2020'!$D$2:$I$227,6,FALSE),0)*-1)</f>
        <v>150152.13</v>
      </c>
      <c r="K144" s="25">
        <f t="shared" si="13"/>
        <v>4466640.95</v>
      </c>
      <c r="L144" s="25"/>
      <c r="M144" s="27">
        <v>1</v>
      </c>
      <c r="N144" s="25">
        <f t="shared" si="9"/>
        <v>4466640.95</v>
      </c>
      <c r="O144" s="25">
        <v>599877.55000000005</v>
      </c>
      <c r="P144" s="28">
        <v>2000000</v>
      </c>
      <c r="Q144" s="28">
        <v>3000000</v>
      </c>
      <c r="R144" s="29">
        <f t="shared" si="10"/>
        <v>4643073.2675250005</v>
      </c>
      <c r="S144" s="29" t="s">
        <v>838</v>
      </c>
    </row>
    <row r="145" spans="2:22" hidden="1" outlineLevel="1" x14ac:dyDescent="0.25">
      <c r="B145" s="4" t="s">
        <v>975</v>
      </c>
      <c r="C145" s="24" t="s">
        <v>988</v>
      </c>
      <c r="D145" s="25">
        <f>IFERROR(VLOOKUP(C145,'[19]2020'!$B$3:$C$227,2,FALSE),0)</f>
        <v>856466.72</v>
      </c>
      <c r="E145" s="25">
        <v>2149540.2599999998</v>
      </c>
      <c r="F145" s="26">
        <v>-1849540.26</v>
      </c>
      <c r="G145" s="25">
        <f>IFERROR(VLOOKUP(C145,'[18]ENE-OCT 2021'!$B$3:$D$225,3,FALSE),0)</f>
        <v>925549.25</v>
      </c>
      <c r="H145" s="25"/>
      <c r="I145" s="25">
        <f>(IFERROR(VLOOKUP(C145,'[19]2020'!$D$2:$G$227,4,FALSE),0)*-1)</f>
        <v>62727.360000000001</v>
      </c>
      <c r="J145" s="25">
        <f>(IFERROR(VLOOKUP(C145,'[19]2020'!$D$2:$I$227,6,FALSE),0)*-1)</f>
        <v>84621.119999999995</v>
      </c>
      <c r="K145" s="25">
        <f t="shared" si="13"/>
        <v>1072897.73</v>
      </c>
      <c r="L145" s="25"/>
      <c r="M145" s="27">
        <v>1</v>
      </c>
      <c r="N145" s="25">
        <f t="shared" si="9"/>
        <v>1072897.73</v>
      </c>
      <c r="O145" s="25">
        <v>-1107087.6599999999</v>
      </c>
      <c r="P145" s="28">
        <v>1153771</v>
      </c>
      <c r="Q145" s="28">
        <v>1153771</v>
      </c>
      <c r="R145" s="29">
        <f t="shared" si="10"/>
        <v>1115277.1903350002</v>
      </c>
      <c r="S145" s="29" t="s">
        <v>838</v>
      </c>
    </row>
    <row r="146" spans="2:22" hidden="1" outlineLevel="1" x14ac:dyDescent="0.25">
      <c r="B146" s="4" t="s">
        <v>975</v>
      </c>
      <c r="C146" s="24" t="s">
        <v>989</v>
      </c>
      <c r="D146" s="25">
        <f>IFERROR(VLOOKUP(C146,'[19]2020'!$B$3:$C$227,2,FALSE),0)</f>
        <v>140076.75</v>
      </c>
      <c r="E146" s="25">
        <v>140000</v>
      </c>
      <c r="F146" s="26">
        <v>-222075.72</v>
      </c>
      <c r="G146" s="25">
        <f>IFERROR(VLOOKUP(C146,'[18]ENE-OCT 2021'!$B$3:$D$225,3,FALSE),0)</f>
        <v>291949.40000000002</v>
      </c>
      <c r="H146" s="25"/>
      <c r="I146" s="25">
        <f>(IFERROR(VLOOKUP(C146,'[19]2020'!$D$2:$G$227,4,FALSE),0)*-1)</f>
        <v>4734.6400000000003</v>
      </c>
      <c r="J146" s="25">
        <f>(IFERROR(VLOOKUP(C146,'[19]2020'!$D$2:$I$227,6,FALSE),0)*-1)</f>
        <v>4617.92</v>
      </c>
      <c r="K146" s="25">
        <f t="shared" si="13"/>
        <v>301301.96000000002</v>
      </c>
      <c r="L146" s="25"/>
      <c r="M146" s="27">
        <v>1</v>
      </c>
      <c r="N146" s="25">
        <f t="shared" si="9"/>
        <v>301301.96000000002</v>
      </c>
      <c r="O146" s="25">
        <v>19831.169999999998</v>
      </c>
      <c r="P146" s="28">
        <v>165000</v>
      </c>
      <c r="Q146" s="28">
        <v>280000</v>
      </c>
      <c r="R146" s="29">
        <f t="shared" si="10"/>
        <v>313203.38742000004</v>
      </c>
      <c r="S146" s="29" t="s">
        <v>838</v>
      </c>
    </row>
    <row r="147" spans="2:22" hidden="1" outlineLevel="1" x14ac:dyDescent="0.25">
      <c r="B147" s="4" t="s">
        <v>975</v>
      </c>
      <c r="C147" s="24" t="s">
        <v>990</v>
      </c>
      <c r="D147" s="25">
        <f>IFERROR(VLOOKUP(C147,'[19]2020'!$B$3:$C$227,2,FALSE),0)</f>
        <v>648796.35</v>
      </c>
      <c r="E147" s="25">
        <v>600000</v>
      </c>
      <c r="F147" s="26">
        <v>-1000000</v>
      </c>
      <c r="G147" s="25">
        <f>IFERROR(VLOOKUP(C147,'[18]ENE-OCT 2021'!$B$3:$D$225,3,FALSE),0)</f>
        <v>811884.07</v>
      </c>
      <c r="H147" s="25"/>
      <c r="I147" s="25">
        <f>(IFERROR(VLOOKUP(C147,'[19]2020'!$D$2:$G$227,4,FALSE),0)*-1)</f>
        <v>52357.5</v>
      </c>
      <c r="J147" s="25">
        <f>(IFERROR(VLOOKUP(C147,'[19]2020'!$D$2:$I$227,6,FALSE),0)*-1)</f>
        <v>43612.01</v>
      </c>
      <c r="K147" s="25">
        <f t="shared" si="13"/>
        <v>907853.58</v>
      </c>
      <c r="L147" s="25"/>
      <c r="M147" s="27">
        <v>1</v>
      </c>
      <c r="N147" s="25">
        <f t="shared" si="9"/>
        <v>907853.58</v>
      </c>
      <c r="O147" s="25">
        <v>-341938.83</v>
      </c>
      <c r="P147" s="28">
        <v>966876</v>
      </c>
      <c r="Q147" s="28">
        <v>1000000</v>
      </c>
      <c r="R147" s="29">
        <f t="shared" si="10"/>
        <v>943713.79641000007</v>
      </c>
      <c r="S147" s="29" t="s">
        <v>838</v>
      </c>
    </row>
    <row r="148" spans="2:22" hidden="1" outlineLevel="1" x14ac:dyDescent="0.25">
      <c r="B148" s="4" t="s">
        <v>975</v>
      </c>
      <c r="C148" s="24" t="s">
        <v>991</v>
      </c>
      <c r="D148" s="25">
        <f>IFERROR(VLOOKUP(C148,'[19]2020'!$B$3:$C$227,2,FALSE),0)</f>
        <v>511905.24</v>
      </c>
      <c r="E148" s="25">
        <v>504275.29</v>
      </c>
      <c r="F148" s="26">
        <v>-1300000</v>
      </c>
      <c r="G148" s="25">
        <f>IFERROR(VLOOKUP(C148,'[18]ENE-OCT 2021'!$B$3:$D$225,3,FALSE),0)</f>
        <v>1176486.26</v>
      </c>
      <c r="H148" s="25"/>
      <c r="I148" s="25">
        <f>(IFERROR(VLOOKUP(C148,'[19]2020'!$D$2:$G$227,4,FALSE),0)*-1)</f>
        <v>37632.25</v>
      </c>
      <c r="J148" s="25">
        <f>(IFERROR(VLOOKUP(C148,'[19]2020'!$D$2:$I$227,6,FALSE),0)*-1)</f>
        <v>22008.57</v>
      </c>
      <c r="K148" s="25">
        <f t="shared" si="13"/>
        <v>1236127.08</v>
      </c>
      <c r="L148" s="25"/>
      <c r="M148" s="27">
        <v>1</v>
      </c>
      <c r="N148" s="25">
        <f t="shared" si="9"/>
        <v>1236127.08</v>
      </c>
      <c r="O148" s="25">
        <v>-246770.09</v>
      </c>
      <c r="P148" s="28">
        <v>1365000</v>
      </c>
      <c r="Q148" s="28">
        <v>1365000</v>
      </c>
      <c r="R148" s="29">
        <f t="shared" si="10"/>
        <v>1284954.0996600003</v>
      </c>
      <c r="S148" s="29" t="s">
        <v>838</v>
      </c>
    </row>
    <row r="149" spans="2:22" hidden="1" outlineLevel="1" x14ac:dyDescent="0.25">
      <c r="B149" s="4" t="s">
        <v>975</v>
      </c>
      <c r="C149" s="24" t="s">
        <v>992</v>
      </c>
      <c r="D149" s="25">
        <f>IFERROR(VLOOKUP(C149,'[19]2020'!$B$3:$C$227,2,FALSE),0)</f>
        <v>1805326.4</v>
      </c>
      <c r="E149" s="25">
        <v>2292292.2200000002</v>
      </c>
      <c r="F149" s="26">
        <v>-1805326.4</v>
      </c>
      <c r="G149" s="25">
        <f>IFERROR(VLOOKUP(C149,'[18]ENE-OCT 2021'!$B$3:$D$225,3,FALSE),0)</f>
        <v>1338503.05</v>
      </c>
      <c r="H149" s="25"/>
      <c r="I149" s="25">
        <f>(IFERROR(VLOOKUP(C149,'[19]2020'!$D$2:$G$227,4,FALSE),0)*-1)</f>
        <v>125789.94</v>
      </c>
      <c r="J149" s="25">
        <f>(IFERROR(VLOOKUP(C149,'[19]2020'!$D$2:$I$227,6,FALSE),0)*-1)</f>
        <v>166772.43</v>
      </c>
      <c r="K149" s="25">
        <f t="shared" si="13"/>
        <v>1631065.42</v>
      </c>
      <c r="L149" s="25"/>
      <c r="M149" s="27">
        <v>1</v>
      </c>
      <c r="N149" s="25">
        <f t="shared" si="9"/>
        <v>1631065.42</v>
      </c>
      <c r="O149" s="25">
        <v>-709611.46</v>
      </c>
      <c r="P149" s="28">
        <v>2176789</v>
      </c>
      <c r="Q149" s="28">
        <v>2176789</v>
      </c>
      <c r="R149" s="29">
        <f t="shared" si="10"/>
        <v>1695492.5040900002</v>
      </c>
      <c r="S149" s="29" t="s">
        <v>838</v>
      </c>
    </row>
    <row r="150" spans="2:22" hidden="1" outlineLevel="1" x14ac:dyDescent="0.25">
      <c r="B150" s="4" t="s">
        <v>975</v>
      </c>
      <c r="C150" s="24" t="s">
        <v>993</v>
      </c>
      <c r="D150" s="25">
        <f>IFERROR(VLOOKUP(C150,'[19]2020'!$B$3:$C$227,2,FALSE),0)</f>
        <v>401451.85</v>
      </c>
      <c r="E150" s="25">
        <v>800897.2</v>
      </c>
      <c r="F150" s="26">
        <v>-800897.2</v>
      </c>
      <c r="G150" s="25">
        <f>IFERROR(VLOOKUP(C150,'[18]ENE-OCT 2021'!$B$3:$D$225,3,FALSE),0)</f>
        <v>565749.21</v>
      </c>
      <c r="H150" s="25"/>
      <c r="I150" s="25">
        <f>(IFERROR(VLOOKUP(C150,'[19]2020'!$D$2:$G$227,4,FALSE),0)*-1)</f>
        <v>27877.82</v>
      </c>
      <c r="J150" s="25">
        <f>(IFERROR(VLOOKUP(C150,'[19]2020'!$D$2:$I$227,6,FALSE),0)*-1)</f>
        <v>23513.200000000001</v>
      </c>
      <c r="K150" s="25">
        <f t="shared" si="13"/>
        <v>617140.22999999986</v>
      </c>
      <c r="L150" s="25"/>
      <c r="M150" s="27">
        <v>1</v>
      </c>
      <c r="N150" s="25">
        <f t="shared" si="9"/>
        <v>617140.22999999986</v>
      </c>
      <c r="O150" s="25">
        <v>-318201.53999999998</v>
      </c>
      <c r="P150" s="28">
        <v>500000</v>
      </c>
      <c r="Q150" s="28">
        <v>700000</v>
      </c>
      <c r="R150" s="29">
        <f t="shared" si="10"/>
        <v>641517.26908499992</v>
      </c>
      <c r="S150" s="29" t="s">
        <v>838</v>
      </c>
    </row>
    <row r="151" spans="2:22" hidden="1" outlineLevel="1" x14ac:dyDescent="0.25">
      <c r="B151" s="4" t="s">
        <v>975</v>
      </c>
      <c r="C151" s="24" t="s">
        <v>994</v>
      </c>
      <c r="D151" s="25">
        <f>IFERROR(VLOOKUP(C151,'[19]2020'!$B$3:$C$227,2,FALSE),0)</f>
        <v>395502.7</v>
      </c>
      <c r="E151" s="25">
        <v>473771.05</v>
      </c>
      <c r="F151" s="26">
        <v>-1473771.05</v>
      </c>
      <c r="G151" s="25">
        <f>IFERROR(VLOOKUP(C151,'[18]ENE-OCT 2021'!$B$3:$D$225,3,FALSE),0)</f>
        <v>1059002.44</v>
      </c>
      <c r="H151" s="25"/>
      <c r="I151" s="25">
        <f>(IFERROR(VLOOKUP(C151,'[19]2020'!$D$2:$G$227,4,FALSE),0)*-1)</f>
        <v>35259.160000000003</v>
      </c>
      <c r="J151" s="25">
        <f>(IFERROR(VLOOKUP(C151,'[19]2020'!$D$2:$I$227,6,FALSE),0)*-1)</f>
        <v>25876.18</v>
      </c>
      <c r="K151" s="25">
        <f t="shared" si="13"/>
        <v>1120137.7799999998</v>
      </c>
      <c r="L151" s="25"/>
      <c r="M151" s="27">
        <v>1</v>
      </c>
      <c r="N151" s="25">
        <f t="shared" si="9"/>
        <v>1120137.7799999998</v>
      </c>
      <c r="O151" s="25">
        <v>-501436.54</v>
      </c>
      <c r="P151" s="28">
        <v>1544554</v>
      </c>
      <c r="Q151" s="28">
        <v>1300000</v>
      </c>
      <c r="R151" s="29">
        <f t="shared" si="10"/>
        <v>1164383.2223099999</v>
      </c>
      <c r="S151" s="29" t="s">
        <v>838</v>
      </c>
    </row>
    <row r="152" spans="2:22" hidden="1" outlineLevel="1" x14ac:dyDescent="0.25">
      <c r="B152" s="4" t="s">
        <v>975</v>
      </c>
      <c r="C152" s="24" t="s">
        <v>995</v>
      </c>
      <c r="D152" s="25">
        <f>IFERROR(VLOOKUP(C152,'[19]2020'!$B$3:$C$227,2,FALSE),0)</f>
        <v>738686.31</v>
      </c>
      <c r="E152" s="25">
        <v>1037180.32</v>
      </c>
      <c r="F152" s="26">
        <v>-1037180.32</v>
      </c>
      <c r="G152" s="25">
        <f>IFERROR(VLOOKUP(C152,'[18]ENE-OCT 2021'!$B$3:$D$225,3,FALSE),0)</f>
        <v>491245</v>
      </c>
      <c r="H152" s="25"/>
      <c r="I152" s="25">
        <f>(IFERROR(VLOOKUP(C152,'[19]2020'!$D$2:$G$227,4,FALSE),0)*-1)</f>
        <v>36517.86</v>
      </c>
      <c r="J152" s="25">
        <f>(IFERROR(VLOOKUP(C152,'[19]2020'!$D$2:$I$227,6,FALSE),0)*-1)</f>
        <v>74554.820000000007</v>
      </c>
      <c r="K152" s="25">
        <f t="shared" si="13"/>
        <v>602317.67999999993</v>
      </c>
      <c r="L152" s="25"/>
      <c r="M152" s="27">
        <v>1</v>
      </c>
      <c r="N152" s="25">
        <f t="shared" si="9"/>
        <v>602317.67999999993</v>
      </c>
      <c r="O152" s="25">
        <v>-646557.06999999995</v>
      </c>
      <c r="P152" s="28">
        <v>1073482</v>
      </c>
      <c r="Q152" s="28">
        <v>1073482</v>
      </c>
      <c r="R152" s="29">
        <f t="shared" si="10"/>
        <v>626109.22835999995</v>
      </c>
      <c r="S152" s="29" t="s">
        <v>838</v>
      </c>
    </row>
    <row r="153" spans="2:22" hidden="1" outlineLevel="1" x14ac:dyDescent="0.25">
      <c r="B153" s="4" t="s">
        <v>975</v>
      </c>
      <c r="C153" s="24" t="s">
        <v>996</v>
      </c>
      <c r="D153" s="25">
        <f>IFERROR(VLOOKUP(C153,'[19]2020'!$B$3:$C$227,2,FALSE),0)</f>
        <v>62138.239999999998</v>
      </c>
      <c r="E153" s="25">
        <v>95000</v>
      </c>
      <c r="F153" s="26">
        <v>-300000</v>
      </c>
      <c r="G153" s="25">
        <f>IFERROR(VLOOKUP(C153,'[18]ENE-OCT 2021'!$B$3:$D$225,3,FALSE),0)</f>
        <v>302631.44</v>
      </c>
      <c r="H153" s="25"/>
      <c r="I153" s="25">
        <f>(IFERROR(VLOOKUP(C153,'[19]2020'!$D$2:$G$227,4,FALSE),0)*-1)</f>
        <v>0</v>
      </c>
      <c r="J153" s="25">
        <f>(IFERROR(VLOOKUP(C153,'[19]2020'!$D$2:$I$227,6,FALSE),0)*-1)</f>
        <v>8514.24</v>
      </c>
      <c r="K153" s="25">
        <f t="shared" si="13"/>
        <v>311145.68</v>
      </c>
      <c r="L153" s="25"/>
      <c r="M153" s="27">
        <v>1</v>
      </c>
      <c r="N153" s="25">
        <f t="shared" si="9"/>
        <v>311145.68</v>
      </c>
      <c r="O153" s="25">
        <v>-38054.81</v>
      </c>
      <c r="P153" s="28">
        <v>450000</v>
      </c>
      <c r="Q153" s="28">
        <v>320000</v>
      </c>
      <c r="R153" s="29">
        <f t="shared" si="10"/>
        <v>323435.93436000001</v>
      </c>
      <c r="S153" s="29" t="s">
        <v>838</v>
      </c>
    </row>
    <row r="154" spans="2:22" hidden="1" outlineLevel="1" x14ac:dyDescent="0.25">
      <c r="B154" s="4" t="s">
        <v>975</v>
      </c>
      <c r="C154" s="24" t="s">
        <v>997</v>
      </c>
      <c r="D154" s="25">
        <f>IFERROR(VLOOKUP(C154,'[19]2020'!$B$3:$C$227,2,FALSE),0)</f>
        <v>69570.67</v>
      </c>
      <c r="E154" s="25">
        <v>28273.99</v>
      </c>
      <c r="F154" s="31">
        <v>0</v>
      </c>
      <c r="G154" s="25">
        <f>IFERROR(VLOOKUP(C154,'[18]ENE-OCT 2021'!$B$3:$D$225,3,FALSE),0)</f>
        <v>0</v>
      </c>
      <c r="H154" s="25"/>
      <c r="I154" s="25">
        <v>0</v>
      </c>
      <c r="J154" s="25">
        <v>0</v>
      </c>
      <c r="K154" s="25">
        <f t="shared" si="13"/>
        <v>0</v>
      </c>
      <c r="L154" s="25"/>
      <c r="M154" s="27"/>
      <c r="N154" s="25">
        <f t="shared" si="9"/>
        <v>0</v>
      </c>
      <c r="O154" s="25">
        <v>0</v>
      </c>
      <c r="P154" s="28">
        <v>0</v>
      </c>
      <c r="Q154" s="29">
        <v>0</v>
      </c>
      <c r="R154" s="29">
        <f t="shared" si="10"/>
        <v>0</v>
      </c>
      <c r="S154" s="29" t="s">
        <v>838</v>
      </c>
    </row>
    <row r="155" spans="2:22" hidden="1" outlineLevel="1" x14ac:dyDescent="0.25">
      <c r="B155" s="4" t="s">
        <v>975</v>
      </c>
      <c r="C155" s="24" t="s">
        <v>998</v>
      </c>
      <c r="D155" s="25">
        <f>IFERROR(VLOOKUP(C155,'[19]2020'!$B$3:$C$227,2,FALSE),0)</f>
        <v>0</v>
      </c>
      <c r="E155" s="25">
        <v>23640.2</v>
      </c>
      <c r="F155" s="31">
        <v>0</v>
      </c>
      <c r="G155" s="25">
        <f>IFERROR(VLOOKUP(C155,'[18]ENE-OCT 2021'!$B$3:$D$225,3,FALSE),0)</f>
        <v>0</v>
      </c>
      <c r="H155" s="25"/>
      <c r="I155" s="25">
        <f>(IFERROR(VLOOKUP(C155,'[19]2020'!$D$2:$G$227,4,FALSE),0)*-1)</f>
        <v>0</v>
      </c>
      <c r="J155" s="25">
        <f>(IFERROR(VLOOKUP(C155,'[19]2020'!$D$2:$I$227,6,FALSE),0)*-1)</f>
        <v>0</v>
      </c>
      <c r="K155" s="25">
        <f t="shared" si="13"/>
        <v>0</v>
      </c>
      <c r="L155" s="25"/>
      <c r="M155" s="27"/>
      <c r="N155" s="25">
        <f t="shared" si="9"/>
        <v>0</v>
      </c>
      <c r="O155" s="25">
        <v>0</v>
      </c>
      <c r="P155" s="28">
        <v>0</v>
      </c>
      <c r="Q155" s="29">
        <v>0</v>
      </c>
      <c r="R155" s="29">
        <f t="shared" si="10"/>
        <v>0</v>
      </c>
      <c r="S155" s="29" t="s">
        <v>838</v>
      </c>
    </row>
    <row r="156" spans="2:22" hidden="1" outlineLevel="1" x14ac:dyDescent="0.25">
      <c r="B156" s="4" t="s">
        <v>975</v>
      </c>
      <c r="C156" s="24" t="s">
        <v>999</v>
      </c>
      <c r="D156" s="25">
        <f>IFERROR(VLOOKUP(C156,'[19]2020'!$B$3:$C$227,2,FALSE),0)</f>
        <v>0</v>
      </c>
      <c r="E156" s="25">
        <v>40000</v>
      </c>
      <c r="F156" s="26">
        <v>-40000</v>
      </c>
      <c r="G156" s="25">
        <f>IFERROR(VLOOKUP(C156,'[18]ENE-OCT 2021'!$B$3:$D$225,3,FALSE),0)</f>
        <v>0</v>
      </c>
      <c r="H156" s="25"/>
      <c r="I156" s="25">
        <f>(IFERROR(VLOOKUP(C156,'[19]2020'!$D$2:$G$227,4,FALSE),0)*-1)</f>
        <v>0</v>
      </c>
      <c r="J156" s="25">
        <f>(IFERROR(VLOOKUP(C156,'[19]2020'!$D$2:$I$227,6,FALSE),0)*-1)</f>
        <v>0</v>
      </c>
      <c r="K156" s="25">
        <f t="shared" si="13"/>
        <v>0</v>
      </c>
      <c r="L156" s="25"/>
      <c r="M156" s="27"/>
      <c r="N156" s="25">
        <f t="shared" si="9"/>
        <v>0</v>
      </c>
      <c r="O156" s="25">
        <v>-40000</v>
      </c>
      <c r="P156" s="28">
        <v>0</v>
      </c>
      <c r="Q156" s="28">
        <v>10000</v>
      </c>
      <c r="R156" s="29">
        <v>10000</v>
      </c>
      <c r="S156" s="29" t="s">
        <v>838</v>
      </c>
    </row>
    <row r="157" spans="2:22" hidden="1" outlineLevel="1" x14ac:dyDescent="0.25">
      <c r="B157" s="4" t="s">
        <v>975</v>
      </c>
      <c r="C157" s="24" t="s">
        <v>1000</v>
      </c>
      <c r="D157" s="25">
        <f>IFERROR(VLOOKUP(C157,'[19]2020'!$B$3:$C$227,2,FALSE),0)</f>
        <v>2522901.7599999998</v>
      </c>
      <c r="E157" s="25">
        <v>3029851.6</v>
      </c>
      <c r="F157" s="26">
        <v>-1070323.08</v>
      </c>
      <c r="G157" s="25">
        <f>IFERROR(VLOOKUP(C157,'[18]ENE-OCT 2021'!$B$3:$D$225,3,FALSE),0)</f>
        <v>1391516.19</v>
      </c>
      <c r="H157" s="25"/>
      <c r="I157" s="25">
        <f>(IFERROR(VLOOKUP(C157,'[19]2020'!$D$2:$G$227,4,FALSE),0)*-1)</f>
        <v>53076.13</v>
      </c>
      <c r="J157" s="25">
        <v>50000</v>
      </c>
      <c r="K157" s="25">
        <f t="shared" si="13"/>
        <v>1494592.3199999998</v>
      </c>
      <c r="L157" s="25"/>
      <c r="M157" s="27"/>
      <c r="N157" s="25">
        <f t="shared" si="9"/>
        <v>1494592.3199999998</v>
      </c>
      <c r="O157" s="25">
        <v>-388990.53</v>
      </c>
      <c r="P157" s="28">
        <v>0</v>
      </c>
      <c r="Q157" s="28">
        <v>1000000</v>
      </c>
      <c r="R157" s="28">
        <v>1000000</v>
      </c>
      <c r="S157" s="29" t="s">
        <v>838</v>
      </c>
    </row>
    <row r="158" spans="2:22" hidden="1" outlineLevel="1" x14ac:dyDescent="0.25">
      <c r="B158" s="4" t="s">
        <v>975</v>
      </c>
      <c r="C158" s="24" t="s">
        <v>1001</v>
      </c>
      <c r="D158" s="25">
        <f>IFERROR(VLOOKUP(C158,'[19]2020'!$B$3:$C$227,2,FALSE),0)</f>
        <v>0</v>
      </c>
      <c r="E158" s="25">
        <v>20000</v>
      </c>
      <c r="F158" s="26">
        <v>-2000</v>
      </c>
      <c r="G158" s="25">
        <f>IFERROR(VLOOKUP(C158,'[18]ENE-OCT 2021'!$B$3:$D$225,3,FALSE),0)</f>
        <v>0</v>
      </c>
      <c r="H158" s="25"/>
      <c r="I158" s="25">
        <f>(IFERROR(VLOOKUP(C158,'[19]2020'!$D$2:$G$227,4,FALSE),0)*-1)</f>
        <v>0</v>
      </c>
      <c r="J158" s="25">
        <f>(IFERROR(VLOOKUP(C158,'[19]2020'!$D$2:$I$227,6,FALSE),0)*-1)</f>
        <v>0</v>
      </c>
      <c r="K158" s="25">
        <f t="shared" si="13"/>
        <v>0</v>
      </c>
      <c r="L158" s="25"/>
      <c r="M158" s="27"/>
      <c r="N158" s="25">
        <f t="shared" si="9"/>
        <v>0</v>
      </c>
      <c r="O158" s="25">
        <v>-2000</v>
      </c>
      <c r="P158" s="28">
        <v>0</v>
      </c>
      <c r="Q158" s="28">
        <v>2000</v>
      </c>
      <c r="R158" s="29">
        <v>2000</v>
      </c>
      <c r="S158" s="29" t="s">
        <v>838</v>
      </c>
    </row>
    <row r="159" spans="2:22" hidden="1" outlineLevel="1" x14ac:dyDescent="0.25">
      <c r="B159" s="4" t="s">
        <v>975</v>
      </c>
      <c r="C159" s="24" t="s">
        <v>1002</v>
      </c>
      <c r="D159" s="25">
        <f>IFERROR(VLOOKUP(C159,'[19]2020'!$B$3:$C$227,2,FALSE),0)</f>
        <v>7411.41</v>
      </c>
      <c r="E159" s="25">
        <v>9677.27</v>
      </c>
      <c r="F159" s="26">
        <v>-9677.27</v>
      </c>
      <c r="G159" s="25">
        <f>IFERROR(VLOOKUP(C159,'[18]ENE-OCT 2021'!$B$3:$D$225,3,FALSE),0)</f>
        <v>3788.5</v>
      </c>
      <c r="H159" s="25"/>
      <c r="I159" s="25">
        <f>(IFERROR(VLOOKUP(C159,'[19]2020'!$D$2:$G$227,4,FALSE),0)*-1)</f>
        <v>0</v>
      </c>
      <c r="J159" s="25">
        <f>(IFERROR(VLOOKUP(C159,'[19]2020'!$D$2:$I$227,6,FALSE),0)*-1)</f>
        <v>768.4</v>
      </c>
      <c r="K159" s="25">
        <f t="shared" si="13"/>
        <v>4556.8999999999996</v>
      </c>
      <c r="L159" s="25"/>
      <c r="M159" s="27"/>
      <c r="N159" s="25">
        <f t="shared" si="9"/>
        <v>4556.8999999999996</v>
      </c>
      <c r="O159" s="25">
        <v>-6669.11</v>
      </c>
      <c r="P159" s="28">
        <v>0</v>
      </c>
      <c r="Q159" s="28">
        <v>7411.41</v>
      </c>
      <c r="R159" s="28">
        <v>7411.41</v>
      </c>
      <c r="S159" s="29" t="s">
        <v>838</v>
      </c>
    </row>
    <row r="160" spans="2:22" hidden="1" outlineLevel="1" x14ac:dyDescent="0.25">
      <c r="B160" s="4" t="s">
        <v>975</v>
      </c>
      <c r="C160" s="24" t="s">
        <v>1003</v>
      </c>
      <c r="D160" s="25">
        <f>IFERROR(VLOOKUP(C160,'[19]2020'!$B$3:$C$227,2,FALSE),0)</f>
        <v>17548408</v>
      </c>
      <c r="E160" s="25">
        <v>18250004</v>
      </c>
      <c r="F160" s="26">
        <v>-21250004</v>
      </c>
      <c r="G160" s="25">
        <f>IFERROR(VLOOKUP(C160,'[18]ENE-OCT 2021'!$B$3:$D$225,3,FALSE),0)</f>
        <v>17776798</v>
      </c>
      <c r="H160" s="25"/>
      <c r="I160" s="25">
        <f>(IFERROR(VLOOKUP(C160,'[19]2020'!$D$2:$G$227,4,FALSE),0)*-1)</f>
        <v>1738012</v>
      </c>
      <c r="J160" s="25">
        <f>(IFERROR(VLOOKUP(C160,'[19]2020'!$D$2:$I$227,6,FALSE),0)*-1)</f>
        <v>2135722</v>
      </c>
      <c r="K160" s="25">
        <f t="shared" si="13"/>
        <v>21650532</v>
      </c>
      <c r="L160" s="25"/>
      <c r="M160" s="27">
        <v>1</v>
      </c>
      <c r="N160" s="25">
        <f t="shared" ref="N160:N223" si="14">K160</f>
        <v>21650532</v>
      </c>
      <c r="O160" s="25">
        <v>-6983050</v>
      </c>
      <c r="P160" s="28">
        <v>23233207</v>
      </c>
      <c r="Q160" s="28">
        <v>21000000</v>
      </c>
      <c r="R160" s="29">
        <v>13128341.34</v>
      </c>
      <c r="S160" s="29" t="s">
        <v>838</v>
      </c>
      <c r="T160" s="23">
        <f>N160/12</f>
        <v>1804211</v>
      </c>
      <c r="U160" s="23">
        <f>T160*7</f>
        <v>12629477</v>
      </c>
      <c r="V160" s="23">
        <f>U160*1.0395</f>
        <v>13128341.341500001</v>
      </c>
    </row>
    <row r="161" spans="2:20" hidden="1" outlineLevel="1" x14ac:dyDescent="0.25">
      <c r="B161" s="4" t="s">
        <v>975</v>
      </c>
      <c r="C161" s="24" t="s">
        <v>1004</v>
      </c>
      <c r="D161" s="25">
        <f>IFERROR(VLOOKUP(C161,'[19]2020'!$B$3:$C$227,2,FALSE),0)</f>
        <v>2962197.83</v>
      </c>
      <c r="E161" s="25">
        <v>1968128.22</v>
      </c>
      <c r="F161" s="26">
        <v>-724128.22</v>
      </c>
      <c r="G161" s="25">
        <f>IFERROR(VLOOKUP(C161,'[18]ENE-OCT 2021'!$B$3:$D$225,3,FALSE),0)</f>
        <v>310230</v>
      </c>
      <c r="H161" s="25"/>
      <c r="I161" s="25">
        <f>(IFERROR(VLOOKUP(C161,'[19]2020'!$D$2:$G$227,4,FALSE),0)*-1)</f>
        <v>0</v>
      </c>
      <c r="J161" s="25">
        <f>(IFERROR(VLOOKUP(C161,'[19]2020'!$D$2:$I$227,6,FALSE),0)*-1)</f>
        <v>0</v>
      </c>
      <c r="K161" s="25">
        <f t="shared" si="13"/>
        <v>310230</v>
      </c>
      <c r="L161" s="25"/>
      <c r="M161" s="27"/>
      <c r="N161" s="25">
        <f t="shared" si="14"/>
        <v>310230</v>
      </c>
      <c r="O161" s="25">
        <v>-413898.22</v>
      </c>
      <c r="P161" s="28">
        <v>0</v>
      </c>
      <c r="Q161" s="28">
        <v>1000000</v>
      </c>
      <c r="R161" s="29">
        <v>500000</v>
      </c>
      <c r="S161" s="29" t="s">
        <v>838</v>
      </c>
      <c r="T161" s="23"/>
    </row>
    <row r="162" spans="2:20" hidden="1" outlineLevel="1" x14ac:dyDescent="0.25">
      <c r="B162" s="4" t="s">
        <v>975</v>
      </c>
      <c r="C162" s="24" t="s">
        <v>1005</v>
      </c>
      <c r="D162" s="25">
        <f>IFERROR(VLOOKUP(C162,'[19]2020'!$B$3:$C$227,2,FALSE),0)</f>
        <v>2831140</v>
      </c>
      <c r="E162" s="25">
        <v>4439172</v>
      </c>
      <c r="F162" s="26">
        <v>-4939172</v>
      </c>
      <c r="G162" s="25">
        <f>IFERROR(VLOOKUP(C162,'[18]ENE-OCT 2021'!$B$3:$D$225,3,FALSE),0)</f>
        <v>4345380</v>
      </c>
      <c r="H162" s="25"/>
      <c r="I162" s="25">
        <f>(IFERROR(VLOOKUP(C162,'[19]2020'!$D$2:$G$227,4,FALSE),0)*-1)</f>
        <v>402480</v>
      </c>
      <c r="J162" s="25">
        <f>(IFERROR(VLOOKUP(C162,'[19]2020'!$D$2:$I$227,6,FALSE),0)*-1)</f>
        <v>291200</v>
      </c>
      <c r="K162" s="25">
        <f t="shared" si="13"/>
        <v>5039060</v>
      </c>
      <c r="L162" s="25"/>
      <c r="M162" s="27">
        <v>1</v>
      </c>
      <c r="N162" s="25">
        <f t="shared" si="14"/>
        <v>5039060</v>
      </c>
      <c r="O162" s="25">
        <v>-1503012</v>
      </c>
      <c r="P162" s="28">
        <v>4368000</v>
      </c>
      <c r="Q162" s="28">
        <v>4368000</v>
      </c>
      <c r="R162" s="29">
        <f t="shared" ref="R162:R170" si="15">IF(M162=1,(N162*1.0395),N162)</f>
        <v>5238102.87</v>
      </c>
      <c r="S162" s="29" t="s">
        <v>838</v>
      </c>
    </row>
    <row r="163" spans="2:20" hidden="1" outlineLevel="1" x14ac:dyDescent="0.25">
      <c r="B163" s="4" t="s">
        <v>975</v>
      </c>
      <c r="C163" s="24" t="s">
        <v>1006</v>
      </c>
      <c r="D163" s="25">
        <f>IFERROR(VLOOKUP(C163,'[19]2020'!$B$3:$C$227,2,FALSE),0)</f>
        <v>642578</v>
      </c>
      <c r="E163" s="25">
        <v>1034372</v>
      </c>
      <c r="F163" s="26">
        <v>-1034372</v>
      </c>
      <c r="G163" s="25">
        <f>IFERROR(VLOOKUP(C163,'[18]ENE-OCT 2021'!$B$3:$D$225,3,FALSE),0)</f>
        <v>1002840</v>
      </c>
      <c r="H163" s="25"/>
      <c r="I163" s="25">
        <f>(IFERROR(VLOOKUP(C163,'[19]2020'!$D$2:$G$227,4,FALSE),0)*-1)</f>
        <v>92880</v>
      </c>
      <c r="J163" s="25">
        <f>(IFERROR(VLOOKUP(C163,'[19]2020'!$D$2:$I$227,6,FALSE),0)*-1)</f>
        <v>67200</v>
      </c>
      <c r="K163" s="25">
        <f t="shared" si="13"/>
        <v>1162920</v>
      </c>
      <c r="L163" s="25"/>
      <c r="M163" s="27">
        <v>1</v>
      </c>
      <c r="N163" s="25">
        <f t="shared" si="14"/>
        <v>1162920</v>
      </c>
      <c r="O163" s="25">
        <v>-241352</v>
      </c>
      <c r="P163" s="28">
        <v>1152000</v>
      </c>
      <c r="Q163" s="28">
        <v>1152000</v>
      </c>
      <c r="R163" s="29">
        <f t="shared" si="15"/>
        <v>1208855.3400000001</v>
      </c>
      <c r="S163" s="29" t="s">
        <v>838</v>
      </c>
    </row>
    <row r="164" spans="2:20" hidden="1" outlineLevel="1" x14ac:dyDescent="0.25">
      <c r="B164" s="4" t="s">
        <v>975</v>
      </c>
      <c r="C164" s="24" t="s">
        <v>1007</v>
      </c>
      <c r="D164" s="25">
        <f>IFERROR(VLOOKUP(C164,'[19]2020'!$B$3:$C$227,2,FALSE),0)</f>
        <v>172390</v>
      </c>
      <c r="E164" s="25">
        <v>280640.78000000003</v>
      </c>
      <c r="F164" s="26">
        <v>-280640.78000000003</v>
      </c>
      <c r="G164" s="25">
        <f>IFERROR(VLOOKUP(C164,'[18]ENE-OCT 2021'!$B$3:$D$225,3,FALSE),0)</f>
        <v>259410</v>
      </c>
      <c r="H164" s="25"/>
      <c r="I164" s="25">
        <f>(IFERROR(VLOOKUP(C164,'[19]2020'!$D$2:$G$227,4,FALSE),0)*-1)</f>
        <v>23596</v>
      </c>
      <c r="J164" s="25">
        <f>(IFERROR(VLOOKUP(C164,'[19]2020'!$D$2:$I$227,6,FALSE),0)*-1)</f>
        <v>17510</v>
      </c>
      <c r="K164" s="25">
        <f t="shared" si="13"/>
        <v>300516</v>
      </c>
      <c r="L164" s="25"/>
      <c r="M164" s="27">
        <v>1</v>
      </c>
      <c r="N164" s="25">
        <f t="shared" si="14"/>
        <v>300516</v>
      </c>
      <c r="O164" s="25">
        <v>-77346.78</v>
      </c>
      <c r="P164" s="28">
        <v>374400</v>
      </c>
      <c r="Q164" s="28">
        <v>374400</v>
      </c>
      <c r="R164" s="29">
        <f t="shared" si="15"/>
        <v>312386.38200000004</v>
      </c>
      <c r="S164" s="29" t="s">
        <v>838</v>
      </c>
    </row>
    <row r="165" spans="2:20" hidden="1" outlineLevel="1" x14ac:dyDescent="0.25">
      <c r="B165" s="4" t="s">
        <v>975</v>
      </c>
      <c r="C165" s="24" t="s">
        <v>1008</v>
      </c>
      <c r="D165" s="25">
        <f>IFERROR(VLOOKUP(C165,'[19]2020'!$B$3:$C$227,2,FALSE),0)</f>
        <v>5980</v>
      </c>
      <c r="E165" s="25">
        <v>19671</v>
      </c>
      <c r="F165" s="26">
        <v>-19671</v>
      </c>
      <c r="G165" s="25">
        <f>IFERROR(VLOOKUP(C165,'[18]ENE-OCT 2021'!$B$3:$D$225,3,FALSE),0)</f>
        <v>11180</v>
      </c>
      <c r="H165" s="25"/>
      <c r="I165" s="25">
        <f>(IFERROR(VLOOKUP(C165,'[19]2020'!$D$2:$G$227,4,FALSE),0)*-1)</f>
        <v>520</v>
      </c>
      <c r="J165" s="25">
        <f>(IFERROR(VLOOKUP(C165,'[19]2020'!$D$2:$I$227,6,FALSE),0)*-1)</f>
        <v>2860</v>
      </c>
      <c r="K165" s="25">
        <f t="shared" si="13"/>
        <v>14560</v>
      </c>
      <c r="L165" s="25"/>
      <c r="M165" s="27">
        <v>1</v>
      </c>
      <c r="N165" s="25">
        <f t="shared" si="14"/>
        <v>14560</v>
      </c>
      <c r="O165" s="25">
        <v>-10571</v>
      </c>
      <c r="P165" s="28">
        <v>9100</v>
      </c>
      <c r="Q165" s="28">
        <v>9100</v>
      </c>
      <c r="R165" s="29">
        <f t="shared" si="15"/>
        <v>15135.12</v>
      </c>
      <c r="S165" s="29" t="s">
        <v>838</v>
      </c>
    </row>
    <row r="166" spans="2:20" hidden="1" outlineLevel="1" x14ac:dyDescent="0.25">
      <c r="B166" s="4" t="s">
        <v>975</v>
      </c>
      <c r="C166" s="24" t="s">
        <v>1009</v>
      </c>
      <c r="D166" s="25">
        <f>IFERROR(VLOOKUP(C166,'[19]2020'!$B$3:$C$227,2,FALSE),0)</f>
        <v>0</v>
      </c>
      <c r="E166" s="25">
        <v>0</v>
      </c>
      <c r="F166" s="26">
        <v>-20000</v>
      </c>
      <c r="G166" s="25">
        <f>IFERROR(VLOOKUP(C166,'[18]ENE-OCT 2021'!$B$3:$D$225,3,FALSE),0)</f>
        <v>757.31</v>
      </c>
      <c r="H166" s="25"/>
      <c r="I166" s="25">
        <f>(IFERROR(VLOOKUP(C166,'[19]2020'!$D$2:$G$227,4,FALSE),0)*-1)</f>
        <v>0</v>
      </c>
      <c r="J166" s="25">
        <f>(IFERROR(VLOOKUP(C166,'[19]2020'!$D$2:$I$227,6,FALSE),0)*-1)</f>
        <v>0</v>
      </c>
      <c r="K166" s="25">
        <f t="shared" si="13"/>
        <v>757.31</v>
      </c>
      <c r="L166" s="25"/>
      <c r="M166" s="27"/>
      <c r="N166" s="25">
        <f t="shared" si="14"/>
        <v>757.31</v>
      </c>
      <c r="O166" s="25">
        <v>-19242.689999999999</v>
      </c>
      <c r="P166" s="28">
        <v>0</v>
      </c>
      <c r="Q166" s="28">
        <v>10000</v>
      </c>
      <c r="R166" s="28">
        <v>10000</v>
      </c>
      <c r="S166" s="29" t="s">
        <v>838</v>
      </c>
    </row>
    <row r="167" spans="2:20" hidden="1" outlineLevel="1" x14ac:dyDescent="0.25">
      <c r="B167" s="4" t="s">
        <v>975</v>
      </c>
      <c r="C167" s="24" t="s">
        <v>1010</v>
      </c>
      <c r="D167" s="25">
        <f>IFERROR(VLOOKUP(C167,'[19]2020'!$B$3:$C$227,2,FALSE),0)</f>
        <v>549534.94999999995</v>
      </c>
      <c r="E167" s="25">
        <v>504127.87</v>
      </c>
      <c r="F167" s="26">
        <v>-1049534.95</v>
      </c>
      <c r="G167" s="25">
        <f>IFERROR(VLOOKUP(C167,'[18]ENE-OCT 2021'!$B$3:$D$225,3,FALSE),0)</f>
        <v>942996.33</v>
      </c>
      <c r="H167" s="25"/>
      <c r="I167" s="25">
        <f>(IFERROR(VLOOKUP(C167,'[19]2020'!$D$2:$G$227,4,FALSE),0)*-1)</f>
        <v>58539.199999999997</v>
      </c>
      <c r="J167" s="25">
        <f>(IFERROR(VLOOKUP(C167,'[19]2020'!$D$2:$I$227,6,FALSE),0)*-1)</f>
        <v>69821.66</v>
      </c>
      <c r="K167" s="25">
        <f t="shared" si="13"/>
        <v>1071357.19</v>
      </c>
      <c r="L167" s="25"/>
      <c r="M167" s="27"/>
      <c r="N167" s="25">
        <f t="shared" si="14"/>
        <v>1071357.19</v>
      </c>
      <c r="O167" s="25">
        <v>-224971.04</v>
      </c>
      <c r="P167" s="28">
        <v>0</v>
      </c>
      <c r="Q167" s="28">
        <v>1000000</v>
      </c>
      <c r="R167" s="29">
        <f t="shared" si="15"/>
        <v>1071357.19</v>
      </c>
      <c r="S167" s="29" t="s">
        <v>838</v>
      </c>
    </row>
    <row r="168" spans="2:20" hidden="1" outlineLevel="1" x14ac:dyDescent="0.25">
      <c r="B168" s="4" t="s">
        <v>975</v>
      </c>
      <c r="C168" s="24" t="s">
        <v>1011</v>
      </c>
      <c r="D168" s="25">
        <f>IFERROR(VLOOKUP(C168,'[19]2020'!$B$3:$C$227,2,FALSE),0)</f>
        <v>87677.42</v>
      </c>
      <c r="E168" s="25">
        <v>106791.56</v>
      </c>
      <c r="F168" s="26">
        <v>-106791.56</v>
      </c>
      <c r="G168" s="25">
        <f>IFERROR(VLOOKUP(C168,'[18]ENE-OCT 2021'!$B$3:$D$225,3,FALSE),0)</f>
        <v>58306.83</v>
      </c>
      <c r="H168" s="25"/>
      <c r="I168" s="25">
        <f>(IFERROR(VLOOKUP(C168,'[19]2020'!$D$2:$G$227,4,FALSE),0)*-1)</f>
        <v>1300</v>
      </c>
      <c r="J168" s="25">
        <f>(IFERROR(VLOOKUP(C168,'[19]2020'!$D$2:$I$227,6,FALSE),0)*-1)</f>
        <v>11736.53</v>
      </c>
      <c r="K168" s="25">
        <f t="shared" si="13"/>
        <v>71343.360000000001</v>
      </c>
      <c r="L168" s="25"/>
      <c r="M168" s="27">
        <v>1</v>
      </c>
      <c r="N168" s="25">
        <f t="shared" si="14"/>
        <v>71343.360000000001</v>
      </c>
      <c r="O168" s="25">
        <v>-57686.04</v>
      </c>
      <c r="P168" s="28">
        <v>0</v>
      </c>
      <c r="Q168" s="28">
        <v>100000</v>
      </c>
      <c r="R168" s="29">
        <f t="shared" si="15"/>
        <v>74161.422720000002</v>
      </c>
      <c r="S168" s="29" t="s">
        <v>838</v>
      </c>
    </row>
    <row r="169" spans="2:20" hidden="1" outlineLevel="1" x14ac:dyDescent="0.25">
      <c r="B169" s="4" t="s">
        <v>975</v>
      </c>
      <c r="C169" s="24" t="s">
        <v>1012</v>
      </c>
      <c r="D169" s="25">
        <f>IFERROR(VLOOKUP(C169,'[19]2020'!$B$3:$C$227,2,FALSE),0)</f>
        <v>543649.67000000004</v>
      </c>
      <c r="E169" s="25">
        <v>511400.73</v>
      </c>
      <c r="F169" s="26">
        <v>-543649.67000000004</v>
      </c>
      <c r="G169" s="25">
        <f>IFERROR(VLOOKUP(C169,'[18]ENE-OCT 2021'!$B$3:$D$225,3,FALSE),0)</f>
        <v>484942.3</v>
      </c>
      <c r="H169" s="25"/>
      <c r="I169" s="25">
        <f>(IFERROR(VLOOKUP(C169,'[19]2020'!$D$2:$G$227,4,FALSE),0)*-1)</f>
        <v>56127.45</v>
      </c>
      <c r="J169" s="25">
        <f>(IFERROR(VLOOKUP(C169,'[19]2020'!$D$2:$I$227,6,FALSE),0)*-1)</f>
        <v>54734.400000000001</v>
      </c>
      <c r="K169" s="25">
        <f t="shared" si="13"/>
        <v>595804.15</v>
      </c>
      <c r="L169" s="25"/>
      <c r="M169" s="27">
        <v>1</v>
      </c>
      <c r="N169" s="25">
        <f t="shared" si="14"/>
        <v>595804.15</v>
      </c>
      <c r="O169" s="25">
        <v>-152987.60999999999</v>
      </c>
      <c r="P169" s="28">
        <v>0</v>
      </c>
      <c r="Q169" s="28">
        <v>600000</v>
      </c>
      <c r="R169" s="29">
        <f t="shared" si="15"/>
        <v>619338.41392500012</v>
      </c>
      <c r="S169" s="29" t="s">
        <v>838</v>
      </c>
    </row>
    <row r="170" spans="2:20" hidden="1" outlineLevel="1" x14ac:dyDescent="0.25">
      <c r="B170" s="4" t="s">
        <v>975</v>
      </c>
      <c r="C170" s="24" t="s">
        <v>1013</v>
      </c>
      <c r="D170" s="25">
        <f>IFERROR(VLOOKUP(C170,'[19]2020'!$B$3:$C$227,2,FALSE),0)</f>
        <v>9269.36</v>
      </c>
      <c r="E170" s="25">
        <v>5709.06</v>
      </c>
      <c r="F170" s="26">
        <v>-9269.36</v>
      </c>
      <c r="G170" s="25">
        <f>IFERROR(VLOOKUP(C170,'[18]ENE-OCT 2021'!$B$3:$D$225,3,FALSE),0)</f>
        <v>7065.92</v>
      </c>
      <c r="H170" s="25"/>
      <c r="I170" s="25">
        <f>(IFERROR(VLOOKUP(C170,'[19]2020'!$D$2:$G$227,4,FALSE),0)*-1)</f>
        <v>1216.32</v>
      </c>
      <c r="J170" s="25">
        <f>(IFERROR(VLOOKUP(C170,'[19]2020'!$D$2:$I$227,6,FALSE),0)*-1)</f>
        <v>1563.82</v>
      </c>
      <c r="K170" s="25">
        <f t="shared" si="13"/>
        <v>9846.06</v>
      </c>
      <c r="L170" s="25"/>
      <c r="M170" s="27">
        <v>1</v>
      </c>
      <c r="N170" s="25">
        <f t="shared" si="14"/>
        <v>9846.06</v>
      </c>
      <c r="O170" s="25">
        <v>-2561.92</v>
      </c>
      <c r="P170" s="28">
        <v>0</v>
      </c>
      <c r="Q170" s="28">
        <v>10000</v>
      </c>
      <c r="R170" s="29">
        <f t="shared" si="15"/>
        <v>10234.979370000001</v>
      </c>
      <c r="S170" s="29" t="s">
        <v>838</v>
      </c>
    </row>
    <row r="171" spans="2:20" collapsed="1" x14ac:dyDescent="0.25">
      <c r="C171" s="18" t="s">
        <v>1014</v>
      </c>
      <c r="D171" s="33">
        <f>SUM(D172:D249)</f>
        <v>1464050029.5900002</v>
      </c>
      <c r="E171" s="33">
        <f>SUM(E172:E249)</f>
        <v>1182061955.5</v>
      </c>
      <c r="F171" s="20">
        <v>-1343609713.3900001</v>
      </c>
      <c r="G171" s="21">
        <f t="shared" ref="G171:Q171" si="16">SUM(G172:G249)</f>
        <v>1092361619.3699999</v>
      </c>
      <c r="H171" s="21">
        <f t="shared" si="16"/>
        <v>0</v>
      </c>
      <c r="I171" s="21">
        <f t="shared" si="16"/>
        <v>80502912.440000027</v>
      </c>
      <c r="J171" s="21">
        <f t="shared" si="16"/>
        <v>201278974.41999999</v>
      </c>
      <c r="K171" s="21">
        <f t="shared" si="16"/>
        <v>1374143506.2299998</v>
      </c>
      <c r="L171" s="21"/>
      <c r="M171" s="22"/>
      <c r="N171" s="21">
        <f t="shared" si="16"/>
        <v>1374143506.2299998</v>
      </c>
      <c r="O171" s="21">
        <f t="shared" si="16"/>
        <v>-455573921.73000002</v>
      </c>
      <c r="P171" s="21">
        <f t="shared" si="16"/>
        <v>0</v>
      </c>
      <c r="Q171" s="21">
        <f t="shared" si="16"/>
        <v>1113645541.75</v>
      </c>
      <c r="R171" s="21">
        <f>SUM(R172:R249)</f>
        <v>1146866304.0899999</v>
      </c>
      <c r="S171" s="21"/>
    </row>
    <row r="172" spans="2:20" outlineLevel="1" x14ac:dyDescent="0.25">
      <c r="B172" s="4" t="s">
        <v>1015</v>
      </c>
      <c r="C172" s="24" t="s">
        <v>1016</v>
      </c>
      <c r="D172" s="25">
        <f>IFERROR(VLOOKUP(C172,'[19]2020'!$B$3:$C$227,2,FALSE),0)</f>
        <v>492466529.67000002</v>
      </c>
      <c r="E172" s="25">
        <v>470453536.5</v>
      </c>
      <c r="F172" s="26">
        <v>-490188075</v>
      </c>
      <c r="G172" s="25">
        <f>IFERROR(VLOOKUP(C172,'[18]ENE-OCT 2021'!$B$3:$D$225,3,FALSE),0)</f>
        <v>419033454.19999999</v>
      </c>
      <c r="H172" s="25"/>
      <c r="I172" s="25">
        <v>36894050.130000003</v>
      </c>
      <c r="J172" s="25">
        <v>46224655.979999997</v>
      </c>
      <c r="K172" s="25">
        <f t="shared" si="13"/>
        <v>502152160.31</v>
      </c>
      <c r="L172" s="25"/>
      <c r="M172" s="27"/>
      <c r="N172" s="25">
        <f t="shared" si="14"/>
        <v>502152160.31</v>
      </c>
      <c r="O172" s="25">
        <v>-145781776.75999999</v>
      </c>
      <c r="P172" s="28">
        <v>0</v>
      </c>
      <c r="Q172" s="28">
        <v>490188075</v>
      </c>
      <c r="R172" s="29">
        <f>N172</f>
        <v>502152160.31</v>
      </c>
      <c r="S172" s="29" t="s">
        <v>1017</v>
      </c>
    </row>
    <row r="173" spans="2:20" outlineLevel="1" x14ac:dyDescent="0.25">
      <c r="B173" s="4" t="s">
        <v>1015</v>
      </c>
      <c r="C173" s="24" t="s">
        <v>1018</v>
      </c>
      <c r="D173" s="25">
        <f>IFERROR(VLOOKUP(C173,'[19]2020'!$B$3:$C$227,2,FALSE),0)</f>
        <v>85006379.859999999</v>
      </c>
      <c r="E173" s="25">
        <v>81466457.670000002</v>
      </c>
      <c r="F173" s="26">
        <v>-63144358</v>
      </c>
      <c r="G173" s="25">
        <f>IFERROR(VLOOKUP(C173,'[18]ENE-OCT 2021'!$B$3:$D$225,3,FALSE),0)</f>
        <v>55509927.189999998</v>
      </c>
      <c r="H173" s="25"/>
      <c r="I173" s="25">
        <v>3500000</v>
      </c>
      <c r="J173" s="25">
        <v>3500000</v>
      </c>
      <c r="K173" s="25">
        <f t="shared" si="13"/>
        <v>62509927.189999998</v>
      </c>
      <c r="L173" s="25"/>
      <c r="M173" s="27"/>
      <c r="N173" s="25">
        <f t="shared" si="14"/>
        <v>62509927.189999998</v>
      </c>
      <c r="O173" s="25">
        <v>-15981336.75</v>
      </c>
      <c r="P173" s="28">
        <v>0</v>
      </c>
      <c r="Q173" s="28">
        <v>63144358</v>
      </c>
      <c r="R173" s="29">
        <f t="shared" ref="R173:R176" si="17">N173</f>
        <v>62509927.189999998</v>
      </c>
      <c r="S173" s="29" t="s">
        <v>1017</v>
      </c>
    </row>
    <row r="174" spans="2:20" outlineLevel="1" x14ac:dyDescent="0.25">
      <c r="B174" s="4" t="s">
        <v>1015</v>
      </c>
      <c r="C174" s="24" t="s">
        <v>1019</v>
      </c>
      <c r="D174" s="25">
        <f>IFERROR(VLOOKUP(C174,'[19]2020'!$B$3:$C$227,2,FALSE),0)</f>
        <v>43998269.829999998</v>
      </c>
      <c r="E174" s="25">
        <v>43010007.829999998</v>
      </c>
      <c r="F174" s="26">
        <v>-41847412</v>
      </c>
      <c r="G174" s="25">
        <f>IFERROR(VLOOKUP(C174,'[18]ENE-OCT 2021'!$B$3:$D$225,3,FALSE),0)</f>
        <v>35107627.409999996</v>
      </c>
      <c r="H174" s="25"/>
      <c r="I174" s="25">
        <f>(IFERROR(VLOOKUP(C174,'[19]2020'!$D$2:$G$227,4,FALSE),0)*-1)</f>
        <v>6670189.4199999999</v>
      </c>
      <c r="J174" s="25">
        <f>(IFERROR(VLOOKUP(C174,'[19]2020'!$D$2:$I$227,6,FALSE),0)*-1)</f>
        <v>2037750.45</v>
      </c>
      <c r="K174" s="25">
        <f t="shared" si="13"/>
        <v>43815567.280000001</v>
      </c>
      <c r="L174" s="25"/>
      <c r="M174" s="27"/>
      <c r="N174" s="25">
        <f t="shared" si="14"/>
        <v>43815567.280000001</v>
      </c>
      <c r="O174" s="25">
        <v>-10612736.83</v>
      </c>
      <c r="P174" s="28">
        <v>0</v>
      </c>
      <c r="Q174" s="28">
        <v>41847412</v>
      </c>
      <c r="R174" s="29">
        <f t="shared" si="17"/>
        <v>43815567.280000001</v>
      </c>
      <c r="S174" s="29" t="s">
        <v>1017</v>
      </c>
    </row>
    <row r="175" spans="2:20" outlineLevel="1" x14ac:dyDescent="0.25">
      <c r="B175" s="4" t="s">
        <v>1015</v>
      </c>
      <c r="C175" s="24" t="s">
        <v>1020</v>
      </c>
      <c r="D175" s="25">
        <f>IFERROR(VLOOKUP(C175,'[19]2020'!$B$3:$C$227,2,FALSE),0)</f>
        <v>6058919.2199999997</v>
      </c>
      <c r="E175" s="25">
        <v>5524034.1699999999</v>
      </c>
      <c r="F175" s="26">
        <v>-5999817</v>
      </c>
      <c r="G175" s="25">
        <f>IFERROR(VLOOKUP(C175,'[18]ENE-OCT 2021'!$B$3:$D$225,3,FALSE),0)</f>
        <v>5490330.5499999998</v>
      </c>
      <c r="H175" s="25"/>
      <c r="I175" s="25">
        <f>(IFERROR(VLOOKUP(C175,'[19]2020'!$D$2:$G$227,4,FALSE),0)*-1)</f>
        <v>701471.94</v>
      </c>
      <c r="J175" s="25">
        <f>(IFERROR(VLOOKUP(C175,'[19]2020'!$D$2:$I$227,6,FALSE),0)*-1)</f>
        <v>512638.42</v>
      </c>
      <c r="K175" s="25">
        <f t="shared" si="13"/>
        <v>6704440.9100000001</v>
      </c>
      <c r="L175" s="25"/>
      <c r="M175" s="27"/>
      <c r="N175" s="25">
        <f t="shared" si="14"/>
        <v>6704440.9100000001</v>
      </c>
      <c r="O175" s="25">
        <v>-1623591.8</v>
      </c>
      <c r="P175" s="28">
        <v>0</v>
      </c>
      <c r="Q175" s="28">
        <v>5999817</v>
      </c>
      <c r="R175" s="29">
        <f t="shared" si="17"/>
        <v>6704440.9100000001</v>
      </c>
      <c r="S175" s="29" t="s">
        <v>1017</v>
      </c>
    </row>
    <row r="176" spans="2:20" outlineLevel="1" x14ac:dyDescent="0.25">
      <c r="B176" s="4" t="s">
        <v>1015</v>
      </c>
      <c r="C176" s="24" t="s">
        <v>1021</v>
      </c>
      <c r="D176" s="25">
        <f>IFERROR(VLOOKUP(C176,'[19]2020'!$B$3:$C$227,2,FALSE),0)</f>
        <v>11595058.449999999</v>
      </c>
      <c r="E176" s="25">
        <v>11108720</v>
      </c>
      <c r="F176" s="26">
        <v>-13718204</v>
      </c>
      <c r="G176" s="25">
        <f>IFERROR(VLOOKUP(C176,'[18]ENE-OCT 2021'!$B$3:$D$225,3,FALSE),0)</f>
        <v>8718329.5899999999</v>
      </c>
      <c r="H176" s="25"/>
      <c r="I176" s="25">
        <f>(IFERROR(VLOOKUP(C176,'[19]2020'!$D$2:$G$227,4,FALSE),0)*-1)</f>
        <v>816115.34</v>
      </c>
      <c r="J176" s="25">
        <f>(IFERROR(VLOOKUP(C176,'[19]2020'!$D$2:$I$227,6,FALSE),0)*-1)</f>
        <v>942454.97</v>
      </c>
      <c r="K176" s="25">
        <f t="shared" si="13"/>
        <v>10476899.9</v>
      </c>
      <c r="L176" s="25"/>
      <c r="M176" s="27"/>
      <c r="N176" s="25">
        <f t="shared" si="14"/>
        <v>10476899.9</v>
      </c>
      <c r="O176" s="25">
        <v>-6743642.6799999997</v>
      </c>
      <c r="P176" s="28">
        <v>0</v>
      </c>
      <c r="Q176" s="28">
        <v>13718204</v>
      </c>
      <c r="R176" s="29">
        <f t="shared" si="17"/>
        <v>10476899.9</v>
      </c>
      <c r="S176" s="29" t="s">
        <v>1017</v>
      </c>
    </row>
    <row r="177" spans="2:19" outlineLevel="1" x14ac:dyDescent="0.25">
      <c r="B177" s="4" t="s">
        <v>1015</v>
      </c>
      <c r="C177" s="24" t="s">
        <v>1022</v>
      </c>
      <c r="D177" s="25">
        <f>IFERROR(VLOOKUP(C177,'[19]2020'!$B$3:$C$227,2,FALSE),0)</f>
        <v>76060723</v>
      </c>
      <c r="E177" s="25">
        <v>50000000</v>
      </c>
      <c r="F177" s="26">
        <v>-53500000</v>
      </c>
      <c r="G177" s="25">
        <f>IFERROR(VLOOKUP(C177,'[18]ENE-OCT 2021'!$B$3:$D$225,3,FALSE),0)</f>
        <v>59723346</v>
      </c>
      <c r="H177" s="25"/>
      <c r="I177" s="25">
        <v>3000000</v>
      </c>
      <c r="J177" s="25">
        <v>3000000</v>
      </c>
      <c r="K177" s="25">
        <f t="shared" si="13"/>
        <v>65723346</v>
      </c>
      <c r="L177" s="25"/>
      <c r="M177" s="27"/>
      <c r="N177" s="25">
        <f t="shared" si="14"/>
        <v>65723346</v>
      </c>
      <c r="O177" s="25">
        <v>-10494850</v>
      </c>
      <c r="P177" s="28">
        <v>0</v>
      </c>
      <c r="Q177" s="28">
        <v>50000000</v>
      </c>
      <c r="R177" s="29">
        <v>56870000</v>
      </c>
      <c r="S177" s="29" t="s">
        <v>1017</v>
      </c>
    </row>
    <row r="178" spans="2:19" outlineLevel="1" x14ac:dyDescent="0.25">
      <c r="B178" s="4" t="s">
        <v>1015</v>
      </c>
      <c r="C178" s="24" t="s">
        <v>1023</v>
      </c>
      <c r="D178" s="25">
        <f>IFERROR(VLOOKUP(C178,'[19]2020'!$B$3:$C$227,2,FALSE),0)</f>
        <v>0</v>
      </c>
      <c r="E178" s="25">
        <v>0</v>
      </c>
      <c r="F178" s="26">
        <v>-1865545.44</v>
      </c>
      <c r="G178" s="25">
        <f>IFERROR(VLOOKUP(C178,'[18]ENE-OCT 2021'!$B$3:$D$225,3,FALSE),0)</f>
        <v>4978385.1900000004</v>
      </c>
      <c r="H178" s="25"/>
      <c r="I178" s="25">
        <f>(IFERROR(VLOOKUP(C178,'[19]2020'!$D$2:$G$227,4,FALSE),0)*-1)</f>
        <v>0</v>
      </c>
      <c r="J178" s="25">
        <f>(IFERROR(VLOOKUP(C178,'[19]2020'!$D$2:$I$227,6,FALSE),0)*-1)</f>
        <v>0</v>
      </c>
      <c r="K178" s="25">
        <f t="shared" si="13"/>
        <v>4978385.1900000004</v>
      </c>
      <c r="L178" s="25"/>
      <c r="M178" s="27"/>
      <c r="N178" s="25">
        <f t="shared" si="14"/>
        <v>4978385.1900000004</v>
      </c>
      <c r="O178" s="25">
        <v>-410053.45</v>
      </c>
      <c r="P178" s="28">
        <v>0</v>
      </c>
      <c r="Q178" s="28">
        <v>1865545.44</v>
      </c>
      <c r="R178" s="29">
        <v>1000000</v>
      </c>
      <c r="S178" s="29" t="s">
        <v>1024</v>
      </c>
    </row>
    <row r="179" spans="2:19" outlineLevel="1" x14ac:dyDescent="0.25">
      <c r="B179" s="4" t="s">
        <v>1015</v>
      </c>
      <c r="C179" s="24" t="s">
        <v>1025</v>
      </c>
      <c r="D179" s="25">
        <f>IFERROR(VLOOKUP(C179,'[19]2020'!$B$3:$C$227,2,FALSE),0)</f>
        <v>1367804.16</v>
      </c>
      <c r="E179" s="25">
        <v>0</v>
      </c>
      <c r="F179" s="26">
        <v>0</v>
      </c>
      <c r="G179" s="25">
        <f>IFERROR(VLOOKUP(C179,'[18]ENE-OCT 2021'!$B$3:$D$225,3,FALSE),0)</f>
        <v>0</v>
      </c>
      <c r="H179" s="25"/>
      <c r="I179" s="25">
        <v>0</v>
      </c>
      <c r="J179" s="25">
        <v>0</v>
      </c>
      <c r="K179" s="25">
        <f t="shared" si="13"/>
        <v>0</v>
      </c>
      <c r="L179" s="25"/>
      <c r="M179" s="27"/>
      <c r="N179" s="25">
        <f t="shared" si="14"/>
        <v>0</v>
      </c>
      <c r="O179" s="25">
        <v>0</v>
      </c>
      <c r="P179" s="28">
        <v>0</v>
      </c>
      <c r="Q179" s="29">
        <v>0</v>
      </c>
      <c r="R179" s="29">
        <f t="shared" ref="R179" si="18">F179*-1</f>
        <v>0</v>
      </c>
      <c r="S179" s="29" t="s">
        <v>1017</v>
      </c>
    </row>
    <row r="180" spans="2:19" outlineLevel="1" x14ac:dyDescent="0.25">
      <c r="B180" s="4" t="s">
        <v>1015</v>
      </c>
      <c r="C180" s="24" t="s">
        <v>1026</v>
      </c>
      <c r="D180" s="25">
        <f>IFERROR(VLOOKUP(C180,'[19]2020'!$B$3:$C$227,2,FALSE),0)</f>
        <v>97167424</v>
      </c>
      <c r="E180" s="25">
        <v>92989224.760000005</v>
      </c>
      <c r="F180" s="26">
        <v>-95943134</v>
      </c>
      <c r="G180" s="25">
        <f>IFERROR(VLOOKUP(C180,'[18]ENE-OCT 2021'!$B$3:$D$225,3,FALSE),0)</f>
        <v>95943134</v>
      </c>
      <c r="H180" s="25"/>
      <c r="I180" s="25">
        <f>(IFERROR(VLOOKUP(C180,'[19]2020'!$D$2:$G$227,4,FALSE),0)*-1)</f>
        <v>0</v>
      </c>
      <c r="J180" s="25">
        <f>(IFERROR(VLOOKUP(C180,'[19]2020'!$D$2:$I$227,6,FALSE),0)*-1)</f>
        <v>0</v>
      </c>
      <c r="K180" s="25">
        <f t="shared" si="13"/>
        <v>95943134</v>
      </c>
      <c r="L180" s="25"/>
      <c r="M180" s="27"/>
      <c r="N180" s="25">
        <f t="shared" si="14"/>
        <v>95943134</v>
      </c>
      <c r="O180" s="25">
        <v>-19188622</v>
      </c>
      <c r="P180" s="28">
        <v>0</v>
      </c>
      <c r="Q180" s="28">
        <v>95943134</v>
      </c>
      <c r="R180" s="29">
        <f>N180</f>
        <v>95943134</v>
      </c>
      <c r="S180" s="29" t="s">
        <v>1027</v>
      </c>
    </row>
    <row r="181" spans="2:19" outlineLevel="1" x14ac:dyDescent="0.25">
      <c r="B181" s="4" t="s">
        <v>1015</v>
      </c>
      <c r="C181" s="24" t="s">
        <v>1028</v>
      </c>
      <c r="D181" s="25">
        <f>IFERROR(VLOOKUP(C181,'[19]2020'!$B$3:$C$227,2,FALSE),0)</f>
        <v>0</v>
      </c>
      <c r="E181" s="25">
        <v>0</v>
      </c>
      <c r="F181" s="26">
        <v>-1306000</v>
      </c>
      <c r="G181" s="25">
        <f>IFERROR(VLOOKUP(C181,'[18]ENE-OCT 2021'!$B$3:$D$225,3,FALSE),0)</f>
        <v>767465.85</v>
      </c>
      <c r="H181" s="25"/>
      <c r="I181" s="25">
        <f>(IFERROR(VLOOKUP(C181,'[19]2020'!$D$2:$G$227,4,FALSE),0)*-1)</f>
        <v>0</v>
      </c>
      <c r="J181" s="25">
        <f>(IFERROR(VLOOKUP(C181,'[19]2020'!$D$2:$I$227,6,FALSE),0)*-1)</f>
        <v>0</v>
      </c>
      <c r="K181" s="25">
        <f t="shared" si="13"/>
        <v>767465.85</v>
      </c>
      <c r="L181" s="25"/>
      <c r="M181" s="27"/>
      <c r="N181" s="25">
        <f t="shared" si="14"/>
        <v>767465.85</v>
      </c>
      <c r="O181" s="25">
        <v>-764003.69</v>
      </c>
      <c r="P181" s="28">
        <v>0</v>
      </c>
      <c r="Q181" s="28">
        <v>1306000</v>
      </c>
      <c r="R181" s="29">
        <v>500000</v>
      </c>
      <c r="S181" s="29" t="s">
        <v>961</v>
      </c>
    </row>
    <row r="182" spans="2:19" outlineLevel="1" x14ac:dyDescent="0.25">
      <c r="B182" s="4" t="s">
        <v>1015</v>
      </c>
      <c r="C182" s="24" t="s">
        <v>1029</v>
      </c>
      <c r="D182" s="25">
        <f>IFERROR(VLOOKUP(C182,'[19]2020'!$B$3:$C$227,2,FALSE),0)</f>
        <v>344071327</v>
      </c>
      <c r="E182" s="25">
        <v>327899974.63</v>
      </c>
      <c r="F182" s="26">
        <v>-338859284</v>
      </c>
      <c r="G182" s="25">
        <f>IFERROR(VLOOKUP(C182,'[18]ENE-OCT 2021'!$B$3:$D$225,3,FALSE),0)</f>
        <v>282382740</v>
      </c>
      <c r="H182" s="25"/>
      <c r="I182" s="25">
        <v>28238274</v>
      </c>
      <c r="J182" s="25">
        <v>28238270</v>
      </c>
      <c r="K182" s="25">
        <f t="shared" si="13"/>
        <v>338859284</v>
      </c>
      <c r="L182" s="25"/>
      <c r="M182" s="27"/>
      <c r="N182" s="25">
        <f t="shared" si="14"/>
        <v>338859284</v>
      </c>
      <c r="O182" s="25">
        <v>-112953092</v>
      </c>
      <c r="P182" s="28">
        <v>0</v>
      </c>
      <c r="Q182" s="28">
        <v>338859284</v>
      </c>
      <c r="R182" s="29">
        <f>N182</f>
        <v>338859284</v>
      </c>
      <c r="S182" s="29" t="s">
        <v>1027</v>
      </c>
    </row>
    <row r="183" spans="2:19" outlineLevel="1" x14ac:dyDescent="0.25">
      <c r="B183" s="4" t="s">
        <v>1015</v>
      </c>
      <c r="C183" s="24" t="s">
        <v>1030</v>
      </c>
      <c r="D183" s="25">
        <f>IFERROR(VLOOKUP(C183,'[19]2020'!$B$3:$C$227,2,FALSE),0)</f>
        <v>0</v>
      </c>
      <c r="E183" s="25">
        <v>0</v>
      </c>
      <c r="F183" s="26">
        <v>-1450000</v>
      </c>
      <c r="G183" s="25">
        <f>IFERROR(VLOOKUP(C183,'[18]ENE-OCT 2021'!$B$3:$D$225,3,FALSE),0)</f>
        <v>1387282.64</v>
      </c>
      <c r="H183" s="25"/>
      <c r="I183" s="25">
        <f>(IFERROR(VLOOKUP(C183,'[19]2020'!$D$2:$G$227,4,FALSE),0)*-1)</f>
        <v>0</v>
      </c>
      <c r="J183" s="25">
        <f>(IFERROR(VLOOKUP(C183,'[19]2020'!$D$2:$I$227,6,FALSE),0)*-1)</f>
        <v>0</v>
      </c>
      <c r="K183" s="25">
        <f t="shared" si="13"/>
        <v>1387282.64</v>
      </c>
      <c r="L183" s="25"/>
      <c r="M183" s="27"/>
      <c r="N183" s="25">
        <f t="shared" si="14"/>
        <v>1387282.64</v>
      </c>
      <c r="O183" s="25">
        <v>-420422.2</v>
      </c>
      <c r="P183" s="28">
        <v>0</v>
      </c>
      <c r="Q183" s="28">
        <v>1450000</v>
      </c>
      <c r="R183" s="29">
        <v>1000000</v>
      </c>
      <c r="S183" s="29" t="s">
        <v>961</v>
      </c>
    </row>
    <row r="184" spans="2:19" outlineLevel="1" x14ac:dyDescent="0.25">
      <c r="B184" s="4" t="s">
        <v>1015</v>
      </c>
      <c r="C184" s="24" t="s">
        <v>1031</v>
      </c>
      <c r="D184" s="25">
        <f>IFERROR(VLOOKUP(C184,'[19]2020'!$B$3:$C$227,2,FALSE),0)</f>
        <v>17213553</v>
      </c>
      <c r="E184" s="25">
        <v>0</v>
      </c>
      <c r="F184" s="26">
        <v>0</v>
      </c>
      <c r="G184" s="25">
        <f>IFERROR(VLOOKUP(C184,'[18]ENE-OCT 2021'!$B$3:$D$225,3,FALSE),0)</f>
        <v>0</v>
      </c>
      <c r="H184" s="25"/>
      <c r="I184" s="25">
        <f>(IFERROR(VLOOKUP(C184,'[19]2020'!$D$2:$G$227,4,FALSE),0)*-1)</f>
        <v>0</v>
      </c>
      <c r="J184" s="25">
        <f>(IFERROR(VLOOKUP(C184,'[19]2020'!$D$2:$I$227,6,FALSE),0)*-1)</f>
        <v>0</v>
      </c>
      <c r="K184" s="25">
        <f t="shared" si="13"/>
        <v>0</v>
      </c>
      <c r="L184" s="25"/>
      <c r="M184" s="27"/>
      <c r="N184" s="25">
        <f t="shared" si="14"/>
        <v>0</v>
      </c>
      <c r="O184" s="25">
        <v>0</v>
      </c>
      <c r="P184" s="28">
        <v>0</v>
      </c>
      <c r="Q184" s="28">
        <v>0</v>
      </c>
      <c r="R184" s="29">
        <f t="shared" ref="R184:R197" si="19">IF(M184=1,(N184*1.0395),N184)</f>
        <v>0</v>
      </c>
      <c r="S184" s="29" t="s">
        <v>1032</v>
      </c>
    </row>
    <row r="185" spans="2:19" outlineLevel="1" x14ac:dyDescent="0.25">
      <c r="B185" s="4" t="s">
        <v>1015</v>
      </c>
      <c r="C185" s="24" t="s">
        <v>1033</v>
      </c>
      <c r="D185" s="25">
        <f>IFERROR(VLOOKUP(C185,'[19]2020'!$B$3:$C$227,2,FALSE),0)</f>
        <v>0</v>
      </c>
      <c r="E185" s="25">
        <v>800000</v>
      </c>
      <c r="F185" s="26">
        <v>-800000</v>
      </c>
      <c r="G185" s="25">
        <f>IFERROR(VLOOKUP(C185,'[18]ENE-OCT 2021'!$B$3:$D$225,3,FALSE),0)</f>
        <v>0</v>
      </c>
      <c r="H185" s="25"/>
      <c r="I185" s="25">
        <f>(IFERROR(VLOOKUP(C185,'[19]2020'!$D$2:$G$227,4,FALSE),0)*-1)</f>
        <v>0</v>
      </c>
      <c r="J185" s="25">
        <f>(IFERROR(VLOOKUP(C185,'[19]2020'!$D$2:$I$227,6,FALSE),0)*-1)</f>
        <v>0</v>
      </c>
      <c r="K185" s="25">
        <f t="shared" si="13"/>
        <v>0</v>
      </c>
      <c r="L185" s="25"/>
      <c r="M185" s="27"/>
      <c r="N185" s="25">
        <f t="shared" si="14"/>
        <v>0</v>
      </c>
      <c r="O185" s="25">
        <v>-800000</v>
      </c>
      <c r="P185" s="28">
        <v>0</v>
      </c>
      <c r="Q185" s="28">
        <v>0</v>
      </c>
      <c r="R185" s="29">
        <v>0</v>
      </c>
      <c r="S185" s="29" t="s">
        <v>1034</v>
      </c>
    </row>
    <row r="186" spans="2:19" outlineLevel="1" x14ac:dyDescent="0.25">
      <c r="B186" s="4" t="s">
        <v>1015</v>
      </c>
      <c r="C186" s="24" t="s">
        <v>1035</v>
      </c>
      <c r="D186" s="25">
        <f>IFERROR(VLOOKUP(C186,'[19]2020'!$B$3:$C$227,2,FALSE),0)</f>
        <v>7266773</v>
      </c>
      <c r="E186" s="25">
        <v>0</v>
      </c>
      <c r="F186" s="26">
        <v>0</v>
      </c>
      <c r="G186" s="25">
        <f>IFERROR(VLOOKUP(C186,'[18]ENE-OCT 2021'!$B$3:$D$225,3,FALSE),0)</f>
        <v>0</v>
      </c>
      <c r="H186" s="25"/>
      <c r="I186" s="25">
        <f>(IFERROR(VLOOKUP(C186,'[19]2020'!$D$2:$G$227,4,FALSE),0)*-1)</f>
        <v>0</v>
      </c>
      <c r="J186" s="25">
        <f>(IFERROR(VLOOKUP(C186,'[19]2020'!$D$2:$I$227,6,FALSE),0)*-1)</f>
        <v>0</v>
      </c>
      <c r="K186" s="25">
        <f t="shared" si="13"/>
        <v>0</v>
      </c>
      <c r="L186" s="25"/>
      <c r="M186" s="27"/>
      <c r="N186" s="25">
        <f t="shared" si="14"/>
        <v>0</v>
      </c>
      <c r="O186" s="25">
        <v>0</v>
      </c>
      <c r="P186" s="28">
        <v>0</v>
      </c>
      <c r="Q186" s="28">
        <v>0</v>
      </c>
      <c r="R186" s="29">
        <f t="shared" si="19"/>
        <v>0</v>
      </c>
      <c r="S186" s="29" t="s">
        <v>1034</v>
      </c>
    </row>
    <row r="187" spans="2:19" outlineLevel="1" x14ac:dyDescent="0.25">
      <c r="B187" s="4" t="s">
        <v>1015</v>
      </c>
      <c r="C187" s="24" t="s">
        <v>1036</v>
      </c>
      <c r="D187" s="25">
        <f>IFERROR(VLOOKUP(C187,'[19]2020'!$B$3:$C$227,2,FALSE),0)</f>
        <v>1625065</v>
      </c>
      <c r="E187" s="25">
        <v>1800000</v>
      </c>
      <c r="F187" s="26">
        <v>-1800000</v>
      </c>
      <c r="G187" s="25">
        <f>IFERROR(VLOOKUP(C187,'[18]ENE-OCT 2021'!$B$3:$D$225,3,FALSE),0)</f>
        <v>0</v>
      </c>
      <c r="H187" s="25"/>
      <c r="I187" s="25">
        <f>(IFERROR(VLOOKUP(C187,'[19]2020'!$D$2:$G$227,4,FALSE),0)*-1)</f>
        <v>0</v>
      </c>
      <c r="J187" s="25">
        <v>1800000</v>
      </c>
      <c r="K187" s="25">
        <f t="shared" si="13"/>
        <v>1800000</v>
      </c>
      <c r="L187" s="25"/>
      <c r="M187" s="27"/>
      <c r="N187" s="25">
        <f t="shared" si="14"/>
        <v>1800000</v>
      </c>
      <c r="O187" s="25">
        <v>-1800000</v>
      </c>
      <c r="P187" s="28">
        <v>0</v>
      </c>
      <c r="Q187" s="28">
        <v>0</v>
      </c>
      <c r="R187" s="51">
        <v>3000000</v>
      </c>
      <c r="S187" s="51" t="s">
        <v>1037</v>
      </c>
    </row>
    <row r="188" spans="2:19" outlineLevel="1" x14ac:dyDescent="0.25">
      <c r="B188" s="4" t="s">
        <v>1015</v>
      </c>
      <c r="C188" s="24" t="s">
        <v>1038</v>
      </c>
      <c r="D188" s="25">
        <f>IFERROR(VLOOKUP(C188,'[19]2020'!$B$3:$C$227,2,FALSE),0)</f>
        <v>494000</v>
      </c>
      <c r="E188" s="25">
        <v>500000</v>
      </c>
      <c r="F188" s="26">
        <v>-500000</v>
      </c>
      <c r="G188" s="25">
        <f>IFERROR(VLOOKUP(C188,'[18]ENE-OCT 2021'!$B$3:$D$225,3,FALSE),0)</f>
        <v>500000</v>
      </c>
      <c r="H188" s="25"/>
      <c r="I188" s="25">
        <f>(IFERROR(VLOOKUP(C188,'[19]2020'!$D$2:$G$227,4,FALSE),0)*-1)</f>
        <v>0</v>
      </c>
      <c r="J188" s="25">
        <f>(IFERROR(VLOOKUP(C188,'[19]2020'!$D$2:$I$227,6,FALSE),0)*-1)</f>
        <v>0</v>
      </c>
      <c r="K188" s="25">
        <f t="shared" si="13"/>
        <v>500000</v>
      </c>
      <c r="L188" s="25"/>
      <c r="M188" s="27"/>
      <c r="N188" s="25">
        <f t="shared" si="14"/>
        <v>500000</v>
      </c>
      <c r="O188" s="25">
        <v>0</v>
      </c>
      <c r="P188" s="28">
        <v>0</v>
      </c>
      <c r="Q188" s="28">
        <v>0</v>
      </c>
      <c r="R188" s="51">
        <v>1500000</v>
      </c>
      <c r="S188" s="51" t="s">
        <v>1037</v>
      </c>
    </row>
    <row r="189" spans="2:19" outlineLevel="1" x14ac:dyDescent="0.25">
      <c r="B189" s="4" t="s">
        <v>1015</v>
      </c>
      <c r="C189" s="24" t="s">
        <v>1039</v>
      </c>
      <c r="D189" s="25">
        <f>IFERROR(VLOOKUP(C189,'[19]2020'!$B$3:$C$227,2,FALSE),0)</f>
        <v>499800</v>
      </c>
      <c r="E189" s="25">
        <v>500000</v>
      </c>
      <c r="F189" s="26">
        <v>-500000</v>
      </c>
      <c r="G189" s="25">
        <f>IFERROR(VLOOKUP(C189,'[18]ENE-OCT 2021'!$B$3:$D$225,3,FALSE),0)</f>
        <v>126033.60000000001</v>
      </c>
      <c r="H189" s="25"/>
      <c r="I189" s="25">
        <f>(IFERROR(VLOOKUP(C189,'[19]2020'!$D$2:$G$227,4,FALSE),0)*-1)</f>
        <v>0</v>
      </c>
      <c r="J189" s="25">
        <v>0</v>
      </c>
      <c r="K189" s="25">
        <f t="shared" si="13"/>
        <v>126033.60000000001</v>
      </c>
      <c r="L189" s="25"/>
      <c r="M189" s="27"/>
      <c r="N189" s="25">
        <f t="shared" si="14"/>
        <v>126033.60000000001</v>
      </c>
      <c r="O189" s="25">
        <v>-373966.4</v>
      </c>
      <c r="P189" s="28">
        <v>0</v>
      </c>
      <c r="Q189" s="28">
        <v>0</v>
      </c>
      <c r="R189" s="51">
        <v>500000</v>
      </c>
      <c r="S189" s="51" t="s">
        <v>1037</v>
      </c>
    </row>
    <row r="190" spans="2:19" outlineLevel="1" x14ac:dyDescent="0.25">
      <c r="B190" s="4" t="s">
        <v>1015</v>
      </c>
      <c r="C190" s="24" t="s">
        <v>1040</v>
      </c>
      <c r="D190" s="25">
        <f>IFERROR(VLOOKUP(C190,'[19]2020'!$B$3:$C$227,2,FALSE),0)</f>
        <v>50000</v>
      </c>
      <c r="E190" s="25">
        <v>50000</v>
      </c>
      <c r="F190" s="40">
        <v>-50000</v>
      </c>
      <c r="G190" s="25">
        <f>IFERROR(VLOOKUP(C190,'[18]ENE-OCT 2021'!$B$3:$D$225,3,FALSE),0)</f>
        <v>0</v>
      </c>
      <c r="H190" s="25"/>
      <c r="I190" s="25">
        <f>(IFERROR(VLOOKUP(C190,'[19]2020'!$D$2:$G$227,4,FALSE),0)*-1)</f>
        <v>0</v>
      </c>
      <c r="J190" s="25">
        <f>(IFERROR(VLOOKUP(C190,'[19]2020'!$D$2:$I$227,6,FALSE),0)*-1)</f>
        <v>0</v>
      </c>
      <c r="K190" s="25">
        <f t="shared" si="13"/>
        <v>0</v>
      </c>
      <c r="L190" s="25"/>
      <c r="M190" s="27"/>
      <c r="N190" s="25">
        <f t="shared" si="14"/>
        <v>0</v>
      </c>
      <c r="O190" s="25">
        <v>-50000</v>
      </c>
      <c r="P190" s="28">
        <v>0</v>
      </c>
      <c r="Q190" s="28">
        <v>0</v>
      </c>
      <c r="R190" s="52">
        <v>50000</v>
      </c>
      <c r="S190" s="52" t="s">
        <v>1037</v>
      </c>
    </row>
    <row r="191" spans="2:19" outlineLevel="1" x14ac:dyDescent="0.25">
      <c r="B191" s="4" t="s">
        <v>1015</v>
      </c>
      <c r="C191" s="24" t="s">
        <v>1041</v>
      </c>
      <c r="D191" s="25">
        <f>IFERROR(VLOOKUP(C191,'[19]2020'!$B$3:$C$227,2,FALSE),0)</f>
        <v>0</v>
      </c>
      <c r="E191" s="25">
        <v>5000000</v>
      </c>
      <c r="F191" s="26">
        <v>-5000000</v>
      </c>
      <c r="G191" s="25">
        <f>IFERROR(VLOOKUP(C191,'[18]ENE-OCT 2021'!$B$3:$D$225,3,FALSE),0)</f>
        <v>0</v>
      </c>
      <c r="H191" s="25"/>
      <c r="I191" s="25">
        <f>(IFERROR(VLOOKUP(C191,'[19]2020'!$D$2:$G$227,4,FALSE),0)*-1)</f>
        <v>0</v>
      </c>
      <c r="J191" s="25">
        <v>5000000</v>
      </c>
      <c r="K191" s="25">
        <f t="shared" si="13"/>
        <v>5000000</v>
      </c>
      <c r="L191" s="25"/>
      <c r="M191" s="27"/>
      <c r="N191" s="25">
        <f t="shared" si="14"/>
        <v>5000000</v>
      </c>
      <c r="O191" s="25">
        <v>-5000000</v>
      </c>
      <c r="P191" s="28">
        <v>0</v>
      </c>
      <c r="Q191" s="28">
        <v>0</v>
      </c>
      <c r="R191" s="51">
        <v>5000000</v>
      </c>
      <c r="S191" s="51" t="s">
        <v>1037</v>
      </c>
    </row>
    <row r="192" spans="2:19" outlineLevel="1" x14ac:dyDescent="0.25">
      <c r="B192" s="4" t="s">
        <v>1015</v>
      </c>
      <c r="C192" s="24" t="s">
        <v>1042</v>
      </c>
      <c r="D192" s="25">
        <f>IFERROR(VLOOKUP(C192,'[19]2020'!$B$3:$C$227,2,FALSE),0)</f>
        <v>3054764.39</v>
      </c>
      <c r="E192" s="25">
        <v>53952993.880000003</v>
      </c>
      <c r="F192" s="26">
        <v>-48831448.57</v>
      </c>
      <c r="G192" s="25">
        <f>IFERROR(VLOOKUP(C192,'[18]ENE-OCT 2021'!$B$3:$D$225,3,FALSE),0)</f>
        <v>29258774.690000001</v>
      </c>
      <c r="H192" s="25"/>
      <c r="I192" s="25">
        <f>(IFERROR(VLOOKUP(C192,'[19]2020'!$D$2:$G$227,4,FALSE),0)*-1)</f>
        <v>0</v>
      </c>
      <c r="J192" s="25">
        <f>+(F192*-1)-G192</f>
        <v>19572673.879999999</v>
      </c>
      <c r="K192" s="25">
        <f t="shared" si="13"/>
        <v>48831448.57</v>
      </c>
      <c r="L192" s="25"/>
      <c r="M192" s="27"/>
      <c r="N192" s="25">
        <f t="shared" si="14"/>
        <v>48831448.57</v>
      </c>
      <c r="O192" s="25">
        <v>-19572673.879999999</v>
      </c>
      <c r="P192" s="28">
        <v>0</v>
      </c>
      <c r="Q192" s="28">
        <v>0</v>
      </c>
      <c r="R192" s="29">
        <v>0</v>
      </c>
      <c r="S192" s="29" t="s">
        <v>1037</v>
      </c>
    </row>
    <row r="193" spans="2:19" outlineLevel="1" x14ac:dyDescent="0.25">
      <c r="B193" s="4" t="s">
        <v>1015</v>
      </c>
      <c r="C193" s="24" t="s">
        <v>1043</v>
      </c>
      <c r="D193" s="25">
        <f>IFERROR(VLOOKUP(C193,'[19]2020'!$B$3:$C$227,2,FALSE),0)</f>
        <v>1286815.9099999999</v>
      </c>
      <c r="E193" s="25">
        <v>1301000</v>
      </c>
      <c r="F193" s="26">
        <v>-23191717.539999999</v>
      </c>
      <c r="G193" s="25">
        <f>IFERROR(VLOOKUP(C193,'[18]ENE-OCT 2021'!$B$3:$D$225,3,FALSE),0)</f>
        <v>0</v>
      </c>
      <c r="H193" s="25"/>
      <c r="I193" s="25">
        <f>(IFERROR(VLOOKUP(C193,'[19]2020'!$D$2:$G$227,4,FALSE),0)*-1)</f>
        <v>0</v>
      </c>
      <c r="J193" s="25">
        <v>23191717.539999999</v>
      </c>
      <c r="K193" s="25">
        <f t="shared" si="13"/>
        <v>23191717.539999999</v>
      </c>
      <c r="L193" s="25"/>
      <c r="M193" s="27"/>
      <c r="N193" s="25">
        <f t="shared" si="14"/>
        <v>23191717.539999999</v>
      </c>
      <c r="O193" s="25">
        <v>-23191717.539999999</v>
      </c>
      <c r="P193" s="28">
        <v>0</v>
      </c>
      <c r="Q193" s="28">
        <v>0</v>
      </c>
      <c r="R193" s="29">
        <v>0</v>
      </c>
      <c r="S193" s="29" t="s">
        <v>1037</v>
      </c>
    </row>
    <row r="194" spans="2:19" outlineLevel="1" x14ac:dyDescent="0.25">
      <c r="B194" s="4" t="s">
        <v>1015</v>
      </c>
      <c r="C194" s="24" t="s">
        <v>1044</v>
      </c>
      <c r="D194" s="25">
        <f>IFERROR(VLOOKUP(C194,'[19]2020'!$B$3:$C$227,2,FALSE),0)</f>
        <v>11500000</v>
      </c>
      <c r="E194" s="25">
        <v>0</v>
      </c>
      <c r="F194" s="31">
        <v>0</v>
      </c>
      <c r="G194" s="25">
        <f>IFERROR(VLOOKUP(C194,'[18]ENE-OCT 2021'!$B$3:$D$225,3,FALSE),0)</f>
        <v>153728.09</v>
      </c>
      <c r="H194" s="25"/>
      <c r="I194" s="25">
        <f>(IFERROR(VLOOKUP(C194,'[19]2020'!$D$2:$G$227,4,FALSE),0)*-1)</f>
        <v>0</v>
      </c>
      <c r="J194" s="25">
        <f>(IFERROR(VLOOKUP(C194,'[19]2020'!$D$2:$I$227,6,FALSE),0)*-1)</f>
        <v>0</v>
      </c>
      <c r="K194" s="25">
        <f t="shared" si="13"/>
        <v>153728.09</v>
      </c>
      <c r="L194" s="25"/>
      <c r="M194" s="27"/>
      <c r="N194" s="25">
        <f t="shared" si="14"/>
        <v>153728.09</v>
      </c>
      <c r="O194" s="25">
        <v>153728.09</v>
      </c>
      <c r="P194" s="28">
        <v>0</v>
      </c>
      <c r="Q194" s="28">
        <v>0</v>
      </c>
      <c r="R194" s="29">
        <v>0</v>
      </c>
      <c r="S194" s="29" t="s">
        <v>1037</v>
      </c>
    </row>
    <row r="195" spans="2:19" outlineLevel="1" x14ac:dyDescent="0.25">
      <c r="B195" s="4" t="s">
        <v>1015</v>
      </c>
      <c r="C195" s="24" t="s">
        <v>1045</v>
      </c>
      <c r="D195" s="25">
        <f>IFERROR(VLOOKUP(C195,'[19]2020'!$B$3:$C$227,2,FALSE),0)</f>
        <v>116309434.77</v>
      </c>
      <c r="E195" s="25">
        <v>0</v>
      </c>
      <c r="F195" s="31">
        <v>0</v>
      </c>
      <c r="G195" s="25">
        <f>IFERROR(VLOOKUP(C195,'[18]ENE-OCT 2021'!$B$3:$D$225,3,FALSE),0)</f>
        <v>0</v>
      </c>
      <c r="H195" s="25"/>
      <c r="I195" s="25">
        <f>(IFERROR(VLOOKUP(C195,'[19]2020'!$D$2:$G$227,4,FALSE),0)*-1)</f>
        <v>0</v>
      </c>
      <c r="J195" s="25">
        <v>0</v>
      </c>
      <c r="K195" s="25">
        <f t="shared" si="13"/>
        <v>0</v>
      </c>
      <c r="L195" s="25"/>
      <c r="M195" s="27"/>
      <c r="N195" s="25">
        <v>0</v>
      </c>
      <c r="O195" s="25">
        <v>0</v>
      </c>
      <c r="P195" s="28">
        <v>0</v>
      </c>
      <c r="Q195" s="28">
        <v>0</v>
      </c>
      <c r="R195" s="29">
        <v>0</v>
      </c>
      <c r="S195" s="29" t="s">
        <v>1037</v>
      </c>
    </row>
    <row r="196" spans="2:19" outlineLevel="1" x14ac:dyDescent="0.25">
      <c r="B196" s="4" t="s">
        <v>1015</v>
      </c>
      <c r="C196" s="24" t="s">
        <v>1046</v>
      </c>
      <c r="D196" s="25">
        <f>IFERROR(VLOOKUP(C196,'[19]2020'!$B$3:$C$227,2,FALSE),0)</f>
        <v>0</v>
      </c>
      <c r="E196" s="25">
        <v>0</v>
      </c>
      <c r="F196" s="31">
        <v>0</v>
      </c>
      <c r="G196" s="25">
        <f>IFERROR(VLOOKUP(C196,'[18]ENE-OCT 2021'!$B$3:$D$225,3,FALSE),0)</f>
        <v>0</v>
      </c>
      <c r="H196" s="25"/>
      <c r="I196" s="25">
        <f>(IFERROR(VLOOKUP(C196,'[19]2020'!$D$2:$G$227,4,FALSE),0)*-1)</f>
        <v>0</v>
      </c>
      <c r="J196" s="25">
        <f>(IFERROR(VLOOKUP(C196,'[19]2020'!$D$2:$I$227,6,FALSE),0)*-1)</f>
        <v>0</v>
      </c>
      <c r="K196" s="25">
        <f t="shared" si="13"/>
        <v>0</v>
      </c>
      <c r="L196" s="25"/>
      <c r="M196" s="27"/>
      <c r="N196" s="25">
        <v>0</v>
      </c>
      <c r="O196" s="25">
        <v>0</v>
      </c>
      <c r="P196" s="28">
        <v>0</v>
      </c>
      <c r="Q196" s="28">
        <v>0</v>
      </c>
      <c r="R196" s="29">
        <f t="shared" si="19"/>
        <v>0</v>
      </c>
      <c r="S196" s="29" t="s">
        <v>1037</v>
      </c>
    </row>
    <row r="197" spans="2:19" outlineLevel="1" x14ac:dyDescent="0.25">
      <c r="B197" s="4" t="s">
        <v>1015</v>
      </c>
      <c r="C197" s="24" t="s">
        <v>1047</v>
      </c>
      <c r="D197" s="25">
        <f>IFERROR(VLOOKUP(C197,'[19]2020'!$B$3:$C$227,2,FALSE),0)</f>
        <v>0</v>
      </c>
      <c r="E197" s="25">
        <v>0</v>
      </c>
      <c r="F197" s="31">
        <v>0</v>
      </c>
      <c r="G197" s="25">
        <f>IFERROR(VLOOKUP(C197,'[18]ENE-OCT 2021'!$B$3:$D$225,3,FALSE),0)</f>
        <v>0</v>
      </c>
      <c r="H197" s="25"/>
      <c r="I197" s="25">
        <f>(IFERROR(VLOOKUP(C197,'[19]2020'!$D$2:$G$227,4,FALSE),0)*-1)</f>
        <v>0</v>
      </c>
      <c r="J197" s="25">
        <f>(IFERROR(VLOOKUP(C197,'[19]2020'!$D$2:$I$227,6,FALSE),0)*-1)</f>
        <v>0</v>
      </c>
      <c r="K197" s="25">
        <f t="shared" si="13"/>
        <v>0</v>
      </c>
      <c r="L197" s="25"/>
      <c r="M197" s="27"/>
      <c r="N197" s="25">
        <v>0</v>
      </c>
      <c r="O197" s="25">
        <v>0</v>
      </c>
      <c r="P197" s="28">
        <v>0</v>
      </c>
      <c r="Q197" s="28">
        <v>0</v>
      </c>
      <c r="R197" s="29">
        <f t="shared" si="19"/>
        <v>0</v>
      </c>
      <c r="S197" s="29" t="s">
        <v>1037</v>
      </c>
    </row>
    <row r="198" spans="2:19" outlineLevel="1" x14ac:dyDescent="0.25">
      <c r="B198" s="4" t="s">
        <v>1015</v>
      </c>
      <c r="C198" s="24" t="s">
        <v>1048</v>
      </c>
      <c r="D198" s="25">
        <f>IFERROR(VLOOKUP(C198,'[19]2020'!$B$3:$C$227,2,FALSE),0)</f>
        <v>708896.84</v>
      </c>
      <c r="E198" s="25">
        <v>0</v>
      </c>
      <c r="F198" s="31">
        <v>0</v>
      </c>
      <c r="G198" s="25">
        <f>IFERROR(VLOOKUP(C198,'[18]ENE-OCT 2021'!$B$3:$D$225,3,FALSE),0)</f>
        <v>0</v>
      </c>
      <c r="H198" s="25"/>
      <c r="I198" s="25">
        <v>0</v>
      </c>
      <c r="J198" s="25">
        <v>0</v>
      </c>
      <c r="K198" s="25">
        <f t="shared" ref="K198:K255" si="20">G198+H198+I198+J198</f>
        <v>0</v>
      </c>
      <c r="L198" s="25"/>
      <c r="M198" s="27"/>
      <c r="N198" s="25">
        <v>0</v>
      </c>
      <c r="O198" s="25">
        <v>0</v>
      </c>
      <c r="P198" s="28">
        <v>0</v>
      </c>
      <c r="Q198" s="28">
        <v>0</v>
      </c>
      <c r="R198" s="29">
        <v>0</v>
      </c>
      <c r="S198" s="29" t="s">
        <v>1037</v>
      </c>
    </row>
    <row r="199" spans="2:19" outlineLevel="1" x14ac:dyDescent="0.25">
      <c r="B199" s="4" t="s">
        <v>1015</v>
      </c>
      <c r="C199" s="24" t="s">
        <v>1049</v>
      </c>
      <c r="D199" s="25">
        <f>IFERROR(VLOOKUP(C199,'[19]2020'!$B$3:$C$227,2,FALSE),0)</f>
        <v>764449</v>
      </c>
      <c r="E199" s="25">
        <v>0</v>
      </c>
      <c r="F199" s="31">
        <v>0</v>
      </c>
      <c r="G199" s="25">
        <f>IFERROR(VLOOKUP(C199,'[18]ENE-OCT 2021'!$B$3:$D$225,3,FALSE),0)</f>
        <v>0</v>
      </c>
      <c r="H199" s="25"/>
      <c r="I199" s="25">
        <v>0</v>
      </c>
      <c r="J199" s="25">
        <f>(IFERROR(VLOOKUP(C199,'[19]2020'!$D$2:$I$227,6,FALSE),0)*-1)</f>
        <v>0</v>
      </c>
      <c r="K199" s="25">
        <f t="shared" si="20"/>
        <v>0</v>
      </c>
      <c r="L199" s="25"/>
      <c r="M199" s="27"/>
      <c r="N199" s="25">
        <v>0</v>
      </c>
      <c r="O199" s="25">
        <v>0</v>
      </c>
      <c r="P199" s="28">
        <v>0</v>
      </c>
      <c r="Q199" s="28">
        <v>0</v>
      </c>
      <c r="R199" s="29">
        <v>0</v>
      </c>
      <c r="S199" s="29" t="s">
        <v>1037</v>
      </c>
    </row>
    <row r="200" spans="2:19" outlineLevel="1" x14ac:dyDescent="0.25">
      <c r="B200" s="4" t="s">
        <v>1015</v>
      </c>
      <c r="C200" s="24" t="s">
        <v>1050</v>
      </c>
      <c r="D200" s="25">
        <f>IFERROR(VLOOKUP(C200,'[19]2020'!$B$3:$C$227,2,FALSE),0)</f>
        <v>7759735.7999999998</v>
      </c>
      <c r="E200" s="25">
        <v>0</v>
      </c>
      <c r="F200" s="31">
        <v>0</v>
      </c>
      <c r="G200" s="25">
        <f>IFERROR(VLOOKUP(C200,'[18]ENE-OCT 2021'!$B$3:$D$225,3,FALSE),0)</f>
        <v>0</v>
      </c>
      <c r="H200" s="25"/>
      <c r="I200" s="25">
        <v>0</v>
      </c>
      <c r="J200" s="25">
        <v>0</v>
      </c>
      <c r="K200" s="25">
        <f t="shared" si="20"/>
        <v>0</v>
      </c>
      <c r="L200" s="25"/>
      <c r="M200" s="27"/>
      <c r="N200" s="25">
        <v>0</v>
      </c>
      <c r="O200" s="25">
        <v>0</v>
      </c>
      <c r="P200" s="28">
        <v>0</v>
      </c>
      <c r="Q200" s="28">
        <v>0</v>
      </c>
      <c r="R200" s="29">
        <v>0</v>
      </c>
      <c r="S200" s="29" t="s">
        <v>1037</v>
      </c>
    </row>
    <row r="201" spans="2:19" outlineLevel="1" x14ac:dyDescent="0.25">
      <c r="B201" s="4" t="s">
        <v>1015</v>
      </c>
      <c r="C201" s="24" t="s">
        <v>1051</v>
      </c>
      <c r="D201" s="25">
        <f>IFERROR(VLOOKUP(C201,'[19]2020'!$B$3:$C$227,2,FALSE),0)</f>
        <v>4749997.58</v>
      </c>
      <c r="E201" s="25">
        <v>362000</v>
      </c>
      <c r="F201" s="31">
        <v>0</v>
      </c>
      <c r="G201" s="25">
        <f>IFERROR(VLOOKUP(C201,'[18]ENE-OCT 2021'!$B$3:$D$225,3,FALSE),0)</f>
        <v>0</v>
      </c>
      <c r="H201" s="25"/>
      <c r="I201" s="25">
        <v>0</v>
      </c>
      <c r="J201" s="25">
        <v>0</v>
      </c>
      <c r="K201" s="25">
        <f t="shared" si="20"/>
        <v>0</v>
      </c>
      <c r="L201" s="25"/>
      <c r="M201" s="27"/>
      <c r="N201" s="25">
        <v>0</v>
      </c>
      <c r="O201" s="25">
        <v>0</v>
      </c>
      <c r="P201" s="28">
        <v>0</v>
      </c>
      <c r="Q201" s="28">
        <v>0</v>
      </c>
      <c r="R201" s="29">
        <v>0</v>
      </c>
      <c r="S201" s="29" t="s">
        <v>1037</v>
      </c>
    </row>
    <row r="202" spans="2:19" outlineLevel="1" x14ac:dyDescent="0.25">
      <c r="B202" s="4" t="s">
        <v>1015</v>
      </c>
      <c r="C202" s="24" t="s">
        <v>1052</v>
      </c>
      <c r="D202" s="25">
        <f>IFERROR(VLOOKUP(C202,'[19]2020'!$B$3:$C$227,2,FALSE),0)</f>
        <v>7718296.5</v>
      </c>
      <c r="E202" s="25">
        <v>0</v>
      </c>
      <c r="F202" s="31">
        <v>0</v>
      </c>
      <c r="G202" s="25">
        <f>IFERROR(VLOOKUP(C202,'[18]ENE-OCT 2021'!$B$3:$D$225,3,FALSE),0)</f>
        <v>0</v>
      </c>
      <c r="H202" s="25"/>
      <c r="I202" s="25">
        <f>(IFERROR(VLOOKUP(C202,'[19]2020'!$D$2:$G$227,4,FALSE),0)*-1)</f>
        <v>0</v>
      </c>
      <c r="J202" s="25">
        <v>0</v>
      </c>
      <c r="K202" s="25">
        <f t="shared" si="20"/>
        <v>0</v>
      </c>
      <c r="L202" s="25"/>
      <c r="M202" s="27"/>
      <c r="N202" s="25">
        <v>0</v>
      </c>
      <c r="O202" s="25">
        <v>0</v>
      </c>
      <c r="P202" s="28">
        <v>0</v>
      </c>
      <c r="Q202" s="28">
        <v>0</v>
      </c>
      <c r="R202" s="29">
        <v>0</v>
      </c>
      <c r="S202" s="29" t="s">
        <v>1037</v>
      </c>
    </row>
    <row r="203" spans="2:19" outlineLevel="1" x14ac:dyDescent="0.25">
      <c r="B203" s="4" t="s">
        <v>1015</v>
      </c>
      <c r="C203" s="24" t="s">
        <v>1053</v>
      </c>
      <c r="D203" s="25">
        <f>IFERROR(VLOOKUP(C203,'[19]2020'!$B$3:$C$227,2,FALSE),0)</f>
        <v>10000000</v>
      </c>
      <c r="E203" s="25">
        <v>0</v>
      </c>
      <c r="F203" s="31">
        <v>0</v>
      </c>
      <c r="G203" s="25">
        <f>IFERROR(VLOOKUP(C203,'[18]ENE-OCT 2021'!$B$3:$D$225,3,FALSE),0)</f>
        <v>0</v>
      </c>
      <c r="H203" s="25"/>
      <c r="I203" s="25">
        <f>(IFERROR(VLOOKUP(C203,'[19]2020'!$D$2:$G$227,4,FALSE),0)*-1)</f>
        <v>0</v>
      </c>
      <c r="J203" s="25">
        <f>(IFERROR(VLOOKUP(C203,'[19]2020'!$D$2:$I$227,6,FALSE),0)*-1)</f>
        <v>0</v>
      </c>
      <c r="K203" s="25">
        <f t="shared" si="20"/>
        <v>0</v>
      </c>
      <c r="L203" s="25"/>
      <c r="M203" s="27"/>
      <c r="N203" s="25">
        <v>0</v>
      </c>
      <c r="O203" s="25">
        <v>0</v>
      </c>
      <c r="P203" s="28">
        <v>0</v>
      </c>
      <c r="Q203" s="28">
        <v>0</v>
      </c>
      <c r="R203" s="29">
        <v>0</v>
      </c>
      <c r="S203" s="29" t="s">
        <v>1037</v>
      </c>
    </row>
    <row r="204" spans="2:19" outlineLevel="1" x14ac:dyDescent="0.25">
      <c r="B204" s="4" t="s">
        <v>1015</v>
      </c>
      <c r="C204" s="24" t="s">
        <v>1054</v>
      </c>
      <c r="D204" s="25">
        <f>IFERROR(VLOOKUP(C204,'[19]2020'!$B$3:$C$227,2,FALSE),0)</f>
        <v>12539288.92</v>
      </c>
      <c r="E204" s="25">
        <v>0</v>
      </c>
      <c r="F204" s="31">
        <v>0</v>
      </c>
      <c r="G204" s="25">
        <f>IFERROR(VLOOKUP(C204,'[18]ENE-OCT 2021'!$B$3:$D$225,3,FALSE),0)</f>
        <v>0</v>
      </c>
      <c r="H204" s="25"/>
      <c r="I204" s="25">
        <v>0</v>
      </c>
      <c r="J204" s="25">
        <v>0</v>
      </c>
      <c r="K204" s="25">
        <f t="shared" si="20"/>
        <v>0</v>
      </c>
      <c r="L204" s="25"/>
      <c r="M204" s="27"/>
      <c r="N204" s="25">
        <v>0</v>
      </c>
      <c r="O204" s="25">
        <v>0</v>
      </c>
      <c r="P204" s="28">
        <v>0</v>
      </c>
      <c r="Q204" s="28">
        <v>0</v>
      </c>
      <c r="R204" s="29">
        <v>0</v>
      </c>
      <c r="S204" s="29" t="s">
        <v>1037</v>
      </c>
    </row>
    <row r="205" spans="2:19" outlineLevel="1" x14ac:dyDescent="0.25">
      <c r="B205" s="4" t="s">
        <v>1015</v>
      </c>
      <c r="C205" s="24" t="s">
        <v>1055</v>
      </c>
      <c r="D205" s="25">
        <f>IFERROR(VLOOKUP(C205,'[19]2020'!$B$3:$C$227,2,FALSE),0)</f>
        <v>1650000</v>
      </c>
      <c r="E205" s="25">
        <v>0</v>
      </c>
      <c r="F205" s="31">
        <v>0</v>
      </c>
      <c r="G205" s="25">
        <f>IFERROR(VLOOKUP(C205,'[18]ENE-OCT 2021'!$B$3:$D$225,3,FALSE),0)</f>
        <v>0</v>
      </c>
      <c r="H205" s="25"/>
      <c r="I205" s="25">
        <v>0</v>
      </c>
      <c r="J205" s="25">
        <v>0</v>
      </c>
      <c r="K205" s="25">
        <f t="shared" si="20"/>
        <v>0</v>
      </c>
      <c r="L205" s="25"/>
      <c r="M205" s="27"/>
      <c r="N205" s="25">
        <v>0</v>
      </c>
      <c r="O205" s="25">
        <v>0</v>
      </c>
      <c r="P205" s="28">
        <v>0</v>
      </c>
      <c r="Q205" s="28">
        <v>0</v>
      </c>
      <c r="R205" s="29">
        <v>0</v>
      </c>
      <c r="S205" s="29" t="s">
        <v>1037</v>
      </c>
    </row>
    <row r="206" spans="2:19" outlineLevel="1" x14ac:dyDescent="0.25">
      <c r="B206" s="4" t="s">
        <v>1015</v>
      </c>
      <c r="C206" s="24" t="s">
        <v>1056</v>
      </c>
      <c r="D206" s="25">
        <f>IFERROR(VLOOKUP(C206,'[19]2020'!$B$3:$C$227,2,FALSE),0)</f>
        <v>650000</v>
      </c>
      <c r="E206" s="25">
        <v>0</v>
      </c>
      <c r="F206" s="31">
        <v>0</v>
      </c>
      <c r="G206" s="25">
        <f>IFERROR(VLOOKUP(C206,'[18]ENE-OCT 2021'!$B$3:$D$225,3,FALSE),0)</f>
        <v>0</v>
      </c>
      <c r="H206" s="25"/>
      <c r="I206" s="25">
        <v>0</v>
      </c>
      <c r="J206" s="25">
        <f>(IFERROR(VLOOKUP(C206,'[19]2020'!$D$2:$I$227,6,FALSE),0)*-1)</f>
        <v>0</v>
      </c>
      <c r="K206" s="25">
        <f t="shared" si="20"/>
        <v>0</v>
      </c>
      <c r="L206" s="25"/>
      <c r="M206" s="27"/>
      <c r="N206" s="25">
        <v>0</v>
      </c>
      <c r="O206" s="25">
        <v>0</v>
      </c>
      <c r="P206" s="28">
        <v>0</v>
      </c>
      <c r="Q206" s="28">
        <v>0</v>
      </c>
      <c r="R206" s="29">
        <v>0</v>
      </c>
      <c r="S206" s="29" t="s">
        <v>1037</v>
      </c>
    </row>
    <row r="207" spans="2:19" outlineLevel="1" x14ac:dyDescent="0.25">
      <c r="B207" s="4" t="s">
        <v>1015</v>
      </c>
      <c r="C207" s="24" t="s">
        <v>1057</v>
      </c>
      <c r="D207" s="25">
        <f>IFERROR(VLOOKUP(C207,'[19]2020'!$B$3:$C$227,2,FALSE),0)</f>
        <v>0</v>
      </c>
      <c r="E207" s="25">
        <v>4645547.04</v>
      </c>
      <c r="F207" s="26">
        <v>-4645547.04</v>
      </c>
      <c r="G207" s="25">
        <f>IFERROR(VLOOKUP(C207,'[18]ENE-OCT 2021'!$B$3:$D$225,3,FALSE),0)</f>
        <v>1909812.8</v>
      </c>
      <c r="H207" s="25"/>
      <c r="I207" s="25">
        <f>(IFERROR(VLOOKUP(C207,'[19]2020'!$D$2:$G$227,4,FALSE),0)*-1)</f>
        <v>0</v>
      </c>
      <c r="J207" s="25">
        <f>+(F207*-1)-G207</f>
        <v>2735734.24</v>
      </c>
      <c r="K207" s="25">
        <f t="shared" si="20"/>
        <v>4645547.04</v>
      </c>
      <c r="L207" s="25"/>
      <c r="M207" s="27"/>
      <c r="N207" s="25">
        <f t="shared" si="14"/>
        <v>4645547.04</v>
      </c>
      <c r="O207" s="25">
        <v>-2735734.24</v>
      </c>
      <c r="P207" s="28">
        <v>0</v>
      </c>
      <c r="Q207" s="28">
        <v>0</v>
      </c>
      <c r="R207" s="29">
        <v>0</v>
      </c>
      <c r="S207" s="29" t="s">
        <v>1037</v>
      </c>
    </row>
    <row r="208" spans="2:19" outlineLevel="1" x14ac:dyDescent="0.25">
      <c r="B208" s="4" t="s">
        <v>1015</v>
      </c>
      <c r="C208" s="24" t="s">
        <v>1058</v>
      </c>
      <c r="D208" s="25">
        <f>IFERROR(VLOOKUP(C208,'[19]2020'!$B$3:$C$227,2,FALSE),0)</f>
        <v>0</v>
      </c>
      <c r="E208" s="25">
        <v>300000</v>
      </c>
      <c r="F208" s="26">
        <v>-300000</v>
      </c>
      <c r="G208" s="25">
        <f>IFERROR(VLOOKUP(C208,'[18]ENE-OCT 2021'!$B$3:$D$225,3,FALSE),0)</f>
        <v>0</v>
      </c>
      <c r="H208" s="25"/>
      <c r="I208" s="25">
        <f>(IFERROR(VLOOKUP(C208,'[19]2020'!$D$2:$G$227,4,FALSE),0)*-1)</f>
        <v>0</v>
      </c>
      <c r="J208" s="25">
        <v>300000</v>
      </c>
      <c r="K208" s="25">
        <f t="shared" si="20"/>
        <v>300000</v>
      </c>
      <c r="L208" s="25"/>
      <c r="M208" s="27"/>
      <c r="N208" s="25">
        <f t="shared" si="14"/>
        <v>300000</v>
      </c>
      <c r="O208" s="25">
        <v>-300000</v>
      </c>
      <c r="P208" s="28">
        <v>0</v>
      </c>
      <c r="Q208" s="28">
        <v>0</v>
      </c>
      <c r="R208" s="51">
        <v>500000</v>
      </c>
      <c r="S208" s="51" t="s">
        <v>1037</v>
      </c>
    </row>
    <row r="209" spans="2:19" outlineLevel="1" x14ac:dyDescent="0.25">
      <c r="B209" s="4" t="s">
        <v>1015</v>
      </c>
      <c r="C209" s="24" t="s">
        <v>1059</v>
      </c>
      <c r="D209" s="25">
        <f>IFERROR(VLOOKUP(C209,'[19]2020'!$B$3:$C$227,2,FALSE),0)</f>
        <v>300000</v>
      </c>
      <c r="E209" s="25">
        <v>0</v>
      </c>
      <c r="F209" s="26">
        <v>0</v>
      </c>
      <c r="G209" s="25">
        <f>IFERROR(VLOOKUP(C209,'[18]ENE-OCT 2021'!$B$3:$D$225,3,FALSE),0)</f>
        <v>0</v>
      </c>
      <c r="H209" s="25"/>
      <c r="I209" s="25">
        <f>(IFERROR(VLOOKUP(C209,'[19]2020'!$D$2:$G$227,4,FALSE),0)*-1)</f>
        <v>0</v>
      </c>
      <c r="J209" s="25">
        <v>0</v>
      </c>
      <c r="K209" s="25">
        <f t="shared" si="20"/>
        <v>0</v>
      </c>
      <c r="L209" s="25"/>
      <c r="M209" s="27"/>
      <c r="N209" s="25">
        <v>0</v>
      </c>
      <c r="O209" s="25">
        <v>0</v>
      </c>
      <c r="P209" s="28">
        <v>0</v>
      </c>
      <c r="Q209" s="28">
        <v>0</v>
      </c>
      <c r="R209" s="29">
        <v>0</v>
      </c>
      <c r="S209" s="29" t="s">
        <v>1037</v>
      </c>
    </row>
    <row r="210" spans="2:19" outlineLevel="1" x14ac:dyDescent="0.25">
      <c r="B210" s="4" t="s">
        <v>1015</v>
      </c>
      <c r="C210" s="24" t="s">
        <v>1060</v>
      </c>
      <c r="D210" s="25">
        <f>IFERROR(VLOOKUP(C210,'[19]2020'!$B$3:$C$227,2,FALSE),0)</f>
        <v>0</v>
      </c>
      <c r="E210" s="25">
        <v>1590624</v>
      </c>
      <c r="F210" s="31">
        <v>0</v>
      </c>
      <c r="G210" s="25">
        <f>IFERROR(VLOOKUP(C210,'[18]ENE-OCT 2021'!$B$3:$D$225,3,FALSE),0)</f>
        <v>0</v>
      </c>
      <c r="H210" s="25"/>
      <c r="I210" s="25">
        <f>(IFERROR(VLOOKUP(C210,'[19]2020'!$D$2:$G$227,4,FALSE),0)*-1)</f>
        <v>0</v>
      </c>
      <c r="J210" s="25">
        <f>(IFERROR(VLOOKUP(C210,'[19]2020'!$D$2:$I$227,6,FALSE),0)*-1)</f>
        <v>0</v>
      </c>
      <c r="K210" s="25">
        <f t="shared" si="20"/>
        <v>0</v>
      </c>
      <c r="L210" s="25"/>
      <c r="M210" s="27"/>
      <c r="N210" s="25">
        <f t="shared" si="14"/>
        <v>0</v>
      </c>
      <c r="O210" s="25">
        <v>0</v>
      </c>
      <c r="P210" s="28">
        <v>0</v>
      </c>
      <c r="Q210" s="28">
        <v>0</v>
      </c>
      <c r="R210" s="29">
        <f>IF(M210=1,(N210*1.0395),N210)</f>
        <v>0</v>
      </c>
      <c r="S210" s="29" t="s">
        <v>1037</v>
      </c>
    </row>
    <row r="211" spans="2:19" outlineLevel="1" x14ac:dyDescent="0.25">
      <c r="B211" s="4" t="s">
        <v>1015</v>
      </c>
      <c r="C211" s="24" t="s">
        <v>1061</v>
      </c>
      <c r="D211" s="25">
        <f>IFERROR(VLOOKUP(C211,'[19]2020'!$B$3:$C$227,2,FALSE),0)</f>
        <v>0</v>
      </c>
      <c r="E211" s="25">
        <v>1010000</v>
      </c>
      <c r="F211" s="31">
        <v>0</v>
      </c>
      <c r="G211" s="25">
        <f>IFERROR(VLOOKUP(C211,'[18]ENE-OCT 2021'!$B$3:$D$225,3,FALSE),0)</f>
        <v>0</v>
      </c>
      <c r="H211" s="25"/>
      <c r="I211" s="25">
        <f>(IFERROR(VLOOKUP(C211,'[19]2020'!$D$2:$G$227,4,FALSE),0)*-1)</f>
        <v>0</v>
      </c>
      <c r="J211" s="25">
        <f>(IFERROR(VLOOKUP(C211,'[19]2020'!$D$2:$I$227,6,FALSE),0)*-1)</f>
        <v>0</v>
      </c>
      <c r="K211" s="25">
        <f t="shared" si="20"/>
        <v>0</v>
      </c>
      <c r="L211" s="25"/>
      <c r="M211" s="27"/>
      <c r="N211" s="25">
        <f t="shared" si="14"/>
        <v>0</v>
      </c>
      <c r="O211" s="25">
        <v>0</v>
      </c>
      <c r="P211" s="28">
        <v>0</v>
      </c>
      <c r="Q211" s="28">
        <v>0</v>
      </c>
      <c r="R211" s="29">
        <f>IF(M211=1,(N211*1.0395),N211)</f>
        <v>0</v>
      </c>
      <c r="S211" s="29" t="s">
        <v>1037</v>
      </c>
    </row>
    <row r="212" spans="2:19" outlineLevel="1" x14ac:dyDescent="0.25">
      <c r="B212" s="4" t="s">
        <v>1015</v>
      </c>
      <c r="C212" s="24" t="s">
        <v>1062</v>
      </c>
      <c r="D212" s="25">
        <f>IFERROR(VLOOKUP(C212,'[19]2020'!$B$3:$C$227,2,FALSE),0)</f>
        <v>0</v>
      </c>
      <c r="E212" s="25">
        <v>165000</v>
      </c>
      <c r="F212" s="31">
        <v>0</v>
      </c>
      <c r="G212" s="25">
        <f>IFERROR(VLOOKUP(C212,'[18]ENE-OCT 2021'!$B$3:$D$225,3,FALSE),0)</f>
        <v>0</v>
      </c>
      <c r="H212" s="25"/>
      <c r="I212" s="25">
        <f>(IFERROR(VLOOKUP(C212,'[19]2020'!$D$2:$G$227,4,FALSE),0)*-1)</f>
        <v>0</v>
      </c>
      <c r="J212" s="25">
        <f>(IFERROR(VLOOKUP(C212,'[19]2020'!$D$2:$I$227,6,FALSE),0)*-1)</f>
        <v>0</v>
      </c>
      <c r="K212" s="25">
        <f t="shared" si="20"/>
        <v>0</v>
      </c>
      <c r="L212" s="25"/>
      <c r="M212" s="27"/>
      <c r="N212" s="25">
        <f t="shared" si="14"/>
        <v>0</v>
      </c>
      <c r="O212" s="25">
        <v>0</v>
      </c>
      <c r="P212" s="28">
        <v>0</v>
      </c>
      <c r="Q212" s="28">
        <v>0</v>
      </c>
      <c r="R212" s="29">
        <f>IF(M212=1,(N212*1.0395),N212)</f>
        <v>0</v>
      </c>
      <c r="S212" s="29" t="s">
        <v>1037</v>
      </c>
    </row>
    <row r="213" spans="2:19" outlineLevel="1" x14ac:dyDescent="0.25">
      <c r="B213" s="4" t="s">
        <v>1015</v>
      </c>
      <c r="C213" s="24" t="s">
        <v>1063</v>
      </c>
      <c r="D213" s="25">
        <f>IFERROR(VLOOKUP(C213,'[19]2020'!$B$3:$C$227,2,FALSE),0)</f>
        <v>0</v>
      </c>
      <c r="E213" s="25">
        <v>0</v>
      </c>
      <c r="F213" s="26">
        <v>-10149826.5</v>
      </c>
      <c r="G213" s="25">
        <f>IFERROR(VLOOKUP(C213,'[18]ENE-OCT 2021'!$B$3:$D$225,3,FALSE),0)</f>
        <v>9164918.0399999991</v>
      </c>
      <c r="H213" s="25"/>
      <c r="I213" s="25">
        <f>(IFERROR(VLOOKUP(C213,'[19]2020'!$D$2:$G$227,4,FALSE),0)*-1)</f>
        <v>0</v>
      </c>
      <c r="J213" s="25">
        <f>+(F213*-1)-G213</f>
        <v>984908.46000000089</v>
      </c>
      <c r="K213" s="25">
        <f t="shared" si="20"/>
        <v>10149826.5</v>
      </c>
      <c r="L213" s="25"/>
      <c r="M213" s="27"/>
      <c r="N213" s="25">
        <f t="shared" si="14"/>
        <v>10149826.5</v>
      </c>
      <c r="O213" s="25">
        <v>-7596836.0199999996</v>
      </c>
      <c r="P213" s="28">
        <v>0</v>
      </c>
      <c r="Q213" s="28">
        <v>0</v>
      </c>
      <c r="R213" s="29">
        <v>0</v>
      </c>
      <c r="S213" s="29" t="s">
        <v>1037</v>
      </c>
    </row>
    <row r="214" spans="2:19" outlineLevel="1" x14ac:dyDescent="0.25">
      <c r="B214" s="4" t="s">
        <v>1015</v>
      </c>
      <c r="C214" s="24" t="s">
        <v>1064</v>
      </c>
      <c r="D214" s="25">
        <f>IFERROR(VLOOKUP(C214,'[19]2020'!$B$3:$C$227,2,FALSE),0)</f>
        <v>0</v>
      </c>
      <c r="E214" s="25">
        <v>0</v>
      </c>
      <c r="F214" s="26">
        <v>-5000000</v>
      </c>
      <c r="G214" s="25">
        <f>IFERROR(VLOOKUP(C214,'[18]ENE-OCT 2021'!$B$3:$D$225,3,FALSE),0)</f>
        <v>1333592.82</v>
      </c>
      <c r="H214" s="25"/>
      <c r="I214" s="25">
        <f>(IFERROR(VLOOKUP(C214,'[19]2020'!$D$2:$G$227,4,FALSE),0)*-1)</f>
        <v>0</v>
      </c>
      <c r="J214" s="25">
        <f>+(F214*-1)-G214</f>
        <v>3666407.1799999997</v>
      </c>
      <c r="K214" s="25">
        <f t="shared" si="20"/>
        <v>5000000</v>
      </c>
      <c r="L214" s="25"/>
      <c r="M214" s="27"/>
      <c r="N214" s="25">
        <f t="shared" si="14"/>
        <v>5000000</v>
      </c>
      <c r="O214" s="25">
        <v>-4217641.49</v>
      </c>
      <c r="P214" s="28">
        <v>0</v>
      </c>
      <c r="Q214" s="28">
        <v>0</v>
      </c>
      <c r="R214" s="29">
        <v>0</v>
      </c>
      <c r="S214" s="29" t="s">
        <v>1037</v>
      </c>
    </row>
    <row r="215" spans="2:19" outlineLevel="1" x14ac:dyDescent="0.25">
      <c r="B215" s="4" t="s">
        <v>1015</v>
      </c>
      <c r="C215" s="24" t="s">
        <v>1065</v>
      </c>
      <c r="D215" s="25">
        <f>IFERROR(VLOOKUP(C215,'[19]2020'!$B$3:$C$227,2,FALSE),0)</f>
        <v>0</v>
      </c>
      <c r="E215" s="25">
        <v>0</v>
      </c>
      <c r="F215" s="26">
        <v>-617797.85</v>
      </c>
      <c r="G215" s="25">
        <f>IFERROR(VLOOKUP(C215,'[18]ENE-OCT 2021'!$B$3:$D$225,3,FALSE),0)</f>
        <v>0</v>
      </c>
      <c r="H215" s="25"/>
      <c r="I215" s="25">
        <f>(IFERROR(VLOOKUP(C215,'[19]2020'!$D$2:$G$227,4,FALSE),0)*-1)</f>
        <v>0</v>
      </c>
      <c r="J215" s="25">
        <f>F215*-1</f>
        <v>617797.85</v>
      </c>
      <c r="K215" s="25">
        <f t="shared" si="20"/>
        <v>617797.85</v>
      </c>
      <c r="L215" s="25"/>
      <c r="M215" s="27"/>
      <c r="N215" s="25">
        <f t="shared" si="14"/>
        <v>617797.85</v>
      </c>
      <c r="O215" s="25">
        <v>-617797.85</v>
      </c>
      <c r="P215" s="28">
        <v>0</v>
      </c>
      <c r="Q215" s="28">
        <v>0</v>
      </c>
      <c r="R215" s="29">
        <v>0</v>
      </c>
      <c r="S215" s="29" t="s">
        <v>1037</v>
      </c>
    </row>
    <row r="216" spans="2:19" outlineLevel="1" x14ac:dyDescent="0.25">
      <c r="B216" s="4" t="s">
        <v>1015</v>
      </c>
      <c r="C216" s="24" t="s">
        <v>1066</v>
      </c>
      <c r="D216" s="25">
        <f>IFERROR(VLOOKUP(C216,'[19]2020'!$B$3:$C$227,2,FALSE),0)</f>
        <v>0</v>
      </c>
      <c r="E216" s="25">
        <v>0</v>
      </c>
      <c r="F216" s="26">
        <v>-12819101.529999999</v>
      </c>
      <c r="G216" s="25">
        <f>IFERROR(VLOOKUP(C216,'[18]ENE-OCT 2021'!$B$3:$D$225,3,FALSE),0)</f>
        <v>0</v>
      </c>
      <c r="H216" s="25"/>
      <c r="I216" s="25">
        <f>(IFERROR(VLOOKUP(C216,'[19]2020'!$D$2:$G$227,4,FALSE),0)*-1)</f>
        <v>0</v>
      </c>
      <c r="J216" s="25">
        <f>F216*-1</f>
        <v>12819101.529999999</v>
      </c>
      <c r="K216" s="25">
        <f t="shared" si="20"/>
        <v>12819101.529999999</v>
      </c>
      <c r="L216" s="25"/>
      <c r="M216" s="27"/>
      <c r="N216" s="25">
        <f t="shared" si="14"/>
        <v>12819101.529999999</v>
      </c>
      <c r="O216" s="25">
        <v>-12819101.529999999</v>
      </c>
      <c r="P216" s="28">
        <v>0</v>
      </c>
      <c r="Q216" s="28">
        <v>0</v>
      </c>
      <c r="R216" s="29">
        <v>0</v>
      </c>
      <c r="S216" s="29" t="s">
        <v>1037</v>
      </c>
    </row>
    <row r="217" spans="2:19" outlineLevel="1" x14ac:dyDescent="0.25">
      <c r="B217" s="4" t="s">
        <v>1015</v>
      </c>
      <c r="C217" s="24" t="s">
        <v>1067</v>
      </c>
      <c r="D217" s="25">
        <f>IFERROR(VLOOKUP(C217,'[19]2020'!$B$3:$C$227,2,FALSE),0)</f>
        <v>0</v>
      </c>
      <c r="E217" s="25">
        <v>0</v>
      </c>
      <c r="F217" s="26">
        <v>-153728.09</v>
      </c>
      <c r="G217" s="25">
        <f>IFERROR(VLOOKUP(C217,'[18]ENE-OCT 2021'!$B$3:$D$225,3,FALSE),0)</f>
        <v>0</v>
      </c>
      <c r="H217" s="25"/>
      <c r="I217" s="25">
        <f>(IFERROR(VLOOKUP(C217,'[19]2020'!$D$2:$G$227,4,FALSE),0)*-1)</f>
        <v>0</v>
      </c>
      <c r="J217" s="25">
        <f>F217*-1</f>
        <v>153728.09</v>
      </c>
      <c r="K217" s="25">
        <f t="shared" si="20"/>
        <v>153728.09</v>
      </c>
      <c r="L217" s="25"/>
      <c r="M217" s="27"/>
      <c r="N217" s="25">
        <f t="shared" si="14"/>
        <v>153728.09</v>
      </c>
      <c r="O217" s="25">
        <v>-153728.09</v>
      </c>
      <c r="P217" s="28">
        <v>0</v>
      </c>
      <c r="Q217" s="28">
        <v>0</v>
      </c>
      <c r="R217" s="29">
        <v>0</v>
      </c>
      <c r="S217" s="29" t="s">
        <v>1037</v>
      </c>
    </row>
    <row r="218" spans="2:19" outlineLevel="1" x14ac:dyDescent="0.25">
      <c r="B218" s="4" t="s">
        <v>1015</v>
      </c>
      <c r="C218" s="24" t="s">
        <v>1068</v>
      </c>
      <c r="D218" s="25">
        <f>IFERROR(VLOOKUP(C218,'[19]2020'!$B$3:$C$227,2,FALSE),0)</f>
        <v>0</v>
      </c>
      <c r="E218" s="25">
        <v>0</v>
      </c>
      <c r="F218" s="26">
        <v>-2634960</v>
      </c>
      <c r="G218" s="25">
        <f>IFERROR(VLOOKUP(C218,'[18]ENE-OCT 2021'!$B$3:$D$225,3,FALSE),0)</f>
        <v>0</v>
      </c>
      <c r="H218" s="25"/>
      <c r="I218" s="25">
        <f>(IFERROR(VLOOKUP(C218,'[19]2020'!$D$2:$G$227,4,FALSE),0)*-1)</f>
        <v>0</v>
      </c>
      <c r="J218" s="25">
        <f>F218*-1</f>
        <v>2634960</v>
      </c>
      <c r="K218" s="25">
        <f t="shared" si="20"/>
        <v>2634960</v>
      </c>
      <c r="L218" s="25"/>
      <c r="M218" s="27"/>
      <c r="N218" s="25">
        <f t="shared" si="14"/>
        <v>2634960</v>
      </c>
      <c r="O218" s="25">
        <v>-2634960</v>
      </c>
      <c r="P218" s="28">
        <v>0</v>
      </c>
      <c r="Q218" s="28">
        <v>0</v>
      </c>
      <c r="R218" s="29">
        <v>0</v>
      </c>
      <c r="S218" s="29" t="s">
        <v>1037</v>
      </c>
    </row>
    <row r="219" spans="2:19" outlineLevel="1" x14ac:dyDescent="0.25">
      <c r="B219" s="4" t="s">
        <v>1015</v>
      </c>
      <c r="C219" s="24" t="s">
        <v>1069</v>
      </c>
      <c r="D219" s="25">
        <f>IFERROR(VLOOKUP(C219,'[19]2020'!$B$3:$C$227,2,FALSE),0)</f>
        <v>0</v>
      </c>
      <c r="E219" s="25">
        <v>0</v>
      </c>
      <c r="F219" s="26">
        <v>-42372356.259999998</v>
      </c>
      <c r="G219" s="25">
        <f>IFERROR(VLOOKUP(C219,'[18]ENE-OCT 2021'!$B$3:$D$225,3,FALSE),0)</f>
        <v>19283268.82</v>
      </c>
      <c r="H219" s="25"/>
      <c r="I219" s="25">
        <f>(IFERROR(VLOOKUP(C219,'[19]2020'!$D$2:$G$227,4,FALSE),0)*-1)</f>
        <v>0</v>
      </c>
      <c r="J219" s="25">
        <f>+(F219*-1)-G219</f>
        <v>23089087.439999998</v>
      </c>
      <c r="K219" s="25">
        <f t="shared" si="20"/>
        <v>42372356.259999998</v>
      </c>
      <c r="L219" s="25"/>
      <c r="M219" s="27"/>
      <c r="N219" s="25">
        <f t="shared" si="14"/>
        <v>42372356.259999998</v>
      </c>
      <c r="O219" s="25">
        <v>-28344517.960000001</v>
      </c>
      <c r="P219" s="28">
        <v>0</v>
      </c>
      <c r="Q219" s="28">
        <v>0</v>
      </c>
      <c r="R219" s="29">
        <v>0</v>
      </c>
      <c r="S219" s="29" t="s">
        <v>1037</v>
      </c>
    </row>
    <row r="220" spans="2:19" outlineLevel="1" x14ac:dyDescent="0.25">
      <c r="B220" s="4" t="s">
        <v>1015</v>
      </c>
      <c r="C220" s="24" t="s">
        <v>1070</v>
      </c>
      <c r="D220" s="25">
        <f>IFERROR(VLOOKUP(C220,'[19]2020'!$B$3:$C$227,2,FALSE),0)</f>
        <v>0</v>
      </c>
      <c r="E220" s="25">
        <v>0</v>
      </c>
      <c r="F220" s="26">
        <v>-900000</v>
      </c>
      <c r="G220" s="25">
        <f>IFERROR(VLOOKUP(C220,'[18]ENE-OCT 2021'!$B$3:$D$225,3,FALSE),0)</f>
        <v>0</v>
      </c>
      <c r="H220" s="25"/>
      <c r="I220" s="25">
        <f>(IFERROR(VLOOKUP(C220,'[19]2020'!$D$2:$G$227,4,FALSE),0)*-1)</f>
        <v>0</v>
      </c>
      <c r="J220" s="25">
        <f>F220*-1</f>
        <v>900000</v>
      </c>
      <c r="K220" s="25">
        <f t="shared" si="20"/>
        <v>900000</v>
      </c>
      <c r="L220" s="25"/>
      <c r="M220" s="27"/>
      <c r="N220" s="25">
        <f t="shared" si="14"/>
        <v>900000</v>
      </c>
      <c r="O220" s="25">
        <v>-900000</v>
      </c>
      <c r="P220" s="28">
        <v>0</v>
      </c>
      <c r="Q220" s="28">
        <v>0</v>
      </c>
      <c r="R220" s="29">
        <v>0</v>
      </c>
      <c r="S220" s="29" t="s">
        <v>1037</v>
      </c>
    </row>
    <row r="221" spans="2:19" outlineLevel="1" x14ac:dyDescent="0.25">
      <c r="B221" s="4" t="s">
        <v>1015</v>
      </c>
      <c r="C221" s="24" t="s">
        <v>1071</v>
      </c>
      <c r="D221" s="25">
        <f>IFERROR(VLOOKUP(C221,'[19]2020'!$B$3:$C$227,2,FALSE),0)</f>
        <v>0</v>
      </c>
      <c r="E221" s="25">
        <v>0</v>
      </c>
      <c r="F221" s="26">
        <v>-2092280.39</v>
      </c>
      <c r="G221" s="25">
        <f>IFERROR(VLOOKUP(C221,'[18]ENE-OCT 2021'!$B$3:$D$225,3,FALSE),0)</f>
        <v>2085216</v>
      </c>
      <c r="H221" s="25"/>
      <c r="I221" s="25">
        <f>(IFERROR(VLOOKUP(C221,'[19]2020'!$D$2:$G$227,4,FALSE),0)*-1)</f>
        <v>0</v>
      </c>
      <c r="J221" s="25">
        <f>+(F221*-1)-G221</f>
        <v>7064.3899999998976</v>
      </c>
      <c r="K221" s="25">
        <f t="shared" si="20"/>
        <v>2092280.39</v>
      </c>
      <c r="L221" s="25"/>
      <c r="M221" s="27"/>
      <c r="N221" s="25">
        <f t="shared" si="14"/>
        <v>2092280.39</v>
      </c>
      <c r="O221" s="25">
        <v>-7064.39</v>
      </c>
      <c r="P221" s="28">
        <v>0</v>
      </c>
      <c r="Q221" s="28">
        <v>0</v>
      </c>
      <c r="R221" s="29">
        <v>0</v>
      </c>
      <c r="S221" s="29" t="s">
        <v>1037</v>
      </c>
    </row>
    <row r="222" spans="2:19" outlineLevel="1" x14ac:dyDescent="0.25">
      <c r="B222" s="4" t="s">
        <v>1015</v>
      </c>
      <c r="C222" s="24" t="s">
        <v>1072</v>
      </c>
      <c r="D222" s="25">
        <f>IFERROR(VLOOKUP(C222,'[19]2020'!$B$3:$C$227,2,FALSE),0)</f>
        <v>0</v>
      </c>
      <c r="E222" s="25">
        <v>0</v>
      </c>
      <c r="F222" s="26">
        <v>-1107549</v>
      </c>
      <c r="G222" s="25">
        <f>IFERROR(VLOOKUP(C222,'[18]ENE-OCT 2021'!$B$3:$D$225,3,FALSE),0)</f>
        <v>1050459</v>
      </c>
      <c r="H222" s="25"/>
      <c r="I222" s="25">
        <f>(IFERROR(VLOOKUP(C222,'[19]2020'!$D$2:$G$227,4,FALSE),0)*-1)</f>
        <v>0</v>
      </c>
      <c r="J222" s="25">
        <f>+(F222*-1)-G222</f>
        <v>57090</v>
      </c>
      <c r="K222" s="25">
        <f t="shared" si="20"/>
        <v>1107549</v>
      </c>
      <c r="L222" s="25"/>
      <c r="M222" s="27"/>
      <c r="N222" s="25">
        <f t="shared" si="14"/>
        <v>1107549</v>
      </c>
      <c r="O222" s="25">
        <v>-57090</v>
      </c>
      <c r="P222" s="28">
        <v>0</v>
      </c>
      <c r="Q222" s="28">
        <v>0</v>
      </c>
      <c r="R222" s="29">
        <v>0</v>
      </c>
      <c r="S222" s="29" t="s">
        <v>1037</v>
      </c>
    </row>
    <row r="223" spans="2:19" outlineLevel="1" x14ac:dyDescent="0.25">
      <c r="B223" s="4" t="s">
        <v>1015</v>
      </c>
      <c r="C223" s="24" t="s">
        <v>1073</v>
      </c>
      <c r="D223" s="25">
        <f>IFERROR(VLOOKUP(C223,'[19]2020'!$B$3:$C$227,2,FALSE),0)</f>
        <v>0</v>
      </c>
      <c r="E223" s="25">
        <v>0</v>
      </c>
      <c r="F223" s="26">
        <v>-13000000</v>
      </c>
      <c r="G223" s="25">
        <f>IFERROR(VLOOKUP(C223,'[18]ENE-OCT 2021'!$B$3:$D$225,3,FALSE),0)</f>
        <v>1971380.78</v>
      </c>
      <c r="H223" s="25"/>
      <c r="I223" s="25">
        <f>(IFERROR(VLOOKUP(C223,'[19]2020'!$D$2:$G$227,4,FALSE),0)*-1)</f>
        <v>0</v>
      </c>
      <c r="J223" s="25">
        <f>+(F223*-1)-G223</f>
        <v>11028619.220000001</v>
      </c>
      <c r="K223" s="25">
        <f t="shared" si="20"/>
        <v>13000000</v>
      </c>
      <c r="L223" s="25"/>
      <c r="M223" s="27"/>
      <c r="N223" s="25">
        <f t="shared" si="14"/>
        <v>13000000</v>
      </c>
      <c r="O223" s="25">
        <v>-13000000</v>
      </c>
      <c r="P223" s="28">
        <v>0</v>
      </c>
      <c r="Q223" s="28">
        <v>0</v>
      </c>
      <c r="R223" s="29">
        <v>0</v>
      </c>
      <c r="S223" s="29" t="s">
        <v>1037</v>
      </c>
    </row>
    <row r="224" spans="2:19" outlineLevel="1" x14ac:dyDescent="0.25">
      <c r="B224" s="4" t="s">
        <v>1015</v>
      </c>
      <c r="C224" s="24" t="s">
        <v>1074</v>
      </c>
      <c r="D224" s="25">
        <f>IFERROR(VLOOKUP(C224,'[19]2020'!$B$3:$C$227,2,FALSE),0)</f>
        <v>0</v>
      </c>
      <c r="E224" s="25">
        <v>0</v>
      </c>
      <c r="F224" s="26">
        <v>-350000</v>
      </c>
      <c r="G224" s="25">
        <f>IFERROR(VLOOKUP(C224,'[18]ENE-OCT 2021'!$B$3:$D$225,3,FALSE),0)</f>
        <v>0</v>
      </c>
      <c r="H224" s="25"/>
      <c r="I224" s="25">
        <f>(IFERROR(VLOOKUP(C224,'[19]2020'!$D$2:$G$227,4,FALSE),0)*-1)</f>
        <v>0</v>
      </c>
      <c r="J224" s="25">
        <f>F224*-1</f>
        <v>350000</v>
      </c>
      <c r="K224" s="25">
        <f t="shared" si="20"/>
        <v>350000</v>
      </c>
      <c r="L224" s="25"/>
      <c r="M224" s="27"/>
      <c r="N224" s="25">
        <f t="shared" ref="N224:N255" si="21">K224</f>
        <v>350000</v>
      </c>
      <c r="O224" s="25">
        <v>-350000</v>
      </c>
      <c r="P224" s="28">
        <v>0</v>
      </c>
      <c r="Q224" s="28">
        <v>0</v>
      </c>
      <c r="R224" s="29">
        <v>0</v>
      </c>
      <c r="S224" s="29" t="s">
        <v>1037</v>
      </c>
    </row>
    <row r="225" spans="2:19" outlineLevel="1" x14ac:dyDescent="0.25">
      <c r="B225" s="4" t="s">
        <v>1015</v>
      </c>
      <c r="C225" s="24" t="s">
        <v>1075</v>
      </c>
      <c r="D225" s="25">
        <f>IFERROR(VLOOKUP(C225,'[19]2020'!$B$3:$C$227,2,FALSE),0)</f>
        <v>0</v>
      </c>
      <c r="E225" s="25">
        <v>0</v>
      </c>
      <c r="F225" s="26">
        <v>-250000</v>
      </c>
      <c r="G225" s="25">
        <f>IFERROR(VLOOKUP(C225,'[18]ENE-OCT 2021'!$B$3:$D$225,3,FALSE),0)</f>
        <v>0</v>
      </c>
      <c r="H225" s="25"/>
      <c r="I225" s="25">
        <f>(IFERROR(VLOOKUP(C225,'[19]2020'!$D$2:$G$227,4,FALSE),0)*-1)</f>
        <v>0</v>
      </c>
      <c r="J225" s="25">
        <f>F225*-1</f>
        <v>250000</v>
      </c>
      <c r="K225" s="25">
        <f t="shared" si="20"/>
        <v>250000</v>
      </c>
      <c r="L225" s="25"/>
      <c r="M225" s="27"/>
      <c r="N225" s="25">
        <f t="shared" si="21"/>
        <v>250000</v>
      </c>
      <c r="O225" s="25">
        <v>-250000</v>
      </c>
      <c r="P225" s="28">
        <v>0</v>
      </c>
      <c r="Q225" s="28">
        <v>0</v>
      </c>
      <c r="R225" s="29">
        <v>0</v>
      </c>
      <c r="S225" s="29" t="s">
        <v>1037</v>
      </c>
    </row>
    <row r="226" spans="2:19" outlineLevel="1" x14ac:dyDescent="0.25">
      <c r="B226" s="4" t="s">
        <v>1015</v>
      </c>
      <c r="C226" s="24" t="s">
        <v>1076</v>
      </c>
      <c r="D226" s="25">
        <f>IFERROR(VLOOKUP(C226,'[19]2020'!$B$3:$C$227,2,FALSE),0)</f>
        <v>0</v>
      </c>
      <c r="E226" s="25">
        <v>0</v>
      </c>
      <c r="F226" s="26">
        <v>-250000</v>
      </c>
      <c r="G226" s="25">
        <f>IFERROR(VLOOKUP(C226,'[18]ENE-OCT 2021'!$B$3:$D$225,3,FALSE),0)</f>
        <v>0</v>
      </c>
      <c r="H226" s="25"/>
      <c r="I226" s="25">
        <f>(IFERROR(VLOOKUP(C226,'[19]2020'!$D$2:$G$227,4,FALSE),0)*-1)</f>
        <v>0</v>
      </c>
      <c r="J226" s="25">
        <f>F226*-1</f>
        <v>250000</v>
      </c>
      <c r="K226" s="25">
        <f t="shared" si="20"/>
        <v>250000</v>
      </c>
      <c r="L226" s="25"/>
      <c r="M226" s="27"/>
      <c r="N226" s="25">
        <f t="shared" si="21"/>
        <v>250000</v>
      </c>
      <c r="O226" s="25">
        <v>-250000</v>
      </c>
      <c r="P226" s="28">
        <v>0</v>
      </c>
      <c r="Q226" s="28">
        <v>0</v>
      </c>
      <c r="R226" s="29">
        <v>0</v>
      </c>
      <c r="S226" s="29" t="s">
        <v>1037</v>
      </c>
    </row>
    <row r="227" spans="2:19" outlineLevel="1" x14ac:dyDescent="0.25">
      <c r="B227" s="4" t="s">
        <v>1015</v>
      </c>
      <c r="C227" s="24" t="s">
        <v>1077</v>
      </c>
      <c r="D227" s="25">
        <f>IFERROR(VLOOKUP(C227,'[19]2020'!$B$3:$C$227,2,FALSE),0)</f>
        <v>0</v>
      </c>
      <c r="E227" s="25">
        <v>0</v>
      </c>
      <c r="F227" s="26">
        <v>-2204000</v>
      </c>
      <c r="G227" s="25">
        <f>IFERROR(VLOOKUP(C227,'[18]ENE-OCT 2021'!$B$3:$D$225,3,FALSE),0)</f>
        <v>0</v>
      </c>
      <c r="H227" s="25"/>
      <c r="I227" s="25">
        <f>(IFERROR(VLOOKUP(C227,'[19]2020'!$D$2:$G$227,4,FALSE),0)*-1)</f>
        <v>0</v>
      </c>
      <c r="J227" s="25">
        <f>F227*-1</f>
        <v>2204000</v>
      </c>
      <c r="K227" s="25">
        <f t="shared" si="20"/>
        <v>2204000</v>
      </c>
      <c r="L227" s="25"/>
      <c r="M227" s="27"/>
      <c r="N227" s="25">
        <f t="shared" si="21"/>
        <v>2204000</v>
      </c>
      <c r="O227" s="25">
        <v>-2204000</v>
      </c>
      <c r="P227" s="28">
        <v>0</v>
      </c>
      <c r="Q227" s="28">
        <v>0</v>
      </c>
      <c r="R227" s="29">
        <v>0</v>
      </c>
      <c r="S227" s="29" t="s">
        <v>1037</v>
      </c>
    </row>
    <row r="228" spans="2:19" outlineLevel="1" x14ac:dyDescent="0.25">
      <c r="B228" s="4" t="s">
        <v>1015</v>
      </c>
      <c r="C228" s="41" t="s">
        <v>1078</v>
      </c>
      <c r="D228" s="42">
        <f>IFERROR(VLOOKUP(C228,'[19]2020'!$B$3:$C$227,2,FALSE),0)</f>
        <v>0</v>
      </c>
      <c r="E228" s="42">
        <v>0</v>
      </c>
      <c r="F228" s="43">
        <v>-2000000</v>
      </c>
      <c r="G228" s="25">
        <f>IFERROR(VLOOKUP(C228,'[18]ENE-OCT 2021'!$B$3:$D$225,3,FALSE),0)</f>
        <v>2000000</v>
      </c>
      <c r="H228" s="42"/>
      <c r="I228" s="42">
        <f>(IFERROR(VLOOKUP(C228,'[19]2020'!$D$2:$G$227,4,FALSE),0)*-1)</f>
        <v>0</v>
      </c>
      <c r="J228" s="42">
        <f>(IFERROR(VLOOKUP(C228,'[19]2020'!$D$2:$I$227,6,FALSE),0)*-1)</f>
        <v>0</v>
      </c>
      <c r="K228" s="42">
        <f t="shared" si="20"/>
        <v>2000000</v>
      </c>
      <c r="L228" s="42"/>
      <c r="M228" s="44"/>
      <c r="N228" s="42">
        <f t="shared" si="21"/>
        <v>2000000</v>
      </c>
      <c r="O228" s="42">
        <v>0</v>
      </c>
      <c r="P228" s="45">
        <v>0</v>
      </c>
      <c r="Q228" s="45">
        <v>0</v>
      </c>
      <c r="R228" s="45">
        <v>0</v>
      </c>
      <c r="S228" s="45" t="s">
        <v>838</v>
      </c>
    </row>
    <row r="229" spans="2:19" outlineLevel="1" x14ac:dyDescent="0.25">
      <c r="B229" s="4" t="s">
        <v>1015</v>
      </c>
      <c r="C229" s="24" t="s">
        <v>1079</v>
      </c>
      <c r="D229" s="25">
        <f>IFERROR(VLOOKUP(C229,'[19]2020'!$B$3:$C$227,2,FALSE),0)</f>
        <v>0</v>
      </c>
      <c r="E229" s="25">
        <v>0</v>
      </c>
      <c r="F229" s="31">
        <v>0</v>
      </c>
      <c r="G229" s="25">
        <f>IFERROR(VLOOKUP(C229,'[18]ENE-OCT 2021'!$B$3:$D$225,3,FALSE),0)</f>
        <v>1350000</v>
      </c>
      <c r="H229" s="25"/>
      <c r="I229" s="25">
        <f>(IFERROR(VLOOKUP(C229,'[19]2020'!$D$2:$G$227,4,FALSE),0)*-1)</f>
        <v>0</v>
      </c>
      <c r="J229" s="25">
        <f>(IFERROR(VLOOKUP(C229,'[19]2020'!$D$2:$I$227,6,FALSE),0)*-1)</f>
        <v>0</v>
      </c>
      <c r="K229" s="25">
        <f t="shared" si="20"/>
        <v>1350000</v>
      </c>
      <c r="L229" s="25"/>
      <c r="M229" s="27"/>
      <c r="N229" s="25">
        <f t="shared" si="21"/>
        <v>1350000</v>
      </c>
      <c r="O229" s="25">
        <v>0</v>
      </c>
      <c r="P229" s="28">
        <v>0</v>
      </c>
      <c r="Q229" s="28">
        <v>0</v>
      </c>
      <c r="R229" s="29">
        <v>0</v>
      </c>
      <c r="S229" s="29" t="s">
        <v>1037</v>
      </c>
    </row>
    <row r="230" spans="2:19" outlineLevel="1" x14ac:dyDescent="0.25">
      <c r="B230" s="4" t="s">
        <v>1015</v>
      </c>
      <c r="C230" s="24" t="s">
        <v>1080</v>
      </c>
      <c r="D230" s="25">
        <f>IFERROR(VLOOKUP(C230,'[19]2020'!$B$3:$C$227,2,FALSE),0)</f>
        <v>13292890</v>
      </c>
      <c r="E230" s="25">
        <v>6377472.9000000004</v>
      </c>
      <c r="F230" s="31">
        <v>0</v>
      </c>
      <c r="G230" s="25">
        <f>IFERROR(VLOOKUP(C230,'[18]ENE-OCT 2021'!$B$3:$D$225,3,FALSE),0)</f>
        <v>0</v>
      </c>
      <c r="H230" s="25"/>
      <c r="I230" s="25">
        <v>0</v>
      </c>
      <c r="J230" s="25">
        <v>0</v>
      </c>
      <c r="K230" s="25">
        <f t="shared" si="20"/>
        <v>0</v>
      </c>
      <c r="L230" s="25"/>
      <c r="M230" s="27"/>
      <c r="N230" s="25">
        <v>0</v>
      </c>
      <c r="O230" s="25">
        <v>0</v>
      </c>
      <c r="P230" s="28">
        <v>0</v>
      </c>
      <c r="Q230" s="28">
        <v>0</v>
      </c>
      <c r="R230" s="29">
        <v>0</v>
      </c>
      <c r="S230" s="29" t="s">
        <v>1081</v>
      </c>
    </row>
    <row r="231" spans="2:19" outlineLevel="1" x14ac:dyDescent="0.25">
      <c r="B231" s="4" t="s">
        <v>1015</v>
      </c>
      <c r="C231" s="24" t="s">
        <v>1082</v>
      </c>
      <c r="D231" s="25">
        <f>IFERROR(VLOOKUP(C231,'[19]2020'!$B$3:$C$227,2,FALSE),0)</f>
        <v>2443000</v>
      </c>
      <c r="E231" s="25">
        <v>0</v>
      </c>
      <c r="F231" s="31">
        <v>0</v>
      </c>
      <c r="G231" s="25">
        <f>IFERROR(VLOOKUP(C231,'[18]ENE-OCT 2021'!$B$3:$D$225,3,FALSE),0)</f>
        <v>0</v>
      </c>
      <c r="H231" s="25"/>
      <c r="I231" s="25">
        <v>0</v>
      </c>
      <c r="J231" s="25">
        <f>(IFERROR(VLOOKUP(C231,'[19]2020'!$D$2:$I$227,6,FALSE),0)*-1)</f>
        <v>0</v>
      </c>
      <c r="K231" s="25">
        <f t="shared" si="20"/>
        <v>0</v>
      </c>
      <c r="L231" s="25"/>
      <c r="M231" s="27"/>
      <c r="N231" s="25">
        <v>0</v>
      </c>
      <c r="O231" s="25">
        <v>0</v>
      </c>
      <c r="P231" s="28">
        <v>0</v>
      </c>
      <c r="Q231" s="28">
        <v>0</v>
      </c>
      <c r="R231" s="29">
        <v>0</v>
      </c>
      <c r="S231" s="29" t="s">
        <v>1081</v>
      </c>
    </row>
    <row r="232" spans="2:19" outlineLevel="1" x14ac:dyDescent="0.25">
      <c r="B232" s="4" t="s">
        <v>1015</v>
      </c>
      <c r="C232" s="24" t="s">
        <v>1083</v>
      </c>
      <c r="D232" s="25">
        <f>IFERROR(VLOOKUP(C232,'[19]2020'!$B$3:$C$227,2,FALSE),0)</f>
        <v>2398073.83</v>
      </c>
      <c r="E232" s="25">
        <v>0</v>
      </c>
      <c r="F232" s="31">
        <v>0</v>
      </c>
      <c r="G232" s="25">
        <f>IFERROR(VLOOKUP(C232,'[18]ENE-OCT 2021'!$B$3:$D$225,3,FALSE),0)</f>
        <v>0</v>
      </c>
      <c r="H232" s="25"/>
      <c r="I232" s="25">
        <v>0</v>
      </c>
      <c r="J232" s="25">
        <f>(IFERROR(VLOOKUP(C232,'[19]2020'!$D$2:$I$227,6,FALSE),0)*-1)</f>
        <v>0</v>
      </c>
      <c r="K232" s="25">
        <f t="shared" si="20"/>
        <v>0</v>
      </c>
      <c r="L232" s="25"/>
      <c r="M232" s="27"/>
      <c r="N232" s="25">
        <v>0</v>
      </c>
      <c r="O232" s="25">
        <v>0</v>
      </c>
      <c r="P232" s="28">
        <v>0</v>
      </c>
      <c r="Q232" s="28">
        <v>0</v>
      </c>
      <c r="R232" s="29">
        <v>0</v>
      </c>
      <c r="S232" s="29" t="s">
        <v>1081</v>
      </c>
    </row>
    <row r="233" spans="2:19" outlineLevel="1" x14ac:dyDescent="0.25">
      <c r="B233" s="4" t="s">
        <v>1015</v>
      </c>
      <c r="C233" s="24" t="s">
        <v>1084</v>
      </c>
      <c r="D233" s="25">
        <f>IFERROR(VLOOKUP(C233,'[19]2020'!$B$3:$C$227,2,FALSE),0)</f>
        <v>69912269.790000007</v>
      </c>
      <c r="E233" s="25">
        <v>7111000</v>
      </c>
      <c r="F233" s="31">
        <v>0</v>
      </c>
      <c r="G233" s="25">
        <f>IFERROR(VLOOKUP(C233,'[18]ENE-OCT 2021'!$B$3:$D$225,3,FALSE),0)</f>
        <v>0</v>
      </c>
      <c r="H233" s="25"/>
      <c r="I233" s="25">
        <v>0</v>
      </c>
      <c r="J233" s="25">
        <v>0</v>
      </c>
      <c r="K233" s="25">
        <f t="shared" si="20"/>
        <v>0</v>
      </c>
      <c r="L233" s="25"/>
      <c r="M233" s="27"/>
      <c r="N233" s="25">
        <v>0</v>
      </c>
      <c r="O233" s="25">
        <v>0</v>
      </c>
      <c r="P233" s="28">
        <v>0</v>
      </c>
      <c r="Q233" s="28">
        <v>0</v>
      </c>
      <c r="R233" s="29">
        <v>0</v>
      </c>
      <c r="S233" s="29" t="s">
        <v>1081</v>
      </c>
    </row>
    <row r="234" spans="2:19" outlineLevel="1" x14ac:dyDescent="0.25">
      <c r="B234" s="4" t="s">
        <v>1015</v>
      </c>
      <c r="C234" s="24" t="s">
        <v>1085</v>
      </c>
      <c r="D234" s="25">
        <f>IFERROR(VLOOKUP(C234,'[19]2020'!$B$3:$C$227,2,FALSE),0)</f>
        <v>0</v>
      </c>
      <c r="E234" s="25">
        <v>0</v>
      </c>
      <c r="F234" s="26">
        <v>-46540648</v>
      </c>
      <c r="G234" s="25">
        <f>IFERROR(VLOOKUP(C234,'[18]ENE-OCT 2021'!$B$3:$D$225,3,FALSE),0)</f>
        <v>42040174.450000003</v>
      </c>
      <c r="H234" s="25"/>
      <c r="I234" s="25">
        <f>(IFERROR(VLOOKUP(C234,'[19]2020'!$D$2:$G$227,4,FALSE),0)*-1)</f>
        <v>0</v>
      </c>
      <c r="J234" s="25">
        <f>+(F234*-1)-G234</f>
        <v>4500473.549999997</v>
      </c>
      <c r="K234" s="25">
        <f t="shared" si="20"/>
        <v>46540648</v>
      </c>
      <c r="L234" s="25"/>
      <c r="M234" s="27"/>
      <c r="N234" s="25">
        <f t="shared" si="21"/>
        <v>46540648</v>
      </c>
      <c r="O234" s="25">
        <v>-4806788.5999999996</v>
      </c>
      <c r="P234" s="28">
        <v>0</v>
      </c>
      <c r="Q234" s="28">
        <v>0</v>
      </c>
      <c r="R234" s="29">
        <v>0</v>
      </c>
      <c r="S234" s="29" t="s">
        <v>1081</v>
      </c>
    </row>
    <row r="235" spans="2:19" outlineLevel="1" x14ac:dyDescent="0.25">
      <c r="B235" s="4" t="s">
        <v>1015</v>
      </c>
      <c r="C235" s="24" t="s">
        <v>1086</v>
      </c>
      <c r="D235" s="25">
        <f>IFERROR(VLOOKUP(C235,'[19]2020'!$B$3:$C$227,2,FALSE),0)</f>
        <v>768864.88</v>
      </c>
      <c r="E235" s="25">
        <v>0</v>
      </c>
      <c r="F235" s="26">
        <v>0</v>
      </c>
      <c r="G235" s="25">
        <f>IFERROR(VLOOKUP(C235,'[18]ENE-OCT 2021'!$B$3:$D$225,3,FALSE),0)</f>
        <v>0</v>
      </c>
      <c r="H235" s="25"/>
      <c r="I235" s="25">
        <v>0</v>
      </c>
      <c r="J235" s="25">
        <f>(IFERROR(VLOOKUP(C235,'[19]2020'!$D$2:$I$227,6,FALSE),0)*-1)</f>
        <v>0</v>
      </c>
      <c r="K235" s="25">
        <f t="shared" si="20"/>
        <v>0</v>
      </c>
      <c r="L235" s="25"/>
      <c r="M235" s="27"/>
      <c r="N235" s="25">
        <v>0</v>
      </c>
      <c r="O235" s="25">
        <v>0</v>
      </c>
      <c r="P235" s="28">
        <v>0</v>
      </c>
      <c r="Q235" s="28">
        <v>0</v>
      </c>
      <c r="R235" s="29">
        <v>0</v>
      </c>
      <c r="S235" s="29" t="s">
        <v>838</v>
      </c>
    </row>
    <row r="236" spans="2:19" outlineLevel="1" x14ac:dyDescent="0.25">
      <c r="B236" s="4" t="s">
        <v>1015</v>
      </c>
      <c r="C236" s="24" t="s">
        <v>1087</v>
      </c>
      <c r="D236" s="25">
        <f>IFERROR(VLOOKUP(C236,'[19]2020'!$B$3:$C$227,2,FALSE),0)</f>
        <v>0</v>
      </c>
      <c r="E236" s="25">
        <v>1500000</v>
      </c>
      <c r="F236" s="26">
        <v>-100000</v>
      </c>
      <c r="G236" s="25">
        <f>IFERROR(VLOOKUP(C236,'[18]ENE-OCT 2021'!$B$3:$D$225,3,FALSE),0)</f>
        <v>0</v>
      </c>
      <c r="H236" s="25"/>
      <c r="I236" s="25">
        <f>(IFERROR(VLOOKUP(C236,'[19]2020'!$D$2:$G$227,4,FALSE),0)*-1)</f>
        <v>0</v>
      </c>
      <c r="J236" s="25">
        <f>(IFERROR(VLOOKUP(C236,'[19]2020'!$D$2:$I$227,6,FALSE),0)*-1)</f>
        <v>0</v>
      </c>
      <c r="K236" s="25">
        <f t="shared" si="20"/>
        <v>0</v>
      </c>
      <c r="L236" s="25"/>
      <c r="M236" s="27"/>
      <c r="N236" s="25">
        <f t="shared" si="21"/>
        <v>0</v>
      </c>
      <c r="O236" s="25">
        <v>-100000</v>
      </c>
      <c r="P236" s="28">
        <v>0</v>
      </c>
      <c r="Q236" s="28">
        <v>0</v>
      </c>
      <c r="R236" s="29">
        <f>IF(M236=1,(N236*1.0395),N236)</f>
        <v>0</v>
      </c>
      <c r="S236" s="29" t="s">
        <v>838</v>
      </c>
    </row>
    <row r="237" spans="2:19" outlineLevel="1" x14ac:dyDescent="0.25">
      <c r="C237" s="53" t="s">
        <v>1088</v>
      </c>
      <c r="D237" s="25"/>
      <c r="E237" s="25"/>
      <c r="F237" s="26"/>
      <c r="G237" s="25"/>
      <c r="H237" s="25"/>
      <c r="I237" s="25"/>
      <c r="J237" s="25"/>
      <c r="K237" s="25"/>
      <c r="L237" s="25"/>
      <c r="M237" s="27"/>
      <c r="N237" s="25"/>
      <c r="O237" s="25"/>
      <c r="P237" s="28"/>
      <c r="Q237" s="28"/>
      <c r="R237" s="52">
        <v>3000000</v>
      </c>
      <c r="S237" s="52" t="s">
        <v>1037</v>
      </c>
    </row>
    <row r="238" spans="2:19" outlineLevel="1" x14ac:dyDescent="0.25">
      <c r="C238" s="53" t="s">
        <v>1089</v>
      </c>
      <c r="D238" s="25"/>
      <c r="E238" s="25"/>
      <c r="F238" s="26"/>
      <c r="G238" s="25"/>
      <c r="H238" s="25"/>
      <c r="I238" s="25"/>
      <c r="J238" s="25"/>
      <c r="K238" s="25"/>
      <c r="L238" s="25"/>
      <c r="M238" s="27"/>
      <c r="N238" s="25"/>
      <c r="O238" s="25"/>
      <c r="P238" s="28"/>
      <c r="Q238" s="28"/>
      <c r="R238" s="52">
        <v>1000000</v>
      </c>
      <c r="S238" s="52" t="s">
        <v>1037</v>
      </c>
    </row>
    <row r="239" spans="2:19" outlineLevel="1" x14ac:dyDescent="0.25">
      <c r="B239" s="4" t="s">
        <v>1015</v>
      </c>
      <c r="C239" s="24" t="s">
        <v>1090</v>
      </c>
      <c r="D239" s="25">
        <f>IFERROR(VLOOKUP(C239,'[19]2020'!$B$3:$C$227,2,FALSE),0)</f>
        <v>0</v>
      </c>
      <c r="E239" s="25">
        <v>0</v>
      </c>
      <c r="F239" s="31">
        <v>0</v>
      </c>
      <c r="G239" s="25">
        <f>IFERROR(VLOOKUP(C239,'[18]ENE-OCT 2021'!$B$3:$D$225,3,FALSE),0)</f>
        <v>1087900</v>
      </c>
      <c r="H239" s="25"/>
      <c r="I239" s="25">
        <f>(IFERROR(VLOOKUP(C239,'[19]2020'!$D$2:$G$227,4,FALSE),0)*-1)</f>
        <v>0</v>
      </c>
      <c r="J239" s="25">
        <f>(IFERROR(VLOOKUP(C239,'[19]2020'!$D$2:$I$227,6,FALSE),0)*-1)</f>
        <v>0</v>
      </c>
      <c r="K239" s="25">
        <f t="shared" si="20"/>
        <v>1087900</v>
      </c>
      <c r="L239" s="25"/>
      <c r="M239" s="27"/>
      <c r="N239" s="25">
        <f t="shared" si="21"/>
        <v>1087900</v>
      </c>
      <c r="O239" s="25">
        <v>1087900</v>
      </c>
      <c r="P239" s="28">
        <v>0</v>
      </c>
      <c r="Q239" s="28">
        <v>1500000</v>
      </c>
      <c r="R239" s="29">
        <f>N239</f>
        <v>1087900</v>
      </c>
      <c r="S239" s="29" t="s">
        <v>838</v>
      </c>
    </row>
    <row r="240" spans="2:19" outlineLevel="1" x14ac:dyDescent="0.25">
      <c r="B240" s="4" t="s">
        <v>1015</v>
      </c>
      <c r="C240" s="24" t="s">
        <v>1091</v>
      </c>
      <c r="D240" s="25">
        <f>IFERROR(VLOOKUP(C240,'[19]2020'!$B$3:$C$227,2,FALSE),0)</f>
        <v>105845.68</v>
      </c>
      <c r="E240" s="25">
        <v>89127.31</v>
      </c>
      <c r="F240" s="26">
        <v>-89127.31</v>
      </c>
      <c r="G240" s="25">
        <f>IFERROR(VLOOKUP(C240,'[18]ENE-OCT 2021'!$B$3:$D$225,3,FALSE),0)</f>
        <v>76318.289999999994</v>
      </c>
      <c r="H240" s="25"/>
      <c r="I240" s="25">
        <f>(IFERROR(VLOOKUP(C240,'[19]2020'!$D$2:$G$227,4,FALSE),0)*-1)</f>
        <v>9759.44</v>
      </c>
      <c r="J240" s="25">
        <f>(IFERROR(VLOOKUP(C240,'[19]2020'!$D$2:$I$227,6,FALSE),0)*-1)</f>
        <v>15366.49</v>
      </c>
      <c r="K240" s="25">
        <f t="shared" si="20"/>
        <v>101444.22</v>
      </c>
      <c r="L240" s="25"/>
      <c r="M240" s="27"/>
      <c r="N240" s="25">
        <f t="shared" si="21"/>
        <v>101444.22</v>
      </c>
      <c r="O240" s="25">
        <v>-19700.78</v>
      </c>
      <c r="P240" s="28">
        <v>0</v>
      </c>
      <c r="Q240" s="28">
        <v>89127.31</v>
      </c>
      <c r="R240" s="29">
        <f>N240</f>
        <v>101444.22</v>
      </c>
      <c r="S240" s="29" t="s">
        <v>1034</v>
      </c>
    </row>
    <row r="241" spans="2:19" outlineLevel="1" x14ac:dyDescent="0.25">
      <c r="B241" s="4" t="s">
        <v>1015</v>
      </c>
      <c r="C241" s="24" t="s">
        <v>1092</v>
      </c>
      <c r="D241" s="25">
        <f>IFERROR(VLOOKUP(C241,'[19]2020'!$B$3:$C$227,2,FALSE),0)</f>
        <v>5173022.66</v>
      </c>
      <c r="E241" s="25">
        <v>4883362.7</v>
      </c>
      <c r="F241" s="26">
        <v>-1458590</v>
      </c>
      <c r="G241" s="25">
        <f>IFERROR(VLOOKUP(C241,'[18]ENE-OCT 2021'!$B$3:$D$225,3,FALSE),0)</f>
        <v>1205798.5</v>
      </c>
      <c r="H241" s="25"/>
      <c r="I241" s="25">
        <f>(IFERROR(VLOOKUP(C241,'[19]2020'!$D$2:$G$227,4,FALSE),0)*-1)</f>
        <v>117715.2</v>
      </c>
      <c r="J241" s="25">
        <f>(IFERROR(VLOOKUP(C241,'[19]2020'!$D$2:$I$227,6,FALSE),0)*-1)</f>
        <v>117715.2</v>
      </c>
      <c r="K241" s="25">
        <f t="shared" si="20"/>
        <v>1441228.9</v>
      </c>
      <c r="L241" s="25"/>
      <c r="M241" s="27"/>
      <c r="N241" s="25">
        <f t="shared" si="21"/>
        <v>1441228.9</v>
      </c>
      <c r="O241" s="25">
        <v>-493951.2</v>
      </c>
      <c r="P241" s="28">
        <v>0</v>
      </c>
      <c r="Q241" s="28">
        <v>1458590</v>
      </c>
      <c r="R241" s="29">
        <f t="shared" ref="R241:R248" si="22">N241</f>
        <v>1441228.9</v>
      </c>
      <c r="S241" s="29" t="s">
        <v>1034</v>
      </c>
    </row>
    <row r="242" spans="2:19" outlineLevel="1" x14ac:dyDescent="0.25">
      <c r="B242" s="4" t="s">
        <v>1015</v>
      </c>
      <c r="C242" s="24" t="s">
        <v>1093</v>
      </c>
      <c r="D242" s="25">
        <f>IFERROR(VLOOKUP(C242,'[19]2020'!$B$3:$C$227,2,FALSE),0)</f>
        <v>5611417.6100000003</v>
      </c>
      <c r="E242" s="25">
        <v>5280256.25</v>
      </c>
      <c r="F242" s="26">
        <v>-4599845</v>
      </c>
      <c r="G242" s="25">
        <f>IFERROR(VLOOKUP(C242,'[18]ENE-OCT 2021'!$B$3:$D$225,3,FALSE),0)</f>
        <v>6134883.5499999998</v>
      </c>
      <c r="H242" s="25"/>
      <c r="I242" s="25">
        <f>(IFERROR(VLOOKUP(C242,'[19]2020'!$D$2:$G$227,4,FALSE),0)*-1)</f>
        <v>512722.18</v>
      </c>
      <c r="J242" s="25">
        <f>(IFERROR(VLOOKUP(C242,'[19]2020'!$D$2:$I$227,6,FALSE),0)*-1)</f>
        <v>534106.89</v>
      </c>
      <c r="K242" s="25">
        <f t="shared" si="20"/>
        <v>7181712.6199999992</v>
      </c>
      <c r="L242" s="25"/>
      <c r="M242" s="27"/>
      <c r="N242" s="25">
        <f t="shared" si="21"/>
        <v>7181712.6199999992</v>
      </c>
      <c r="O242" s="25">
        <v>265108.89</v>
      </c>
      <c r="P242" s="28">
        <v>0</v>
      </c>
      <c r="Q242" s="28">
        <v>4599845</v>
      </c>
      <c r="R242" s="29">
        <f t="shared" si="22"/>
        <v>7181712.6199999992</v>
      </c>
      <c r="S242" s="29" t="s">
        <v>1034</v>
      </c>
    </row>
    <row r="243" spans="2:19" outlineLevel="1" x14ac:dyDescent="0.25">
      <c r="B243" s="4" t="s">
        <v>1015</v>
      </c>
      <c r="C243" s="24" t="s">
        <v>1094</v>
      </c>
      <c r="D243" s="25">
        <f>IFERROR(VLOOKUP(C243,'[19]2020'!$B$3:$C$227,2,FALSE),0)</f>
        <v>0</v>
      </c>
      <c r="E243" s="25">
        <v>2009318.8</v>
      </c>
      <c r="F243" s="26">
        <v>-1001452</v>
      </c>
      <c r="G243" s="25">
        <f>IFERROR(VLOOKUP(C243,'[18]ENE-OCT 2021'!$B$3:$D$225,3,FALSE),0)</f>
        <v>1772397.11</v>
      </c>
      <c r="H243" s="25"/>
      <c r="I243" s="25">
        <f>(IFERROR(VLOOKUP(C243,'[19]2020'!$D$2:$G$227,4,FALSE),0)*-1)</f>
        <v>0</v>
      </c>
      <c r="J243" s="25">
        <f>(IFERROR(VLOOKUP(C243,'[19]2020'!$D$2:$I$227,6,FALSE),0)*-1)</f>
        <v>0</v>
      </c>
      <c r="K243" s="25">
        <f t="shared" si="20"/>
        <v>1772397.11</v>
      </c>
      <c r="L243" s="25"/>
      <c r="M243" s="27"/>
      <c r="N243" s="25">
        <f t="shared" si="21"/>
        <v>1772397.11</v>
      </c>
      <c r="O243" s="25">
        <v>370304.14</v>
      </c>
      <c r="P243" s="28">
        <v>0</v>
      </c>
      <c r="Q243" s="28">
        <v>1001452</v>
      </c>
      <c r="R243" s="29">
        <f t="shared" si="22"/>
        <v>1772397.11</v>
      </c>
      <c r="S243" s="29" t="s">
        <v>1034</v>
      </c>
    </row>
    <row r="244" spans="2:19" outlineLevel="1" x14ac:dyDescent="0.25">
      <c r="C244" s="24" t="s">
        <v>1095</v>
      </c>
      <c r="D244" s="25"/>
      <c r="E244" s="25"/>
      <c r="F244" s="26"/>
      <c r="G244" s="25">
        <f>IFERROR(VLOOKUP(C244,'[18]ENE-OCT 2021'!$B$3:$D$225,3,FALSE),0)</f>
        <v>35918.199999999997</v>
      </c>
      <c r="H244" s="25"/>
      <c r="I244" s="25"/>
      <c r="J244" s="25"/>
      <c r="K244" s="25">
        <f t="shared" si="20"/>
        <v>35918.199999999997</v>
      </c>
      <c r="L244" s="25"/>
      <c r="M244" s="27"/>
      <c r="N244" s="25">
        <f t="shared" si="21"/>
        <v>35918.199999999997</v>
      </c>
      <c r="O244" s="25"/>
      <c r="P244" s="28"/>
      <c r="Q244" s="28"/>
      <c r="R244" s="29">
        <f t="shared" si="22"/>
        <v>35918.199999999997</v>
      </c>
      <c r="S244" s="29" t="s">
        <v>1034</v>
      </c>
    </row>
    <row r="245" spans="2:19" outlineLevel="1" x14ac:dyDescent="0.25">
      <c r="B245" s="4" t="s">
        <v>1015</v>
      </c>
      <c r="C245" s="24" t="s">
        <v>1096</v>
      </c>
      <c r="D245" s="25">
        <f>IFERROR(VLOOKUP(C245,'[19]2020'!$B$3:$C$227,2,FALSE),0)</f>
        <v>411339.24</v>
      </c>
      <c r="E245" s="25">
        <v>382297.06</v>
      </c>
      <c r="F245" s="26">
        <v>-364698</v>
      </c>
      <c r="G245" s="25">
        <f>IFERROR(VLOOKUP(C245,'[18]ENE-OCT 2021'!$B$3:$D$225,3,FALSE),0)</f>
        <v>568847.51</v>
      </c>
      <c r="H245" s="25"/>
      <c r="I245" s="25">
        <f>(IFERROR(VLOOKUP(C245,'[19]2020'!$D$2:$G$227,4,FALSE),0)*-1)</f>
        <v>42614.79</v>
      </c>
      <c r="J245" s="25">
        <f>(IFERROR(VLOOKUP(C245,'[19]2020'!$D$2:$I$227,6,FALSE),0)*-1)</f>
        <v>42652.65</v>
      </c>
      <c r="K245" s="25">
        <f t="shared" si="20"/>
        <v>654114.95000000007</v>
      </c>
      <c r="L245" s="25"/>
      <c r="M245" s="27"/>
      <c r="N245" s="25">
        <f t="shared" si="21"/>
        <v>654114.95000000007</v>
      </c>
      <c r="O245" s="25">
        <v>106382.57</v>
      </c>
      <c r="P245" s="28">
        <v>0</v>
      </c>
      <c r="Q245" s="28">
        <v>364698</v>
      </c>
      <c r="R245" s="29">
        <f t="shared" si="22"/>
        <v>654114.95000000007</v>
      </c>
      <c r="S245" s="29" t="s">
        <v>1034</v>
      </c>
    </row>
    <row r="246" spans="2:19" outlineLevel="1" x14ac:dyDescent="0.25">
      <c r="B246" s="4" t="s">
        <v>1015</v>
      </c>
      <c r="C246" s="24" t="s">
        <v>1097</v>
      </c>
      <c r="D246" s="25">
        <f>IFERROR(VLOOKUP(C246,'[19]2020'!$B$3:$C$227,2,FALSE),0)</f>
        <v>0</v>
      </c>
      <c r="E246" s="25">
        <v>0</v>
      </c>
      <c r="F246" s="26">
        <v>-69570.67</v>
      </c>
      <c r="G246" s="25">
        <f>IFERROR(VLOOKUP(C246,'[18]ENE-OCT 2021'!$B$3:$D$225,3,FALSE),0)</f>
        <v>32482.21</v>
      </c>
      <c r="H246" s="25"/>
      <c r="I246" s="25">
        <f>(IFERROR(VLOOKUP(C246,'[19]2020'!$D$2:$G$227,4,FALSE),0)*-1)</f>
        <v>0</v>
      </c>
      <c r="J246" s="25">
        <f>(IFERROR(VLOOKUP(C246,'[19]2020'!$D$2:$I$227,6,FALSE),0)*-1)</f>
        <v>0</v>
      </c>
      <c r="K246" s="25">
        <f t="shared" si="20"/>
        <v>32482.21</v>
      </c>
      <c r="L246" s="25"/>
      <c r="M246" s="27">
        <v>1</v>
      </c>
      <c r="N246" s="25">
        <f t="shared" si="21"/>
        <v>32482.21</v>
      </c>
      <c r="O246" s="25">
        <v>-41121.199999999997</v>
      </c>
      <c r="P246" s="28">
        <v>0</v>
      </c>
      <c r="Q246" s="28">
        <v>50000</v>
      </c>
      <c r="R246" s="29">
        <f t="shared" si="22"/>
        <v>32482.21</v>
      </c>
      <c r="S246" s="29" t="s">
        <v>1034</v>
      </c>
    </row>
    <row r="247" spans="2:19" outlineLevel="1" x14ac:dyDescent="0.25">
      <c r="B247" s="4" t="s">
        <v>1015</v>
      </c>
      <c r="C247" s="24" t="s">
        <v>1098</v>
      </c>
      <c r="D247" s="25">
        <f>IFERROR(VLOOKUP(C247,'[19]2020'!$B$3:$C$227,2,FALSE),0)</f>
        <v>0</v>
      </c>
      <c r="E247" s="25">
        <v>0</v>
      </c>
      <c r="F247" s="26">
        <v>-23640.2</v>
      </c>
      <c r="G247" s="25">
        <f>IFERROR(VLOOKUP(C247,'[18]ENE-OCT 2021'!$B$3:$D$225,3,FALSE),0)</f>
        <v>27351.05</v>
      </c>
      <c r="H247" s="25"/>
      <c r="I247" s="25">
        <f>(IFERROR(VLOOKUP(C247,'[19]2020'!$D$2:$G$227,4,FALSE),0)*-1)</f>
        <v>0</v>
      </c>
      <c r="J247" s="25">
        <f>(IFERROR(VLOOKUP(C247,'[19]2020'!$D$2:$I$227,6,FALSE),0)*-1)</f>
        <v>0</v>
      </c>
      <c r="K247" s="25">
        <f t="shared" si="20"/>
        <v>27351.05</v>
      </c>
      <c r="L247" s="25"/>
      <c r="M247" s="27">
        <v>1</v>
      </c>
      <c r="N247" s="25">
        <f t="shared" si="21"/>
        <v>27351.05</v>
      </c>
      <c r="O247" s="25">
        <v>2472.75</v>
      </c>
      <c r="P247" s="28">
        <v>0</v>
      </c>
      <c r="Q247" s="28">
        <v>40000</v>
      </c>
      <c r="R247" s="29">
        <f t="shared" si="22"/>
        <v>27351.05</v>
      </c>
      <c r="S247" s="29" t="s">
        <v>1034</v>
      </c>
    </row>
    <row r="248" spans="2:19" outlineLevel="1" x14ac:dyDescent="0.25">
      <c r="B248" s="4" t="s">
        <v>1015</v>
      </c>
      <c r="C248" s="24" t="s">
        <v>1099</v>
      </c>
      <c r="D248" s="25">
        <f>IFERROR(VLOOKUP(C248,'[19]2020'!$B$3:$C$227,2,FALSE),0)</f>
        <v>0</v>
      </c>
      <c r="E248" s="25">
        <v>0</v>
      </c>
      <c r="F248" s="26">
        <v>-20000</v>
      </c>
      <c r="G248" s="25">
        <f>IFERROR(VLOOKUP(C248,'[18]ENE-OCT 2021'!$B$3:$D$225,3,FALSE),0)</f>
        <v>32172.97</v>
      </c>
      <c r="H248" s="25"/>
      <c r="I248" s="25">
        <f>(IFERROR(VLOOKUP(C248,'[19]2020'!$D$2:$G$227,4,FALSE),0)*-1)</f>
        <v>0</v>
      </c>
      <c r="J248" s="25">
        <f>(IFERROR(VLOOKUP(C248,'[19]2020'!$D$2:$I$227,6,FALSE),0)*-1)</f>
        <v>0</v>
      </c>
      <c r="K248" s="25">
        <f t="shared" si="20"/>
        <v>32172.97</v>
      </c>
      <c r="L248" s="25"/>
      <c r="M248" s="27"/>
      <c r="N248" s="25">
        <f t="shared" si="21"/>
        <v>32172.97</v>
      </c>
      <c r="O248" s="25">
        <v>-15467.11</v>
      </c>
      <c r="P248" s="28">
        <v>0</v>
      </c>
      <c r="Q248" s="28">
        <v>20000</v>
      </c>
      <c r="R248" s="29">
        <f t="shared" si="22"/>
        <v>32172.97</v>
      </c>
      <c r="S248" s="29" t="s">
        <v>1034</v>
      </c>
    </row>
    <row r="249" spans="2:19" outlineLevel="1" x14ac:dyDescent="0.25">
      <c r="B249" s="4" t="s">
        <v>1015</v>
      </c>
      <c r="C249" s="24" t="s">
        <v>1100</v>
      </c>
      <c r="D249" s="25">
        <f>IFERROR(VLOOKUP(C249,'[19]2020'!$B$3:$C$227,2,FALSE),0)</f>
        <v>0</v>
      </c>
      <c r="E249" s="25">
        <v>0</v>
      </c>
      <c r="F249" s="31">
        <v>0</v>
      </c>
      <c r="G249" s="25">
        <f>IFERROR(VLOOKUP(C249,'[18]ENE-OCT 2021'!$B$3:$D$225,3,FALSE),0)</f>
        <v>118168.27</v>
      </c>
      <c r="H249" s="25"/>
      <c r="I249" s="25">
        <f>(IFERROR(VLOOKUP(C249,'[19]2020'!$D$2:$G$227,4,FALSE),0)*-1)</f>
        <v>0</v>
      </c>
      <c r="J249" s="25">
        <f>(IFERROR(VLOOKUP(C249,'[19]2020'!$D$2:$I$227,6,FALSE),0)*-1)</f>
        <v>0</v>
      </c>
      <c r="K249" s="25">
        <f t="shared" si="20"/>
        <v>118168.27</v>
      </c>
      <c r="L249" s="25"/>
      <c r="M249" s="27"/>
      <c r="N249" s="25">
        <f t="shared" si="21"/>
        <v>118168.27</v>
      </c>
      <c r="O249" s="25">
        <v>118168.27</v>
      </c>
      <c r="P249" s="28">
        <v>0</v>
      </c>
      <c r="Q249" s="28">
        <v>200000</v>
      </c>
      <c r="R249" s="29">
        <f>N249</f>
        <v>118168.27</v>
      </c>
      <c r="S249" s="29" t="s">
        <v>1034</v>
      </c>
    </row>
    <row r="250" spans="2:19" x14ac:dyDescent="0.25">
      <c r="C250" s="18" t="s">
        <v>1101</v>
      </c>
      <c r="D250" s="19">
        <f>SUM(D251:D255)</f>
        <v>183471766</v>
      </c>
      <c r="E250" s="19">
        <f>SUM(E251:E255)</f>
        <v>250837549.97000003</v>
      </c>
      <c r="F250" s="20">
        <v>-299876245.99000001</v>
      </c>
      <c r="G250" s="21">
        <f t="shared" ref="G250:R250" si="23">SUM(G251:G255)</f>
        <v>194163549.38</v>
      </c>
      <c r="H250" s="21">
        <f t="shared" si="23"/>
        <v>0</v>
      </c>
      <c r="I250" s="21">
        <f t="shared" si="23"/>
        <v>16225287.060000001</v>
      </c>
      <c r="J250" s="21">
        <f t="shared" si="23"/>
        <v>29080969.859999999</v>
      </c>
      <c r="K250" s="21">
        <f t="shared" si="23"/>
        <v>239469806.29999998</v>
      </c>
      <c r="L250" s="21"/>
      <c r="M250" s="22"/>
      <c r="N250" s="21">
        <f t="shared" si="23"/>
        <v>299876245.17000002</v>
      </c>
      <c r="O250" s="21">
        <f t="shared" si="23"/>
        <v>-143098068.37</v>
      </c>
      <c r="P250" s="21">
        <f t="shared" si="23"/>
        <v>0</v>
      </c>
      <c r="Q250" s="21">
        <f t="shared" si="23"/>
        <v>0</v>
      </c>
      <c r="R250" s="21">
        <f t="shared" si="23"/>
        <v>25000000</v>
      </c>
      <c r="S250" s="21"/>
    </row>
    <row r="251" spans="2:19" hidden="1" outlineLevel="1" x14ac:dyDescent="0.25">
      <c r="B251" s="4" t="s">
        <v>1102</v>
      </c>
      <c r="C251" s="24" t="s">
        <v>1103</v>
      </c>
      <c r="D251" s="25">
        <v>0</v>
      </c>
      <c r="E251" s="25">
        <v>0</v>
      </c>
      <c r="F251" s="31">
        <v>0</v>
      </c>
      <c r="G251" s="25">
        <f>IFERROR(VLOOKUP(C251,'[18]ENE-OCT 2021'!$B$3:$D$225,3,FALSE),0)</f>
        <v>0</v>
      </c>
      <c r="H251" s="25"/>
      <c r="I251" s="25">
        <f>(IFERROR(VLOOKUP(C251,'[19]2020'!$D$2:$G$227,4,FALSE),0)*-1)</f>
        <v>0</v>
      </c>
      <c r="J251" s="25">
        <f>(IFERROR(VLOOKUP(C251,'[19]2020'!$D$2:$I$227,6,FALSE),0)*-1)</f>
        <v>0</v>
      </c>
      <c r="K251" s="25">
        <f t="shared" si="20"/>
        <v>0</v>
      </c>
      <c r="L251" s="25"/>
      <c r="M251" s="27"/>
      <c r="N251" s="25">
        <f t="shared" si="21"/>
        <v>0</v>
      </c>
      <c r="O251" s="25">
        <v>0</v>
      </c>
      <c r="P251" s="28">
        <v>0</v>
      </c>
      <c r="Q251" s="29">
        <v>0</v>
      </c>
      <c r="R251" s="29">
        <f>IF(M251=1,(N251*1.0395),N251)</f>
        <v>0</v>
      </c>
      <c r="S251" s="29" t="s">
        <v>17</v>
      </c>
    </row>
    <row r="252" spans="2:19" hidden="1" outlineLevel="1" x14ac:dyDescent="0.25">
      <c r="B252" s="4" t="s">
        <v>1102</v>
      </c>
      <c r="C252" s="24" t="s">
        <v>1104</v>
      </c>
      <c r="D252" s="25">
        <v>19112827.989999998</v>
      </c>
      <c r="E252" s="25">
        <v>57444392.170000002</v>
      </c>
      <c r="F252" s="26">
        <v>-5081806.8600000003</v>
      </c>
      <c r="G252" s="25">
        <f>IFERROR(VLOOKUP(C252,'[18]ENE-OCT 2021'!$B$3:$D$225,3,FALSE),0)</f>
        <v>5081806.04</v>
      </c>
      <c r="H252" s="25"/>
      <c r="I252" s="25">
        <f>(IFERROR(VLOOKUP(C252,'[19]2020'!$D$2:$G$227,4,FALSE),0)*-1)</f>
        <v>0</v>
      </c>
      <c r="J252" s="25">
        <f>(IFERROR(VLOOKUP(C252,'[19]2020'!$D$2:$I$227,6,FALSE),0)*-1)</f>
        <v>0</v>
      </c>
      <c r="K252" s="25">
        <f t="shared" si="20"/>
        <v>5081806.04</v>
      </c>
      <c r="L252" s="25"/>
      <c r="M252" s="27"/>
      <c r="N252" s="25">
        <f t="shared" si="21"/>
        <v>5081806.04</v>
      </c>
      <c r="O252" s="25">
        <v>-0.82</v>
      </c>
      <c r="P252" s="28">
        <v>0</v>
      </c>
      <c r="Q252" s="29">
        <v>0</v>
      </c>
      <c r="R252" s="29">
        <v>0</v>
      </c>
      <c r="S252" s="29" t="s">
        <v>17</v>
      </c>
    </row>
    <row r="253" spans="2:19" hidden="1" outlineLevel="1" x14ac:dyDescent="0.25">
      <c r="B253" s="4" t="s">
        <v>1102</v>
      </c>
      <c r="C253" s="24" t="s">
        <v>1105</v>
      </c>
      <c r="D253" s="25">
        <v>163217190.09</v>
      </c>
      <c r="E253" s="25">
        <v>176968793.11000001</v>
      </c>
      <c r="F253" s="26">
        <v>-294794439.13</v>
      </c>
      <c r="G253" s="25">
        <f>IFERROR(VLOOKUP(C253,'[18]ENE-OCT 2021'!$B$3:$D$225,3,FALSE),0)</f>
        <v>189081743.34</v>
      </c>
      <c r="H253" s="25"/>
      <c r="I253" s="25">
        <f>(IFERROR(VLOOKUP(C253,'[19]2020'!$D$2:$G$227,4,FALSE),0)*-1)</f>
        <v>16225287.060000001</v>
      </c>
      <c r="J253" s="25">
        <f>(IFERROR(VLOOKUP(C253,'[19]2020'!$D$2:$I$227,6,FALSE),0)*-1)</f>
        <v>29080969.859999999</v>
      </c>
      <c r="K253" s="25">
        <f t="shared" si="20"/>
        <v>234388000.25999999</v>
      </c>
      <c r="L253" s="25"/>
      <c r="M253" s="27"/>
      <c r="N253" s="30">
        <f>F253*-1</f>
        <v>294794439.13</v>
      </c>
      <c r="O253" s="25">
        <v>-143098067.55000001</v>
      </c>
      <c r="P253" s="28">
        <v>0</v>
      </c>
      <c r="Q253" s="29">
        <v>0</v>
      </c>
      <c r="R253" s="29">
        <v>25000000</v>
      </c>
      <c r="S253" s="29" t="s">
        <v>17</v>
      </c>
    </row>
    <row r="254" spans="2:19" hidden="1" outlineLevel="1" x14ac:dyDescent="0.25">
      <c r="B254" s="4" t="s">
        <v>1102</v>
      </c>
      <c r="C254" s="24" t="s">
        <v>1106</v>
      </c>
      <c r="D254" s="25">
        <v>1141747.92</v>
      </c>
      <c r="E254" s="25">
        <v>0</v>
      </c>
      <c r="F254" s="26">
        <v>0</v>
      </c>
      <c r="G254" s="25">
        <f>IFERROR(VLOOKUP(C254,'[18]ENE-OCT 2021'!$B$3:$D$225,3,FALSE),0)</f>
        <v>0</v>
      </c>
      <c r="H254" s="25"/>
      <c r="I254" s="25">
        <v>0</v>
      </c>
      <c r="J254" s="25">
        <f>(IFERROR(VLOOKUP(C254,'[19]2020'!$D$2:$I$227,6,FALSE),0)*-1)</f>
        <v>0</v>
      </c>
      <c r="K254" s="25">
        <f t="shared" si="20"/>
        <v>0</v>
      </c>
      <c r="L254" s="25"/>
      <c r="M254" s="27"/>
      <c r="N254" s="25">
        <f t="shared" si="21"/>
        <v>0</v>
      </c>
      <c r="O254" s="25">
        <v>0</v>
      </c>
      <c r="P254" s="28">
        <v>0</v>
      </c>
      <c r="Q254" s="29">
        <v>0</v>
      </c>
      <c r="R254" s="29">
        <f>IF(M254=1,(N254*1.0395),N254)</f>
        <v>0</v>
      </c>
      <c r="S254" s="29" t="s">
        <v>17</v>
      </c>
    </row>
    <row r="255" spans="2:19" hidden="1" outlineLevel="1" x14ac:dyDescent="0.25">
      <c r="B255" s="4" t="s">
        <v>1102</v>
      </c>
      <c r="C255" s="24" t="s">
        <v>1107</v>
      </c>
      <c r="D255" s="25">
        <v>0</v>
      </c>
      <c r="E255" s="25">
        <v>16424364.689999999</v>
      </c>
      <c r="F255" s="31">
        <v>0</v>
      </c>
      <c r="G255" s="25">
        <f>IFERROR(VLOOKUP(C255,'[18]ENE-OCT 2021'!$B$3:$D$225,3,FALSE),0)</f>
        <v>0</v>
      </c>
      <c r="H255" s="25"/>
      <c r="I255" s="25">
        <f>(IFERROR(VLOOKUP(C255,'[19]2020'!$D$2:$G$227,4,FALSE),0)*-1)</f>
        <v>0</v>
      </c>
      <c r="J255" s="25">
        <f>(IFERROR(VLOOKUP(C255,'[19]2020'!$D$2:$I$227,6,FALSE),0)*-1)</f>
        <v>0</v>
      </c>
      <c r="K255" s="25">
        <f t="shared" si="20"/>
        <v>0</v>
      </c>
      <c r="L255" s="25"/>
      <c r="M255" s="27"/>
      <c r="N255" s="25">
        <f t="shared" si="21"/>
        <v>0</v>
      </c>
      <c r="O255" s="25">
        <v>0</v>
      </c>
      <c r="P255" s="28">
        <v>0</v>
      </c>
      <c r="Q255" s="29">
        <v>0</v>
      </c>
      <c r="R255" s="29">
        <f>IF(M255=1,(N255*1.0395),N255)</f>
        <v>0</v>
      </c>
      <c r="S255" s="29" t="s">
        <v>17</v>
      </c>
    </row>
    <row r="256" spans="2:19" collapsed="1" x14ac:dyDescent="0.25">
      <c r="C256" s="46" t="s">
        <v>1108</v>
      </c>
      <c r="D256" s="33">
        <f>D250+D171+D132+D117+D30+D26+D3</f>
        <v>2232609109.9499998</v>
      </c>
      <c r="E256" s="33">
        <f>E250+E171+E132+E117+E30+E26+E3</f>
        <v>2035702120</v>
      </c>
      <c r="F256" s="20">
        <v>-2258980211.71</v>
      </c>
      <c r="G256" s="19">
        <f>$G$250+$G$171+$G$132+$G$117+$G$30+$G$26+$G$3</f>
        <v>1843676127.9599998</v>
      </c>
      <c r="H256" s="19">
        <f>$H$250+$H$171+$H$132+$H$117+$H$30+$H$26+$H$3</f>
        <v>0</v>
      </c>
      <c r="I256" s="19">
        <f>$I$250+$I$171+$I$132+$I$117+$I$30+$I$26+$I$3</f>
        <v>128183621.03694448</v>
      </c>
      <c r="J256" s="19">
        <f>J250+J171+J132+J117+J30+J26+J3</f>
        <v>276195061.12694442</v>
      </c>
      <c r="K256" s="19">
        <f>K250+K171+K132+K117+K30+K26+K3</f>
        <v>2248054810.1238885</v>
      </c>
      <c r="L256" s="19"/>
      <c r="M256" s="47"/>
      <c r="N256" s="19">
        <f>N250+N171+N132+N117+N30+N26+N3</f>
        <v>2308461248.9938884</v>
      </c>
      <c r="O256" s="33">
        <v>-730737862</v>
      </c>
      <c r="P256" s="33">
        <f>$P$250+$P$171+$P$132+$P$117+$P$30+$P$26+$P$3</f>
        <v>121101200</v>
      </c>
      <c r="Q256" s="33">
        <f>$Q$250+$Q$171+$Q$132+$Q$117+$Q$30+$Q$26+$Q$3</f>
        <v>1751617377.6547999</v>
      </c>
      <c r="R256" s="19">
        <f>R250+R171+R132+R117+R30+R26+R3</f>
        <v>1842192289.0253711</v>
      </c>
      <c r="S256" s="19"/>
    </row>
    <row r="257" spans="4:19" x14ac:dyDescent="0.25">
      <c r="D257" s="48"/>
      <c r="E257" s="33"/>
      <c r="R257" s="4"/>
      <c r="S257" s="4"/>
    </row>
    <row r="258" spans="4:19" x14ac:dyDescent="0.25">
      <c r="R258" s="4"/>
      <c r="S258" s="4"/>
    </row>
    <row r="259" spans="4:19" x14ac:dyDescent="0.25">
      <c r="F259" s="48"/>
      <c r="G259" s="48"/>
      <c r="H259" s="48"/>
      <c r="I259" s="48"/>
      <c r="J259" s="48"/>
      <c r="K259" s="4">
        <f t="shared" ref="K259:P259" si="24">SUBTOTAL(9,K3:K258)</f>
        <v>6744164430.371666</v>
      </c>
      <c r="L259" s="4">
        <f t="shared" si="24"/>
        <v>0</v>
      </c>
      <c r="M259" s="48"/>
      <c r="N259" s="48"/>
      <c r="O259" s="4">
        <f t="shared" si="24"/>
        <v>-2192213585.9999995</v>
      </c>
      <c r="P259" s="4">
        <f t="shared" si="24"/>
        <v>363303600</v>
      </c>
      <c r="Q259" s="48"/>
      <c r="R259" s="48"/>
      <c r="S259" s="48"/>
    </row>
    <row r="260" spans="4:19" x14ac:dyDescent="0.25">
      <c r="E260" s="48"/>
      <c r="F260" s="48"/>
      <c r="G260" s="48"/>
      <c r="H260" s="48"/>
      <c r="I260" s="48"/>
      <c r="J260" s="48"/>
      <c r="K260" s="48">
        <f t="shared" ref="K260:P260" si="25">SUBTOTAL(9,K3:K259)</f>
        <v>6744164430.371666</v>
      </c>
      <c r="L260" s="48">
        <f t="shared" si="25"/>
        <v>0</v>
      </c>
      <c r="M260" s="48"/>
      <c r="N260" s="48"/>
      <c r="O260" s="48">
        <f t="shared" si="25"/>
        <v>-2192213585.9999995</v>
      </c>
      <c r="P260" s="48">
        <f t="shared" si="25"/>
        <v>363303600</v>
      </c>
      <c r="Q260" s="48"/>
      <c r="R260" s="48"/>
      <c r="S260" s="4"/>
    </row>
    <row r="261" spans="4:19" x14ac:dyDescent="0.25">
      <c r="F261" s="48"/>
      <c r="G261" s="48"/>
      <c r="H261" s="48"/>
      <c r="I261" s="48"/>
      <c r="J261" s="48"/>
      <c r="M261" s="49"/>
      <c r="N261" s="48"/>
      <c r="R261" s="23"/>
      <c r="S261" s="4"/>
    </row>
    <row r="262" spans="4:19" x14ac:dyDescent="0.25">
      <c r="F262" s="48"/>
      <c r="G262" s="48"/>
      <c r="N262" s="48"/>
      <c r="R262" s="4"/>
      <c r="S262" s="4"/>
    </row>
    <row r="263" spans="4:19" x14ac:dyDescent="0.25">
      <c r="R263" s="4"/>
      <c r="S263" s="4"/>
    </row>
    <row r="264" spans="4:19" x14ac:dyDescent="0.25">
      <c r="R264" s="4"/>
      <c r="S264" s="4"/>
    </row>
    <row r="265" spans="4:19" x14ac:dyDescent="0.25">
      <c r="H265" s="48"/>
      <c r="I265" s="48"/>
      <c r="R265" s="4"/>
      <c r="S265" s="4"/>
    </row>
    <row r="266" spans="4:19" x14ac:dyDescent="0.25">
      <c r="R266" s="4"/>
      <c r="S266" s="4"/>
    </row>
    <row r="267" spans="4:19" x14ac:dyDescent="0.25">
      <c r="R267" s="4"/>
      <c r="S267" s="4"/>
    </row>
    <row r="268" spans="4:19" x14ac:dyDescent="0.25">
      <c r="R268" s="4"/>
      <c r="S268" s="4"/>
    </row>
    <row r="269" spans="4:19" x14ac:dyDescent="0.25">
      <c r="R269" s="4"/>
      <c r="S269" s="4"/>
    </row>
    <row r="270" spans="4:19" x14ac:dyDescent="0.25">
      <c r="R270" s="4"/>
      <c r="S270" s="4"/>
    </row>
    <row r="271" spans="4:19" x14ac:dyDescent="0.25">
      <c r="R271" s="4"/>
      <c r="S271" s="4"/>
    </row>
    <row r="272" spans="4:19" x14ac:dyDescent="0.25">
      <c r="R272" s="4"/>
      <c r="S272" s="4"/>
    </row>
    <row r="273" spans="18:19" x14ac:dyDescent="0.25">
      <c r="R273" s="4"/>
      <c r="S273" s="4"/>
    </row>
    <row r="274" spans="18:19" x14ac:dyDescent="0.25">
      <c r="R274" s="4"/>
      <c r="S274" s="4"/>
    </row>
    <row r="275" spans="18:19" x14ac:dyDescent="0.25">
      <c r="R275" s="4"/>
      <c r="S275" s="4"/>
    </row>
    <row r="276" spans="18:19" x14ac:dyDescent="0.25">
      <c r="R276" s="4"/>
      <c r="S276" s="4"/>
    </row>
    <row r="277" spans="18:19" x14ac:dyDescent="0.25">
      <c r="R277" s="4"/>
      <c r="S277" s="4"/>
    </row>
    <row r="278" spans="18:19" x14ac:dyDescent="0.25">
      <c r="R278" s="4"/>
      <c r="S278" s="4"/>
    </row>
    <row r="279" spans="18:19" x14ac:dyDescent="0.25">
      <c r="R279" s="4"/>
      <c r="S279" s="4"/>
    </row>
    <row r="280" spans="18:19" x14ac:dyDescent="0.25">
      <c r="R280" s="4"/>
      <c r="S280" s="4"/>
    </row>
    <row r="281" spans="18:19" x14ac:dyDescent="0.25">
      <c r="R281" s="4"/>
      <c r="S281" s="4"/>
    </row>
    <row r="282" spans="18:19" x14ac:dyDescent="0.25">
      <c r="R282" s="4"/>
      <c r="S282" s="4"/>
    </row>
    <row r="283" spans="18:19" x14ac:dyDescent="0.25">
      <c r="R283" s="4"/>
      <c r="S283" s="4"/>
    </row>
    <row r="284" spans="18:19" x14ac:dyDescent="0.25">
      <c r="R284" s="4"/>
      <c r="S284" s="4"/>
    </row>
    <row r="285" spans="18:19" x14ac:dyDescent="0.25">
      <c r="R285" s="4"/>
      <c r="S285" s="4"/>
    </row>
    <row r="286" spans="18:19" x14ac:dyDescent="0.25">
      <c r="R286" s="4"/>
      <c r="S286" s="4"/>
    </row>
    <row r="287" spans="18:19" x14ac:dyDescent="0.25">
      <c r="R287" s="4"/>
      <c r="S287" s="4"/>
    </row>
    <row r="288" spans="18:19" x14ac:dyDescent="0.25">
      <c r="R288" s="4"/>
      <c r="S288" s="4"/>
    </row>
    <row r="289" spans="18:19" x14ac:dyDescent="0.25">
      <c r="R289" s="4"/>
      <c r="S289" s="4"/>
    </row>
    <row r="290" spans="18:19" x14ac:dyDescent="0.25">
      <c r="R290" s="4"/>
      <c r="S290" s="4"/>
    </row>
    <row r="291" spans="18:19" x14ac:dyDescent="0.25">
      <c r="R291" s="4"/>
      <c r="S291" s="4"/>
    </row>
    <row r="292" spans="18:19" x14ac:dyDescent="0.25">
      <c r="R292" s="4"/>
      <c r="S292" s="4"/>
    </row>
    <row r="293" spans="18:19" x14ac:dyDescent="0.25">
      <c r="R293" s="4"/>
      <c r="S293" s="4"/>
    </row>
    <row r="294" spans="18:19" x14ac:dyDescent="0.25">
      <c r="R294" s="4"/>
      <c r="S294" s="4"/>
    </row>
    <row r="295" spans="18:19" x14ac:dyDescent="0.25">
      <c r="R295" s="4"/>
      <c r="S295" s="4"/>
    </row>
    <row r="296" spans="18:19" x14ac:dyDescent="0.25">
      <c r="R296" s="4"/>
      <c r="S296" s="4"/>
    </row>
    <row r="297" spans="18:19" x14ac:dyDescent="0.25">
      <c r="R297" s="4"/>
      <c r="S297" s="4"/>
    </row>
    <row r="298" spans="18:19" x14ac:dyDescent="0.25">
      <c r="R298" s="4"/>
      <c r="S298" s="4"/>
    </row>
    <row r="299" spans="18:19" x14ac:dyDescent="0.25">
      <c r="R299" s="4"/>
      <c r="S299" s="4"/>
    </row>
    <row r="300" spans="18:19" x14ac:dyDescent="0.25">
      <c r="R300" s="4"/>
      <c r="S300" s="4"/>
    </row>
    <row r="301" spans="18:19" x14ac:dyDescent="0.25">
      <c r="R301" s="4"/>
      <c r="S301" s="4"/>
    </row>
    <row r="302" spans="18:19" x14ac:dyDescent="0.25">
      <c r="R302" s="4"/>
      <c r="S302" s="4"/>
    </row>
    <row r="303" spans="18:19" x14ac:dyDescent="0.25">
      <c r="R303" s="4"/>
      <c r="S303" s="4"/>
    </row>
    <row r="304" spans="18:19" x14ac:dyDescent="0.25">
      <c r="R304" s="4"/>
      <c r="S304" s="4"/>
    </row>
    <row r="305" spans="18:19" x14ac:dyDescent="0.25">
      <c r="R305" s="4"/>
      <c r="S305" s="4"/>
    </row>
    <row r="306" spans="18:19" x14ac:dyDescent="0.25">
      <c r="R306" s="4"/>
      <c r="S306" s="4"/>
    </row>
    <row r="307" spans="18:19" x14ac:dyDescent="0.25">
      <c r="R307" s="4"/>
      <c r="S307" s="4"/>
    </row>
    <row r="308" spans="18:19" x14ac:dyDescent="0.25">
      <c r="R308" s="4"/>
      <c r="S308" s="4"/>
    </row>
    <row r="309" spans="18:19" x14ac:dyDescent="0.25">
      <c r="R309" s="4"/>
      <c r="S309" s="4"/>
    </row>
    <row r="310" spans="18:19" x14ac:dyDescent="0.25">
      <c r="R310" s="4"/>
      <c r="S310" s="4"/>
    </row>
    <row r="311" spans="18:19" x14ac:dyDescent="0.25">
      <c r="R311" s="4"/>
      <c r="S311" s="4"/>
    </row>
    <row r="312" spans="18:19" x14ac:dyDescent="0.25">
      <c r="R312" s="4"/>
      <c r="S312" s="4"/>
    </row>
    <row r="313" spans="18:19" x14ac:dyDescent="0.25">
      <c r="R313" s="4"/>
      <c r="S313" s="4"/>
    </row>
    <row r="314" spans="18:19" x14ac:dyDescent="0.25">
      <c r="R314" s="4"/>
      <c r="S314" s="4"/>
    </row>
    <row r="315" spans="18:19" x14ac:dyDescent="0.25">
      <c r="R315" s="4"/>
      <c r="S315" s="4"/>
    </row>
    <row r="316" spans="18:19" x14ac:dyDescent="0.25">
      <c r="R316" s="4"/>
      <c r="S316" s="4"/>
    </row>
    <row r="317" spans="18:19" x14ac:dyDescent="0.25">
      <c r="R317" s="4"/>
      <c r="S317" s="4"/>
    </row>
    <row r="318" spans="18:19" x14ac:dyDescent="0.25">
      <c r="R318" s="4"/>
      <c r="S318" s="4"/>
    </row>
    <row r="319" spans="18:19" x14ac:dyDescent="0.25">
      <c r="R319" s="4"/>
      <c r="S319" s="4"/>
    </row>
    <row r="320" spans="18:19" x14ac:dyDescent="0.25">
      <c r="R320" s="4"/>
      <c r="S320" s="4"/>
    </row>
    <row r="321" spans="18:19" x14ac:dyDescent="0.25">
      <c r="R321" s="4"/>
      <c r="S321" s="4"/>
    </row>
    <row r="322" spans="18:19" x14ac:dyDescent="0.25">
      <c r="R322" s="4"/>
      <c r="S322" s="4"/>
    </row>
    <row r="323" spans="18:19" x14ac:dyDescent="0.25">
      <c r="R323" s="4"/>
      <c r="S323" s="4"/>
    </row>
    <row r="324" spans="18:19" x14ac:dyDescent="0.25">
      <c r="R324" s="4"/>
      <c r="S324" s="4"/>
    </row>
    <row r="325" spans="18:19" x14ac:dyDescent="0.25">
      <c r="R325" s="4"/>
      <c r="S325" s="4"/>
    </row>
    <row r="326" spans="18:19" x14ac:dyDescent="0.25">
      <c r="R326" s="4"/>
      <c r="S326" s="4"/>
    </row>
    <row r="327" spans="18:19" x14ac:dyDescent="0.25">
      <c r="R327" s="4"/>
      <c r="S327" s="4"/>
    </row>
    <row r="328" spans="18:19" x14ac:dyDescent="0.25">
      <c r="R328" s="4"/>
      <c r="S328" s="4"/>
    </row>
    <row r="329" spans="18:19" x14ac:dyDescent="0.25">
      <c r="R329" s="4"/>
      <c r="S329" s="4"/>
    </row>
    <row r="330" spans="18:19" x14ac:dyDescent="0.25">
      <c r="R330" s="4"/>
      <c r="S330" s="4"/>
    </row>
    <row r="331" spans="18:19" x14ac:dyDescent="0.25">
      <c r="R331" s="4"/>
      <c r="S331" s="4"/>
    </row>
    <row r="332" spans="18:19" x14ac:dyDescent="0.25">
      <c r="R332" s="4"/>
      <c r="S332" s="4"/>
    </row>
    <row r="333" spans="18:19" x14ac:dyDescent="0.25">
      <c r="R333" s="4"/>
      <c r="S333" s="4"/>
    </row>
    <row r="334" spans="18:19" x14ac:dyDescent="0.25">
      <c r="R334" s="4"/>
      <c r="S334" s="4"/>
    </row>
    <row r="335" spans="18:19" x14ac:dyDescent="0.25">
      <c r="R335" s="4"/>
      <c r="S335" s="4"/>
    </row>
    <row r="336" spans="18:19" x14ac:dyDescent="0.25">
      <c r="R336" s="4"/>
      <c r="S336" s="4"/>
    </row>
    <row r="337" spans="18:19" x14ac:dyDescent="0.25">
      <c r="R337" s="4"/>
      <c r="S337" s="4"/>
    </row>
    <row r="338" spans="18:19" x14ac:dyDescent="0.25">
      <c r="R338" s="4"/>
      <c r="S338" s="4"/>
    </row>
    <row r="339" spans="18:19" x14ac:dyDescent="0.25">
      <c r="R339" s="4"/>
      <c r="S339" s="4"/>
    </row>
    <row r="340" spans="18:19" x14ac:dyDescent="0.25">
      <c r="R340" s="4"/>
      <c r="S340" s="4"/>
    </row>
    <row r="341" spans="18:19" x14ac:dyDescent="0.25">
      <c r="R341" s="4"/>
      <c r="S341" s="4"/>
    </row>
    <row r="342" spans="18:19" x14ac:dyDescent="0.25">
      <c r="R342" s="4"/>
      <c r="S342" s="4"/>
    </row>
    <row r="343" spans="18:19" x14ac:dyDescent="0.25">
      <c r="R343" s="4"/>
      <c r="S343" s="4"/>
    </row>
    <row r="344" spans="18:19" x14ac:dyDescent="0.25">
      <c r="R344" s="4"/>
      <c r="S344" s="4"/>
    </row>
    <row r="345" spans="18:19" x14ac:dyDescent="0.25">
      <c r="R345" s="4"/>
      <c r="S345" s="4"/>
    </row>
    <row r="346" spans="18:19" x14ac:dyDescent="0.25">
      <c r="R346" s="4"/>
      <c r="S346" s="4"/>
    </row>
    <row r="347" spans="18:19" x14ac:dyDescent="0.25">
      <c r="R347" s="4"/>
      <c r="S347" s="4"/>
    </row>
    <row r="348" spans="18:19" x14ac:dyDescent="0.25">
      <c r="R348" s="4"/>
      <c r="S348" s="4"/>
    </row>
    <row r="349" spans="18:19" x14ac:dyDescent="0.25">
      <c r="R349" s="4"/>
      <c r="S349" s="4"/>
    </row>
    <row r="350" spans="18:19" x14ac:dyDescent="0.25">
      <c r="R350" s="4"/>
      <c r="S350" s="4"/>
    </row>
    <row r="351" spans="18:19" x14ac:dyDescent="0.25">
      <c r="R351" s="4"/>
      <c r="S351" s="4"/>
    </row>
    <row r="352" spans="18:19" x14ac:dyDescent="0.25">
      <c r="R352" s="4"/>
      <c r="S352" s="4"/>
    </row>
    <row r="353" spans="18:19" x14ac:dyDescent="0.25">
      <c r="R353" s="4"/>
      <c r="S353" s="4"/>
    </row>
    <row r="354" spans="18:19" x14ac:dyDescent="0.25">
      <c r="R354" s="4"/>
      <c r="S354" s="4"/>
    </row>
    <row r="355" spans="18:19" x14ac:dyDescent="0.25">
      <c r="R355" s="4"/>
      <c r="S355" s="4"/>
    </row>
    <row r="356" spans="18:19" x14ac:dyDescent="0.25">
      <c r="R356" s="4"/>
      <c r="S356" s="4"/>
    </row>
    <row r="357" spans="18:19" x14ac:dyDescent="0.25">
      <c r="R357" s="4"/>
      <c r="S357" s="4"/>
    </row>
    <row r="358" spans="18:19" x14ac:dyDescent="0.25">
      <c r="R358" s="4"/>
      <c r="S358" s="4"/>
    </row>
    <row r="359" spans="18:19" x14ac:dyDescent="0.25">
      <c r="R359" s="4"/>
      <c r="S359" s="4"/>
    </row>
    <row r="360" spans="18:19" x14ac:dyDescent="0.25">
      <c r="R360" s="4"/>
      <c r="S360" s="4"/>
    </row>
    <row r="361" spans="18:19" x14ac:dyDescent="0.25">
      <c r="R361" s="4"/>
      <c r="S361" s="4"/>
    </row>
    <row r="362" spans="18:19" x14ac:dyDescent="0.25">
      <c r="R362" s="4"/>
      <c r="S362" s="4"/>
    </row>
    <row r="363" spans="18:19" x14ac:dyDescent="0.25">
      <c r="R363" s="4"/>
      <c r="S363" s="4"/>
    </row>
    <row r="364" spans="18:19" x14ac:dyDescent="0.25">
      <c r="R364" s="4"/>
      <c r="S364" s="4"/>
    </row>
    <row r="365" spans="18:19" x14ac:dyDescent="0.25">
      <c r="R365" s="4"/>
      <c r="S365" s="4"/>
    </row>
    <row r="366" spans="18:19" x14ac:dyDescent="0.25">
      <c r="R366" s="4"/>
      <c r="S366" s="4"/>
    </row>
    <row r="367" spans="18:19" x14ac:dyDescent="0.25">
      <c r="R367" s="4"/>
      <c r="S367" s="4"/>
    </row>
    <row r="368" spans="18:19" x14ac:dyDescent="0.25">
      <c r="R368" s="4"/>
      <c r="S368" s="4"/>
    </row>
    <row r="369" spans="18:19" x14ac:dyDescent="0.25">
      <c r="R369" s="4"/>
      <c r="S369" s="4"/>
    </row>
    <row r="370" spans="18:19" x14ac:dyDescent="0.25">
      <c r="R370" s="4"/>
      <c r="S370" s="4"/>
    </row>
    <row r="371" spans="18:19" x14ac:dyDescent="0.25">
      <c r="R371" s="4"/>
      <c r="S371" s="4"/>
    </row>
    <row r="372" spans="18:19" x14ac:dyDescent="0.25">
      <c r="R372" s="4"/>
      <c r="S372" s="4"/>
    </row>
    <row r="373" spans="18:19" x14ac:dyDescent="0.25">
      <c r="R373" s="4"/>
      <c r="S373" s="4"/>
    </row>
    <row r="374" spans="18:19" x14ac:dyDescent="0.25">
      <c r="R374" s="4"/>
      <c r="S374" s="4"/>
    </row>
    <row r="375" spans="18:19" x14ac:dyDescent="0.25">
      <c r="R375" s="4"/>
      <c r="S375" s="4"/>
    </row>
    <row r="376" spans="18:19" x14ac:dyDescent="0.25">
      <c r="R376" s="4"/>
      <c r="S376" s="4"/>
    </row>
    <row r="377" spans="18:19" x14ac:dyDescent="0.25">
      <c r="R377" s="4"/>
      <c r="S377" s="4"/>
    </row>
    <row r="378" spans="18:19" x14ac:dyDescent="0.25">
      <c r="R378" s="4"/>
      <c r="S378" s="4"/>
    </row>
    <row r="379" spans="18:19" x14ac:dyDescent="0.25">
      <c r="R379" s="4"/>
      <c r="S379" s="4"/>
    </row>
    <row r="380" spans="18:19" x14ac:dyDescent="0.25">
      <c r="R380" s="4"/>
      <c r="S380" s="4"/>
    </row>
    <row r="381" spans="18:19" x14ac:dyDescent="0.25">
      <c r="R381" s="4"/>
      <c r="S381" s="4"/>
    </row>
    <row r="382" spans="18:19" x14ac:dyDescent="0.25">
      <c r="R382" s="4"/>
      <c r="S382" s="4"/>
    </row>
    <row r="383" spans="18:19" x14ac:dyDescent="0.25">
      <c r="R383" s="4"/>
      <c r="S383" s="4"/>
    </row>
    <row r="384" spans="18:19" x14ac:dyDescent="0.25">
      <c r="R384" s="4"/>
      <c r="S384" s="4"/>
    </row>
    <row r="385" spans="18:19" x14ac:dyDescent="0.25">
      <c r="R385" s="4"/>
      <c r="S385" s="4"/>
    </row>
    <row r="386" spans="18:19" x14ac:dyDescent="0.25">
      <c r="R386" s="4"/>
      <c r="S386" s="4"/>
    </row>
    <row r="387" spans="18:19" x14ac:dyDescent="0.25">
      <c r="R387" s="4"/>
      <c r="S387" s="4"/>
    </row>
    <row r="388" spans="18:19" x14ac:dyDescent="0.25">
      <c r="R388" s="4"/>
      <c r="S388" s="4"/>
    </row>
    <row r="389" spans="18:19" x14ac:dyDescent="0.25">
      <c r="R389" s="4"/>
      <c r="S389" s="4"/>
    </row>
    <row r="390" spans="18:19" x14ac:dyDescent="0.25">
      <c r="R390" s="4"/>
      <c r="S390" s="4"/>
    </row>
    <row r="391" spans="18:19" x14ac:dyDescent="0.25">
      <c r="R391" s="4"/>
      <c r="S391" s="4"/>
    </row>
    <row r="392" spans="18:19" x14ac:dyDescent="0.25">
      <c r="R392" s="4"/>
      <c r="S392" s="4"/>
    </row>
    <row r="393" spans="18:19" x14ac:dyDescent="0.25">
      <c r="R393" s="4"/>
      <c r="S393" s="4"/>
    </row>
    <row r="394" spans="18:19" x14ac:dyDescent="0.25">
      <c r="R394" s="4"/>
      <c r="S394" s="4"/>
    </row>
    <row r="395" spans="18:19" x14ac:dyDescent="0.25">
      <c r="R395" s="4"/>
      <c r="S395" s="4"/>
    </row>
    <row r="396" spans="18:19" x14ac:dyDescent="0.25">
      <c r="R396" s="4"/>
      <c r="S396" s="4"/>
    </row>
    <row r="397" spans="18:19" x14ac:dyDescent="0.25">
      <c r="R397" s="4"/>
      <c r="S397" s="4"/>
    </row>
    <row r="398" spans="18:19" x14ac:dyDescent="0.25">
      <c r="R398" s="4"/>
      <c r="S398" s="4"/>
    </row>
    <row r="399" spans="18:19" x14ac:dyDescent="0.25">
      <c r="R399" s="4"/>
      <c r="S399" s="4"/>
    </row>
    <row r="400" spans="18:19" x14ac:dyDescent="0.25">
      <c r="R400" s="4"/>
      <c r="S400" s="4"/>
    </row>
    <row r="401" spans="18:19" x14ac:dyDescent="0.25">
      <c r="R401" s="4"/>
      <c r="S401" s="4"/>
    </row>
    <row r="402" spans="18:19" x14ac:dyDescent="0.25">
      <c r="R402" s="4"/>
      <c r="S402" s="4"/>
    </row>
    <row r="403" spans="18:19" x14ac:dyDescent="0.25">
      <c r="R403" s="4"/>
      <c r="S403" s="4"/>
    </row>
    <row r="404" spans="18:19" x14ac:dyDescent="0.25">
      <c r="R404" s="4"/>
      <c r="S404" s="4"/>
    </row>
    <row r="405" spans="18:19" x14ac:dyDescent="0.25">
      <c r="R405" s="4"/>
      <c r="S405" s="4"/>
    </row>
    <row r="406" spans="18:19" x14ac:dyDescent="0.25">
      <c r="R406" s="4"/>
      <c r="S406" s="4"/>
    </row>
    <row r="407" spans="18:19" x14ac:dyDescent="0.25">
      <c r="R407" s="4"/>
      <c r="S407" s="4"/>
    </row>
    <row r="408" spans="18:19" x14ac:dyDescent="0.25">
      <c r="R408" s="4"/>
      <c r="S408" s="4"/>
    </row>
    <row r="409" spans="18:19" x14ac:dyDescent="0.25">
      <c r="R409" s="4"/>
      <c r="S409" s="4"/>
    </row>
    <row r="410" spans="18:19" x14ac:dyDescent="0.25">
      <c r="R410" s="4"/>
      <c r="S410" s="4"/>
    </row>
    <row r="411" spans="18:19" x14ac:dyDescent="0.25">
      <c r="R411" s="4"/>
      <c r="S411" s="4"/>
    </row>
    <row r="412" spans="18:19" x14ac:dyDescent="0.25">
      <c r="R412" s="4"/>
      <c r="S412" s="4"/>
    </row>
    <row r="413" spans="18:19" x14ac:dyDescent="0.25">
      <c r="R413" s="4"/>
      <c r="S413" s="4"/>
    </row>
    <row r="414" spans="18:19" x14ac:dyDescent="0.25">
      <c r="R414" s="4"/>
      <c r="S414" s="4"/>
    </row>
    <row r="415" spans="18:19" x14ac:dyDescent="0.25">
      <c r="R415" s="4"/>
      <c r="S415" s="4"/>
    </row>
    <row r="416" spans="18:19" x14ac:dyDescent="0.25">
      <c r="R416" s="4"/>
      <c r="S416" s="4"/>
    </row>
    <row r="417" spans="18:19" x14ac:dyDescent="0.25">
      <c r="R417" s="4"/>
      <c r="S417" s="4"/>
    </row>
    <row r="418" spans="18:19" x14ac:dyDescent="0.25">
      <c r="R418" s="4"/>
      <c r="S418" s="4"/>
    </row>
    <row r="419" spans="18:19" x14ac:dyDescent="0.25">
      <c r="R419" s="4"/>
      <c r="S419" s="4"/>
    </row>
    <row r="420" spans="18:19" x14ac:dyDescent="0.25">
      <c r="R420" s="4"/>
      <c r="S420" s="4"/>
    </row>
    <row r="421" spans="18:19" x14ac:dyDescent="0.25">
      <c r="R421" s="4"/>
      <c r="S421" s="4"/>
    </row>
    <row r="422" spans="18:19" x14ac:dyDescent="0.25">
      <c r="R422" s="4"/>
      <c r="S422" s="4"/>
    </row>
    <row r="423" spans="18:19" x14ac:dyDescent="0.25">
      <c r="R423" s="4"/>
      <c r="S423" s="4"/>
    </row>
    <row r="424" spans="18:19" x14ac:dyDescent="0.25">
      <c r="R424" s="4"/>
      <c r="S424" s="4"/>
    </row>
    <row r="425" spans="18:19" x14ac:dyDescent="0.25">
      <c r="R425" s="4"/>
      <c r="S425" s="4"/>
    </row>
    <row r="426" spans="18:19" x14ac:dyDescent="0.25">
      <c r="R426" s="4"/>
      <c r="S426" s="4"/>
    </row>
    <row r="427" spans="18:19" x14ac:dyDescent="0.25">
      <c r="R427" s="4"/>
      <c r="S427" s="4"/>
    </row>
    <row r="428" spans="18:19" x14ac:dyDescent="0.25">
      <c r="R428" s="4"/>
      <c r="S428" s="4"/>
    </row>
    <row r="429" spans="18:19" x14ac:dyDescent="0.25">
      <c r="R429" s="4"/>
      <c r="S429" s="4"/>
    </row>
    <row r="430" spans="18:19" x14ac:dyDescent="0.25">
      <c r="R430" s="4"/>
      <c r="S430" s="4"/>
    </row>
    <row r="431" spans="18:19" x14ac:dyDescent="0.25">
      <c r="R431" s="4"/>
      <c r="S431" s="4"/>
    </row>
    <row r="432" spans="18:19" x14ac:dyDescent="0.25">
      <c r="R432" s="4"/>
      <c r="S432" s="4"/>
    </row>
    <row r="433" spans="18:19" x14ac:dyDescent="0.25">
      <c r="R433" s="4"/>
      <c r="S433" s="4"/>
    </row>
    <row r="434" spans="18:19" x14ac:dyDescent="0.25">
      <c r="R434" s="4"/>
      <c r="S434" s="4"/>
    </row>
    <row r="435" spans="18:19" x14ac:dyDescent="0.25">
      <c r="R435" s="4"/>
      <c r="S435" s="4"/>
    </row>
    <row r="436" spans="18:19" x14ac:dyDescent="0.25">
      <c r="R436" s="4"/>
      <c r="S436" s="4"/>
    </row>
    <row r="437" spans="18:19" x14ac:dyDescent="0.25">
      <c r="R437" s="4"/>
      <c r="S437" s="4"/>
    </row>
    <row r="438" spans="18:19" x14ac:dyDescent="0.25">
      <c r="R438" s="4"/>
      <c r="S438" s="4"/>
    </row>
    <row r="439" spans="18:19" x14ac:dyDescent="0.25">
      <c r="R439" s="4"/>
      <c r="S439" s="4"/>
    </row>
    <row r="440" spans="18:19" x14ac:dyDescent="0.25">
      <c r="R440" s="4"/>
      <c r="S440" s="4"/>
    </row>
    <row r="441" spans="18:19" x14ac:dyDescent="0.25">
      <c r="R441" s="4"/>
      <c r="S441" s="4"/>
    </row>
    <row r="442" spans="18:19" x14ac:dyDescent="0.25">
      <c r="R442" s="4"/>
      <c r="S442" s="4"/>
    </row>
    <row r="443" spans="18:19" x14ac:dyDescent="0.25">
      <c r="R443" s="4"/>
      <c r="S443" s="4"/>
    </row>
    <row r="444" spans="18:19" x14ac:dyDescent="0.25">
      <c r="R444" s="4"/>
      <c r="S444" s="4"/>
    </row>
    <row r="445" spans="18:19" x14ac:dyDescent="0.25">
      <c r="R445" s="4"/>
      <c r="S445" s="4"/>
    </row>
    <row r="446" spans="18:19" x14ac:dyDescent="0.25">
      <c r="R446" s="4"/>
      <c r="S446" s="4"/>
    </row>
    <row r="447" spans="18:19" x14ac:dyDescent="0.25">
      <c r="R447" s="4"/>
      <c r="S447" s="4"/>
    </row>
    <row r="448" spans="18:19" x14ac:dyDescent="0.25">
      <c r="R448" s="4"/>
      <c r="S448" s="4"/>
    </row>
    <row r="449" spans="18:19" x14ac:dyDescent="0.25">
      <c r="R449" s="4"/>
      <c r="S449" s="4"/>
    </row>
    <row r="450" spans="18:19" x14ac:dyDescent="0.25">
      <c r="R450" s="4"/>
      <c r="S450" s="4"/>
    </row>
    <row r="451" spans="18:19" x14ac:dyDescent="0.25">
      <c r="R451" s="4"/>
      <c r="S451" s="4"/>
    </row>
    <row r="452" spans="18:19" x14ac:dyDescent="0.25">
      <c r="R452" s="4"/>
      <c r="S452" s="4"/>
    </row>
    <row r="453" spans="18:19" x14ac:dyDescent="0.25">
      <c r="R453" s="4"/>
      <c r="S453" s="4"/>
    </row>
    <row r="454" spans="18:19" x14ac:dyDescent="0.25">
      <c r="R454" s="4"/>
      <c r="S454" s="4"/>
    </row>
    <row r="455" spans="18:19" x14ac:dyDescent="0.25">
      <c r="R455" s="4"/>
      <c r="S455" s="4"/>
    </row>
    <row r="456" spans="18:19" x14ac:dyDescent="0.25">
      <c r="R456" s="4"/>
      <c r="S456" s="4"/>
    </row>
    <row r="457" spans="18:19" x14ac:dyDescent="0.25">
      <c r="R457" s="4"/>
      <c r="S457" s="4"/>
    </row>
    <row r="458" spans="18:19" x14ac:dyDescent="0.25">
      <c r="R458" s="4"/>
      <c r="S458" s="4"/>
    </row>
    <row r="459" spans="18:19" x14ac:dyDescent="0.25">
      <c r="R459" s="4"/>
      <c r="S459" s="4"/>
    </row>
    <row r="460" spans="18:19" x14ac:dyDescent="0.25">
      <c r="R460" s="4"/>
      <c r="S460" s="4"/>
    </row>
    <row r="461" spans="18:19" x14ac:dyDescent="0.25">
      <c r="R461" s="4"/>
      <c r="S461" s="4"/>
    </row>
    <row r="462" spans="18:19" x14ac:dyDescent="0.25">
      <c r="R462" s="4"/>
      <c r="S462" s="4"/>
    </row>
    <row r="463" spans="18:19" x14ac:dyDescent="0.25">
      <c r="R463" s="4"/>
      <c r="S463" s="4"/>
    </row>
    <row r="464" spans="18:19" x14ac:dyDescent="0.25">
      <c r="R464" s="4"/>
      <c r="S464" s="4"/>
    </row>
    <row r="465" spans="18:19" x14ac:dyDescent="0.25">
      <c r="R465" s="4"/>
      <c r="S465" s="4"/>
    </row>
    <row r="466" spans="18:19" x14ac:dyDescent="0.25">
      <c r="R466" s="4"/>
      <c r="S466" s="4"/>
    </row>
    <row r="467" spans="18:19" x14ac:dyDescent="0.25">
      <c r="R467" s="4"/>
      <c r="S467" s="4"/>
    </row>
    <row r="468" spans="18:19" x14ac:dyDescent="0.25">
      <c r="R468" s="4"/>
      <c r="S468" s="4"/>
    </row>
    <row r="469" spans="18:19" x14ac:dyDescent="0.25">
      <c r="R469" s="4"/>
      <c r="S469" s="4"/>
    </row>
    <row r="470" spans="18:19" x14ac:dyDescent="0.25">
      <c r="R470" s="4"/>
      <c r="S470" s="4"/>
    </row>
    <row r="471" spans="18:19" x14ac:dyDescent="0.25">
      <c r="R471" s="4"/>
      <c r="S471" s="4"/>
    </row>
    <row r="472" spans="18:19" x14ac:dyDescent="0.25">
      <c r="R472" s="4"/>
      <c r="S472" s="4"/>
    </row>
    <row r="473" spans="18:19" x14ac:dyDescent="0.25">
      <c r="R473" s="4"/>
      <c r="S473" s="4"/>
    </row>
    <row r="474" spans="18:19" x14ac:dyDescent="0.25">
      <c r="R474" s="4"/>
      <c r="S474" s="4"/>
    </row>
    <row r="475" spans="18:19" x14ac:dyDescent="0.25">
      <c r="R475" s="4"/>
      <c r="S475" s="4"/>
    </row>
    <row r="476" spans="18:19" x14ac:dyDescent="0.25">
      <c r="R476" s="4"/>
      <c r="S476" s="4"/>
    </row>
    <row r="477" spans="18:19" x14ac:dyDescent="0.25">
      <c r="R477" s="4"/>
      <c r="S477" s="4"/>
    </row>
    <row r="478" spans="18:19" x14ac:dyDescent="0.25">
      <c r="R478" s="4"/>
      <c r="S478" s="4"/>
    </row>
    <row r="479" spans="18:19" x14ac:dyDescent="0.25">
      <c r="R479" s="4"/>
      <c r="S479" s="4"/>
    </row>
    <row r="480" spans="18:19" x14ac:dyDescent="0.25">
      <c r="R480" s="4"/>
      <c r="S480" s="4"/>
    </row>
    <row r="481" spans="18:19" x14ac:dyDescent="0.25">
      <c r="R481" s="4"/>
      <c r="S481" s="4"/>
    </row>
    <row r="482" spans="18:19" x14ac:dyDescent="0.25">
      <c r="R482" s="4"/>
      <c r="S482" s="4"/>
    </row>
    <row r="483" spans="18:19" x14ac:dyDescent="0.25">
      <c r="R483" s="4"/>
      <c r="S483" s="4"/>
    </row>
    <row r="484" spans="18:19" x14ac:dyDescent="0.25">
      <c r="R484" s="4"/>
      <c r="S484" s="4"/>
    </row>
    <row r="485" spans="18:19" x14ac:dyDescent="0.25">
      <c r="R485" s="4"/>
      <c r="S485" s="4"/>
    </row>
    <row r="486" spans="18:19" x14ac:dyDescent="0.25">
      <c r="R486" s="4"/>
      <c r="S486" s="4"/>
    </row>
    <row r="487" spans="18:19" x14ac:dyDescent="0.25">
      <c r="R487" s="4"/>
      <c r="S487" s="4"/>
    </row>
    <row r="488" spans="18:19" x14ac:dyDescent="0.25">
      <c r="R488" s="4"/>
      <c r="S488" s="4"/>
    </row>
    <row r="489" spans="18:19" x14ac:dyDescent="0.25">
      <c r="R489" s="4"/>
      <c r="S489" s="4"/>
    </row>
    <row r="490" spans="18:19" x14ac:dyDescent="0.25">
      <c r="R490" s="4"/>
      <c r="S490" s="4"/>
    </row>
    <row r="491" spans="18:19" x14ac:dyDescent="0.25">
      <c r="R491" s="4"/>
      <c r="S491" s="4"/>
    </row>
    <row r="492" spans="18:19" x14ac:dyDescent="0.25">
      <c r="R492" s="4"/>
      <c r="S492" s="4"/>
    </row>
    <row r="493" spans="18:19" x14ac:dyDescent="0.25">
      <c r="R493" s="4"/>
      <c r="S493" s="4"/>
    </row>
    <row r="494" spans="18:19" x14ac:dyDescent="0.25">
      <c r="R494" s="4"/>
      <c r="S494" s="4"/>
    </row>
    <row r="495" spans="18:19" x14ac:dyDescent="0.25">
      <c r="R495" s="4"/>
      <c r="S495" s="4"/>
    </row>
    <row r="496" spans="18:19" x14ac:dyDescent="0.25">
      <c r="R496" s="4"/>
      <c r="S496" s="4"/>
    </row>
    <row r="497" spans="18:19" x14ac:dyDescent="0.25">
      <c r="R497" s="4"/>
      <c r="S497" s="4"/>
    </row>
    <row r="498" spans="18:19" x14ac:dyDescent="0.25">
      <c r="R498" s="4"/>
      <c r="S498" s="4"/>
    </row>
    <row r="499" spans="18:19" x14ac:dyDescent="0.25">
      <c r="R499" s="4"/>
      <c r="S499" s="4"/>
    </row>
    <row r="500" spans="18:19" x14ac:dyDescent="0.25">
      <c r="R500" s="4"/>
      <c r="S500" s="4"/>
    </row>
    <row r="501" spans="18:19" x14ac:dyDescent="0.25">
      <c r="R501" s="4"/>
      <c r="S501" s="4"/>
    </row>
    <row r="502" spans="18:19" x14ac:dyDescent="0.25">
      <c r="R502" s="4"/>
      <c r="S502" s="4"/>
    </row>
    <row r="503" spans="18:19" x14ac:dyDescent="0.25">
      <c r="R503" s="4"/>
      <c r="S503" s="4"/>
    </row>
    <row r="504" spans="18:19" x14ac:dyDescent="0.25">
      <c r="R504" s="4"/>
      <c r="S504" s="4"/>
    </row>
    <row r="505" spans="18:19" x14ac:dyDescent="0.25">
      <c r="R505" s="4"/>
      <c r="S505" s="4"/>
    </row>
    <row r="506" spans="18:19" x14ac:dyDescent="0.25">
      <c r="R506" s="4"/>
      <c r="S506" s="4"/>
    </row>
    <row r="507" spans="18:19" x14ac:dyDescent="0.25">
      <c r="R507" s="4"/>
      <c r="S507" s="4"/>
    </row>
    <row r="508" spans="18:19" x14ac:dyDescent="0.25">
      <c r="R508" s="4"/>
      <c r="S508" s="4"/>
    </row>
    <row r="509" spans="18:19" x14ac:dyDescent="0.25">
      <c r="R509" s="4"/>
      <c r="S509" s="4"/>
    </row>
    <row r="510" spans="18:19" x14ac:dyDescent="0.25">
      <c r="R510" s="4"/>
      <c r="S510" s="4"/>
    </row>
    <row r="511" spans="18:19" x14ac:dyDescent="0.25">
      <c r="R511" s="4"/>
      <c r="S511" s="4"/>
    </row>
    <row r="512" spans="18:19" x14ac:dyDescent="0.25">
      <c r="R512" s="4"/>
      <c r="S512" s="4"/>
    </row>
    <row r="513" spans="18:19" x14ac:dyDescent="0.25">
      <c r="R513" s="4"/>
      <c r="S513" s="4"/>
    </row>
    <row r="514" spans="18:19" x14ac:dyDescent="0.25">
      <c r="R514" s="4"/>
      <c r="S514" s="4"/>
    </row>
    <row r="515" spans="18:19" x14ac:dyDescent="0.25">
      <c r="R515" s="4"/>
      <c r="S515" s="4"/>
    </row>
    <row r="516" spans="18:19" x14ac:dyDescent="0.25">
      <c r="R516" s="4"/>
      <c r="S516" s="4"/>
    </row>
    <row r="517" spans="18:19" x14ac:dyDescent="0.25">
      <c r="R517" s="4"/>
      <c r="S517" s="4"/>
    </row>
    <row r="518" spans="18:19" x14ac:dyDescent="0.25">
      <c r="R518" s="4"/>
      <c r="S518" s="4"/>
    </row>
    <row r="519" spans="18:19" x14ac:dyDescent="0.25">
      <c r="R519" s="4"/>
      <c r="S519" s="4"/>
    </row>
    <row r="520" spans="18:19" x14ac:dyDescent="0.25">
      <c r="R520" s="4"/>
      <c r="S520" s="4"/>
    </row>
    <row r="521" spans="18:19" x14ac:dyDescent="0.25">
      <c r="R521" s="4"/>
      <c r="S521" s="4"/>
    </row>
    <row r="522" spans="18:19" x14ac:dyDescent="0.25">
      <c r="R522" s="4"/>
      <c r="S522" s="4"/>
    </row>
    <row r="523" spans="18:19" x14ac:dyDescent="0.25">
      <c r="R523" s="4"/>
      <c r="S523" s="4"/>
    </row>
    <row r="524" spans="18:19" x14ac:dyDescent="0.25">
      <c r="R524" s="4"/>
      <c r="S524" s="4"/>
    </row>
    <row r="525" spans="18:19" x14ac:dyDescent="0.25">
      <c r="R525" s="4"/>
      <c r="S525" s="4"/>
    </row>
    <row r="526" spans="18:19" x14ac:dyDescent="0.25">
      <c r="R526" s="4"/>
      <c r="S526" s="4"/>
    </row>
    <row r="527" spans="18:19" x14ac:dyDescent="0.25">
      <c r="R527" s="4"/>
      <c r="S527" s="4"/>
    </row>
    <row r="528" spans="18:19" x14ac:dyDescent="0.25">
      <c r="R528" s="4"/>
      <c r="S528" s="4"/>
    </row>
    <row r="529" spans="18:19" x14ac:dyDescent="0.25">
      <c r="R529" s="4"/>
      <c r="S529" s="4"/>
    </row>
    <row r="530" spans="18:19" x14ac:dyDescent="0.25">
      <c r="R530" s="4"/>
      <c r="S530" s="4"/>
    </row>
    <row r="531" spans="18:19" x14ac:dyDescent="0.25">
      <c r="R531" s="4"/>
      <c r="S531" s="4"/>
    </row>
    <row r="532" spans="18:19" x14ac:dyDescent="0.25">
      <c r="R532" s="4"/>
      <c r="S532" s="4"/>
    </row>
    <row r="533" spans="18:19" x14ac:dyDescent="0.25">
      <c r="R533" s="4"/>
      <c r="S533" s="4"/>
    </row>
    <row r="534" spans="18:19" x14ac:dyDescent="0.25">
      <c r="R534" s="4"/>
      <c r="S534" s="4"/>
    </row>
    <row r="535" spans="18:19" x14ac:dyDescent="0.25">
      <c r="R535" s="4"/>
      <c r="S535" s="4"/>
    </row>
    <row r="536" spans="18:19" x14ac:dyDescent="0.25">
      <c r="R536" s="4"/>
      <c r="S536" s="4"/>
    </row>
    <row r="537" spans="18:19" x14ac:dyDescent="0.25">
      <c r="R537" s="4"/>
      <c r="S537" s="4"/>
    </row>
    <row r="538" spans="18:19" x14ac:dyDescent="0.25">
      <c r="R538" s="4"/>
      <c r="S538" s="4"/>
    </row>
    <row r="539" spans="18:19" x14ac:dyDescent="0.25">
      <c r="R539" s="4"/>
      <c r="S539" s="4"/>
    </row>
    <row r="540" spans="18:19" x14ac:dyDescent="0.25">
      <c r="R540" s="4"/>
      <c r="S540" s="4"/>
    </row>
    <row r="541" spans="18:19" x14ac:dyDescent="0.25">
      <c r="R541" s="4"/>
      <c r="S541" s="4"/>
    </row>
    <row r="542" spans="18:19" x14ac:dyDescent="0.25">
      <c r="R542" s="4"/>
      <c r="S542" s="4"/>
    </row>
    <row r="543" spans="18:19" x14ac:dyDescent="0.25">
      <c r="R543" s="4"/>
      <c r="S543" s="4"/>
    </row>
    <row r="544" spans="18:19" x14ac:dyDescent="0.25">
      <c r="R544" s="4"/>
      <c r="S544" s="4"/>
    </row>
    <row r="545" spans="18:19" x14ac:dyDescent="0.25">
      <c r="R545" s="4"/>
      <c r="S545" s="4"/>
    </row>
    <row r="546" spans="18:19" x14ac:dyDescent="0.25">
      <c r="R546" s="4"/>
      <c r="S546" s="4"/>
    </row>
    <row r="547" spans="18:19" x14ac:dyDescent="0.25">
      <c r="R547" s="4"/>
      <c r="S547" s="4"/>
    </row>
    <row r="548" spans="18:19" x14ac:dyDescent="0.25">
      <c r="R548" s="4"/>
      <c r="S548" s="4"/>
    </row>
    <row r="549" spans="18:19" x14ac:dyDescent="0.25">
      <c r="R549" s="4"/>
      <c r="S549" s="4"/>
    </row>
    <row r="550" spans="18:19" x14ac:dyDescent="0.25">
      <c r="R550" s="4"/>
      <c r="S550" s="4"/>
    </row>
    <row r="551" spans="18:19" x14ac:dyDescent="0.25">
      <c r="R551" s="4"/>
      <c r="S551" s="4"/>
    </row>
    <row r="552" spans="18:19" x14ac:dyDescent="0.25">
      <c r="R552" s="4"/>
      <c r="S552" s="4"/>
    </row>
    <row r="553" spans="18:19" x14ac:dyDescent="0.25">
      <c r="R553" s="4"/>
      <c r="S553" s="4"/>
    </row>
    <row r="554" spans="18:19" x14ac:dyDescent="0.25">
      <c r="R554" s="4"/>
      <c r="S554" s="4"/>
    </row>
    <row r="555" spans="18:19" x14ac:dyDescent="0.25">
      <c r="R555" s="4"/>
      <c r="S555" s="4"/>
    </row>
    <row r="556" spans="18:19" x14ac:dyDescent="0.25">
      <c r="R556" s="4"/>
      <c r="S556" s="4"/>
    </row>
    <row r="557" spans="18:19" x14ac:dyDescent="0.25">
      <c r="R557" s="4"/>
      <c r="S557" s="4"/>
    </row>
    <row r="558" spans="18:19" x14ac:dyDescent="0.25">
      <c r="R558" s="4"/>
      <c r="S558" s="4"/>
    </row>
    <row r="559" spans="18:19" x14ac:dyDescent="0.25">
      <c r="R559" s="4"/>
      <c r="S559" s="4"/>
    </row>
    <row r="560" spans="18:19" x14ac:dyDescent="0.25">
      <c r="R560" s="4"/>
      <c r="S560" s="4"/>
    </row>
    <row r="561" spans="18:19" x14ac:dyDescent="0.25">
      <c r="R561" s="4"/>
      <c r="S561" s="4"/>
    </row>
    <row r="562" spans="18:19" x14ac:dyDescent="0.25">
      <c r="R562" s="4"/>
      <c r="S562" s="4"/>
    </row>
    <row r="563" spans="18:19" x14ac:dyDescent="0.25">
      <c r="R563" s="4"/>
      <c r="S563" s="4"/>
    </row>
    <row r="564" spans="18:19" x14ac:dyDescent="0.25">
      <c r="R564" s="4"/>
      <c r="S564" s="4"/>
    </row>
    <row r="565" spans="18:19" x14ac:dyDescent="0.25">
      <c r="R565" s="4"/>
      <c r="S565" s="4"/>
    </row>
    <row r="566" spans="18:19" x14ac:dyDescent="0.25">
      <c r="R566" s="4"/>
      <c r="S566" s="4"/>
    </row>
    <row r="567" spans="18:19" x14ac:dyDescent="0.25">
      <c r="R567" s="4"/>
      <c r="S567" s="4"/>
    </row>
    <row r="568" spans="18:19" x14ac:dyDescent="0.25">
      <c r="R568" s="4"/>
      <c r="S568" s="4"/>
    </row>
    <row r="569" spans="18:19" x14ac:dyDescent="0.25">
      <c r="R569" s="4"/>
      <c r="S569" s="4"/>
    </row>
    <row r="570" spans="18:19" x14ac:dyDescent="0.25">
      <c r="R570" s="4"/>
      <c r="S570" s="4"/>
    </row>
    <row r="571" spans="18:19" x14ac:dyDescent="0.25">
      <c r="R571" s="4"/>
      <c r="S571" s="4"/>
    </row>
    <row r="572" spans="18:19" x14ac:dyDescent="0.25">
      <c r="R572" s="4"/>
      <c r="S572" s="4"/>
    </row>
    <row r="573" spans="18:19" x14ac:dyDescent="0.25">
      <c r="R573" s="4"/>
      <c r="S573" s="4"/>
    </row>
    <row r="574" spans="18:19" x14ac:dyDescent="0.25">
      <c r="R574" s="4"/>
      <c r="S574" s="4"/>
    </row>
    <row r="575" spans="18:19" x14ac:dyDescent="0.25">
      <c r="R575" s="4"/>
      <c r="S575" s="4"/>
    </row>
    <row r="576" spans="18:19" x14ac:dyDescent="0.25">
      <c r="R576" s="4"/>
      <c r="S576" s="4"/>
    </row>
    <row r="577" spans="18:19" x14ac:dyDescent="0.25">
      <c r="R577" s="4"/>
      <c r="S577" s="4"/>
    </row>
    <row r="578" spans="18:19" x14ac:dyDescent="0.25">
      <c r="R578" s="4"/>
      <c r="S578" s="4"/>
    </row>
    <row r="579" spans="18:19" x14ac:dyDescent="0.25">
      <c r="R579" s="4"/>
      <c r="S579" s="4"/>
    </row>
    <row r="580" spans="18:19" x14ac:dyDescent="0.25">
      <c r="R580" s="4"/>
      <c r="S580" s="4"/>
    </row>
    <row r="581" spans="18:19" x14ac:dyDescent="0.25">
      <c r="R581" s="4"/>
      <c r="S581" s="4"/>
    </row>
    <row r="582" spans="18:19" x14ac:dyDescent="0.25">
      <c r="R582" s="4"/>
      <c r="S582" s="4"/>
    </row>
    <row r="583" spans="18:19" x14ac:dyDescent="0.25">
      <c r="R583" s="4"/>
      <c r="S583" s="4"/>
    </row>
    <row r="584" spans="18:19" x14ac:dyDescent="0.25">
      <c r="R584" s="4"/>
      <c r="S584" s="4"/>
    </row>
    <row r="585" spans="18:19" x14ac:dyDescent="0.25">
      <c r="R585" s="4"/>
      <c r="S585" s="4"/>
    </row>
    <row r="586" spans="18:19" x14ac:dyDescent="0.25">
      <c r="R586" s="4"/>
      <c r="S586" s="4"/>
    </row>
    <row r="587" spans="18:19" x14ac:dyDescent="0.25">
      <c r="R587" s="4"/>
      <c r="S587" s="4"/>
    </row>
    <row r="588" spans="18:19" x14ac:dyDescent="0.25">
      <c r="R588" s="4"/>
      <c r="S588" s="4"/>
    </row>
    <row r="589" spans="18:19" x14ac:dyDescent="0.25">
      <c r="R589" s="4"/>
      <c r="S589" s="4"/>
    </row>
    <row r="590" spans="18:19" x14ac:dyDescent="0.25">
      <c r="R590" s="4"/>
      <c r="S590" s="4"/>
    </row>
    <row r="591" spans="18:19" x14ac:dyDescent="0.25">
      <c r="R591" s="4"/>
      <c r="S591" s="4"/>
    </row>
    <row r="592" spans="18:19" x14ac:dyDescent="0.25">
      <c r="R592" s="4"/>
      <c r="S592" s="4"/>
    </row>
    <row r="593" spans="18:19" x14ac:dyDescent="0.25">
      <c r="R593" s="4"/>
      <c r="S593" s="4"/>
    </row>
    <row r="594" spans="18:19" x14ac:dyDescent="0.25">
      <c r="R594" s="4"/>
      <c r="S594" s="4"/>
    </row>
    <row r="595" spans="18:19" x14ac:dyDescent="0.25">
      <c r="R595" s="4"/>
      <c r="S595" s="4"/>
    </row>
    <row r="596" spans="18:19" x14ac:dyDescent="0.25">
      <c r="R596" s="4"/>
      <c r="S596" s="4"/>
    </row>
    <row r="597" spans="18:19" x14ac:dyDescent="0.25">
      <c r="R597" s="4"/>
      <c r="S597" s="4"/>
    </row>
    <row r="598" spans="18:19" x14ac:dyDescent="0.25">
      <c r="R598" s="4"/>
      <c r="S598" s="4"/>
    </row>
    <row r="599" spans="18:19" x14ac:dyDescent="0.25">
      <c r="R599" s="4"/>
      <c r="S599" s="4"/>
    </row>
    <row r="600" spans="18:19" x14ac:dyDescent="0.25">
      <c r="R600" s="4"/>
      <c r="S600" s="4"/>
    </row>
    <row r="601" spans="18:19" x14ac:dyDescent="0.25">
      <c r="R601" s="4"/>
      <c r="S601" s="4"/>
    </row>
    <row r="602" spans="18:19" x14ac:dyDescent="0.25">
      <c r="R602" s="4"/>
      <c r="S602" s="4"/>
    </row>
    <row r="603" spans="18:19" x14ac:dyDescent="0.25">
      <c r="R603" s="4"/>
      <c r="S603" s="4"/>
    </row>
    <row r="604" spans="18:19" x14ac:dyDescent="0.25">
      <c r="R604" s="4"/>
      <c r="S604" s="4"/>
    </row>
    <row r="605" spans="18:19" x14ac:dyDescent="0.25">
      <c r="R605" s="4"/>
      <c r="S605" s="4"/>
    </row>
    <row r="606" spans="18:19" x14ac:dyDescent="0.25">
      <c r="R606" s="4"/>
      <c r="S606" s="4"/>
    </row>
    <row r="607" spans="18:19" x14ac:dyDescent="0.25">
      <c r="R607" s="4"/>
      <c r="S607" s="4"/>
    </row>
    <row r="608" spans="18:19" x14ac:dyDescent="0.25">
      <c r="R608" s="4"/>
      <c r="S608" s="4"/>
    </row>
    <row r="609" spans="18:19" x14ac:dyDescent="0.25">
      <c r="R609" s="4"/>
      <c r="S609" s="4"/>
    </row>
    <row r="610" spans="18:19" x14ac:dyDescent="0.25">
      <c r="R610" s="4"/>
      <c r="S610" s="4"/>
    </row>
    <row r="611" spans="18:19" x14ac:dyDescent="0.25">
      <c r="R611" s="4"/>
      <c r="S611" s="4"/>
    </row>
    <row r="612" spans="18:19" x14ac:dyDescent="0.25">
      <c r="R612" s="4"/>
      <c r="S612" s="4"/>
    </row>
    <row r="613" spans="18:19" x14ac:dyDescent="0.25">
      <c r="R613" s="4"/>
      <c r="S613" s="4"/>
    </row>
    <row r="614" spans="18:19" x14ac:dyDescent="0.25">
      <c r="R614" s="4"/>
      <c r="S614" s="4"/>
    </row>
    <row r="615" spans="18:19" x14ac:dyDescent="0.25">
      <c r="R615" s="4"/>
      <c r="S615" s="4"/>
    </row>
    <row r="616" spans="18:19" x14ac:dyDescent="0.25">
      <c r="R616" s="4"/>
      <c r="S616" s="4"/>
    </row>
    <row r="617" spans="18:19" x14ac:dyDescent="0.25">
      <c r="R617" s="4"/>
      <c r="S617" s="4"/>
    </row>
    <row r="618" spans="18:19" x14ac:dyDescent="0.25">
      <c r="R618" s="4"/>
      <c r="S618" s="4"/>
    </row>
    <row r="619" spans="18:19" x14ac:dyDescent="0.25">
      <c r="R619" s="4"/>
      <c r="S619" s="4"/>
    </row>
    <row r="620" spans="18:19" x14ac:dyDescent="0.25">
      <c r="R620" s="4"/>
      <c r="S620" s="4"/>
    </row>
    <row r="621" spans="18:19" x14ac:dyDescent="0.25">
      <c r="R621" s="4"/>
      <c r="S621" s="4"/>
    </row>
    <row r="622" spans="18:19" x14ac:dyDescent="0.25">
      <c r="R622" s="4"/>
      <c r="S622" s="4"/>
    </row>
    <row r="623" spans="18:19" x14ac:dyDescent="0.25">
      <c r="R623" s="4"/>
      <c r="S623" s="4"/>
    </row>
    <row r="624" spans="18:19" x14ac:dyDescent="0.25">
      <c r="R624" s="4"/>
      <c r="S624" s="4"/>
    </row>
    <row r="625" spans="18:19" x14ac:dyDescent="0.25">
      <c r="R625" s="4"/>
      <c r="S625" s="4"/>
    </row>
    <row r="626" spans="18:19" x14ac:dyDescent="0.25">
      <c r="R626" s="4"/>
      <c r="S626" s="4"/>
    </row>
    <row r="627" spans="18:19" x14ac:dyDescent="0.25">
      <c r="R627" s="4"/>
      <c r="S627" s="4"/>
    </row>
    <row r="628" spans="18:19" x14ac:dyDescent="0.25">
      <c r="R628" s="4"/>
      <c r="S628" s="4"/>
    </row>
    <row r="629" spans="18:19" x14ac:dyDescent="0.25">
      <c r="R629" s="4"/>
      <c r="S629" s="4"/>
    </row>
    <row r="630" spans="18:19" x14ac:dyDescent="0.25">
      <c r="R630" s="4"/>
      <c r="S630" s="4"/>
    </row>
    <row r="631" spans="18:19" x14ac:dyDescent="0.25">
      <c r="R631" s="4"/>
      <c r="S631" s="4"/>
    </row>
    <row r="632" spans="18:19" x14ac:dyDescent="0.25">
      <c r="R632" s="4"/>
      <c r="S632" s="4"/>
    </row>
    <row r="633" spans="18:19" x14ac:dyDescent="0.25">
      <c r="R633" s="4"/>
      <c r="S633" s="4"/>
    </row>
    <row r="634" spans="18:19" x14ac:dyDescent="0.25">
      <c r="R634" s="4"/>
      <c r="S634" s="4"/>
    </row>
    <row r="635" spans="18:19" x14ac:dyDescent="0.25">
      <c r="R635" s="4"/>
      <c r="S635" s="4"/>
    </row>
    <row r="636" spans="18:19" x14ac:dyDescent="0.25">
      <c r="R636" s="4"/>
      <c r="S636" s="4"/>
    </row>
    <row r="637" spans="18:19" x14ac:dyDescent="0.25">
      <c r="R637" s="4"/>
      <c r="S637" s="4"/>
    </row>
    <row r="638" spans="18:19" x14ac:dyDescent="0.25">
      <c r="R638" s="4"/>
      <c r="S638" s="4"/>
    </row>
    <row r="639" spans="18:19" x14ac:dyDescent="0.25">
      <c r="R639" s="4"/>
      <c r="S639" s="4"/>
    </row>
    <row r="640" spans="18:19" x14ac:dyDescent="0.25">
      <c r="R640" s="4"/>
      <c r="S640" s="4"/>
    </row>
    <row r="641" spans="18:19" x14ac:dyDescent="0.25">
      <c r="R641" s="4"/>
      <c r="S641" s="4"/>
    </row>
    <row r="642" spans="18:19" x14ac:dyDescent="0.25">
      <c r="R642" s="4"/>
      <c r="S642" s="4"/>
    </row>
    <row r="643" spans="18:19" x14ac:dyDescent="0.25">
      <c r="R643" s="4"/>
      <c r="S643" s="4"/>
    </row>
    <row r="644" spans="18:19" x14ac:dyDescent="0.25">
      <c r="R644" s="4"/>
      <c r="S644" s="4"/>
    </row>
    <row r="645" spans="18:19" x14ac:dyDescent="0.25">
      <c r="R645" s="4"/>
      <c r="S645" s="4"/>
    </row>
    <row r="646" spans="18:19" x14ac:dyDescent="0.25">
      <c r="R646" s="4"/>
      <c r="S646" s="4"/>
    </row>
    <row r="647" spans="18:19" x14ac:dyDescent="0.25">
      <c r="R647" s="4"/>
      <c r="S647" s="4"/>
    </row>
    <row r="648" spans="18:19" x14ac:dyDescent="0.25">
      <c r="R648" s="4"/>
      <c r="S648" s="4"/>
    </row>
    <row r="649" spans="18:19" x14ac:dyDescent="0.25">
      <c r="R649" s="4"/>
      <c r="S649" s="4"/>
    </row>
    <row r="650" spans="18:19" x14ac:dyDescent="0.25">
      <c r="R650" s="4"/>
      <c r="S650" s="4"/>
    </row>
    <row r="651" spans="18:19" x14ac:dyDescent="0.25">
      <c r="R651" s="4"/>
      <c r="S651" s="4"/>
    </row>
    <row r="652" spans="18:19" x14ac:dyDescent="0.25">
      <c r="R652" s="4"/>
      <c r="S652" s="4"/>
    </row>
    <row r="653" spans="18:19" x14ac:dyDescent="0.25">
      <c r="R653" s="4"/>
      <c r="S653" s="4"/>
    </row>
    <row r="654" spans="18:19" x14ac:dyDescent="0.25">
      <c r="R654" s="4"/>
      <c r="S654" s="4"/>
    </row>
    <row r="655" spans="18:19" x14ac:dyDescent="0.25">
      <c r="R655" s="4"/>
      <c r="S655" s="4"/>
    </row>
    <row r="656" spans="18:19" x14ac:dyDescent="0.25">
      <c r="R656" s="4"/>
      <c r="S656" s="4"/>
    </row>
    <row r="657" spans="18:19" x14ac:dyDescent="0.25">
      <c r="R657" s="4"/>
      <c r="S657" s="4"/>
    </row>
    <row r="658" spans="18:19" x14ac:dyDescent="0.25">
      <c r="R658" s="4"/>
      <c r="S658" s="4"/>
    </row>
    <row r="659" spans="18:19" x14ac:dyDescent="0.25">
      <c r="R659" s="4"/>
      <c r="S659" s="4"/>
    </row>
    <row r="660" spans="18:19" x14ac:dyDescent="0.25">
      <c r="R660" s="4"/>
      <c r="S660" s="4"/>
    </row>
    <row r="661" spans="18:19" x14ac:dyDescent="0.25">
      <c r="R661" s="4"/>
      <c r="S661" s="4"/>
    </row>
    <row r="662" spans="18:19" x14ac:dyDescent="0.25">
      <c r="R662" s="4"/>
      <c r="S662" s="4"/>
    </row>
    <row r="663" spans="18:19" x14ac:dyDescent="0.25">
      <c r="R663" s="4"/>
      <c r="S663" s="4"/>
    </row>
    <row r="664" spans="18:19" x14ac:dyDescent="0.25">
      <c r="R664" s="4"/>
      <c r="S664" s="4"/>
    </row>
    <row r="665" spans="18:19" x14ac:dyDescent="0.25">
      <c r="R665" s="4"/>
      <c r="S665" s="4"/>
    </row>
    <row r="666" spans="18:19" x14ac:dyDescent="0.25">
      <c r="R666" s="4"/>
      <c r="S666" s="4"/>
    </row>
    <row r="667" spans="18:19" x14ac:dyDescent="0.25">
      <c r="R667" s="4"/>
      <c r="S667" s="4"/>
    </row>
    <row r="668" spans="18:19" x14ac:dyDescent="0.25">
      <c r="R668" s="4"/>
      <c r="S668" s="4"/>
    </row>
    <row r="669" spans="18:19" x14ac:dyDescent="0.25">
      <c r="R669" s="4"/>
      <c r="S669" s="4"/>
    </row>
    <row r="670" spans="18:19" x14ac:dyDescent="0.25">
      <c r="R670" s="4"/>
      <c r="S670" s="4"/>
    </row>
    <row r="671" spans="18:19" x14ac:dyDescent="0.25">
      <c r="R671" s="4"/>
      <c r="S671" s="4"/>
    </row>
    <row r="672" spans="18:19" x14ac:dyDescent="0.25">
      <c r="R672" s="4"/>
      <c r="S672" s="4"/>
    </row>
    <row r="673" spans="18:19" x14ac:dyDescent="0.25">
      <c r="R673" s="4"/>
      <c r="S673" s="4"/>
    </row>
    <row r="674" spans="18:19" x14ac:dyDescent="0.25">
      <c r="R674" s="4"/>
      <c r="S674" s="4"/>
    </row>
    <row r="675" spans="18:19" x14ac:dyDescent="0.25">
      <c r="R675" s="4"/>
      <c r="S675" s="4"/>
    </row>
    <row r="676" spans="18:19" x14ac:dyDescent="0.25">
      <c r="R676" s="4"/>
      <c r="S676" s="4"/>
    </row>
    <row r="677" spans="18:19" x14ac:dyDescent="0.25">
      <c r="R677" s="4"/>
      <c r="S677" s="4"/>
    </row>
    <row r="678" spans="18:19" x14ac:dyDescent="0.25">
      <c r="R678" s="4"/>
      <c r="S678" s="4"/>
    </row>
    <row r="679" spans="18:19" x14ac:dyDescent="0.25">
      <c r="R679" s="4"/>
      <c r="S679" s="4"/>
    </row>
    <row r="680" spans="18:19" x14ac:dyDescent="0.25">
      <c r="R680" s="4"/>
      <c r="S680" s="4"/>
    </row>
    <row r="681" spans="18:19" x14ac:dyDescent="0.25">
      <c r="R681" s="4"/>
      <c r="S681" s="4"/>
    </row>
    <row r="682" spans="18:19" x14ac:dyDescent="0.25">
      <c r="R682" s="4"/>
      <c r="S682" s="4"/>
    </row>
    <row r="683" spans="18:19" x14ac:dyDescent="0.25">
      <c r="R683" s="4"/>
      <c r="S683" s="4"/>
    </row>
    <row r="684" spans="18:19" x14ac:dyDescent="0.25">
      <c r="R684" s="4"/>
      <c r="S684" s="4"/>
    </row>
    <row r="685" spans="18:19" x14ac:dyDescent="0.25">
      <c r="R685" s="4"/>
      <c r="S685" s="4"/>
    </row>
    <row r="686" spans="18:19" x14ac:dyDescent="0.25">
      <c r="R686" s="4"/>
      <c r="S686" s="4"/>
    </row>
    <row r="687" spans="18:19" x14ac:dyDescent="0.25">
      <c r="R687" s="4"/>
      <c r="S687" s="4"/>
    </row>
    <row r="688" spans="18:19" x14ac:dyDescent="0.25">
      <c r="R688" s="4"/>
      <c r="S688" s="4"/>
    </row>
    <row r="689" spans="18:19" x14ac:dyDescent="0.25">
      <c r="R689" s="4"/>
      <c r="S689" s="4"/>
    </row>
    <row r="690" spans="18:19" x14ac:dyDescent="0.25">
      <c r="R690" s="4"/>
      <c r="S690" s="4"/>
    </row>
    <row r="691" spans="18:19" x14ac:dyDescent="0.25">
      <c r="R691" s="4"/>
      <c r="S691" s="4"/>
    </row>
    <row r="692" spans="18:19" x14ac:dyDescent="0.25">
      <c r="R692" s="4"/>
      <c r="S692" s="4"/>
    </row>
    <row r="693" spans="18:19" x14ac:dyDescent="0.25">
      <c r="R693" s="4"/>
      <c r="S693" s="4"/>
    </row>
    <row r="694" spans="18:19" x14ac:dyDescent="0.25">
      <c r="R694" s="4"/>
      <c r="S694" s="4"/>
    </row>
    <row r="695" spans="18:19" x14ac:dyDescent="0.25">
      <c r="R695" s="4"/>
      <c r="S695" s="4"/>
    </row>
    <row r="696" spans="18:19" x14ac:dyDescent="0.25">
      <c r="R696" s="4"/>
      <c r="S696" s="4"/>
    </row>
    <row r="697" spans="18:19" x14ac:dyDescent="0.25">
      <c r="R697" s="4"/>
      <c r="S697" s="4"/>
    </row>
    <row r="698" spans="18:19" x14ac:dyDescent="0.25">
      <c r="R698" s="4"/>
      <c r="S698" s="4"/>
    </row>
    <row r="699" spans="18:19" x14ac:dyDescent="0.25">
      <c r="R699" s="4"/>
      <c r="S699" s="4"/>
    </row>
    <row r="700" spans="18:19" x14ac:dyDescent="0.25">
      <c r="R700" s="4"/>
      <c r="S700" s="4"/>
    </row>
    <row r="701" spans="18:19" x14ac:dyDescent="0.25">
      <c r="R701" s="4"/>
      <c r="S701" s="4"/>
    </row>
    <row r="702" spans="18:19" x14ac:dyDescent="0.25">
      <c r="R702" s="4"/>
      <c r="S702" s="4"/>
    </row>
    <row r="703" spans="18:19" x14ac:dyDescent="0.25">
      <c r="R703" s="4"/>
      <c r="S703" s="4"/>
    </row>
    <row r="704" spans="18:19" x14ac:dyDescent="0.25">
      <c r="R704" s="4"/>
      <c r="S704" s="4"/>
    </row>
    <row r="705" spans="18:19" x14ac:dyDescent="0.25">
      <c r="R705" s="4"/>
      <c r="S705" s="4"/>
    </row>
    <row r="706" spans="18:19" x14ac:dyDescent="0.25">
      <c r="R706" s="4"/>
      <c r="S706" s="4"/>
    </row>
    <row r="707" spans="18:19" x14ac:dyDescent="0.25">
      <c r="R707" s="4"/>
      <c r="S707" s="4"/>
    </row>
    <row r="708" spans="18:19" x14ac:dyDescent="0.25">
      <c r="R708" s="4"/>
      <c r="S708" s="4"/>
    </row>
    <row r="709" spans="18:19" x14ac:dyDescent="0.25">
      <c r="R709" s="4"/>
      <c r="S709" s="4"/>
    </row>
    <row r="710" spans="18:19" x14ac:dyDescent="0.25">
      <c r="R710" s="4"/>
      <c r="S710" s="4"/>
    </row>
    <row r="711" spans="18:19" x14ac:dyDescent="0.25">
      <c r="R711" s="4"/>
      <c r="S711" s="4"/>
    </row>
    <row r="712" spans="18:19" x14ac:dyDescent="0.25">
      <c r="R712" s="4"/>
      <c r="S712" s="4"/>
    </row>
    <row r="713" spans="18:19" x14ac:dyDescent="0.25">
      <c r="R713" s="4"/>
      <c r="S713" s="4"/>
    </row>
    <row r="714" spans="18:19" x14ac:dyDescent="0.25">
      <c r="R714" s="4"/>
      <c r="S714" s="4"/>
    </row>
    <row r="715" spans="18:19" x14ac:dyDescent="0.25">
      <c r="R715" s="4"/>
      <c r="S715" s="4"/>
    </row>
    <row r="716" spans="18:19" x14ac:dyDescent="0.25">
      <c r="R716" s="4"/>
      <c r="S716" s="4"/>
    </row>
    <row r="717" spans="18:19" x14ac:dyDescent="0.25">
      <c r="R717" s="4"/>
      <c r="S717" s="4"/>
    </row>
    <row r="718" spans="18:19" x14ac:dyDescent="0.25">
      <c r="R718" s="4"/>
      <c r="S718" s="4"/>
    </row>
    <row r="719" spans="18:19" x14ac:dyDescent="0.25">
      <c r="R719" s="4"/>
      <c r="S719" s="4"/>
    </row>
    <row r="720" spans="18:19" x14ac:dyDescent="0.25">
      <c r="R720" s="4"/>
      <c r="S720" s="4"/>
    </row>
    <row r="721" spans="18:19" x14ac:dyDescent="0.25">
      <c r="R721" s="4"/>
      <c r="S721" s="4"/>
    </row>
    <row r="722" spans="18:19" x14ac:dyDescent="0.25">
      <c r="R722" s="4"/>
      <c r="S722" s="4"/>
    </row>
    <row r="723" spans="18:19" x14ac:dyDescent="0.25">
      <c r="R723" s="4"/>
      <c r="S723" s="4"/>
    </row>
    <row r="724" spans="18:19" x14ac:dyDescent="0.25">
      <c r="R724" s="4"/>
      <c r="S724" s="4"/>
    </row>
    <row r="725" spans="18:19" x14ac:dyDescent="0.25">
      <c r="R725" s="4"/>
      <c r="S725" s="4"/>
    </row>
    <row r="726" spans="18:19" x14ac:dyDescent="0.25">
      <c r="R726" s="4"/>
      <c r="S726" s="4"/>
    </row>
    <row r="727" spans="18:19" x14ac:dyDescent="0.25">
      <c r="R727" s="4"/>
      <c r="S727" s="4"/>
    </row>
    <row r="728" spans="18:19" x14ac:dyDescent="0.25">
      <c r="R728" s="4"/>
      <c r="S728" s="4"/>
    </row>
    <row r="729" spans="18:19" x14ac:dyDescent="0.25">
      <c r="R729" s="4"/>
      <c r="S729" s="4"/>
    </row>
    <row r="730" spans="18:19" x14ac:dyDescent="0.25">
      <c r="R730" s="4"/>
      <c r="S730" s="4"/>
    </row>
    <row r="731" spans="18:19" x14ac:dyDescent="0.25">
      <c r="R731" s="4"/>
      <c r="S731" s="4"/>
    </row>
    <row r="732" spans="18:19" x14ac:dyDescent="0.25">
      <c r="R732" s="4"/>
      <c r="S732" s="4"/>
    </row>
    <row r="733" spans="18:19" x14ac:dyDescent="0.25">
      <c r="R733" s="4"/>
      <c r="S733" s="4"/>
    </row>
    <row r="734" spans="18:19" x14ac:dyDescent="0.25">
      <c r="R734" s="4"/>
      <c r="S734" s="4"/>
    </row>
    <row r="735" spans="18:19" x14ac:dyDescent="0.25">
      <c r="R735" s="4"/>
      <c r="S735" s="4"/>
    </row>
    <row r="736" spans="18:19" x14ac:dyDescent="0.25">
      <c r="R736" s="4"/>
      <c r="S736" s="4"/>
    </row>
    <row r="737" spans="18:19" x14ac:dyDescent="0.25">
      <c r="R737" s="4"/>
      <c r="S737" s="4"/>
    </row>
    <row r="738" spans="18:19" x14ac:dyDescent="0.25">
      <c r="R738" s="4"/>
      <c r="S738" s="4"/>
    </row>
    <row r="739" spans="18:19" x14ac:dyDescent="0.25">
      <c r="R739" s="4"/>
      <c r="S739" s="4"/>
    </row>
    <row r="740" spans="18:19" x14ac:dyDescent="0.25">
      <c r="R740" s="4"/>
      <c r="S740" s="4"/>
    </row>
    <row r="741" spans="18:19" x14ac:dyDescent="0.25">
      <c r="R741" s="4"/>
      <c r="S741" s="4"/>
    </row>
    <row r="742" spans="18:19" x14ac:dyDescent="0.25">
      <c r="R742" s="4"/>
      <c r="S742" s="4"/>
    </row>
    <row r="743" spans="18:19" x14ac:dyDescent="0.25">
      <c r="R743" s="4"/>
      <c r="S743" s="4"/>
    </row>
    <row r="744" spans="18:19" x14ac:dyDescent="0.25">
      <c r="R744" s="4"/>
      <c r="S744" s="4"/>
    </row>
    <row r="745" spans="18:19" x14ac:dyDescent="0.25">
      <c r="R745" s="4"/>
      <c r="S745" s="4"/>
    </row>
    <row r="746" spans="18:19" x14ac:dyDescent="0.25">
      <c r="R746" s="4"/>
      <c r="S746" s="4"/>
    </row>
    <row r="747" spans="18:19" x14ac:dyDescent="0.25">
      <c r="R747" s="4"/>
      <c r="S747" s="4"/>
    </row>
    <row r="748" spans="18:19" x14ac:dyDescent="0.25">
      <c r="R748" s="4"/>
      <c r="S748" s="4"/>
    </row>
    <row r="749" spans="18:19" x14ac:dyDescent="0.25">
      <c r="R749" s="4"/>
      <c r="S749" s="4"/>
    </row>
    <row r="750" spans="18:19" x14ac:dyDescent="0.25">
      <c r="R750" s="4"/>
      <c r="S750" s="4"/>
    </row>
    <row r="751" spans="18:19" x14ac:dyDescent="0.25">
      <c r="R751" s="4"/>
      <c r="S751" s="4"/>
    </row>
    <row r="752" spans="18:19" x14ac:dyDescent="0.25">
      <c r="R752" s="4"/>
      <c r="S752" s="4"/>
    </row>
    <row r="753" spans="18:19" x14ac:dyDescent="0.25">
      <c r="R753" s="4"/>
      <c r="S753" s="4"/>
    </row>
    <row r="754" spans="18:19" x14ac:dyDescent="0.25">
      <c r="R754" s="4"/>
      <c r="S754" s="4"/>
    </row>
    <row r="755" spans="18:19" x14ac:dyDescent="0.25">
      <c r="R755" s="4"/>
      <c r="S755" s="4"/>
    </row>
    <row r="756" spans="18:19" x14ac:dyDescent="0.25">
      <c r="R756" s="4"/>
      <c r="S756" s="4"/>
    </row>
    <row r="757" spans="18:19" x14ac:dyDescent="0.25">
      <c r="R757" s="4"/>
      <c r="S757" s="4"/>
    </row>
    <row r="758" spans="18:19" x14ac:dyDescent="0.25">
      <c r="R758" s="4"/>
      <c r="S758" s="4"/>
    </row>
    <row r="759" spans="18:19" x14ac:dyDescent="0.25">
      <c r="R759" s="4"/>
      <c r="S759" s="4"/>
    </row>
    <row r="760" spans="18:19" x14ac:dyDescent="0.25">
      <c r="R760" s="4"/>
      <c r="S760" s="4"/>
    </row>
    <row r="761" spans="18:19" x14ac:dyDescent="0.25">
      <c r="R761" s="4"/>
      <c r="S761" s="4"/>
    </row>
    <row r="762" spans="18:19" x14ac:dyDescent="0.25">
      <c r="R762" s="4"/>
      <c r="S762" s="4"/>
    </row>
    <row r="763" spans="18:19" x14ac:dyDescent="0.25">
      <c r="R763" s="4"/>
      <c r="S763" s="4"/>
    </row>
    <row r="764" spans="18:19" x14ac:dyDescent="0.25">
      <c r="R764" s="4"/>
      <c r="S764" s="4"/>
    </row>
    <row r="765" spans="18:19" x14ac:dyDescent="0.25">
      <c r="R765" s="4"/>
      <c r="S765" s="4"/>
    </row>
    <row r="766" spans="18:19" x14ac:dyDescent="0.25">
      <c r="R766" s="4"/>
      <c r="S766" s="4"/>
    </row>
    <row r="767" spans="18:19" x14ac:dyDescent="0.25">
      <c r="R767" s="4"/>
      <c r="S767" s="4"/>
    </row>
    <row r="768" spans="18:19" x14ac:dyDescent="0.25">
      <c r="R768" s="4"/>
      <c r="S768" s="4"/>
    </row>
    <row r="769" spans="18:19" x14ac:dyDescent="0.25">
      <c r="R769" s="4"/>
      <c r="S769" s="4"/>
    </row>
    <row r="770" spans="18:19" x14ac:dyDescent="0.25">
      <c r="R770" s="4"/>
      <c r="S770" s="4"/>
    </row>
    <row r="771" spans="18:19" x14ac:dyDescent="0.25">
      <c r="R771" s="4"/>
      <c r="S771" s="4"/>
    </row>
    <row r="772" spans="18:19" x14ac:dyDescent="0.25">
      <c r="R772" s="4"/>
      <c r="S772" s="4"/>
    </row>
    <row r="773" spans="18:19" x14ac:dyDescent="0.25">
      <c r="R773" s="4"/>
      <c r="S773" s="4"/>
    </row>
    <row r="774" spans="18:19" x14ac:dyDescent="0.25">
      <c r="R774" s="4"/>
      <c r="S774" s="4"/>
    </row>
    <row r="775" spans="18:19" x14ac:dyDescent="0.25">
      <c r="R775" s="4"/>
      <c r="S775" s="4"/>
    </row>
    <row r="776" spans="18:19" x14ac:dyDescent="0.25">
      <c r="R776" s="4"/>
      <c r="S776" s="4"/>
    </row>
    <row r="777" spans="18:19" x14ac:dyDescent="0.25">
      <c r="R777" s="4"/>
      <c r="S777" s="4"/>
    </row>
    <row r="778" spans="18:19" x14ac:dyDescent="0.25">
      <c r="R778" s="4"/>
      <c r="S778" s="4"/>
    </row>
    <row r="779" spans="18:19" x14ac:dyDescent="0.25">
      <c r="R779" s="4"/>
      <c r="S779" s="4"/>
    </row>
    <row r="780" spans="18:19" x14ac:dyDescent="0.25">
      <c r="R780" s="4"/>
      <c r="S780" s="4"/>
    </row>
    <row r="781" spans="18:19" x14ac:dyDescent="0.25">
      <c r="R781" s="4"/>
      <c r="S781" s="4"/>
    </row>
    <row r="782" spans="18:19" x14ac:dyDescent="0.25">
      <c r="R782" s="4"/>
      <c r="S782" s="4"/>
    </row>
    <row r="783" spans="18:19" x14ac:dyDescent="0.25">
      <c r="R783" s="4"/>
      <c r="S783" s="4"/>
    </row>
    <row r="784" spans="18:19" x14ac:dyDescent="0.25">
      <c r="R784" s="4"/>
      <c r="S784" s="4"/>
    </row>
    <row r="785" spans="18:19" x14ac:dyDescent="0.25">
      <c r="R785" s="4"/>
      <c r="S785" s="4"/>
    </row>
    <row r="786" spans="18:19" x14ac:dyDescent="0.25">
      <c r="R786" s="4"/>
      <c r="S786" s="4"/>
    </row>
    <row r="787" spans="18:19" x14ac:dyDescent="0.25">
      <c r="R787" s="4"/>
      <c r="S787" s="4"/>
    </row>
    <row r="788" spans="18:19" x14ac:dyDescent="0.25">
      <c r="R788" s="4"/>
      <c r="S788" s="4"/>
    </row>
    <row r="789" spans="18:19" x14ac:dyDescent="0.25">
      <c r="R789" s="4"/>
      <c r="S789" s="4"/>
    </row>
    <row r="790" spans="18:19" x14ac:dyDescent="0.25">
      <c r="R790" s="4"/>
      <c r="S790" s="4"/>
    </row>
    <row r="791" spans="18:19" x14ac:dyDescent="0.25">
      <c r="R791" s="4"/>
      <c r="S791" s="4"/>
    </row>
    <row r="792" spans="18:19" x14ac:dyDescent="0.25">
      <c r="R792" s="4"/>
      <c r="S792" s="4"/>
    </row>
    <row r="793" spans="18:19" x14ac:dyDescent="0.25">
      <c r="R793" s="4"/>
      <c r="S793" s="4"/>
    </row>
    <row r="794" spans="18:19" x14ac:dyDescent="0.25">
      <c r="R794" s="4"/>
      <c r="S794" s="4"/>
    </row>
    <row r="795" spans="18:19" x14ac:dyDescent="0.25">
      <c r="R795" s="4"/>
      <c r="S795" s="4"/>
    </row>
    <row r="796" spans="18:19" x14ac:dyDescent="0.25">
      <c r="R796" s="4"/>
      <c r="S796" s="4"/>
    </row>
    <row r="797" spans="18:19" x14ac:dyDescent="0.25">
      <c r="R797" s="4"/>
      <c r="S797" s="4"/>
    </row>
    <row r="798" spans="18:19" x14ac:dyDescent="0.25">
      <c r="R798" s="4"/>
      <c r="S798" s="4"/>
    </row>
    <row r="799" spans="18:19" x14ac:dyDescent="0.25">
      <c r="R799" s="4"/>
      <c r="S799" s="4"/>
    </row>
    <row r="800" spans="18:19" x14ac:dyDescent="0.25">
      <c r="R800" s="4"/>
      <c r="S800" s="4"/>
    </row>
    <row r="801" spans="18:19" x14ac:dyDescent="0.25">
      <c r="R801" s="4"/>
      <c r="S801" s="4"/>
    </row>
    <row r="802" spans="18:19" x14ac:dyDescent="0.25">
      <c r="R802" s="4"/>
      <c r="S802" s="4"/>
    </row>
    <row r="803" spans="18:19" x14ac:dyDescent="0.25">
      <c r="R803" s="4"/>
      <c r="S803" s="4"/>
    </row>
    <row r="804" spans="18:19" x14ac:dyDescent="0.25">
      <c r="R804" s="4"/>
      <c r="S804" s="4"/>
    </row>
    <row r="805" spans="18:19" x14ac:dyDescent="0.25">
      <c r="R805" s="4"/>
      <c r="S805" s="4"/>
    </row>
    <row r="806" spans="18:19" x14ac:dyDescent="0.25">
      <c r="R806" s="4"/>
      <c r="S806" s="4"/>
    </row>
    <row r="807" spans="18:19" x14ac:dyDescent="0.25">
      <c r="R807" s="4"/>
      <c r="S807" s="4"/>
    </row>
    <row r="808" spans="18:19" x14ac:dyDescent="0.25">
      <c r="R808" s="4"/>
      <c r="S808" s="4"/>
    </row>
    <row r="809" spans="18:19" x14ac:dyDescent="0.25">
      <c r="R809" s="4"/>
      <c r="S809" s="4"/>
    </row>
    <row r="810" spans="18:19" x14ac:dyDescent="0.25">
      <c r="R810" s="4"/>
      <c r="S810" s="4"/>
    </row>
    <row r="811" spans="18:19" x14ac:dyDescent="0.25">
      <c r="R811" s="4"/>
      <c r="S811" s="4"/>
    </row>
    <row r="812" spans="18:19" x14ac:dyDescent="0.25">
      <c r="R812" s="4"/>
      <c r="S812" s="4"/>
    </row>
    <row r="813" spans="18:19" x14ac:dyDescent="0.25">
      <c r="R813" s="4"/>
      <c r="S813" s="4"/>
    </row>
    <row r="814" spans="18:19" x14ac:dyDescent="0.25">
      <c r="R814" s="4"/>
      <c r="S814" s="4"/>
    </row>
    <row r="815" spans="18:19" x14ac:dyDescent="0.25">
      <c r="R815" s="4"/>
      <c r="S815" s="4"/>
    </row>
    <row r="816" spans="18:19" x14ac:dyDescent="0.25">
      <c r="R816" s="4"/>
      <c r="S816" s="4"/>
    </row>
    <row r="817" spans="18:19" x14ac:dyDescent="0.25">
      <c r="R817" s="4"/>
      <c r="S817" s="4"/>
    </row>
    <row r="818" spans="18:19" x14ac:dyDescent="0.25">
      <c r="R818" s="4"/>
      <c r="S818" s="4"/>
    </row>
    <row r="819" spans="18:19" x14ac:dyDescent="0.25">
      <c r="R819" s="4"/>
      <c r="S819" s="4"/>
    </row>
    <row r="820" spans="18:19" x14ac:dyDescent="0.25">
      <c r="R820" s="4"/>
      <c r="S820" s="4"/>
    </row>
    <row r="821" spans="18:19" x14ac:dyDescent="0.25">
      <c r="R821" s="4"/>
      <c r="S821" s="4"/>
    </row>
    <row r="822" spans="18:19" x14ac:dyDescent="0.25">
      <c r="R822" s="4"/>
      <c r="S822" s="4"/>
    </row>
    <row r="823" spans="18:19" x14ac:dyDescent="0.25">
      <c r="R823" s="4"/>
      <c r="S823" s="4"/>
    </row>
    <row r="824" spans="18:19" x14ac:dyDescent="0.25">
      <c r="R824" s="4"/>
      <c r="S824" s="4"/>
    </row>
    <row r="825" spans="18:19" x14ac:dyDescent="0.25">
      <c r="R825" s="4"/>
      <c r="S825" s="4"/>
    </row>
    <row r="826" spans="18:19" x14ac:dyDescent="0.25">
      <c r="R826" s="4"/>
      <c r="S826" s="4"/>
    </row>
    <row r="827" spans="18:19" x14ac:dyDescent="0.25">
      <c r="R827" s="4"/>
      <c r="S827" s="4"/>
    </row>
    <row r="828" spans="18:19" x14ac:dyDescent="0.25">
      <c r="R828" s="4"/>
      <c r="S828" s="4"/>
    </row>
    <row r="829" spans="18:19" x14ac:dyDescent="0.25">
      <c r="R829" s="4"/>
      <c r="S829" s="4"/>
    </row>
    <row r="830" spans="18:19" x14ac:dyDescent="0.25">
      <c r="R830" s="4"/>
      <c r="S830" s="4"/>
    </row>
    <row r="831" spans="18:19" x14ac:dyDescent="0.25">
      <c r="R831" s="4"/>
      <c r="S831" s="4"/>
    </row>
    <row r="832" spans="18:19" x14ac:dyDescent="0.25">
      <c r="R832" s="4"/>
      <c r="S832" s="4"/>
    </row>
    <row r="833" spans="18:19" x14ac:dyDescent="0.25">
      <c r="R833" s="4"/>
      <c r="S833" s="4"/>
    </row>
    <row r="834" spans="18:19" x14ac:dyDescent="0.25">
      <c r="R834" s="4"/>
      <c r="S834" s="4"/>
    </row>
    <row r="835" spans="18:19" x14ac:dyDescent="0.25">
      <c r="R835" s="4"/>
      <c r="S835" s="4"/>
    </row>
    <row r="836" spans="18:19" x14ac:dyDescent="0.25">
      <c r="R836" s="4"/>
      <c r="S836" s="4"/>
    </row>
    <row r="837" spans="18:19" x14ac:dyDescent="0.25">
      <c r="R837" s="4"/>
      <c r="S837" s="4"/>
    </row>
    <row r="838" spans="18:19" x14ac:dyDescent="0.25">
      <c r="R838" s="4"/>
      <c r="S838" s="4"/>
    </row>
    <row r="839" spans="18:19" x14ac:dyDescent="0.25">
      <c r="R839" s="4"/>
      <c r="S839" s="4"/>
    </row>
    <row r="840" spans="18:19" x14ac:dyDescent="0.25">
      <c r="R840" s="4"/>
      <c r="S840" s="4"/>
    </row>
    <row r="841" spans="18:19" x14ac:dyDescent="0.25">
      <c r="R841" s="4"/>
      <c r="S841" s="4"/>
    </row>
    <row r="842" spans="18:19" x14ac:dyDescent="0.25">
      <c r="R842" s="4"/>
      <c r="S842" s="4"/>
    </row>
    <row r="843" spans="18:19" x14ac:dyDescent="0.25">
      <c r="R843" s="4"/>
      <c r="S843" s="4"/>
    </row>
    <row r="844" spans="18:19" x14ac:dyDescent="0.25">
      <c r="R844" s="4"/>
      <c r="S844" s="4"/>
    </row>
    <row r="845" spans="18:19" x14ac:dyDescent="0.25">
      <c r="R845" s="4"/>
      <c r="S845" s="4"/>
    </row>
    <row r="846" spans="18:19" x14ac:dyDescent="0.25">
      <c r="R846" s="4"/>
      <c r="S846" s="4"/>
    </row>
    <row r="847" spans="18:19" x14ac:dyDescent="0.25">
      <c r="R847" s="4"/>
      <c r="S847" s="4"/>
    </row>
    <row r="848" spans="18:19" x14ac:dyDescent="0.25">
      <c r="R848" s="4"/>
      <c r="S848" s="4"/>
    </row>
    <row r="849" spans="18:19" x14ac:dyDescent="0.25">
      <c r="R849" s="4"/>
      <c r="S849" s="4"/>
    </row>
    <row r="850" spans="18:19" x14ac:dyDescent="0.25">
      <c r="R850" s="4"/>
      <c r="S850" s="4"/>
    </row>
    <row r="851" spans="18:19" x14ac:dyDescent="0.25">
      <c r="R851" s="4"/>
      <c r="S851" s="4"/>
    </row>
    <row r="852" spans="18:19" x14ac:dyDescent="0.25">
      <c r="R852" s="4"/>
      <c r="S852" s="4"/>
    </row>
    <row r="853" spans="18:19" x14ac:dyDescent="0.25">
      <c r="R853" s="4"/>
      <c r="S853" s="4"/>
    </row>
    <row r="854" spans="18:19" x14ac:dyDescent="0.25">
      <c r="R854" s="4"/>
      <c r="S854" s="4"/>
    </row>
    <row r="855" spans="18:19" x14ac:dyDescent="0.25">
      <c r="R855" s="4"/>
      <c r="S855" s="4"/>
    </row>
    <row r="856" spans="18:19" x14ac:dyDescent="0.25">
      <c r="R856" s="4"/>
      <c r="S856" s="4"/>
    </row>
    <row r="857" spans="18:19" x14ac:dyDescent="0.25">
      <c r="R857" s="4"/>
      <c r="S857" s="4"/>
    </row>
    <row r="858" spans="18:19" x14ac:dyDescent="0.25">
      <c r="R858" s="4"/>
      <c r="S858" s="4"/>
    </row>
    <row r="859" spans="18:19" x14ac:dyDescent="0.25">
      <c r="R859" s="4"/>
      <c r="S859" s="4"/>
    </row>
    <row r="860" spans="18:19" x14ac:dyDescent="0.25">
      <c r="R860" s="4"/>
      <c r="S860" s="4"/>
    </row>
    <row r="861" spans="18:19" x14ac:dyDescent="0.25">
      <c r="R861" s="4"/>
      <c r="S861" s="4"/>
    </row>
    <row r="862" spans="18:19" x14ac:dyDescent="0.25">
      <c r="R862" s="4"/>
      <c r="S862" s="4"/>
    </row>
    <row r="863" spans="18:19" x14ac:dyDescent="0.25">
      <c r="R863" s="4"/>
      <c r="S863" s="4"/>
    </row>
    <row r="864" spans="18:19" x14ac:dyDescent="0.25">
      <c r="R864" s="4"/>
      <c r="S864" s="4"/>
    </row>
    <row r="865" spans="18:19" x14ac:dyDescent="0.25">
      <c r="R865" s="4"/>
      <c r="S865" s="4"/>
    </row>
    <row r="866" spans="18:19" x14ac:dyDescent="0.25">
      <c r="R866" s="4"/>
      <c r="S866" s="4"/>
    </row>
    <row r="867" spans="18:19" x14ac:dyDescent="0.25">
      <c r="R867" s="4"/>
      <c r="S867" s="4"/>
    </row>
    <row r="868" spans="18:19" x14ac:dyDescent="0.25">
      <c r="R868" s="4"/>
      <c r="S868" s="4"/>
    </row>
    <row r="869" spans="18:19" x14ac:dyDescent="0.25">
      <c r="R869" s="4"/>
      <c r="S869" s="4"/>
    </row>
    <row r="870" spans="18:19" x14ac:dyDescent="0.25">
      <c r="R870" s="4"/>
      <c r="S870" s="4"/>
    </row>
    <row r="871" spans="18:19" x14ac:dyDescent="0.25">
      <c r="R871" s="4"/>
      <c r="S871" s="4"/>
    </row>
    <row r="872" spans="18:19" x14ac:dyDescent="0.25">
      <c r="R872" s="4"/>
      <c r="S872" s="4"/>
    </row>
    <row r="873" spans="18:19" x14ac:dyDescent="0.25">
      <c r="R873" s="4"/>
      <c r="S873" s="4"/>
    </row>
    <row r="874" spans="18:19" x14ac:dyDescent="0.25">
      <c r="R874" s="4"/>
      <c r="S874" s="4"/>
    </row>
    <row r="875" spans="18:19" x14ac:dyDescent="0.25">
      <c r="R875" s="4"/>
      <c r="S875" s="4"/>
    </row>
    <row r="876" spans="18:19" x14ac:dyDescent="0.25">
      <c r="R876" s="4"/>
      <c r="S876" s="4"/>
    </row>
    <row r="877" spans="18:19" x14ac:dyDescent="0.25">
      <c r="R877" s="4"/>
      <c r="S877" s="4"/>
    </row>
    <row r="878" spans="18:19" x14ac:dyDescent="0.25">
      <c r="R878" s="4"/>
      <c r="S878" s="4"/>
    </row>
    <row r="879" spans="18:19" x14ac:dyDescent="0.25">
      <c r="R879" s="4"/>
      <c r="S879" s="4"/>
    </row>
    <row r="880" spans="18:19" x14ac:dyDescent="0.25">
      <c r="R880" s="4"/>
      <c r="S880" s="4"/>
    </row>
    <row r="881" spans="18:19" x14ac:dyDescent="0.25">
      <c r="R881" s="4"/>
      <c r="S881" s="4"/>
    </row>
    <row r="882" spans="18:19" x14ac:dyDescent="0.25">
      <c r="R882" s="4"/>
      <c r="S882" s="4"/>
    </row>
    <row r="883" spans="18:19" x14ac:dyDescent="0.25">
      <c r="R883" s="4"/>
      <c r="S883" s="4"/>
    </row>
    <row r="884" spans="18:19" x14ac:dyDescent="0.25">
      <c r="R884" s="4"/>
      <c r="S884" s="4"/>
    </row>
    <row r="885" spans="18:19" x14ac:dyDescent="0.25">
      <c r="R885" s="4"/>
      <c r="S885" s="4"/>
    </row>
    <row r="886" spans="18:19" x14ac:dyDescent="0.25">
      <c r="R886" s="4"/>
      <c r="S886" s="4"/>
    </row>
    <row r="887" spans="18:19" x14ac:dyDescent="0.25">
      <c r="R887" s="4"/>
      <c r="S887" s="4"/>
    </row>
    <row r="888" spans="18:19" x14ac:dyDescent="0.25">
      <c r="R888" s="4"/>
      <c r="S888" s="4"/>
    </row>
    <row r="889" spans="18:19" x14ac:dyDescent="0.25">
      <c r="R889" s="4"/>
      <c r="S889" s="4"/>
    </row>
    <row r="890" spans="18:19" x14ac:dyDescent="0.25">
      <c r="R890" s="4"/>
      <c r="S890" s="4"/>
    </row>
    <row r="891" spans="18:19" x14ac:dyDescent="0.25">
      <c r="R891" s="4"/>
      <c r="S891" s="4"/>
    </row>
    <row r="892" spans="18:19" x14ac:dyDescent="0.25">
      <c r="R892" s="4"/>
      <c r="S892" s="4"/>
    </row>
    <row r="893" spans="18:19" x14ac:dyDescent="0.25">
      <c r="R893" s="4"/>
      <c r="S893" s="4"/>
    </row>
    <row r="894" spans="18:19" x14ac:dyDescent="0.25">
      <c r="R894" s="4"/>
      <c r="S894" s="4"/>
    </row>
    <row r="895" spans="18:19" x14ac:dyDescent="0.25">
      <c r="R895" s="4"/>
      <c r="S895" s="4"/>
    </row>
    <row r="896" spans="18:19" x14ac:dyDescent="0.25">
      <c r="R896" s="4"/>
      <c r="S896" s="4"/>
    </row>
    <row r="897" spans="18:19" x14ac:dyDescent="0.25">
      <c r="R897" s="4"/>
      <c r="S897" s="4"/>
    </row>
    <row r="898" spans="18:19" x14ac:dyDescent="0.25">
      <c r="R898" s="4"/>
      <c r="S898" s="4"/>
    </row>
    <row r="899" spans="18:19" x14ac:dyDescent="0.25">
      <c r="R899" s="4"/>
      <c r="S899" s="4"/>
    </row>
    <row r="900" spans="18:19" x14ac:dyDescent="0.25">
      <c r="R900" s="4"/>
      <c r="S900" s="4"/>
    </row>
    <row r="901" spans="18:19" x14ac:dyDescent="0.25">
      <c r="R901" s="4"/>
      <c r="S901" s="4"/>
    </row>
    <row r="902" spans="18:19" x14ac:dyDescent="0.25">
      <c r="R902" s="4"/>
      <c r="S902" s="4"/>
    </row>
    <row r="903" spans="18:19" x14ac:dyDescent="0.25">
      <c r="R903" s="4"/>
      <c r="S903" s="4"/>
    </row>
    <row r="904" spans="18:19" x14ac:dyDescent="0.25">
      <c r="R904" s="4"/>
      <c r="S904" s="4"/>
    </row>
    <row r="905" spans="18:19" x14ac:dyDescent="0.25">
      <c r="R905" s="4"/>
      <c r="S905" s="4"/>
    </row>
    <row r="906" spans="18:19" x14ac:dyDescent="0.25">
      <c r="R906" s="4"/>
      <c r="S906" s="4"/>
    </row>
    <row r="907" spans="18:19" x14ac:dyDescent="0.25">
      <c r="R907" s="4"/>
      <c r="S907" s="4"/>
    </row>
    <row r="908" spans="18:19" x14ac:dyDescent="0.25">
      <c r="R908" s="4"/>
      <c r="S908" s="4"/>
    </row>
    <row r="909" spans="18:19" x14ac:dyDescent="0.25">
      <c r="R909" s="4"/>
      <c r="S909" s="4"/>
    </row>
    <row r="910" spans="18:19" x14ac:dyDescent="0.25">
      <c r="R910" s="4"/>
      <c r="S910" s="4"/>
    </row>
    <row r="911" spans="18:19" x14ac:dyDescent="0.25">
      <c r="R911" s="4"/>
      <c r="S911" s="4"/>
    </row>
    <row r="912" spans="18:19" x14ac:dyDescent="0.25">
      <c r="R912" s="4"/>
      <c r="S912" s="4"/>
    </row>
    <row r="913" spans="18:19" x14ac:dyDescent="0.25">
      <c r="R913" s="4"/>
      <c r="S913" s="4"/>
    </row>
    <row r="914" spans="18:19" x14ac:dyDescent="0.25">
      <c r="R914" s="4"/>
      <c r="S914" s="4"/>
    </row>
    <row r="915" spans="18:19" x14ac:dyDescent="0.25">
      <c r="R915" s="4"/>
      <c r="S915" s="4"/>
    </row>
    <row r="916" spans="18:19" x14ac:dyDescent="0.25">
      <c r="R916" s="4"/>
      <c r="S916" s="4"/>
    </row>
    <row r="917" spans="18:19" x14ac:dyDescent="0.25">
      <c r="R917" s="4"/>
      <c r="S917" s="4"/>
    </row>
    <row r="918" spans="18:19" x14ac:dyDescent="0.25">
      <c r="R918" s="4"/>
      <c r="S918" s="4"/>
    </row>
    <row r="919" spans="18:19" x14ac:dyDescent="0.25">
      <c r="R919" s="4"/>
      <c r="S919" s="4"/>
    </row>
    <row r="920" spans="18:19" x14ac:dyDescent="0.25">
      <c r="R920" s="4"/>
      <c r="S920" s="4"/>
    </row>
    <row r="921" spans="18:19" x14ac:dyDescent="0.25">
      <c r="R921" s="4"/>
      <c r="S921" s="4"/>
    </row>
    <row r="922" spans="18:19" x14ac:dyDescent="0.25">
      <c r="R922" s="4"/>
      <c r="S922" s="4"/>
    </row>
    <row r="923" spans="18:19" x14ac:dyDescent="0.25">
      <c r="R923" s="4"/>
      <c r="S923" s="4"/>
    </row>
    <row r="924" spans="18:19" x14ac:dyDescent="0.25">
      <c r="R924" s="4"/>
      <c r="S924" s="4"/>
    </row>
    <row r="925" spans="18:19" x14ac:dyDescent="0.25">
      <c r="R925" s="4"/>
      <c r="S925" s="4"/>
    </row>
    <row r="926" spans="18:19" x14ac:dyDescent="0.25">
      <c r="R926" s="4"/>
      <c r="S926" s="4"/>
    </row>
    <row r="927" spans="18:19" x14ac:dyDescent="0.25">
      <c r="R927" s="4"/>
      <c r="S927" s="4"/>
    </row>
    <row r="928" spans="18:19" x14ac:dyDescent="0.25">
      <c r="R928" s="4"/>
      <c r="S928" s="4"/>
    </row>
    <row r="929" spans="18:19" x14ac:dyDescent="0.25">
      <c r="R929" s="4"/>
      <c r="S929" s="4"/>
    </row>
    <row r="930" spans="18:19" x14ac:dyDescent="0.25">
      <c r="R930" s="4"/>
      <c r="S930" s="4"/>
    </row>
    <row r="931" spans="18:19" x14ac:dyDescent="0.25">
      <c r="R931" s="4"/>
      <c r="S931" s="4"/>
    </row>
    <row r="932" spans="18:19" x14ac:dyDescent="0.25">
      <c r="R932" s="4"/>
      <c r="S932" s="4"/>
    </row>
    <row r="933" spans="18:19" x14ac:dyDescent="0.25">
      <c r="R933" s="4"/>
      <c r="S933" s="4"/>
    </row>
    <row r="934" spans="18:19" x14ac:dyDescent="0.25">
      <c r="R934" s="4"/>
      <c r="S934" s="4"/>
    </row>
    <row r="935" spans="18:19" x14ac:dyDescent="0.25">
      <c r="R935" s="4"/>
      <c r="S935" s="4"/>
    </row>
    <row r="936" spans="18:19" x14ac:dyDescent="0.25">
      <c r="R936" s="4"/>
      <c r="S936" s="4"/>
    </row>
    <row r="937" spans="18:19" x14ac:dyDescent="0.25">
      <c r="R937" s="4"/>
      <c r="S937" s="4"/>
    </row>
    <row r="938" spans="18:19" x14ac:dyDescent="0.25">
      <c r="R938" s="4"/>
      <c r="S938" s="4"/>
    </row>
    <row r="939" spans="18:19" x14ac:dyDescent="0.25">
      <c r="R939" s="4"/>
      <c r="S939" s="4"/>
    </row>
    <row r="940" spans="18:19" x14ac:dyDescent="0.25">
      <c r="R940" s="4"/>
      <c r="S940" s="4"/>
    </row>
    <row r="941" spans="18:19" x14ac:dyDescent="0.25">
      <c r="R941" s="4"/>
      <c r="S941" s="4"/>
    </row>
    <row r="942" spans="18:19" x14ac:dyDescent="0.25">
      <c r="R942" s="4"/>
      <c r="S942" s="4"/>
    </row>
    <row r="943" spans="18:19" x14ac:dyDescent="0.25">
      <c r="R943" s="4"/>
      <c r="S943" s="4"/>
    </row>
    <row r="944" spans="18:19" x14ac:dyDescent="0.25">
      <c r="R944" s="4"/>
      <c r="S944" s="4"/>
    </row>
    <row r="945" spans="18:19" x14ac:dyDescent="0.25">
      <c r="R945" s="4"/>
      <c r="S945" s="4"/>
    </row>
    <row r="946" spans="18:19" x14ac:dyDescent="0.25">
      <c r="R946" s="4"/>
      <c r="S946" s="4"/>
    </row>
    <row r="947" spans="18:19" x14ac:dyDescent="0.25">
      <c r="R947" s="4"/>
      <c r="S947" s="4"/>
    </row>
    <row r="948" spans="18:19" x14ac:dyDescent="0.25">
      <c r="R948" s="4"/>
      <c r="S948" s="4"/>
    </row>
    <row r="949" spans="18:19" x14ac:dyDescent="0.25">
      <c r="R949" s="4"/>
      <c r="S949" s="4"/>
    </row>
    <row r="950" spans="18:19" x14ac:dyDescent="0.25">
      <c r="R950" s="4"/>
      <c r="S950" s="4"/>
    </row>
    <row r="951" spans="18:19" x14ac:dyDescent="0.25">
      <c r="R951" s="4"/>
      <c r="S951" s="4"/>
    </row>
    <row r="952" spans="18:19" x14ac:dyDescent="0.25">
      <c r="R952" s="4"/>
      <c r="S952" s="4"/>
    </row>
    <row r="953" spans="18:19" x14ac:dyDescent="0.25">
      <c r="R953" s="4"/>
      <c r="S953" s="4"/>
    </row>
    <row r="954" spans="18:19" x14ac:dyDescent="0.25">
      <c r="R954" s="4"/>
      <c r="S954" s="4"/>
    </row>
    <row r="955" spans="18:19" x14ac:dyDescent="0.25">
      <c r="R955" s="4"/>
      <c r="S955" s="4"/>
    </row>
    <row r="956" spans="18:19" x14ac:dyDescent="0.25">
      <c r="R956" s="4"/>
      <c r="S956" s="4"/>
    </row>
    <row r="957" spans="18:19" x14ac:dyDescent="0.25">
      <c r="R957" s="4"/>
      <c r="S957" s="4"/>
    </row>
    <row r="958" spans="18:19" x14ac:dyDescent="0.25">
      <c r="R958" s="4"/>
      <c r="S958" s="4"/>
    </row>
    <row r="959" spans="18:19" x14ac:dyDescent="0.25">
      <c r="R959" s="4"/>
      <c r="S959" s="4"/>
    </row>
    <row r="960" spans="18:19" x14ac:dyDescent="0.25">
      <c r="R960" s="4"/>
      <c r="S960" s="4"/>
    </row>
    <row r="961" spans="18:19" x14ac:dyDescent="0.25">
      <c r="R961" s="4"/>
      <c r="S961" s="4"/>
    </row>
    <row r="962" spans="18:19" x14ac:dyDescent="0.25">
      <c r="R962" s="4"/>
      <c r="S962" s="4"/>
    </row>
    <row r="963" spans="18:19" x14ac:dyDescent="0.25">
      <c r="R963" s="4"/>
      <c r="S963" s="4"/>
    </row>
    <row r="964" spans="18:19" x14ac:dyDescent="0.25">
      <c r="R964" s="4"/>
      <c r="S964" s="4"/>
    </row>
    <row r="965" spans="18:19" x14ac:dyDescent="0.25">
      <c r="R965" s="4"/>
      <c r="S965" s="4"/>
    </row>
    <row r="966" spans="18:19" x14ac:dyDescent="0.25">
      <c r="R966" s="4"/>
      <c r="S966" s="4"/>
    </row>
    <row r="967" spans="18:19" x14ac:dyDescent="0.25">
      <c r="R967" s="4"/>
      <c r="S967" s="4"/>
    </row>
    <row r="968" spans="18:19" x14ac:dyDescent="0.25">
      <c r="R968" s="4"/>
      <c r="S968" s="4"/>
    </row>
    <row r="969" spans="18:19" x14ac:dyDescent="0.25">
      <c r="R969" s="4"/>
      <c r="S969" s="4"/>
    </row>
    <row r="970" spans="18:19" x14ac:dyDescent="0.25">
      <c r="R970" s="4"/>
      <c r="S970" s="4"/>
    </row>
    <row r="971" spans="18:19" x14ac:dyDescent="0.25">
      <c r="R971" s="4"/>
      <c r="S971" s="4"/>
    </row>
    <row r="972" spans="18:19" x14ac:dyDescent="0.25">
      <c r="R972" s="4"/>
      <c r="S972" s="4"/>
    </row>
    <row r="973" spans="18:19" x14ac:dyDescent="0.25">
      <c r="R973" s="4"/>
      <c r="S973" s="4"/>
    </row>
    <row r="974" spans="18:19" x14ac:dyDescent="0.25">
      <c r="R974" s="4"/>
      <c r="S974" s="4"/>
    </row>
    <row r="975" spans="18:19" x14ac:dyDescent="0.25">
      <c r="R975" s="4"/>
      <c r="S975" s="4"/>
    </row>
    <row r="976" spans="18:19" x14ac:dyDescent="0.25">
      <c r="R976" s="4"/>
      <c r="S976" s="4"/>
    </row>
    <row r="977" spans="18:19" x14ac:dyDescent="0.25">
      <c r="R977" s="4"/>
      <c r="S977" s="4"/>
    </row>
    <row r="978" spans="18:19" x14ac:dyDescent="0.25">
      <c r="R978" s="4"/>
      <c r="S978" s="4"/>
    </row>
    <row r="979" spans="18:19" x14ac:dyDescent="0.25">
      <c r="R979" s="4"/>
      <c r="S979" s="4"/>
    </row>
    <row r="980" spans="18:19" x14ac:dyDescent="0.25">
      <c r="R980" s="4"/>
      <c r="S980" s="4"/>
    </row>
    <row r="981" spans="18:19" x14ac:dyDescent="0.25">
      <c r="R981" s="4"/>
      <c r="S981" s="4"/>
    </row>
    <row r="982" spans="18:19" x14ac:dyDescent="0.25">
      <c r="R982" s="4"/>
      <c r="S982" s="4"/>
    </row>
    <row r="983" spans="18:19" x14ac:dyDescent="0.25">
      <c r="R983" s="4"/>
      <c r="S983" s="4"/>
    </row>
    <row r="984" spans="18:19" x14ac:dyDescent="0.25">
      <c r="R984" s="4"/>
      <c r="S984" s="4"/>
    </row>
    <row r="985" spans="18:19" x14ac:dyDescent="0.25">
      <c r="R985" s="4"/>
      <c r="S985" s="4"/>
    </row>
    <row r="986" spans="18:19" x14ac:dyDescent="0.25">
      <c r="R986" s="4"/>
      <c r="S986" s="4"/>
    </row>
    <row r="987" spans="18:19" x14ac:dyDescent="0.25">
      <c r="R987" s="4"/>
      <c r="S987" s="4"/>
    </row>
    <row r="988" spans="18:19" x14ac:dyDescent="0.25">
      <c r="R988" s="4"/>
      <c r="S988" s="4"/>
    </row>
    <row r="989" spans="18:19" x14ac:dyDescent="0.25">
      <c r="R989" s="4"/>
      <c r="S989" s="4"/>
    </row>
    <row r="990" spans="18:19" x14ac:dyDescent="0.25">
      <c r="R990" s="4"/>
      <c r="S990" s="4"/>
    </row>
    <row r="991" spans="18:19" x14ac:dyDescent="0.25">
      <c r="R991" s="4"/>
      <c r="S991" s="4"/>
    </row>
    <row r="992" spans="18:19" x14ac:dyDescent="0.25">
      <c r="R992" s="4"/>
      <c r="S992" s="4"/>
    </row>
    <row r="993" spans="18:19" x14ac:dyDescent="0.25">
      <c r="R993" s="4"/>
      <c r="S993" s="4"/>
    </row>
    <row r="994" spans="18:19" x14ac:dyDescent="0.25">
      <c r="R994" s="4"/>
      <c r="S994" s="4"/>
    </row>
    <row r="995" spans="18:19" x14ac:dyDescent="0.25">
      <c r="R995" s="4"/>
      <c r="S995" s="4"/>
    </row>
    <row r="996" spans="18:19" x14ac:dyDescent="0.25">
      <c r="R996" s="4"/>
      <c r="S996" s="4"/>
    </row>
    <row r="997" spans="18:19" x14ac:dyDescent="0.25">
      <c r="R997" s="4"/>
      <c r="S997" s="4"/>
    </row>
    <row r="998" spans="18:19" x14ac:dyDescent="0.25">
      <c r="R998" s="4"/>
      <c r="S998" s="4"/>
    </row>
    <row r="999" spans="18:19" x14ac:dyDescent="0.25">
      <c r="R999" s="4"/>
      <c r="S999" s="4"/>
    </row>
    <row r="1000" spans="18:19" x14ac:dyDescent="0.25">
      <c r="R1000" s="4"/>
      <c r="S1000" s="4"/>
    </row>
    <row r="1001" spans="18:19" x14ac:dyDescent="0.25">
      <c r="R1001" s="4"/>
      <c r="S1001" s="4"/>
    </row>
    <row r="1002" spans="18:19" x14ac:dyDescent="0.25">
      <c r="R1002" s="4"/>
      <c r="S1002" s="4"/>
    </row>
    <row r="1003" spans="18:19" x14ac:dyDescent="0.25">
      <c r="R1003" s="4"/>
      <c r="S1003" s="4"/>
    </row>
    <row r="1004" spans="18:19" x14ac:dyDescent="0.25">
      <c r="R1004" s="4"/>
      <c r="S1004" s="4"/>
    </row>
    <row r="1005" spans="18:19" x14ac:dyDescent="0.25">
      <c r="R1005" s="4"/>
      <c r="S1005" s="4"/>
    </row>
    <row r="1006" spans="18:19" x14ac:dyDescent="0.25">
      <c r="R1006" s="4"/>
      <c r="S1006" s="4"/>
    </row>
    <row r="1007" spans="18:19" x14ac:dyDescent="0.25">
      <c r="R1007" s="4"/>
      <c r="S1007" s="4"/>
    </row>
    <row r="1008" spans="18:19" x14ac:dyDescent="0.25">
      <c r="R1008" s="4"/>
      <c r="S1008" s="4"/>
    </row>
    <row r="1009" spans="18:19" x14ac:dyDescent="0.25">
      <c r="R1009" s="4"/>
      <c r="S1009" s="4"/>
    </row>
    <row r="1010" spans="18:19" x14ac:dyDescent="0.25">
      <c r="R1010" s="4"/>
      <c r="S1010" s="4"/>
    </row>
    <row r="1011" spans="18:19" x14ac:dyDescent="0.25">
      <c r="R1011" s="4"/>
      <c r="S1011" s="4"/>
    </row>
    <row r="1012" spans="18:19" x14ac:dyDescent="0.25">
      <c r="R1012" s="4"/>
      <c r="S1012" s="4"/>
    </row>
    <row r="1013" spans="18:19" x14ac:dyDescent="0.25">
      <c r="R1013" s="4"/>
      <c r="S1013" s="4"/>
    </row>
    <row r="1014" spans="18:19" x14ac:dyDescent="0.25">
      <c r="R1014" s="4"/>
      <c r="S1014" s="4"/>
    </row>
    <row r="1015" spans="18:19" x14ac:dyDescent="0.25">
      <c r="R1015" s="4"/>
      <c r="S1015" s="4"/>
    </row>
    <row r="1016" spans="18:19" x14ac:dyDescent="0.25">
      <c r="R1016" s="4"/>
      <c r="S1016" s="4"/>
    </row>
    <row r="1017" spans="18:19" x14ac:dyDescent="0.25">
      <c r="R1017" s="4"/>
      <c r="S1017" s="4"/>
    </row>
    <row r="1018" spans="18:19" x14ac:dyDescent="0.25">
      <c r="R1018" s="4"/>
      <c r="S1018" s="4"/>
    </row>
    <row r="1019" spans="18:19" x14ac:dyDescent="0.25">
      <c r="R1019" s="4"/>
      <c r="S1019" s="4"/>
    </row>
    <row r="1020" spans="18:19" x14ac:dyDescent="0.25">
      <c r="R1020" s="4"/>
      <c r="S1020" s="4"/>
    </row>
    <row r="1021" spans="18:19" x14ac:dyDescent="0.25">
      <c r="R1021" s="4"/>
      <c r="S1021" s="4"/>
    </row>
    <row r="1022" spans="18:19" x14ac:dyDescent="0.25">
      <c r="R1022" s="4"/>
      <c r="S1022" s="4"/>
    </row>
    <row r="1023" spans="18:19" x14ac:dyDescent="0.25">
      <c r="R1023" s="4"/>
      <c r="S1023" s="4"/>
    </row>
    <row r="1024" spans="18:19" x14ac:dyDescent="0.25">
      <c r="R1024" s="4"/>
      <c r="S1024" s="4"/>
    </row>
    <row r="1025" spans="18:19" x14ac:dyDescent="0.25">
      <c r="R1025" s="4"/>
      <c r="S1025" s="4"/>
    </row>
    <row r="1026" spans="18:19" x14ac:dyDescent="0.25">
      <c r="R1026" s="4"/>
      <c r="S1026" s="4"/>
    </row>
    <row r="1027" spans="18:19" x14ac:dyDescent="0.25">
      <c r="R1027" s="4"/>
      <c r="S1027" s="4"/>
    </row>
    <row r="1028" spans="18:19" x14ac:dyDescent="0.25">
      <c r="R1028" s="4"/>
      <c r="S1028" s="4"/>
    </row>
    <row r="1029" spans="18:19" x14ac:dyDescent="0.25">
      <c r="R1029" s="4"/>
      <c r="S1029" s="4"/>
    </row>
    <row r="1030" spans="18:19" x14ac:dyDescent="0.25">
      <c r="R1030" s="4"/>
      <c r="S1030" s="4"/>
    </row>
    <row r="1031" spans="18:19" x14ac:dyDescent="0.25">
      <c r="R1031" s="4"/>
      <c r="S1031" s="4"/>
    </row>
    <row r="1032" spans="18:19" x14ac:dyDescent="0.25">
      <c r="R1032" s="4"/>
      <c r="S1032" s="4"/>
    </row>
    <row r="1033" spans="18:19" x14ac:dyDescent="0.25">
      <c r="R1033" s="4"/>
      <c r="S1033" s="4"/>
    </row>
    <row r="1034" spans="18:19" x14ac:dyDescent="0.25">
      <c r="R1034" s="4"/>
      <c r="S1034" s="4"/>
    </row>
    <row r="1035" spans="18:19" x14ac:dyDescent="0.25">
      <c r="R1035" s="4"/>
      <c r="S1035" s="4"/>
    </row>
    <row r="1036" spans="18:19" x14ac:dyDescent="0.25">
      <c r="R1036" s="4"/>
      <c r="S1036" s="4"/>
    </row>
    <row r="1037" spans="18:19" x14ac:dyDescent="0.25">
      <c r="R1037" s="4"/>
      <c r="S1037" s="4"/>
    </row>
    <row r="1038" spans="18:19" x14ac:dyDescent="0.25">
      <c r="R1038" s="4"/>
      <c r="S1038" s="4"/>
    </row>
    <row r="1039" spans="18:19" x14ac:dyDescent="0.25">
      <c r="R1039" s="4"/>
      <c r="S1039" s="4"/>
    </row>
    <row r="1040" spans="18:19" x14ac:dyDescent="0.25">
      <c r="R1040" s="4"/>
      <c r="S1040" s="4"/>
    </row>
    <row r="1041" spans="18:19" x14ac:dyDescent="0.25">
      <c r="R1041" s="4"/>
      <c r="S1041" s="4"/>
    </row>
    <row r="1042" spans="18:19" x14ac:dyDescent="0.25">
      <c r="R1042" s="4"/>
      <c r="S1042" s="4"/>
    </row>
    <row r="1043" spans="18:19" x14ac:dyDescent="0.25">
      <c r="R1043" s="4"/>
      <c r="S1043" s="4"/>
    </row>
    <row r="1044" spans="18:19" x14ac:dyDescent="0.25">
      <c r="R1044" s="4"/>
      <c r="S1044" s="4"/>
    </row>
    <row r="1045" spans="18:19" x14ac:dyDescent="0.25">
      <c r="R1045" s="4"/>
      <c r="S1045" s="4"/>
    </row>
    <row r="1046" spans="18:19" x14ac:dyDescent="0.25">
      <c r="R1046" s="4"/>
      <c r="S1046" s="4"/>
    </row>
    <row r="1047" spans="18:19" x14ac:dyDescent="0.25">
      <c r="R1047" s="4"/>
      <c r="S1047" s="4"/>
    </row>
    <row r="1048" spans="18:19" x14ac:dyDescent="0.25">
      <c r="R1048" s="4"/>
      <c r="S1048" s="4"/>
    </row>
    <row r="1049" spans="18:19" x14ac:dyDescent="0.25">
      <c r="R1049" s="4"/>
      <c r="S1049" s="4"/>
    </row>
    <row r="1050" spans="18:19" x14ac:dyDescent="0.25">
      <c r="R1050" s="4"/>
      <c r="S1050" s="4"/>
    </row>
    <row r="1051" spans="18:19" x14ac:dyDescent="0.25">
      <c r="R1051" s="4"/>
      <c r="S1051" s="4"/>
    </row>
    <row r="1052" spans="18:19" x14ac:dyDescent="0.25">
      <c r="R1052" s="4"/>
      <c r="S1052" s="4"/>
    </row>
    <row r="1053" spans="18:19" x14ac:dyDescent="0.25">
      <c r="R1053" s="4"/>
      <c r="S1053" s="4"/>
    </row>
    <row r="1054" spans="18:19" x14ac:dyDescent="0.25">
      <c r="R1054" s="4"/>
      <c r="S1054" s="4"/>
    </row>
    <row r="1055" spans="18:19" x14ac:dyDescent="0.25">
      <c r="R1055" s="4"/>
      <c r="S1055" s="4"/>
    </row>
    <row r="1056" spans="18:19" x14ac:dyDescent="0.25">
      <c r="R1056" s="4"/>
      <c r="S1056" s="4"/>
    </row>
    <row r="1057" spans="18:19" x14ac:dyDescent="0.25">
      <c r="R1057" s="4"/>
      <c r="S1057" s="4"/>
    </row>
    <row r="1058" spans="18:19" x14ac:dyDescent="0.25">
      <c r="R1058" s="4"/>
      <c r="S1058" s="4"/>
    </row>
    <row r="1059" spans="18:19" x14ac:dyDescent="0.25">
      <c r="R1059" s="4"/>
      <c r="S1059" s="4"/>
    </row>
    <row r="1060" spans="18:19" x14ac:dyDescent="0.25">
      <c r="R1060" s="4"/>
      <c r="S1060" s="4"/>
    </row>
    <row r="1061" spans="18:19" x14ac:dyDescent="0.25">
      <c r="R1061" s="4"/>
      <c r="S1061" s="4"/>
    </row>
    <row r="1062" spans="18:19" x14ac:dyDescent="0.25">
      <c r="R1062" s="4"/>
      <c r="S1062" s="4"/>
    </row>
    <row r="1063" spans="18:19" x14ac:dyDescent="0.25">
      <c r="R1063" s="4"/>
      <c r="S1063" s="4"/>
    </row>
    <row r="1064" spans="18:19" x14ac:dyDescent="0.25">
      <c r="R1064" s="4"/>
      <c r="S1064" s="4"/>
    </row>
    <row r="1065" spans="18:19" x14ac:dyDescent="0.25">
      <c r="R1065" s="4"/>
      <c r="S1065" s="4"/>
    </row>
    <row r="1066" spans="18:19" x14ac:dyDescent="0.25">
      <c r="R1066" s="4"/>
      <c r="S1066" s="4"/>
    </row>
    <row r="1067" spans="18:19" x14ac:dyDescent="0.25">
      <c r="R1067" s="4"/>
      <c r="S1067" s="4"/>
    </row>
    <row r="1068" spans="18:19" x14ac:dyDescent="0.25">
      <c r="R1068" s="4"/>
      <c r="S1068" s="4"/>
    </row>
    <row r="1069" spans="18:19" x14ac:dyDescent="0.25">
      <c r="R1069" s="4"/>
      <c r="S1069" s="4"/>
    </row>
    <row r="1070" spans="18:19" x14ac:dyDescent="0.25">
      <c r="R1070" s="4"/>
      <c r="S1070" s="4"/>
    </row>
    <row r="1071" spans="18:19" x14ac:dyDescent="0.25">
      <c r="R1071" s="4"/>
      <c r="S1071" s="4"/>
    </row>
    <row r="1072" spans="18:19" x14ac:dyDescent="0.25">
      <c r="R1072" s="4"/>
      <c r="S1072" s="4"/>
    </row>
    <row r="1073" spans="18:19" x14ac:dyDescent="0.25">
      <c r="R1073" s="4"/>
      <c r="S1073" s="4"/>
    </row>
    <row r="1074" spans="18:19" x14ac:dyDescent="0.25">
      <c r="R1074" s="4"/>
      <c r="S1074" s="4"/>
    </row>
    <row r="1075" spans="18:19" x14ac:dyDescent="0.25">
      <c r="R1075" s="4"/>
      <c r="S1075" s="4"/>
    </row>
    <row r="1076" spans="18:19" x14ac:dyDescent="0.25">
      <c r="R1076" s="4"/>
      <c r="S1076" s="4"/>
    </row>
    <row r="1077" spans="18:19" x14ac:dyDescent="0.25">
      <c r="R1077" s="4"/>
      <c r="S1077" s="4"/>
    </row>
    <row r="1078" spans="18:19" x14ac:dyDescent="0.25">
      <c r="R1078" s="4"/>
      <c r="S1078" s="4"/>
    </row>
    <row r="1079" spans="18:19" x14ac:dyDescent="0.25">
      <c r="R1079" s="4"/>
      <c r="S1079" s="4"/>
    </row>
    <row r="1080" spans="18:19" x14ac:dyDescent="0.25">
      <c r="R1080" s="4"/>
      <c r="S1080" s="4"/>
    </row>
    <row r="1081" spans="18:19" x14ac:dyDescent="0.25">
      <c r="R1081" s="4"/>
      <c r="S1081" s="4"/>
    </row>
    <row r="1082" spans="18:19" x14ac:dyDescent="0.25">
      <c r="R1082" s="4"/>
      <c r="S1082" s="4"/>
    </row>
    <row r="1083" spans="18:19" x14ac:dyDescent="0.25">
      <c r="R1083" s="4"/>
      <c r="S1083" s="4"/>
    </row>
    <row r="1084" spans="18:19" x14ac:dyDescent="0.25">
      <c r="R1084" s="4"/>
      <c r="S1084" s="4"/>
    </row>
    <row r="1085" spans="18:19" x14ac:dyDescent="0.25">
      <c r="R1085" s="4"/>
      <c r="S1085" s="4"/>
    </row>
    <row r="1086" spans="18:19" x14ac:dyDescent="0.25">
      <c r="R1086" s="4"/>
      <c r="S1086" s="4"/>
    </row>
    <row r="1087" spans="18:19" x14ac:dyDescent="0.25">
      <c r="R1087" s="4"/>
      <c r="S1087" s="4"/>
    </row>
    <row r="1088" spans="18:19" x14ac:dyDescent="0.25">
      <c r="R1088" s="4"/>
      <c r="S1088" s="4"/>
    </row>
    <row r="1089" spans="18:19" x14ac:dyDescent="0.25">
      <c r="R1089" s="4"/>
      <c r="S1089" s="4"/>
    </row>
    <row r="1090" spans="18:19" x14ac:dyDescent="0.25">
      <c r="R1090" s="4"/>
      <c r="S1090" s="4"/>
    </row>
    <row r="1091" spans="18:19" x14ac:dyDescent="0.25">
      <c r="R1091" s="4"/>
      <c r="S1091" s="4"/>
    </row>
    <row r="1092" spans="18:19" x14ac:dyDescent="0.25">
      <c r="R1092" s="4"/>
      <c r="S1092" s="4"/>
    </row>
    <row r="1093" spans="18:19" x14ac:dyDescent="0.25">
      <c r="R1093" s="4"/>
      <c r="S1093" s="4"/>
    </row>
    <row r="1094" spans="18:19" x14ac:dyDescent="0.25">
      <c r="R1094" s="4"/>
      <c r="S1094" s="4"/>
    </row>
    <row r="1095" spans="18:19" x14ac:dyDescent="0.25">
      <c r="R1095" s="4"/>
      <c r="S1095" s="4"/>
    </row>
    <row r="1096" spans="18:19" x14ac:dyDescent="0.25">
      <c r="R1096" s="4"/>
      <c r="S1096" s="4"/>
    </row>
    <row r="1097" spans="18:19" x14ac:dyDescent="0.25">
      <c r="R1097" s="4"/>
      <c r="S1097" s="4"/>
    </row>
    <row r="1098" spans="18:19" x14ac:dyDescent="0.25">
      <c r="R1098" s="4"/>
      <c r="S1098" s="4"/>
    </row>
    <row r="1099" spans="18:19" x14ac:dyDescent="0.25">
      <c r="R1099" s="4"/>
      <c r="S1099" s="4"/>
    </row>
    <row r="1100" spans="18:19" x14ac:dyDescent="0.25">
      <c r="R1100" s="4"/>
      <c r="S1100" s="4"/>
    </row>
    <row r="1101" spans="18:19" x14ac:dyDescent="0.25">
      <c r="R1101" s="4"/>
      <c r="S1101" s="4"/>
    </row>
    <row r="1102" spans="18:19" x14ac:dyDescent="0.25">
      <c r="R1102" s="4"/>
      <c r="S1102" s="4"/>
    </row>
    <row r="1103" spans="18:19" x14ac:dyDescent="0.25">
      <c r="R1103" s="4"/>
      <c r="S1103" s="4"/>
    </row>
    <row r="1104" spans="18:19" x14ac:dyDescent="0.25">
      <c r="R1104" s="4"/>
      <c r="S1104" s="4"/>
    </row>
    <row r="1105" spans="18:19" x14ac:dyDescent="0.25">
      <c r="R1105" s="4"/>
      <c r="S1105" s="4"/>
    </row>
    <row r="1106" spans="18:19" x14ac:dyDescent="0.25">
      <c r="R1106" s="4"/>
      <c r="S1106" s="4"/>
    </row>
    <row r="1107" spans="18:19" x14ac:dyDescent="0.25">
      <c r="R1107" s="4"/>
      <c r="S1107" s="4"/>
    </row>
    <row r="1108" spans="18:19" x14ac:dyDescent="0.25">
      <c r="R1108" s="4"/>
      <c r="S1108" s="4"/>
    </row>
    <row r="1109" spans="18:19" x14ac:dyDescent="0.25">
      <c r="R1109" s="4"/>
      <c r="S1109" s="4"/>
    </row>
    <row r="1110" spans="18:19" x14ac:dyDescent="0.25">
      <c r="R1110" s="4"/>
      <c r="S1110" s="4"/>
    </row>
    <row r="1111" spans="18:19" x14ac:dyDescent="0.25">
      <c r="R1111" s="4"/>
      <c r="S1111" s="4"/>
    </row>
    <row r="1112" spans="18:19" x14ac:dyDescent="0.25">
      <c r="R1112" s="4"/>
      <c r="S1112" s="4"/>
    </row>
    <row r="1113" spans="18:19" x14ac:dyDescent="0.25">
      <c r="R1113" s="4"/>
      <c r="S1113" s="4"/>
    </row>
    <row r="1114" spans="18:19" x14ac:dyDescent="0.25">
      <c r="R1114" s="4"/>
      <c r="S1114" s="4"/>
    </row>
    <row r="1115" spans="18:19" x14ac:dyDescent="0.25">
      <c r="R1115" s="4"/>
      <c r="S1115" s="4"/>
    </row>
    <row r="1116" spans="18:19" x14ac:dyDescent="0.25">
      <c r="R1116" s="4"/>
      <c r="S1116" s="4"/>
    </row>
    <row r="1117" spans="18:19" x14ac:dyDescent="0.25">
      <c r="R1117" s="4"/>
      <c r="S1117" s="4"/>
    </row>
    <row r="1118" spans="18:19" x14ac:dyDescent="0.25">
      <c r="R1118" s="4"/>
      <c r="S1118" s="4"/>
    </row>
    <row r="1119" spans="18:19" x14ac:dyDescent="0.25">
      <c r="R1119" s="4"/>
      <c r="S1119" s="4"/>
    </row>
    <row r="1120" spans="18:19" x14ac:dyDescent="0.25">
      <c r="R1120" s="4"/>
      <c r="S1120" s="4"/>
    </row>
    <row r="1121" spans="18:19" x14ac:dyDescent="0.25">
      <c r="R1121" s="4"/>
      <c r="S1121" s="4"/>
    </row>
    <row r="1122" spans="18:19" x14ac:dyDescent="0.25">
      <c r="R1122" s="4"/>
      <c r="S1122" s="4"/>
    </row>
    <row r="1123" spans="18:19" x14ac:dyDescent="0.25">
      <c r="R1123" s="4"/>
      <c r="S1123" s="4"/>
    </row>
    <row r="1124" spans="18:19" x14ac:dyDescent="0.25">
      <c r="R1124" s="4"/>
      <c r="S1124" s="4"/>
    </row>
    <row r="1125" spans="18:19" x14ac:dyDescent="0.25">
      <c r="R1125" s="4"/>
      <c r="S1125" s="4"/>
    </row>
    <row r="1126" spans="18:19" x14ac:dyDescent="0.25">
      <c r="R1126" s="4"/>
      <c r="S1126" s="4"/>
    </row>
    <row r="1127" spans="18:19" x14ac:dyDescent="0.25">
      <c r="R1127" s="4"/>
      <c r="S1127" s="4"/>
    </row>
    <row r="1128" spans="18:19" x14ac:dyDescent="0.25">
      <c r="R1128" s="4"/>
      <c r="S1128" s="4"/>
    </row>
    <row r="1129" spans="18:19" x14ac:dyDescent="0.25">
      <c r="R1129" s="4"/>
      <c r="S1129" s="4"/>
    </row>
    <row r="1130" spans="18:19" x14ac:dyDescent="0.25">
      <c r="R1130" s="4"/>
      <c r="S1130" s="4"/>
    </row>
    <row r="1131" spans="18:19" x14ac:dyDescent="0.25">
      <c r="R1131" s="4"/>
      <c r="S1131" s="4"/>
    </row>
    <row r="1132" spans="18:19" x14ac:dyDescent="0.25">
      <c r="R1132" s="4"/>
      <c r="S1132" s="4"/>
    </row>
    <row r="1133" spans="18:19" x14ac:dyDescent="0.25">
      <c r="R1133" s="4"/>
      <c r="S1133" s="4"/>
    </row>
    <row r="1134" spans="18:19" x14ac:dyDescent="0.25">
      <c r="R1134" s="4"/>
      <c r="S1134" s="4"/>
    </row>
    <row r="1135" spans="18:19" x14ac:dyDescent="0.25">
      <c r="R1135" s="4"/>
      <c r="S1135" s="4"/>
    </row>
    <row r="1136" spans="18:19" x14ac:dyDescent="0.25">
      <c r="R1136" s="4"/>
      <c r="S1136" s="4"/>
    </row>
    <row r="1137" spans="18:19" x14ac:dyDescent="0.25">
      <c r="R1137" s="4"/>
      <c r="S1137" s="4"/>
    </row>
    <row r="1138" spans="18:19" x14ac:dyDescent="0.25">
      <c r="R1138" s="4"/>
      <c r="S1138" s="4"/>
    </row>
    <row r="1139" spans="18:19" x14ac:dyDescent="0.25">
      <c r="R1139" s="4"/>
      <c r="S1139" s="4"/>
    </row>
    <row r="1140" spans="18:19" x14ac:dyDescent="0.25">
      <c r="R1140" s="4"/>
      <c r="S1140" s="4"/>
    </row>
    <row r="1141" spans="18:19" x14ac:dyDescent="0.25">
      <c r="R1141" s="4"/>
      <c r="S1141" s="4"/>
    </row>
    <row r="1142" spans="18:19" x14ac:dyDescent="0.25">
      <c r="R1142" s="4"/>
      <c r="S1142" s="4"/>
    </row>
    <row r="1143" spans="18:19" x14ac:dyDescent="0.25">
      <c r="R1143" s="4"/>
      <c r="S1143" s="4"/>
    </row>
    <row r="1144" spans="18:19" x14ac:dyDescent="0.25">
      <c r="R1144" s="4"/>
      <c r="S1144" s="4"/>
    </row>
    <row r="1145" spans="18:19" x14ac:dyDescent="0.25">
      <c r="R1145" s="4"/>
      <c r="S1145" s="4"/>
    </row>
    <row r="1146" spans="18:19" x14ac:dyDescent="0.25">
      <c r="R1146" s="4"/>
      <c r="S1146" s="4"/>
    </row>
    <row r="1147" spans="18:19" x14ac:dyDescent="0.25">
      <c r="R1147" s="4"/>
      <c r="S1147" s="4"/>
    </row>
    <row r="1148" spans="18:19" x14ac:dyDescent="0.25">
      <c r="R1148" s="4"/>
      <c r="S1148" s="4"/>
    </row>
    <row r="1149" spans="18:19" x14ac:dyDescent="0.25">
      <c r="R1149" s="4"/>
      <c r="S1149" s="4"/>
    </row>
    <row r="1150" spans="18:19" x14ac:dyDescent="0.25">
      <c r="R1150" s="4"/>
      <c r="S1150" s="4"/>
    </row>
    <row r="1151" spans="18:19" x14ac:dyDescent="0.25">
      <c r="R1151" s="4"/>
      <c r="S1151" s="4"/>
    </row>
    <row r="1152" spans="18:19" x14ac:dyDescent="0.25">
      <c r="R1152" s="4"/>
      <c r="S1152" s="4"/>
    </row>
    <row r="1153" spans="18:19" x14ac:dyDescent="0.25">
      <c r="R1153" s="4"/>
      <c r="S1153" s="4"/>
    </row>
    <row r="1154" spans="18:19" x14ac:dyDescent="0.25">
      <c r="R1154" s="4"/>
      <c r="S1154" s="4"/>
    </row>
    <row r="1155" spans="18:19" x14ac:dyDescent="0.25">
      <c r="R1155" s="4"/>
      <c r="S1155" s="4"/>
    </row>
    <row r="1156" spans="18:19" x14ac:dyDescent="0.25">
      <c r="R1156" s="4"/>
      <c r="S1156" s="4"/>
    </row>
    <row r="1157" spans="18:19" x14ac:dyDescent="0.25">
      <c r="R1157" s="4"/>
      <c r="S1157" s="4"/>
    </row>
    <row r="1158" spans="18:19" x14ac:dyDescent="0.25">
      <c r="R1158" s="4"/>
      <c r="S1158" s="4"/>
    </row>
    <row r="1159" spans="18:19" x14ac:dyDescent="0.25">
      <c r="R1159" s="4"/>
      <c r="S1159" s="4"/>
    </row>
    <row r="1160" spans="18:19" x14ac:dyDescent="0.25">
      <c r="R1160" s="4"/>
      <c r="S1160" s="4"/>
    </row>
    <row r="1161" spans="18:19" x14ac:dyDescent="0.25">
      <c r="R1161" s="4"/>
      <c r="S1161" s="4"/>
    </row>
    <row r="1162" spans="18:19" x14ac:dyDescent="0.25">
      <c r="R1162" s="4"/>
      <c r="S1162" s="4"/>
    </row>
    <row r="1163" spans="18:19" x14ac:dyDescent="0.25">
      <c r="R1163" s="4"/>
      <c r="S1163" s="4"/>
    </row>
    <row r="1164" spans="18:19" x14ac:dyDescent="0.25">
      <c r="R1164" s="4"/>
      <c r="S1164" s="4"/>
    </row>
    <row r="1165" spans="18:19" x14ac:dyDescent="0.25">
      <c r="R1165" s="4"/>
      <c r="S1165" s="4"/>
    </row>
    <row r="1166" spans="18:19" x14ac:dyDescent="0.25">
      <c r="R1166" s="4"/>
      <c r="S1166" s="4"/>
    </row>
    <row r="1167" spans="18:19" x14ac:dyDescent="0.25">
      <c r="R1167" s="4"/>
      <c r="S1167" s="4"/>
    </row>
    <row r="1168" spans="18:19" x14ac:dyDescent="0.25">
      <c r="R1168" s="4"/>
      <c r="S1168" s="4"/>
    </row>
    <row r="1169" spans="18:19" x14ac:dyDescent="0.25">
      <c r="R1169" s="4"/>
      <c r="S1169" s="4"/>
    </row>
    <row r="1170" spans="18:19" x14ac:dyDescent="0.25">
      <c r="R1170" s="4"/>
      <c r="S1170" s="4"/>
    </row>
    <row r="1171" spans="18:19" x14ac:dyDescent="0.25">
      <c r="R1171" s="4"/>
      <c r="S1171" s="4"/>
    </row>
    <row r="1172" spans="18:19" x14ac:dyDescent="0.25">
      <c r="R1172" s="4"/>
      <c r="S1172" s="4"/>
    </row>
    <row r="1173" spans="18:19" x14ac:dyDescent="0.25">
      <c r="R1173" s="4"/>
      <c r="S1173" s="4"/>
    </row>
    <row r="1174" spans="18:19" x14ac:dyDescent="0.25">
      <c r="R1174" s="4"/>
      <c r="S1174" s="4"/>
    </row>
    <row r="1175" spans="18:19" x14ac:dyDescent="0.25">
      <c r="R1175" s="4"/>
      <c r="S1175" s="4"/>
    </row>
    <row r="1176" spans="18:19" x14ac:dyDescent="0.25">
      <c r="R1176" s="4"/>
      <c r="S1176" s="4"/>
    </row>
    <row r="1177" spans="18:19" x14ac:dyDescent="0.25">
      <c r="R1177" s="4"/>
      <c r="S1177" s="4"/>
    </row>
    <row r="1178" spans="18:19" x14ac:dyDescent="0.25">
      <c r="R1178" s="4"/>
      <c r="S1178" s="4"/>
    </row>
    <row r="1179" spans="18:19" x14ac:dyDescent="0.25">
      <c r="R1179" s="4"/>
      <c r="S1179" s="4"/>
    </row>
    <row r="1180" spans="18:19" x14ac:dyDescent="0.25">
      <c r="R1180" s="4"/>
      <c r="S1180" s="4"/>
    </row>
    <row r="1181" spans="18:19" x14ac:dyDescent="0.25">
      <c r="R1181" s="4"/>
      <c r="S1181" s="4"/>
    </row>
    <row r="1182" spans="18:19" x14ac:dyDescent="0.25">
      <c r="R1182" s="4"/>
      <c r="S1182" s="4"/>
    </row>
    <row r="1183" spans="18:19" x14ac:dyDescent="0.25">
      <c r="R1183" s="4"/>
      <c r="S1183" s="4"/>
    </row>
    <row r="1184" spans="18:19" x14ac:dyDescent="0.25">
      <c r="R1184" s="4"/>
      <c r="S1184" s="4"/>
    </row>
    <row r="1185" spans="18:19" x14ac:dyDescent="0.25">
      <c r="R1185" s="4"/>
      <c r="S1185" s="4"/>
    </row>
    <row r="1186" spans="18:19" x14ac:dyDescent="0.25">
      <c r="R1186" s="4"/>
      <c r="S1186" s="4"/>
    </row>
    <row r="1187" spans="18:19" x14ac:dyDescent="0.25">
      <c r="R1187" s="4"/>
      <c r="S1187" s="4"/>
    </row>
    <row r="1188" spans="18:19" x14ac:dyDescent="0.25">
      <c r="R1188" s="4"/>
      <c r="S1188" s="4"/>
    </row>
    <row r="1189" spans="18:19" x14ac:dyDescent="0.25">
      <c r="R1189" s="4"/>
      <c r="S1189" s="4"/>
    </row>
    <row r="1190" spans="18:19" x14ac:dyDescent="0.25">
      <c r="R1190" s="4"/>
      <c r="S1190" s="4"/>
    </row>
    <row r="1191" spans="18:19" x14ac:dyDescent="0.25">
      <c r="R1191" s="4"/>
      <c r="S1191" s="4"/>
    </row>
    <row r="1192" spans="18:19" x14ac:dyDescent="0.25">
      <c r="R1192" s="4"/>
      <c r="S1192" s="4"/>
    </row>
    <row r="1193" spans="18:19" x14ac:dyDescent="0.25">
      <c r="R1193" s="4"/>
      <c r="S1193" s="4"/>
    </row>
    <row r="1194" spans="18:19" x14ac:dyDescent="0.25">
      <c r="R1194" s="4"/>
      <c r="S1194" s="4"/>
    </row>
    <row r="1195" spans="18:19" x14ac:dyDescent="0.25">
      <c r="R1195" s="4"/>
      <c r="S1195" s="4"/>
    </row>
    <row r="1196" spans="18:19" x14ac:dyDescent="0.25">
      <c r="R1196" s="4"/>
      <c r="S1196" s="4"/>
    </row>
    <row r="1197" spans="18:19" x14ac:dyDescent="0.25">
      <c r="R1197" s="4"/>
      <c r="S1197" s="4"/>
    </row>
    <row r="1198" spans="18:19" x14ac:dyDescent="0.25">
      <c r="R1198" s="4"/>
      <c r="S1198" s="4"/>
    </row>
    <row r="1199" spans="18:19" x14ac:dyDescent="0.25">
      <c r="R1199" s="4"/>
      <c r="S1199" s="4"/>
    </row>
    <row r="1200" spans="18:19" x14ac:dyDescent="0.25">
      <c r="R1200" s="4"/>
      <c r="S1200" s="4"/>
    </row>
    <row r="1201" spans="18:19" x14ac:dyDescent="0.25">
      <c r="R1201" s="4"/>
      <c r="S1201" s="4"/>
    </row>
    <row r="1202" spans="18:19" x14ac:dyDescent="0.25">
      <c r="R1202" s="4"/>
      <c r="S1202" s="4"/>
    </row>
    <row r="1203" spans="18:19" x14ac:dyDescent="0.25">
      <c r="R1203" s="4"/>
      <c r="S1203" s="4"/>
    </row>
    <row r="1204" spans="18:19" x14ac:dyDescent="0.25">
      <c r="R1204" s="4"/>
      <c r="S1204" s="4"/>
    </row>
    <row r="1205" spans="18:19" x14ac:dyDescent="0.25">
      <c r="R1205" s="4"/>
      <c r="S1205" s="4"/>
    </row>
    <row r="1206" spans="18:19" x14ac:dyDescent="0.25">
      <c r="R1206" s="4"/>
      <c r="S1206" s="4"/>
    </row>
    <row r="1207" spans="18:19" x14ac:dyDescent="0.25">
      <c r="R1207" s="4"/>
      <c r="S1207" s="4"/>
    </row>
    <row r="1208" spans="18:19" x14ac:dyDescent="0.25">
      <c r="R1208" s="4"/>
      <c r="S1208" s="4"/>
    </row>
    <row r="1209" spans="18:19" x14ac:dyDescent="0.25">
      <c r="R1209" s="4"/>
      <c r="S1209" s="4"/>
    </row>
    <row r="1210" spans="18:19" x14ac:dyDescent="0.25">
      <c r="R1210" s="4"/>
      <c r="S1210" s="4"/>
    </row>
    <row r="1211" spans="18:19" x14ac:dyDescent="0.25">
      <c r="R1211" s="4"/>
      <c r="S1211" s="4"/>
    </row>
    <row r="1212" spans="18:19" x14ac:dyDescent="0.25">
      <c r="R1212" s="4"/>
      <c r="S1212" s="4"/>
    </row>
    <row r="1213" spans="18:19" x14ac:dyDescent="0.25">
      <c r="R1213" s="4"/>
      <c r="S1213" s="4"/>
    </row>
    <row r="1214" spans="18:19" x14ac:dyDescent="0.25">
      <c r="R1214" s="4"/>
      <c r="S1214" s="4"/>
    </row>
    <row r="1215" spans="18:19" x14ac:dyDescent="0.25">
      <c r="R1215" s="4"/>
      <c r="S1215" s="4"/>
    </row>
    <row r="1216" spans="18:19" x14ac:dyDescent="0.25">
      <c r="R1216" s="4"/>
      <c r="S1216" s="4"/>
    </row>
    <row r="1217" spans="18:19" x14ac:dyDescent="0.25">
      <c r="R1217" s="4"/>
      <c r="S1217" s="4"/>
    </row>
    <row r="1218" spans="18:19" x14ac:dyDescent="0.25">
      <c r="R1218" s="4"/>
      <c r="S1218" s="4"/>
    </row>
    <row r="1219" spans="18:19" x14ac:dyDescent="0.25">
      <c r="R1219" s="4"/>
      <c r="S1219" s="4"/>
    </row>
    <row r="1220" spans="18:19" x14ac:dyDescent="0.25">
      <c r="R1220" s="4"/>
      <c r="S1220" s="4"/>
    </row>
    <row r="1221" spans="18:19" x14ac:dyDescent="0.25">
      <c r="R1221" s="4"/>
      <c r="S1221" s="4"/>
    </row>
    <row r="1222" spans="18:19" x14ac:dyDescent="0.25">
      <c r="R1222" s="4"/>
      <c r="S1222" s="4"/>
    </row>
    <row r="1223" spans="18:19" x14ac:dyDescent="0.25">
      <c r="R1223" s="4"/>
      <c r="S1223" s="4"/>
    </row>
    <row r="1224" spans="18:19" x14ac:dyDescent="0.25">
      <c r="R1224" s="4"/>
      <c r="S1224" s="4"/>
    </row>
    <row r="1225" spans="18:19" x14ac:dyDescent="0.25">
      <c r="R1225" s="4"/>
      <c r="S1225" s="4"/>
    </row>
    <row r="1226" spans="18:19" x14ac:dyDescent="0.25">
      <c r="R1226" s="4"/>
      <c r="S1226" s="4"/>
    </row>
    <row r="1227" spans="18:19" x14ac:dyDescent="0.25">
      <c r="R1227" s="4"/>
      <c r="S1227" s="4"/>
    </row>
    <row r="1228" spans="18:19" x14ac:dyDescent="0.25">
      <c r="R1228" s="4"/>
      <c r="S1228" s="4"/>
    </row>
    <row r="1229" spans="18:19" x14ac:dyDescent="0.25">
      <c r="R1229" s="4"/>
      <c r="S1229" s="4"/>
    </row>
    <row r="1230" spans="18:19" x14ac:dyDescent="0.25">
      <c r="R1230" s="4"/>
      <c r="S1230" s="4"/>
    </row>
    <row r="1231" spans="18:19" x14ac:dyDescent="0.25">
      <c r="R1231" s="4"/>
      <c r="S1231" s="4"/>
    </row>
    <row r="1232" spans="18:19" x14ac:dyDescent="0.25">
      <c r="R1232" s="4"/>
      <c r="S1232" s="4"/>
    </row>
    <row r="1233" spans="18:19" x14ac:dyDescent="0.25">
      <c r="R1233" s="4"/>
      <c r="S1233" s="4"/>
    </row>
    <row r="1234" spans="18:19" x14ac:dyDescent="0.25">
      <c r="R1234" s="4"/>
      <c r="S1234" s="4"/>
    </row>
    <row r="1235" spans="18:19" x14ac:dyDescent="0.25">
      <c r="R1235" s="4"/>
      <c r="S1235" s="4"/>
    </row>
    <row r="1236" spans="18:19" x14ac:dyDescent="0.25">
      <c r="R1236" s="4"/>
      <c r="S1236" s="4"/>
    </row>
    <row r="1237" spans="18:19" x14ac:dyDescent="0.25">
      <c r="R1237" s="4"/>
      <c r="S1237" s="4"/>
    </row>
    <row r="1238" spans="18:19" x14ac:dyDescent="0.25">
      <c r="R1238" s="4"/>
      <c r="S1238" s="4"/>
    </row>
    <row r="1239" spans="18:19" x14ac:dyDescent="0.25">
      <c r="R1239" s="4"/>
      <c r="S1239" s="4"/>
    </row>
    <row r="1240" spans="18:19" x14ac:dyDescent="0.25">
      <c r="R1240" s="4"/>
      <c r="S1240" s="4"/>
    </row>
    <row r="1241" spans="18:19" x14ac:dyDescent="0.25">
      <c r="R1241" s="4"/>
      <c r="S1241" s="4"/>
    </row>
    <row r="1242" spans="18:19" x14ac:dyDescent="0.25">
      <c r="R1242" s="4"/>
      <c r="S1242" s="4"/>
    </row>
    <row r="1243" spans="18:19" x14ac:dyDescent="0.25">
      <c r="R1243" s="4"/>
      <c r="S1243" s="4"/>
    </row>
    <row r="1244" spans="18:19" x14ac:dyDescent="0.25">
      <c r="R1244" s="4"/>
      <c r="S1244" s="4"/>
    </row>
    <row r="1245" spans="18:19" x14ac:dyDescent="0.25">
      <c r="R1245" s="4"/>
      <c r="S1245" s="4"/>
    </row>
    <row r="1246" spans="18:19" x14ac:dyDescent="0.25">
      <c r="R1246" s="4"/>
      <c r="S1246" s="4"/>
    </row>
    <row r="1247" spans="18:19" x14ac:dyDescent="0.25">
      <c r="R1247" s="4"/>
      <c r="S1247" s="4"/>
    </row>
    <row r="1248" spans="18:19" x14ac:dyDescent="0.25">
      <c r="R1248" s="4"/>
      <c r="S1248" s="4"/>
    </row>
    <row r="1249" spans="18:19" x14ac:dyDescent="0.25">
      <c r="R1249" s="4"/>
      <c r="S1249" s="4"/>
    </row>
    <row r="1250" spans="18:19" x14ac:dyDescent="0.25">
      <c r="R1250" s="4"/>
      <c r="S1250" s="4"/>
    </row>
    <row r="1251" spans="18:19" x14ac:dyDescent="0.25">
      <c r="R1251" s="4"/>
      <c r="S1251" s="4"/>
    </row>
    <row r="1252" spans="18:19" x14ac:dyDescent="0.25">
      <c r="R1252" s="4"/>
      <c r="S1252" s="4"/>
    </row>
    <row r="1253" spans="18:19" x14ac:dyDescent="0.25">
      <c r="R1253" s="4"/>
      <c r="S1253" s="4"/>
    </row>
    <row r="1254" spans="18:19" x14ac:dyDescent="0.25">
      <c r="R1254" s="4"/>
      <c r="S1254" s="4"/>
    </row>
    <row r="1255" spans="18:19" x14ac:dyDescent="0.25">
      <c r="R1255" s="4"/>
      <c r="S1255" s="4"/>
    </row>
    <row r="1256" spans="18:19" x14ac:dyDescent="0.25">
      <c r="R1256" s="4"/>
      <c r="S1256" s="4"/>
    </row>
    <row r="1257" spans="18:19" x14ac:dyDescent="0.25">
      <c r="R1257" s="4"/>
      <c r="S1257" s="4"/>
    </row>
    <row r="1258" spans="18:19" x14ac:dyDescent="0.25">
      <c r="R1258" s="4"/>
      <c r="S1258" s="4"/>
    </row>
    <row r="1259" spans="18:19" x14ac:dyDescent="0.25">
      <c r="R1259" s="4"/>
      <c r="S1259" s="4"/>
    </row>
    <row r="1260" spans="18:19" x14ac:dyDescent="0.25">
      <c r="R1260" s="4"/>
      <c r="S1260" s="4"/>
    </row>
    <row r="1261" spans="18:19" x14ac:dyDescent="0.25">
      <c r="R1261" s="4"/>
      <c r="S1261" s="4"/>
    </row>
    <row r="1262" spans="18:19" x14ac:dyDescent="0.25">
      <c r="R1262" s="4"/>
      <c r="S1262" s="4"/>
    </row>
    <row r="1263" spans="18:19" x14ac:dyDescent="0.25">
      <c r="R1263" s="4"/>
      <c r="S1263" s="4"/>
    </row>
    <row r="1264" spans="18:19" x14ac:dyDescent="0.25">
      <c r="R1264" s="4"/>
      <c r="S1264" s="4"/>
    </row>
    <row r="1265" spans="18:19" x14ac:dyDescent="0.25">
      <c r="R1265" s="4"/>
      <c r="S1265" s="4"/>
    </row>
    <row r="1266" spans="18:19" x14ac:dyDescent="0.25">
      <c r="R1266" s="4"/>
      <c r="S1266" s="4"/>
    </row>
    <row r="1267" spans="18:19" x14ac:dyDescent="0.25">
      <c r="R1267" s="4"/>
      <c r="S1267" s="4"/>
    </row>
    <row r="1268" spans="18:19" x14ac:dyDescent="0.25">
      <c r="R1268" s="4"/>
      <c r="S1268" s="4"/>
    </row>
    <row r="1269" spans="18:19" x14ac:dyDescent="0.25">
      <c r="R1269" s="4"/>
      <c r="S1269" s="4"/>
    </row>
    <row r="1270" spans="18:19" x14ac:dyDescent="0.25">
      <c r="R1270" s="4"/>
      <c r="S1270" s="4"/>
    </row>
    <row r="1271" spans="18:19" x14ac:dyDescent="0.25">
      <c r="R1271" s="4"/>
      <c r="S1271" s="4"/>
    </row>
    <row r="1272" spans="18:19" x14ac:dyDescent="0.25">
      <c r="R1272" s="4"/>
      <c r="S1272" s="4"/>
    </row>
    <row r="1273" spans="18:19" x14ac:dyDescent="0.25">
      <c r="R1273" s="4"/>
      <c r="S1273" s="4"/>
    </row>
    <row r="1274" spans="18:19" x14ac:dyDescent="0.25">
      <c r="R1274" s="4"/>
      <c r="S1274" s="4"/>
    </row>
    <row r="1275" spans="18:19" x14ac:dyDescent="0.25">
      <c r="R1275" s="4"/>
      <c r="S1275" s="4"/>
    </row>
    <row r="1276" spans="18:19" x14ac:dyDescent="0.25">
      <c r="R1276" s="4"/>
      <c r="S1276" s="4"/>
    </row>
    <row r="1277" spans="18:19" x14ac:dyDescent="0.25">
      <c r="R1277" s="4"/>
      <c r="S1277" s="4"/>
    </row>
    <row r="1278" spans="18:19" x14ac:dyDescent="0.25">
      <c r="R1278" s="4"/>
      <c r="S1278" s="4"/>
    </row>
    <row r="1279" spans="18:19" x14ac:dyDescent="0.25">
      <c r="R1279" s="4"/>
      <c r="S1279" s="4"/>
    </row>
    <row r="1280" spans="18:19" x14ac:dyDescent="0.25">
      <c r="R1280" s="4"/>
      <c r="S1280" s="4"/>
    </row>
    <row r="1281" spans="18:19" x14ac:dyDescent="0.25">
      <c r="R1281" s="4"/>
      <c r="S1281" s="4"/>
    </row>
    <row r="1282" spans="18:19" x14ac:dyDescent="0.25">
      <c r="R1282" s="4"/>
      <c r="S1282" s="4"/>
    </row>
    <row r="1283" spans="18:19" x14ac:dyDescent="0.25">
      <c r="R1283" s="4"/>
      <c r="S1283" s="4"/>
    </row>
    <row r="1284" spans="18:19" x14ac:dyDescent="0.25">
      <c r="R1284" s="4"/>
      <c r="S1284" s="4"/>
    </row>
    <row r="1285" spans="18:19" x14ac:dyDescent="0.25">
      <c r="R1285" s="4"/>
      <c r="S1285" s="4"/>
    </row>
    <row r="1286" spans="18:19" x14ac:dyDescent="0.25">
      <c r="R1286" s="4"/>
      <c r="S1286" s="4"/>
    </row>
    <row r="1287" spans="18:19" x14ac:dyDescent="0.25">
      <c r="R1287" s="4"/>
      <c r="S1287" s="4"/>
    </row>
    <row r="1288" spans="18:19" x14ac:dyDescent="0.25">
      <c r="R1288" s="4"/>
      <c r="S1288" s="4"/>
    </row>
    <row r="1289" spans="18:19" x14ac:dyDescent="0.25">
      <c r="R1289" s="4"/>
      <c r="S1289" s="4"/>
    </row>
    <row r="1290" spans="18:19" x14ac:dyDescent="0.25">
      <c r="R1290" s="4"/>
      <c r="S1290" s="4"/>
    </row>
    <row r="1291" spans="18:19" x14ac:dyDescent="0.25">
      <c r="R1291" s="4"/>
      <c r="S1291" s="4"/>
    </row>
    <row r="1292" spans="18:19" x14ac:dyDescent="0.25">
      <c r="R1292" s="4"/>
      <c r="S1292" s="4"/>
    </row>
    <row r="1293" spans="18:19" x14ac:dyDescent="0.25">
      <c r="R1293" s="4"/>
      <c r="S1293" s="4"/>
    </row>
    <row r="1294" spans="18:19" x14ac:dyDescent="0.25">
      <c r="R1294" s="4"/>
      <c r="S1294" s="4"/>
    </row>
    <row r="1295" spans="18:19" x14ac:dyDescent="0.25">
      <c r="R1295" s="4"/>
      <c r="S1295" s="4"/>
    </row>
    <row r="1296" spans="18:19" x14ac:dyDescent="0.25">
      <c r="R1296" s="4"/>
      <c r="S1296" s="4"/>
    </row>
    <row r="1297" spans="18:19" x14ac:dyDescent="0.25">
      <c r="R1297" s="4"/>
      <c r="S1297" s="4"/>
    </row>
    <row r="1298" spans="18:19" x14ac:dyDescent="0.25">
      <c r="R1298" s="4"/>
      <c r="S1298" s="4"/>
    </row>
    <row r="1299" spans="18:19" x14ac:dyDescent="0.25">
      <c r="R1299" s="4"/>
      <c r="S1299" s="4"/>
    </row>
    <row r="1300" spans="18:19" x14ac:dyDescent="0.25">
      <c r="R1300" s="4"/>
      <c r="S1300" s="4"/>
    </row>
    <row r="1301" spans="18:19" x14ac:dyDescent="0.25">
      <c r="R1301" s="4"/>
      <c r="S1301" s="4"/>
    </row>
    <row r="1302" spans="18:19" x14ac:dyDescent="0.25">
      <c r="R1302" s="4"/>
      <c r="S1302" s="4"/>
    </row>
    <row r="1303" spans="18:19" x14ac:dyDescent="0.25">
      <c r="R1303" s="4"/>
      <c r="S1303" s="4"/>
    </row>
    <row r="1304" spans="18:19" x14ac:dyDescent="0.25">
      <c r="R1304" s="4"/>
      <c r="S1304" s="4"/>
    </row>
    <row r="1305" spans="18:19" x14ac:dyDescent="0.25">
      <c r="R1305" s="4"/>
      <c r="S1305" s="4"/>
    </row>
    <row r="1306" spans="18:19" x14ac:dyDescent="0.25">
      <c r="R1306" s="4"/>
      <c r="S1306" s="4"/>
    </row>
    <row r="1307" spans="18:19" x14ac:dyDescent="0.25">
      <c r="R1307" s="4"/>
      <c r="S1307" s="4"/>
    </row>
    <row r="1308" spans="18:19" x14ac:dyDescent="0.25">
      <c r="R1308" s="4"/>
      <c r="S1308" s="4"/>
    </row>
    <row r="1309" spans="18:19" x14ac:dyDescent="0.25">
      <c r="R1309" s="4"/>
      <c r="S1309" s="4"/>
    </row>
    <row r="1310" spans="18:19" x14ac:dyDescent="0.25">
      <c r="R1310" s="4"/>
      <c r="S1310" s="4"/>
    </row>
    <row r="1311" spans="18:19" x14ac:dyDescent="0.25">
      <c r="R1311" s="4"/>
      <c r="S1311" s="4"/>
    </row>
    <row r="1312" spans="18:19" x14ac:dyDescent="0.25">
      <c r="R1312" s="4"/>
      <c r="S1312" s="4"/>
    </row>
    <row r="1313" spans="18:19" x14ac:dyDescent="0.25">
      <c r="R1313" s="4"/>
      <c r="S1313" s="4"/>
    </row>
    <row r="1314" spans="18:19" x14ac:dyDescent="0.25">
      <c r="R1314" s="4"/>
      <c r="S1314" s="4"/>
    </row>
    <row r="1315" spans="18:19" x14ac:dyDescent="0.25">
      <c r="R1315" s="4"/>
      <c r="S1315" s="4"/>
    </row>
    <row r="1316" spans="18:19" x14ac:dyDescent="0.25">
      <c r="R1316" s="4"/>
      <c r="S1316" s="4"/>
    </row>
    <row r="1317" spans="18:19" x14ac:dyDescent="0.25">
      <c r="R1317" s="4"/>
      <c r="S1317" s="4"/>
    </row>
    <row r="1318" spans="18:19" x14ac:dyDescent="0.25">
      <c r="R1318" s="4"/>
      <c r="S1318" s="4"/>
    </row>
    <row r="1319" spans="18:19" x14ac:dyDescent="0.25">
      <c r="R1319" s="4"/>
      <c r="S1319" s="4"/>
    </row>
    <row r="1320" spans="18:19" x14ac:dyDescent="0.25">
      <c r="R1320" s="4"/>
      <c r="S1320" s="4"/>
    </row>
    <row r="1321" spans="18:19" x14ac:dyDescent="0.25">
      <c r="R1321" s="4"/>
      <c r="S1321" s="4"/>
    </row>
    <row r="1322" spans="18:19" x14ac:dyDescent="0.25">
      <c r="R1322" s="4"/>
      <c r="S1322" s="4"/>
    </row>
    <row r="1323" spans="18:19" x14ac:dyDescent="0.25">
      <c r="R1323" s="4"/>
      <c r="S1323" s="4"/>
    </row>
    <row r="1324" spans="18:19" x14ac:dyDescent="0.25">
      <c r="R1324" s="4"/>
      <c r="S1324" s="4"/>
    </row>
    <row r="1325" spans="18:19" x14ac:dyDescent="0.25">
      <c r="R1325" s="4"/>
      <c r="S1325" s="4"/>
    </row>
    <row r="1326" spans="18:19" x14ac:dyDescent="0.25">
      <c r="R1326" s="4"/>
      <c r="S1326" s="4"/>
    </row>
    <row r="1327" spans="18:19" x14ac:dyDescent="0.25">
      <c r="R1327" s="4"/>
      <c r="S1327" s="4"/>
    </row>
    <row r="1328" spans="18:19" x14ac:dyDescent="0.25">
      <c r="R1328" s="4"/>
      <c r="S1328" s="4"/>
    </row>
    <row r="1329" spans="18:19" x14ac:dyDescent="0.25">
      <c r="R1329" s="4"/>
      <c r="S1329" s="4"/>
    </row>
    <row r="1330" spans="18:19" x14ac:dyDescent="0.25">
      <c r="R1330" s="4"/>
      <c r="S1330" s="4"/>
    </row>
    <row r="1331" spans="18:19" x14ac:dyDescent="0.25">
      <c r="R1331" s="4"/>
      <c r="S1331" s="4"/>
    </row>
    <row r="1332" spans="18:19" x14ac:dyDescent="0.25">
      <c r="R1332" s="4"/>
      <c r="S1332" s="4"/>
    </row>
    <row r="1333" spans="18:19" x14ac:dyDescent="0.25">
      <c r="R1333" s="4"/>
      <c r="S1333" s="4"/>
    </row>
    <row r="1334" spans="18:19" x14ac:dyDescent="0.25">
      <c r="R1334" s="4"/>
      <c r="S1334" s="4"/>
    </row>
    <row r="1335" spans="18:19" x14ac:dyDescent="0.25">
      <c r="R1335" s="4"/>
      <c r="S1335" s="4"/>
    </row>
    <row r="1336" spans="18:19" x14ac:dyDescent="0.25">
      <c r="R1336" s="4"/>
      <c r="S1336" s="4"/>
    </row>
    <row r="1337" spans="18:19" x14ac:dyDescent="0.25">
      <c r="R1337" s="4"/>
      <c r="S1337" s="4"/>
    </row>
    <row r="1338" spans="18:19" x14ac:dyDescent="0.25">
      <c r="R1338" s="4"/>
      <c r="S1338" s="4"/>
    </row>
    <row r="1339" spans="18:19" x14ac:dyDescent="0.25">
      <c r="R1339" s="4"/>
      <c r="S1339" s="4"/>
    </row>
    <row r="1340" spans="18:19" x14ac:dyDescent="0.25">
      <c r="R1340" s="4"/>
      <c r="S1340" s="4"/>
    </row>
    <row r="1341" spans="18:19" x14ac:dyDescent="0.25">
      <c r="R1341" s="4"/>
      <c r="S1341" s="4"/>
    </row>
    <row r="1342" spans="18:19" x14ac:dyDescent="0.25">
      <c r="R1342" s="4"/>
      <c r="S1342" s="4"/>
    </row>
    <row r="1343" spans="18:19" x14ac:dyDescent="0.25">
      <c r="R1343" s="4"/>
      <c r="S1343" s="4"/>
    </row>
    <row r="1344" spans="18:19" x14ac:dyDescent="0.25">
      <c r="R1344" s="4"/>
      <c r="S1344" s="4"/>
    </row>
    <row r="1345" spans="18:19" x14ac:dyDescent="0.25">
      <c r="R1345" s="4"/>
      <c r="S1345" s="4"/>
    </row>
    <row r="1346" spans="18:19" x14ac:dyDescent="0.25">
      <c r="R1346" s="4"/>
      <c r="S1346" s="4"/>
    </row>
    <row r="1347" spans="18:19" x14ac:dyDescent="0.25">
      <c r="R1347" s="4"/>
      <c r="S1347" s="4"/>
    </row>
    <row r="1348" spans="18:19" x14ac:dyDescent="0.25">
      <c r="R1348" s="4"/>
      <c r="S1348" s="4"/>
    </row>
    <row r="1349" spans="18:19" x14ac:dyDescent="0.25">
      <c r="R1349" s="4"/>
      <c r="S1349" s="4"/>
    </row>
    <row r="1350" spans="18:19" x14ac:dyDescent="0.25">
      <c r="R1350" s="4"/>
      <c r="S1350" s="4"/>
    </row>
    <row r="1351" spans="18:19" x14ac:dyDescent="0.25">
      <c r="R1351" s="4"/>
      <c r="S1351" s="4"/>
    </row>
    <row r="1352" spans="18:19" x14ac:dyDescent="0.25">
      <c r="R1352" s="4"/>
      <c r="S1352" s="4"/>
    </row>
    <row r="1353" spans="18:19" x14ac:dyDescent="0.25">
      <c r="R1353" s="4"/>
      <c r="S1353" s="4"/>
    </row>
    <row r="1354" spans="18:19" x14ac:dyDescent="0.25">
      <c r="R1354" s="4"/>
      <c r="S1354" s="4"/>
    </row>
    <row r="1355" spans="18:19" x14ac:dyDescent="0.25">
      <c r="R1355" s="4"/>
      <c r="S1355" s="4"/>
    </row>
    <row r="1356" spans="18:19" x14ac:dyDescent="0.25">
      <c r="R1356" s="4"/>
      <c r="S1356" s="4"/>
    </row>
    <row r="1357" spans="18:19" x14ac:dyDescent="0.25">
      <c r="R1357" s="4"/>
      <c r="S1357" s="4"/>
    </row>
    <row r="1358" spans="18:19" x14ac:dyDescent="0.25">
      <c r="R1358" s="4"/>
      <c r="S1358" s="4"/>
    </row>
    <row r="1359" spans="18:19" x14ac:dyDescent="0.25">
      <c r="R1359" s="4"/>
      <c r="S1359" s="4"/>
    </row>
    <row r="1360" spans="18:19" x14ac:dyDescent="0.25">
      <c r="R1360" s="4"/>
      <c r="S1360" s="4"/>
    </row>
    <row r="1361" spans="18:19" x14ac:dyDescent="0.25">
      <c r="R1361" s="4"/>
      <c r="S1361" s="4"/>
    </row>
    <row r="1362" spans="18:19" x14ac:dyDescent="0.25">
      <c r="R1362" s="4"/>
      <c r="S1362" s="4"/>
    </row>
    <row r="1363" spans="18:19" x14ac:dyDescent="0.25">
      <c r="R1363" s="4"/>
      <c r="S1363" s="4"/>
    </row>
    <row r="1364" spans="18:19" x14ac:dyDescent="0.25">
      <c r="R1364" s="4"/>
      <c r="S1364" s="4"/>
    </row>
    <row r="1365" spans="18:19" x14ac:dyDescent="0.25">
      <c r="R1365" s="4"/>
      <c r="S1365" s="4"/>
    </row>
    <row r="1366" spans="18:19" x14ac:dyDescent="0.25">
      <c r="R1366" s="4"/>
      <c r="S1366" s="4"/>
    </row>
    <row r="1367" spans="18:19" x14ac:dyDescent="0.25">
      <c r="R1367" s="4"/>
      <c r="S1367" s="4"/>
    </row>
    <row r="1368" spans="18:19" x14ac:dyDescent="0.25">
      <c r="R1368" s="4"/>
      <c r="S1368" s="4"/>
    </row>
    <row r="1369" spans="18:19" x14ac:dyDescent="0.25">
      <c r="R1369" s="4"/>
      <c r="S1369" s="4"/>
    </row>
    <row r="1370" spans="18:19" x14ac:dyDescent="0.25">
      <c r="R1370" s="4"/>
      <c r="S1370" s="4"/>
    </row>
    <row r="1371" spans="18:19" x14ac:dyDescent="0.25">
      <c r="R1371" s="4"/>
      <c r="S1371" s="4"/>
    </row>
    <row r="1372" spans="18:19" x14ac:dyDescent="0.25">
      <c r="R1372" s="4"/>
      <c r="S1372" s="4"/>
    </row>
    <row r="1373" spans="18:19" x14ac:dyDescent="0.25">
      <c r="R1373" s="4"/>
      <c r="S1373" s="4"/>
    </row>
    <row r="1374" spans="18:19" x14ac:dyDescent="0.25">
      <c r="R1374" s="4"/>
      <c r="S1374" s="4"/>
    </row>
    <row r="1375" spans="18:19" x14ac:dyDescent="0.25">
      <c r="R1375" s="4"/>
      <c r="S1375" s="4"/>
    </row>
    <row r="1376" spans="18:19" x14ac:dyDescent="0.25">
      <c r="R1376" s="4"/>
      <c r="S1376" s="4"/>
    </row>
    <row r="1377" spans="18:19" x14ac:dyDescent="0.25">
      <c r="R1377" s="4"/>
      <c r="S1377" s="4"/>
    </row>
    <row r="1378" spans="18:19" x14ac:dyDescent="0.25">
      <c r="R1378" s="4"/>
      <c r="S1378" s="4"/>
    </row>
    <row r="1379" spans="18:19" x14ac:dyDescent="0.25">
      <c r="R1379" s="4"/>
      <c r="S1379" s="4"/>
    </row>
    <row r="1380" spans="18:19" x14ac:dyDescent="0.25">
      <c r="R1380" s="4"/>
      <c r="S1380" s="4"/>
    </row>
    <row r="1381" spans="18:19" x14ac:dyDescent="0.25">
      <c r="R1381" s="4"/>
      <c r="S1381" s="4"/>
    </row>
    <row r="1382" spans="18:19" x14ac:dyDescent="0.25">
      <c r="R1382" s="4"/>
      <c r="S1382" s="4"/>
    </row>
    <row r="1383" spans="18:19" x14ac:dyDescent="0.25">
      <c r="R1383" s="4"/>
      <c r="S1383" s="4"/>
    </row>
    <row r="1384" spans="18:19" x14ac:dyDescent="0.25">
      <c r="R1384" s="4"/>
      <c r="S1384" s="4"/>
    </row>
    <row r="1385" spans="18:19" x14ac:dyDescent="0.25">
      <c r="R1385" s="4"/>
      <c r="S1385" s="4"/>
    </row>
    <row r="1386" spans="18:19" x14ac:dyDescent="0.25">
      <c r="R1386" s="4"/>
      <c r="S1386" s="4"/>
    </row>
    <row r="1387" spans="18:19" x14ac:dyDescent="0.25">
      <c r="R1387" s="4"/>
      <c r="S1387" s="4"/>
    </row>
    <row r="1388" spans="18:19" x14ac:dyDescent="0.25">
      <c r="R1388" s="4"/>
      <c r="S1388" s="4"/>
    </row>
    <row r="1389" spans="18:19" x14ac:dyDescent="0.25">
      <c r="R1389" s="4"/>
      <c r="S1389" s="4"/>
    </row>
    <row r="1390" spans="18:19" x14ac:dyDescent="0.25">
      <c r="R1390" s="4"/>
      <c r="S1390" s="4"/>
    </row>
    <row r="1391" spans="18:19" x14ac:dyDescent="0.25">
      <c r="R1391" s="4"/>
      <c r="S1391" s="4"/>
    </row>
    <row r="1392" spans="18:19" x14ac:dyDescent="0.25">
      <c r="R1392" s="4"/>
      <c r="S1392" s="4"/>
    </row>
    <row r="1393" spans="18:19" x14ac:dyDescent="0.25">
      <c r="R1393" s="4"/>
      <c r="S1393" s="4"/>
    </row>
    <row r="1394" spans="18:19" x14ac:dyDescent="0.25">
      <c r="R1394" s="4"/>
      <c r="S1394" s="4"/>
    </row>
    <row r="1395" spans="18:19" x14ac:dyDescent="0.25">
      <c r="R1395" s="4"/>
      <c r="S1395" s="4"/>
    </row>
    <row r="1396" spans="18:19" x14ac:dyDescent="0.25">
      <c r="R1396" s="4"/>
      <c r="S1396" s="4"/>
    </row>
    <row r="1397" spans="18:19" x14ac:dyDescent="0.25">
      <c r="R1397" s="4"/>
      <c r="S1397" s="4"/>
    </row>
    <row r="1398" spans="18:19" x14ac:dyDescent="0.25">
      <c r="R1398" s="4"/>
      <c r="S1398" s="4"/>
    </row>
    <row r="1399" spans="18:19" x14ac:dyDescent="0.25">
      <c r="R1399" s="4"/>
      <c r="S1399" s="4"/>
    </row>
    <row r="1400" spans="18:19" x14ac:dyDescent="0.25">
      <c r="R1400" s="4"/>
      <c r="S1400" s="4"/>
    </row>
    <row r="1401" spans="18:19" x14ac:dyDescent="0.25">
      <c r="R1401" s="4"/>
      <c r="S1401" s="4"/>
    </row>
    <row r="1402" spans="18:19" x14ac:dyDescent="0.25">
      <c r="R1402" s="4"/>
      <c r="S1402" s="4"/>
    </row>
    <row r="1403" spans="18:19" x14ac:dyDescent="0.25">
      <c r="R1403" s="4"/>
      <c r="S1403" s="4"/>
    </row>
    <row r="1404" spans="18:19" x14ac:dyDescent="0.25">
      <c r="R1404" s="4"/>
      <c r="S1404" s="4"/>
    </row>
    <row r="1405" spans="18:19" x14ac:dyDescent="0.25">
      <c r="R1405" s="4"/>
      <c r="S1405" s="4"/>
    </row>
    <row r="1406" spans="18:19" x14ac:dyDescent="0.25">
      <c r="R1406" s="4"/>
      <c r="S1406" s="4"/>
    </row>
    <row r="1407" spans="18:19" x14ac:dyDescent="0.25">
      <c r="R1407" s="4"/>
      <c r="S1407" s="4"/>
    </row>
    <row r="1408" spans="18:19" x14ac:dyDescent="0.25">
      <c r="R1408" s="4"/>
      <c r="S1408" s="4"/>
    </row>
    <row r="1409" spans="18:19" x14ac:dyDescent="0.25">
      <c r="R1409" s="4"/>
      <c r="S1409" s="4"/>
    </row>
    <row r="1410" spans="18:19" x14ac:dyDescent="0.25">
      <c r="R1410" s="4"/>
      <c r="S1410" s="4"/>
    </row>
    <row r="1411" spans="18:19" x14ac:dyDescent="0.25">
      <c r="R1411" s="4"/>
      <c r="S1411" s="4"/>
    </row>
    <row r="1412" spans="18:19" x14ac:dyDescent="0.25">
      <c r="R1412" s="4"/>
      <c r="S1412" s="4"/>
    </row>
    <row r="1413" spans="18:19" x14ac:dyDescent="0.25">
      <c r="R1413" s="4"/>
      <c r="S1413" s="4"/>
    </row>
    <row r="1414" spans="18:19" x14ac:dyDescent="0.25">
      <c r="R1414" s="4"/>
      <c r="S1414" s="4"/>
    </row>
    <row r="1415" spans="18:19" x14ac:dyDescent="0.25">
      <c r="R1415" s="4"/>
      <c r="S1415" s="4"/>
    </row>
    <row r="1416" spans="18:19" x14ac:dyDescent="0.25">
      <c r="R1416" s="4"/>
      <c r="S1416" s="4"/>
    </row>
    <row r="1417" spans="18:19" x14ac:dyDescent="0.25">
      <c r="R1417" s="4"/>
      <c r="S1417" s="4"/>
    </row>
    <row r="1418" spans="18:19" x14ac:dyDescent="0.25">
      <c r="R1418" s="4"/>
      <c r="S1418" s="4"/>
    </row>
    <row r="1419" spans="18:19" x14ac:dyDescent="0.25">
      <c r="R1419" s="4"/>
      <c r="S1419" s="4"/>
    </row>
    <row r="1420" spans="18:19" x14ac:dyDescent="0.25">
      <c r="R1420" s="4"/>
      <c r="S1420" s="4"/>
    </row>
    <row r="1421" spans="18:19" x14ac:dyDescent="0.25">
      <c r="R1421" s="4"/>
      <c r="S1421" s="4"/>
    </row>
    <row r="1422" spans="18:19" x14ac:dyDescent="0.25">
      <c r="R1422" s="4"/>
      <c r="S1422" s="4"/>
    </row>
    <row r="1423" spans="18:19" x14ac:dyDescent="0.25">
      <c r="R1423" s="4"/>
      <c r="S1423" s="4"/>
    </row>
    <row r="1424" spans="18:19" x14ac:dyDescent="0.25">
      <c r="R1424" s="4"/>
      <c r="S1424" s="4"/>
    </row>
    <row r="1425" spans="18:19" x14ac:dyDescent="0.25">
      <c r="R1425" s="4"/>
      <c r="S1425" s="4"/>
    </row>
    <row r="1426" spans="18:19" x14ac:dyDescent="0.25">
      <c r="R1426" s="4"/>
      <c r="S1426" s="4"/>
    </row>
    <row r="1427" spans="18:19" x14ac:dyDescent="0.25">
      <c r="R1427" s="4"/>
      <c r="S1427" s="4"/>
    </row>
    <row r="1428" spans="18:19" x14ac:dyDescent="0.25">
      <c r="R1428" s="4"/>
      <c r="S1428" s="4"/>
    </row>
    <row r="1429" spans="18:19" x14ac:dyDescent="0.25">
      <c r="R1429" s="4"/>
      <c r="S1429" s="4"/>
    </row>
    <row r="1430" spans="18:19" x14ac:dyDescent="0.25">
      <c r="R1430" s="4"/>
      <c r="S1430" s="4"/>
    </row>
    <row r="1431" spans="18:19" x14ac:dyDescent="0.25">
      <c r="R1431" s="4"/>
      <c r="S1431" s="4"/>
    </row>
    <row r="1432" spans="18:19" x14ac:dyDescent="0.25">
      <c r="R1432" s="4"/>
      <c r="S1432" s="4"/>
    </row>
    <row r="1433" spans="18:19" x14ac:dyDescent="0.25">
      <c r="R1433" s="4"/>
      <c r="S1433" s="4"/>
    </row>
    <row r="1434" spans="18:19" x14ac:dyDescent="0.25">
      <c r="R1434" s="4"/>
      <c r="S1434" s="4"/>
    </row>
    <row r="1435" spans="18:19" x14ac:dyDescent="0.25">
      <c r="R1435" s="4"/>
      <c r="S1435" s="4"/>
    </row>
    <row r="1436" spans="18:19" x14ac:dyDescent="0.25">
      <c r="R1436" s="4"/>
      <c r="S1436" s="4"/>
    </row>
    <row r="1437" spans="18:19" x14ac:dyDescent="0.25">
      <c r="R1437" s="4"/>
      <c r="S1437" s="4"/>
    </row>
    <row r="1438" spans="18:19" x14ac:dyDescent="0.25">
      <c r="R1438" s="4"/>
      <c r="S1438" s="4"/>
    </row>
    <row r="1439" spans="18:19" x14ac:dyDescent="0.25">
      <c r="R1439" s="4"/>
      <c r="S1439" s="4"/>
    </row>
    <row r="1440" spans="18:19" x14ac:dyDescent="0.25">
      <c r="R1440" s="4"/>
      <c r="S1440" s="4"/>
    </row>
    <row r="1441" spans="18:19" x14ac:dyDescent="0.25">
      <c r="R1441" s="4"/>
      <c r="S1441" s="4"/>
    </row>
    <row r="1442" spans="18:19" x14ac:dyDescent="0.25">
      <c r="R1442" s="4"/>
      <c r="S1442" s="4"/>
    </row>
    <row r="1443" spans="18:19" x14ac:dyDescent="0.25">
      <c r="R1443" s="4"/>
      <c r="S1443" s="4"/>
    </row>
    <row r="1444" spans="18:19" x14ac:dyDescent="0.25">
      <c r="R1444" s="4"/>
      <c r="S1444" s="4"/>
    </row>
    <row r="1445" spans="18:19" x14ac:dyDescent="0.25">
      <c r="R1445" s="4"/>
      <c r="S1445" s="4"/>
    </row>
    <row r="1446" spans="18:19" x14ac:dyDescent="0.25">
      <c r="R1446" s="4"/>
      <c r="S1446" s="4"/>
    </row>
    <row r="1447" spans="18:19" x14ac:dyDescent="0.25">
      <c r="R1447" s="4"/>
      <c r="S1447" s="4"/>
    </row>
    <row r="1448" spans="18:19" x14ac:dyDescent="0.25">
      <c r="R1448" s="4"/>
      <c r="S1448" s="4"/>
    </row>
    <row r="1449" spans="18:19" x14ac:dyDescent="0.25">
      <c r="R1449" s="4"/>
      <c r="S1449" s="4"/>
    </row>
    <row r="1450" spans="18:19" x14ac:dyDescent="0.25">
      <c r="R1450" s="4"/>
      <c r="S1450" s="4"/>
    </row>
    <row r="1451" spans="18:19" x14ac:dyDescent="0.25">
      <c r="R1451" s="4"/>
      <c r="S1451" s="4"/>
    </row>
    <row r="1452" spans="18:19" x14ac:dyDescent="0.25">
      <c r="R1452" s="4"/>
      <c r="S1452" s="4"/>
    </row>
    <row r="1453" spans="18:19" x14ac:dyDescent="0.25">
      <c r="R1453" s="4"/>
      <c r="S1453" s="4"/>
    </row>
    <row r="1454" spans="18:19" x14ac:dyDescent="0.25">
      <c r="R1454" s="4"/>
      <c r="S1454" s="4"/>
    </row>
    <row r="1455" spans="18:19" x14ac:dyDescent="0.25">
      <c r="R1455" s="4"/>
      <c r="S1455" s="4"/>
    </row>
    <row r="1456" spans="18:19" x14ac:dyDescent="0.25">
      <c r="R1456" s="4"/>
      <c r="S1456" s="4"/>
    </row>
    <row r="1457" spans="18:19" x14ac:dyDescent="0.25">
      <c r="R1457" s="4"/>
      <c r="S1457" s="4"/>
    </row>
    <row r="1458" spans="18:19" x14ac:dyDescent="0.25">
      <c r="R1458" s="4"/>
      <c r="S1458" s="4"/>
    </row>
    <row r="1459" spans="18:19" x14ac:dyDescent="0.25">
      <c r="R1459" s="4"/>
      <c r="S1459" s="4"/>
    </row>
    <row r="1460" spans="18:19" x14ac:dyDescent="0.25">
      <c r="R1460" s="4"/>
      <c r="S1460" s="4"/>
    </row>
    <row r="1461" spans="18:19" x14ac:dyDescent="0.25">
      <c r="R1461" s="4"/>
      <c r="S1461" s="4"/>
    </row>
    <row r="1462" spans="18:19" x14ac:dyDescent="0.25">
      <c r="R1462" s="4"/>
      <c r="S1462" s="4"/>
    </row>
    <row r="1463" spans="18:19" x14ac:dyDescent="0.25">
      <c r="R1463" s="4"/>
      <c r="S1463" s="4"/>
    </row>
    <row r="1464" spans="18:19" x14ac:dyDescent="0.25">
      <c r="R1464" s="4"/>
      <c r="S1464" s="4"/>
    </row>
    <row r="1465" spans="18:19" x14ac:dyDescent="0.25">
      <c r="R1465" s="4"/>
      <c r="S1465" s="4"/>
    </row>
    <row r="1466" spans="18:19" x14ac:dyDescent="0.25">
      <c r="R1466" s="4"/>
      <c r="S1466" s="4"/>
    </row>
    <row r="1467" spans="18:19" x14ac:dyDescent="0.25">
      <c r="R1467" s="4"/>
      <c r="S1467" s="4"/>
    </row>
    <row r="1468" spans="18:19" x14ac:dyDescent="0.25">
      <c r="R1468" s="4"/>
      <c r="S1468" s="4"/>
    </row>
    <row r="1469" spans="18:19" x14ac:dyDescent="0.25">
      <c r="R1469" s="4"/>
      <c r="S1469" s="4"/>
    </row>
    <row r="1470" spans="18:19" x14ac:dyDescent="0.25">
      <c r="R1470" s="4"/>
      <c r="S1470" s="4"/>
    </row>
    <row r="1471" spans="18:19" x14ac:dyDescent="0.25">
      <c r="R1471" s="4"/>
      <c r="S1471" s="4"/>
    </row>
    <row r="1472" spans="18:19" x14ac:dyDescent="0.25">
      <c r="R1472" s="4"/>
      <c r="S1472" s="4"/>
    </row>
    <row r="1473" spans="18:19" x14ac:dyDescent="0.25">
      <c r="R1473" s="4"/>
      <c r="S1473" s="4"/>
    </row>
    <row r="1474" spans="18:19" x14ac:dyDescent="0.25">
      <c r="R1474" s="4"/>
      <c r="S1474" s="4"/>
    </row>
    <row r="1475" spans="18:19" x14ac:dyDescent="0.25">
      <c r="R1475" s="4"/>
      <c r="S1475" s="4"/>
    </row>
    <row r="1476" spans="18:19" x14ac:dyDescent="0.25">
      <c r="R1476" s="4"/>
      <c r="S1476" s="4"/>
    </row>
    <row r="1477" spans="18:19" x14ac:dyDescent="0.25">
      <c r="R1477" s="4"/>
      <c r="S1477" s="4"/>
    </row>
    <row r="1478" spans="18:19" x14ac:dyDescent="0.25">
      <c r="R1478" s="4"/>
      <c r="S1478" s="4"/>
    </row>
    <row r="1479" spans="18:19" x14ac:dyDescent="0.25">
      <c r="R1479" s="4"/>
      <c r="S1479" s="4"/>
    </row>
    <row r="1480" spans="18:19" x14ac:dyDescent="0.25">
      <c r="R1480" s="4"/>
      <c r="S1480" s="4"/>
    </row>
    <row r="1481" spans="18:19" x14ac:dyDescent="0.25">
      <c r="R1481" s="4"/>
      <c r="S1481" s="4"/>
    </row>
    <row r="1482" spans="18:19" x14ac:dyDescent="0.25">
      <c r="R1482" s="4"/>
      <c r="S1482" s="4"/>
    </row>
    <row r="1483" spans="18:19" x14ac:dyDescent="0.25">
      <c r="R1483" s="4"/>
      <c r="S1483" s="4"/>
    </row>
    <row r="1484" spans="18:19" x14ac:dyDescent="0.25">
      <c r="R1484" s="4"/>
      <c r="S1484" s="4"/>
    </row>
    <row r="1485" spans="18:19" x14ac:dyDescent="0.25">
      <c r="R1485" s="4"/>
      <c r="S1485" s="4"/>
    </row>
    <row r="1486" spans="18:19" x14ac:dyDescent="0.25">
      <c r="R1486" s="4"/>
      <c r="S1486" s="4"/>
    </row>
    <row r="1487" spans="18:19" x14ac:dyDescent="0.25">
      <c r="R1487" s="4"/>
      <c r="S1487" s="4"/>
    </row>
    <row r="1488" spans="18:19" x14ac:dyDescent="0.25">
      <c r="R1488" s="4"/>
      <c r="S1488" s="4"/>
    </row>
    <row r="1489" spans="18:19" x14ac:dyDescent="0.25">
      <c r="R1489" s="4"/>
      <c r="S1489" s="4"/>
    </row>
    <row r="1490" spans="18:19" x14ac:dyDescent="0.25">
      <c r="R1490" s="4"/>
      <c r="S1490" s="4"/>
    </row>
    <row r="1491" spans="18:19" x14ac:dyDescent="0.25">
      <c r="R1491" s="4"/>
      <c r="S1491" s="4"/>
    </row>
    <row r="1492" spans="18:19" x14ac:dyDescent="0.25">
      <c r="R1492" s="4"/>
      <c r="S1492" s="4"/>
    </row>
    <row r="1493" spans="18:19" x14ac:dyDescent="0.25">
      <c r="R1493" s="4"/>
      <c r="S1493" s="4"/>
    </row>
    <row r="1494" spans="18:19" x14ac:dyDescent="0.25">
      <c r="R1494" s="4"/>
      <c r="S1494" s="4"/>
    </row>
    <row r="1495" spans="18:19" x14ac:dyDescent="0.25">
      <c r="R1495" s="4"/>
      <c r="S1495" s="4"/>
    </row>
    <row r="1496" spans="18:19" x14ac:dyDescent="0.25">
      <c r="R1496" s="4"/>
      <c r="S1496" s="4"/>
    </row>
    <row r="1497" spans="18:19" x14ac:dyDescent="0.25">
      <c r="R1497" s="4"/>
      <c r="S1497" s="4"/>
    </row>
    <row r="1498" spans="18:19" x14ac:dyDescent="0.25">
      <c r="R1498" s="4"/>
      <c r="S1498" s="4"/>
    </row>
    <row r="1499" spans="18:19" x14ac:dyDescent="0.25">
      <c r="R1499" s="4"/>
      <c r="S1499" s="4"/>
    </row>
    <row r="1500" spans="18:19" x14ac:dyDescent="0.25">
      <c r="R1500" s="4"/>
      <c r="S1500" s="4"/>
    </row>
    <row r="1501" spans="18:19" x14ac:dyDescent="0.25">
      <c r="R1501" s="4"/>
      <c r="S1501" s="4"/>
    </row>
    <row r="1502" spans="18:19" x14ac:dyDescent="0.25">
      <c r="R1502" s="4"/>
      <c r="S1502" s="4"/>
    </row>
    <row r="1503" spans="18:19" x14ac:dyDescent="0.25">
      <c r="R1503" s="4"/>
      <c r="S1503" s="4"/>
    </row>
    <row r="1504" spans="18:19" x14ac:dyDescent="0.25">
      <c r="R1504" s="4"/>
      <c r="S1504" s="4"/>
    </row>
    <row r="1505" spans="18:19" x14ac:dyDescent="0.25">
      <c r="R1505" s="4"/>
      <c r="S1505" s="4"/>
    </row>
    <row r="1506" spans="18:19" x14ac:dyDescent="0.25">
      <c r="R1506" s="4"/>
      <c r="S1506" s="4"/>
    </row>
    <row r="1507" spans="18:19" x14ac:dyDescent="0.25">
      <c r="R1507" s="4"/>
      <c r="S1507" s="4"/>
    </row>
    <row r="1508" spans="18:19" x14ac:dyDescent="0.25">
      <c r="R1508" s="4"/>
      <c r="S1508" s="4"/>
    </row>
    <row r="1509" spans="18:19" x14ac:dyDescent="0.25">
      <c r="R1509" s="4"/>
      <c r="S1509" s="4"/>
    </row>
    <row r="1510" spans="18:19" x14ac:dyDescent="0.25">
      <c r="R1510" s="4"/>
      <c r="S1510" s="4"/>
    </row>
    <row r="1511" spans="18:19" x14ac:dyDescent="0.25">
      <c r="R1511" s="4"/>
      <c r="S1511" s="4"/>
    </row>
    <row r="1512" spans="18:19" x14ac:dyDescent="0.25">
      <c r="R1512" s="4"/>
      <c r="S1512" s="4"/>
    </row>
    <row r="1513" spans="18:19" x14ac:dyDescent="0.25">
      <c r="R1513" s="4"/>
      <c r="S1513" s="4"/>
    </row>
    <row r="1514" spans="18:19" x14ac:dyDescent="0.25">
      <c r="R1514" s="4"/>
      <c r="S1514" s="4"/>
    </row>
    <row r="1515" spans="18:19" x14ac:dyDescent="0.25">
      <c r="R1515" s="4"/>
      <c r="S1515" s="4"/>
    </row>
    <row r="1516" spans="18:19" x14ac:dyDescent="0.25">
      <c r="R1516" s="4"/>
      <c r="S1516" s="4"/>
    </row>
    <row r="1517" spans="18:19" x14ac:dyDescent="0.25">
      <c r="R1517" s="4"/>
      <c r="S1517" s="4"/>
    </row>
    <row r="1518" spans="18:19" x14ac:dyDescent="0.25">
      <c r="R1518" s="4"/>
      <c r="S1518" s="4"/>
    </row>
    <row r="1519" spans="18:19" x14ac:dyDescent="0.25">
      <c r="R1519" s="4"/>
      <c r="S1519" s="4"/>
    </row>
    <row r="1520" spans="18:19" x14ac:dyDescent="0.25">
      <c r="R1520" s="4"/>
      <c r="S1520" s="4"/>
    </row>
    <row r="1521" spans="18:19" x14ac:dyDescent="0.25">
      <c r="R1521" s="4"/>
      <c r="S1521" s="4"/>
    </row>
    <row r="1522" spans="18:19" x14ac:dyDescent="0.25">
      <c r="R1522" s="4"/>
      <c r="S1522" s="4"/>
    </row>
    <row r="1523" spans="18:19" x14ac:dyDescent="0.25">
      <c r="R1523" s="4"/>
      <c r="S1523" s="4"/>
    </row>
    <row r="1524" spans="18:19" x14ac:dyDescent="0.25">
      <c r="R1524" s="4"/>
      <c r="S1524" s="4"/>
    </row>
    <row r="1525" spans="18:19" x14ac:dyDescent="0.25">
      <c r="R1525" s="4"/>
      <c r="S1525" s="4"/>
    </row>
    <row r="1526" spans="18:19" x14ac:dyDescent="0.25">
      <c r="R1526" s="4"/>
      <c r="S1526" s="4"/>
    </row>
    <row r="1527" spans="18:19" x14ac:dyDescent="0.25">
      <c r="R1527" s="4"/>
      <c r="S1527" s="4"/>
    </row>
    <row r="1528" spans="18:19" x14ac:dyDescent="0.25">
      <c r="R1528" s="4"/>
      <c r="S1528" s="4"/>
    </row>
    <row r="1529" spans="18:19" x14ac:dyDescent="0.25">
      <c r="R1529" s="4"/>
      <c r="S1529" s="4"/>
    </row>
    <row r="1530" spans="18:19" x14ac:dyDescent="0.25">
      <c r="R1530" s="4"/>
      <c r="S1530" s="4"/>
    </row>
    <row r="1531" spans="18:19" x14ac:dyDescent="0.25">
      <c r="R1531" s="4"/>
      <c r="S1531" s="4"/>
    </row>
    <row r="1532" spans="18:19" x14ac:dyDescent="0.25">
      <c r="R1532" s="4"/>
      <c r="S1532" s="4"/>
    </row>
    <row r="1533" spans="18:19" x14ac:dyDescent="0.25">
      <c r="R1533" s="4"/>
      <c r="S1533" s="4"/>
    </row>
    <row r="1534" spans="18:19" x14ac:dyDescent="0.25">
      <c r="R1534" s="4"/>
      <c r="S1534" s="4"/>
    </row>
    <row r="1535" spans="18:19" x14ac:dyDescent="0.25">
      <c r="R1535" s="4"/>
      <c r="S1535" s="4"/>
    </row>
    <row r="1536" spans="18:19" x14ac:dyDescent="0.25">
      <c r="R1536" s="4"/>
      <c r="S1536" s="4"/>
    </row>
    <row r="1537" spans="18:19" x14ac:dyDescent="0.25">
      <c r="R1537" s="4"/>
      <c r="S1537" s="4"/>
    </row>
    <row r="1538" spans="18:19" x14ac:dyDescent="0.25">
      <c r="R1538" s="4"/>
      <c r="S1538" s="4"/>
    </row>
    <row r="1539" spans="18:19" x14ac:dyDescent="0.25">
      <c r="R1539" s="4"/>
      <c r="S1539" s="4"/>
    </row>
    <row r="1540" spans="18:19" x14ac:dyDescent="0.25">
      <c r="R1540" s="4"/>
      <c r="S1540" s="4"/>
    </row>
    <row r="1541" spans="18:19" x14ac:dyDescent="0.25">
      <c r="R1541" s="4"/>
      <c r="S1541" s="4"/>
    </row>
    <row r="1542" spans="18:19" x14ac:dyDescent="0.25">
      <c r="R1542" s="4"/>
      <c r="S1542" s="4"/>
    </row>
    <row r="1543" spans="18:19" x14ac:dyDescent="0.25">
      <c r="R1543" s="4"/>
      <c r="S1543" s="4"/>
    </row>
    <row r="1544" spans="18:19" x14ac:dyDescent="0.25">
      <c r="R1544" s="4"/>
      <c r="S1544" s="4"/>
    </row>
    <row r="1545" spans="18:19" x14ac:dyDescent="0.25">
      <c r="R1545" s="4"/>
      <c r="S1545" s="4"/>
    </row>
    <row r="1546" spans="18:19" x14ac:dyDescent="0.25">
      <c r="R1546" s="4"/>
      <c r="S1546" s="4"/>
    </row>
    <row r="1547" spans="18:19" x14ac:dyDescent="0.25">
      <c r="R1547" s="4"/>
      <c r="S1547" s="4"/>
    </row>
    <row r="1548" spans="18:19" x14ac:dyDescent="0.25">
      <c r="R1548" s="4"/>
      <c r="S1548" s="4"/>
    </row>
    <row r="1549" spans="18:19" x14ac:dyDescent="0.25">
      <c r="R1549" s="4"/>
      <c r="S1549" s="4"/>
    </row>
    <row r="1550" spans="18:19" x14ac:dyDescent="0.25">
      <c r="R1550" s="4"/>
      <c r="S1550" s="4"/>
    </row>
    <row r="1551" spans="18:19" x14ac:dyDescent="0.25">
      <c r="R1551" s="4"/>
      <c r="S1551" s="4"/>
    </row>
    <row r="1552" spans="18:19" x14ac:dyDescent="0.25">
      <c r="R1552" s="4"/>
      <c r="S1552" s="4"/>
    </row>
    <row r="1553" spans="18:19" x14ac:dyDescent="0.25">
      <c r="R1553" s="4"/>
      <c r="S1553" s="4"/>
    </row>
    <row r="1554" spans="18:19" x14ac:dyDescent="0.25">
      <c r="R1554" s="4"/>
      <c r="S1554" s="4"/>
    </row>
    <row r="1555" spans="18:19" x14ac:dyDescent="0.25">
      <c r="R1555" s="4"/>
      <c r="S1555" s="4"/>
    </row>
    <row r="1556" spans="18:19" x14ac:dyDescent="0.25">
      <c r="R1556" s="4"/>
      <c r="S1556" s="4"/>
    </row>
    <row r="1557" spans="18:19" x14ac:dyDescent="0.25">
      <c r="R1557" s="4"/>
      <c r="S1557" s="4"/>
    </row>
    <row r="1558" spans="18:19" x14ac:dyDescent="0.25">
      <c r="R1558" s="4"/>
      <c r="S1558" s="4"/>
    </row>
    <row r="1559" spans="18:19" x14ac:dyDescent="0.25">
      <c r="R1559" s="4"/>
      <c r="S1559" s="4"/>
    </row>
    <row r="1560" spans="18:19" x14ac:dyDescent="0.25">
      <c r="R1560" s="4"/>
      <c r="S1560" s="4"/>
    </row>
    <row r="1561" spans="18:19" x14ac:dyDescent="0.25">
      <c r="R1561" s="4"/>
      <c r="S1561" s="4"/>
    </row>
    <row r="1562" spans="18:19" x14ac:dyDescent="0.25">
      <c r="R1562" s="4"/>
      <c r="S1562" s="4"/>
    </row>
    <row r="1563" spans="18:19" x14ac:dyDescent="0.25">
      <c r="R1563" s="4"/>
      <c r="S1563" s="4"/>
    </row>
    <row r="1564" spans="18:19" x14ac:dyDescent="0.25">
      <c r="R1564" s="4"/>
      <c r="S1564" s="4"/>
    </row>
    <row r="1565" spans="18:19" x14ac:dyDescent="0.25">
      <c r="R1565" s="4"/>
      <c r="S1565" s="4"/>
    </row>
    <row r="1566" spans="18:19" x14ac:dyDescent="0.25">
      <c r="R1566" s="4"/>
      <c r="S1566" s="4"/>
    </row>
    <row r="1567" spans="18:19" x14ac:dyDescent="0.25">
      <c r="R1567" s="4"/>
      <c r="S1567" s="4"/>
    </row>
    <row r="1568" spans="18:19" x14ac:dyDescent="0.25">
      <c r="R1568" s="4"/>
      <c r="S1568" s="4"/>
    </row>
    <row r="1569" spans="18:19" x14ac:dyDescent="0.25">
      <c r="R1569" s="4"/>
      <c r="S1569" s="4"/>
    </row>
    <row r="1570" spans="18:19" x14ac:dyDescent="0.25">
      <c r="R1570" s="4"/>
      <c r="S1570" s="4"/>
    </row>
    <row r="1571" spans="18:19" x14ac:dyDescent="0.25">
      <c r="R1571" s="4"/>
      <c r="S1571" s="4"/>
    </row>
    <row r="1572" spans="18:19" x14ac:dyDescent="0.25">
      <c r="R1572" s="4"/>
      <c r="S1572" s="4"/>
    </row>
    <row r="1573" spans="18:19" x14ac:dyDescent="0.25">
      <c r="R1573" s="4"/>
      <c r="S1573" s="4"/>
    </row>
    <row r="1574" spans="18:19" x14ac:dyDescent="0.25">
      <c r="R1574" s="4"/>
      <c r="S1574" s="4"/>
    </row>
    <row r="1575" spans="18:19" x14ac:dyDescent="0.25">
      <c r="R1575" s="4"/>
      <c r="S1575" s="4"/>
    </row>
    <row r="1576" spans="18:19" x14ac:dyDescent="0.25">
      <c r="R1576" s="4"/>
      <c r="S1576" s="4"/>
    </row>
    <row r="1577" spans="18:19" x14ac:dyDescent="0.25">
      <c r="R1577" s="4"/>
      <c r="S1577" s="4"/>
    </row>
    <row r="1578" spans="18:19" x14ac:dyDescent="0.25">
      <c r="R1578" s="4"/>
      <c r="S1578" s="4"/>
    </row>
    <row r="1579" spans="18:19" x14ac:dyDescent="0.25">
      <c r="R1579" s="4"/>
      <c r="S1579" s="4"/>
    </row>
    <row r="1580" spans="18:19" x14ac:dyDescent="0.25">
      <c r="R1580" s="4"/>
      <c r="S1580" s="4"/>
    </row>
    <row r="1581" spans="18:19" x14ac:dyDescent="0.25">
      <c r="R1581" s="4"/>
      <c r="S1581" s="4"/>
    </row>
    <row r="1582" spans="18:19" x14ac:dyDescent="0.25">
      <c r="R1582" s="4"/>
      <c r="S1582" s="4"/>
    </row>
    <row r="1583" spans="18:19" x14ac:dyDescent="0.25">
      <c r="R1583" s="4"/>
      <c r="S1583" s="4"/>
    </row>
    <row r="1584" spans="18:19" x14ac:dyDescent="0.25">
      <c r="R1584" s="4"/>
      <c r="S1584" s="4"/>
    </row>
    <row r="1585" spans="18:19" x14ac:dyDescent="0.25">
      <c r="R1585" s="4"/>
      <c r="S1585" s="4"/>
    </row>
    <row r="1586" spans="18:19" x14ac:dyDescent="0.25">
      <c r="R1586" s="4"/>
      <c r="S1586" s="4"/>
    </row>
    <row r="1587" spans="18:19" x14ac:dyDescent="0.25">
      <c r="R1587" s="4"/>
      <c r="S1587" s="4"/>
    </row>
    <row r="1588" spans="18:19" x14ac:dyDescent="0.25">
      <c r="R1588" s="4"/>
      <c r="S1588" s="4"/>
    </row>
    <row r="1589" spans="18:19" x14ac:dyDescent="0.25">
      <c r="R1589" s="4"/>
      <c r="S1589" s="4"/>
    </row>
    <row r="1590" spans="18:19" x14ac:dyDescent="0.25">
      <c r="R1590" s="4"/>
      <c r="S1590" s="4"/>
    </row>
    <row r="1591" spans="18:19" x14ac:dyDescent="0.25">
      <c r="R1591" s="4"/>
      <c r="S1591" s="4"/>
    </row>
    <row r="1592" spans="18:19" x14ac:dyDescent="0.25">
      <c r="R1592" s="4"/>
      <c r="S1592" s="4"/>
    </row>
    <row r="1593" spans="18:19" x14ac:dyDescent="0.25">
      <c r="R1593" s="4"/>
      <c r="S1593" s="4"/>
    </row>
    <row r="1594" spans="18:19" x14ac:dyDescent="0.25">
      <c r="R1594" s="4"/>
      <c r="S1594" s="4"/>
    </row>
    <row r="1595" spans="18:19" x14ac:dyDescent="0.25">
      <c r="R1595" s="4"/>
      <c r="S1595" s="4"/>
    </row>
    <row r="1596" spans="18:19" x14ac:dyDescent="0.25">
      <c r="R1596" s="4"/>
      <c r="S1596" s="4"/>
    </row>
    <row r="1597" spans="18:19" x14ac:dyDescent="0.25">
      <c r="R1597" s="4"/>
      <c r="S1597" s="4"/>
    </row>
    <row r="1598" spans="18:19" x14ac:dyDescent="0.25">
      <c r="R1598" s="4"/>
      <c r="S1598" s="4"/>
    </row>
    <row r="1599" spans="18:19" x14ac:dyDescent="0.25">
      <c r="R1599" s="4"/>
      <c r="S1599" s="4"/>
    </row>
    <row r="1600" spans="18:19" x14ac:dyDescent="0.25">
      <c r="R1600" s="4"/>
      <c r="S1600" s="4"/>
    </row>
    <row r="1601" spans="18:19" x14ac:dyDescent="0.25">
      <c r="R1601" s="4"/>
      <c r="S1601" s="4"/>
    </row>
    <row r="1602" spans="18:19" x14ac:dyDescent="0.25">
      <c r="R1602" s="4"/>
      <c r="S1602" s="4"/>
    </row>
    <row r="1603" spans="18:19" x14ac:dyDescent="0.25">
      <c r="R1603" s="4"/>
      <c r="S1603" s="4"/>
    </row>
    <row r="1604" spans="18:19" x14ac:dyDescent="0.25">
      <c r="R1604" s="4"/>
      <c r="S1604" s="4"/>
    </row>
    <row r="1605" spans="18:19" x14ac:dyDescent="0.25">
      <c r="R1605" s="4"/>
      <c r="S1605" s="4"/>
    </row>
    <row r="1606" spans="18:19" x14ac:dyDescent="0.25">
      <c r="R1606" s="4"/>
      <c r="S1606" s="4"/>
    </row>
    <row r="1607" spans="18:19" x14ac:dyDescent="0.25">
      <c r="R1607" s="4"/>
      <c r="S1607" s="4"/>
    </row>
    <row r="1608" spans="18:19" x14ac:dyDescent="0.25">
      <c r="R1608" s="4"/>
      <c r="S1608" s="4"/>
    </row>
    <row r="1609" spans="18:19" x14ac:dyDescent="0.25">
      <c r="R1609" s="4"/>
      <c r="S1609" s="4"/>
    </row>
    <row r="1610" spans="18:19" x14ac:dyDescent="0.25">
      <c r="R1610" s="4"/>
      <c r="S1610" s="4"/>
    </row>
    <row r="1611" spans="18:19" x14ac:dyDescent="0.25">
      <c r="R1611" s="4"/>
      <c r="S1611" s="4"/>
    </row>
    <row r="1612" spans="18:19" x14ac:dyDescent="0.25">
      <c r="R1612" s="4"/>
      <c r="S1612" s="4"/>
    </row>
    <row r="1613" spans="18:19" x14ac:dyDescent="0.25">
      <c r="R1613" s="4"/>
      <c r="S1613" s="4"/>
    </row>
    <row r="1614" spans="18:19" x14ac:dyDescent="0.25">
      <c r="R1614" s="4"/>
      <c r="S1614" s="4"/>
    </row>
    <row r="1615" spans="18:19" x14ac:dyDescent="0.25">
      <c r="R1615" s="4"/>
      <c r="S1615" s="4"/>
    </row>
    <row r="1616" spans="18:19" x14ac:dyDescent="0.25">
      <c r="R1616" s="4"/>
      <c r="S1616" s="4"/>
    </row>
    <row r="1617" spans="18:19" x14ac:dyDescent="0.25">
      <c r="R1617" s="4"/>
      <c r="S1617" s="4"/>
    </row>
    <row r="1618" spans="18:19" x14ac:dyDescent="0.25">
      <c r="R1618" s="4"/>
      <c r="S1618" s="4"/>
    </row>
    <row r="1619" spans="18:19" x14ac:dyDescent="0.25">
      <c r="R1619" s="4"/>
      <c r="S1619" s="4"/>
    </row>
    <row r="1620" spans="18:19" x14ac:dyDescent="0.25">
      <c r="R1620" s="4"/>
      <c r="S1620" s="4"/>
    </row>
    <row r="1621" spans="18:19" x14ac:dyDescent="0.25">
      <c r="R1621" s="4"/>
      <c r="S1621" s="4"/>
    </row>
    <row r="1622" spans="18:19" x14ac:dyDescent="0.25">
      <c r="R1622" s="4"/>
      <c r="S1622" s="4"/>
    </row>
    <row r="1623" spans="18:19" x14ac:dyDescent="0.25">
      <c r="R1623" s="4"/>
      <c r="S1623" s="4"/>
    </row>
    <row r="1624" spans="18:19" x14ac:dyDescent="0.25">
      <c r="R1624" s="4"/>
      <c r="S1624" s="4"/>
    </row>
    <row r="1625" spans="18:19" x14ac:dyDescent="0.25">
      <c r="R1625" s="4"/>
      <c r="S1625" s="4"/>
    </row>
    <row r="1626" spans="18:19" x14ac:dyDescent="0.25">
      <c r="R1626" s="4"/>
      <c r="S1626" s="4"/>
    </row>
    <row r="1627" spans="18:19" x14ac:dyDescent="0.25">
      <c r="R1627" s="4"/>
      <c r="S1627" s="4"/>
    </row>
    <row r="1628" spans="18:19" x14ac:dyDescent="0.25">
      <c r="R1628" s="4"/>
      <c r="S1628" s="4"/>
    </row>
    <row r="1629" spans="18:19" x14ac:dyDescent="0.25">
      <c r="R1629" s="4"/>
      <c r="S1629" s="4"/>
    </row>
    <row r="1630" spans="18:19" x14ac:dyDescent="0.25">
      <c r="R1630" s="4"/>
      <c r="S1630" s="4"/>
    </row>
    <row r="1631" spans="18:19" x14ac:dyDescent="0.25">
      <c r="R1631" s="4"/>
      <c r="S1631" s="4"/>
    </row>
    <row r="1632" spans="18:19" x14ac:dyDescent="0.25">
      <c r="R1632" s="4"/>
      <c r="S1632" s="4"/>
    </row>
    <row r="1633" spans="18:19" x14ac:dyDescent="0.25">
      <c r="R1633" s="4"/>
      <c r="S1633" s="4"/>
    </row>
    <row r="1634" spans="18:19" x14ac:dyDescent="0.25">
      <c r="R1634" s="4"/>
      <c r="S1634" s="4"/>
    </row>
    <row r="1635" spans="18:19" x14ac:dyDescent="0.25">
      <c r="R1635" s="4"/>
      <c r="S1635" s="4"/>
    </row>
    <row r="1636" spans="18:19" x14ac:dyDescent="0.25">
      <c r="R1636" s="4"/>
      <c r="S1636" s="4"/>
    </row>
    <row r="1637" spans="18:19" x14ac:dyDescent="0.25">
      <c r="R1637" s="4"/>
      <c r="S1637" s="4"/>
    </row>
    <row r="1638" spans="18:19" x14ac:dyDescent="0.25">
      <c r="R1638" s="4"/>
      <c r="S1638" s="4"/>
    </row>
    <row r="1639" spans="18:19" x14ac:dyDescent="0.25">
      <c r="R1639" s="4"/>
      <c r="S1639" s="4"/>
    </row>
    <row r="1640" spans="18:19" x14ac:dyDescent="0.25">
      <c r="R1640" s="4"/>
      <c r="S1640" s="4"/>
    </row>
    <row r="1641" spans="18:19" x14ac:dyDescent="0.25">
      <c r="R1641" s="4"/>
      <c r="S1641" s="4"/>
    </row>
    <row r="1642" spans="18:19" x14ac:dyDescent="0.25">
      <c r="R1642" s="4"/>
      <c r="S1642" s="4"/>
    </row>
    <row r="1643" spans="18:19" x14ac:dyDescent="0.25">
      <c r="R1643" s="4"/>
      <c r="S1643" s="4"/>
    </row>
    <row r="1644" spans="18:19" x14ac:dyDescent="0.25">
      <c r="R1644" s="4"/>
      <c r="S1644" s="4"/>
    </row>
    <row r="1645" spans="18:19" x14ac:dyDescent="0.25">
      <c r="R1645" s="4"/>
      <c r="S1645" s="4"/>
    </row>
    <row r="1646" spans="18:19" x14ac:dyDescent="0.25">
      <c r="R1646" s="4"/>
      <c r="S1646" s="4"/>
    </row>
    <row r="1647" spans="18:19" x14ac:dyDescent="0.25">
      <c r="R1647" s="4"/>
      <c r="S1647" s="4"/>
    </row>
    <row r="1648" spans="18:19" x14ac:dyDescent="0.25">
      <c r="R1648" s="4"/>
      <c r="S1648" s="4"/>
    </row>
    <row r="1649" spans="18:19" x14ac:dyDescent="0.25">
      <c r="R1649" s="4"/>
      <c r="S1649" s="4"/>
    </row>
    <row r="1650" spans="18:19" x14ac:dyDescent="0.25">
      <c r="R1650" s="4"/>
      <c r="S1650" s="4"/>
    </row>
    <row r="1651" spans="18:19" x14ac:dyDescent="0.25">
      <c r="R1651" s="4"/>
      <c r="S1651" s="4"/>
    </row>
    <row r="1652" spans="18:19" x14ac:dyDescent="0.25">
      <c r="R1652" s="4"/>
      <c r="S1652" s="4"/>
    </row>
    <row r="1653" spans="18:19" x14ac:dyDescent="0.25">
      <c r="R1653" s="4"/>
      <c r="S1653" s="4"/>
    </row>
    <row r="1654" spans="18:19" x14ac:dyDescent="0.25">
      <c r="R1654" s="4"/>
      <c r="S1654" s="4"/>
    </row>
    <row r="1655" spans="18:19" x14ac:dyDescent="0.25">
      <c r="R1655" s="4"/>
      <c r="S1655" s="4"/>
    </row>
    <row r="1656" spans="18:19" x14ac:dyDescent="0.25">
      <c r="R1656" s="4"/>
      <c r="S1656" s="4"/>
    </row>
    <row r="1657" spans="18:19" x14ac:dyDescent="0.25">
      <c r="R1657" s="4"/>
      <c r="S1657" s="4"/>
    </row>
    <row r="1658" spans="18:19" x14ac:dyDescent="0.25">
      <c r="R1658" s="4"/>
      <c r="S1658" s="4"/>
    </row>
    <row r="1659" spans="18:19" x14ac:dyDescent="0.25">
      <c r="R1659" s="4"/>
      <c r="S1659" s="4"/>
    </row>
    <row r="1660" spans="18:19" x14ac:dyDescent="0.25">
      <c r="R1660" s="4"/>
      <c r="S1660" s="4"/>
    </row>
    <row r="1661" spans="18:19" x14ac:dyDescent="0.25">
      <c r="R1661" s="4"/>
      <c r="S1661" s="4"/>
    </row>
    <row r="1662" spans="18:19" x14ac:dyDescent="0.25">
      <c r="R1662" s="4"/>
      <c r="S1662" s="4"/>
    </row>
    <row r="1663" spans="18:19" x14ac:dyDescent="0.25">
      <c r="R1663" s="4"/>
      <c r="S1663" s="4"/>
    </row>
    <row r="1664" spans="18:19" x14ac:dyDescent="0.25">
      <c r="R1664" s="4"/>
      <c r="S1664" s="4"/>
    </row>
    <row r="1665" spans="18:19" x14ac:dyDescent="0.25">
      <c r="R1665" s="4"/>
      <c r="S1665" s="4"/>
    </row>
    <row r="1666" spans="18:19" x14ac:dyDescent="0.25">
      <c r="R1666" s="4"/>
      <c r="S1666" s="4"/>
    </row>
    <row r="1667" spans="18:19" x14ac:dyDescent="0.25">
      <c r="R1667" s="4"/>
      <c r="S1667" s="4"/>
    </row>
    <row r="1668" spans="18:19" x14ac:dyDescent="0.25">
      <c r="R1668" s="4"/>
      <c r="S1668" s="4"/>
    </row>
    <row r="1669" spans="18:19" x14ac:dyDescent="0.25">
      <c r="R1669" s="4"/>
      <c r="S1669" s="4"/>
    </row>
    <row r="1670" spans="18:19" x14ac:dyDescent="0.25">
      <c r="R1670" s="4"/>
      <c r="S1670" s="4"/>
    </row>
    <row r="1671" spans="18:19" x14ac:dyDescent="0.25">
      <c r="R1671" s="4"/>
      <c r="S1671" s="4"/>
    </row>
    <row r="1672" spans="18:19" x14ac:dyDescent="0.25">
      <c r="R1672" s="4"/>
      <c r="S1672" s="4"/>
    </row>
    <row r="1673" spans="18:19" x14ac:dyDescent="0.25">
      <c r="R1673" s="4"/>
      <c r="S1673" s="4"/>
    </row>
    <row r="1674" spans="18:19" x14ac:dyDescent="0.25">
      <c r="R1674" s="4"/>
      <c r="S1674" s="4"/>
    </row>
    <row r="1675" spans="18:19" x14ac:dyDescent="0.25">
      <c r="R1675" s="4"/>
      <c r="S1675" s="4"/>
    </row>
    <row r="1676" spans="18:19" x14ac:dyDescent="0.25">
      <c r="R1676" s="4"/>
      <c r="S1676" s="4"/>
    </row>
    <row r="1677" spans="18:19" x14ac:dyDescent="0.25">
      <c r="R1677" s="4"/>
      <c r="S1677" s="4"/>
    </row>
    <row r="1678" spans="18:19" x14ac:dyDescent="0.25">
      <c r="R1678" s="4"/>
      <c r="S1678" s="4"/>
    </row>
    <row r="1679" spans="18:19" x14ac:dyDescent="0.25">
      <c r="R1679" s="4"/>
      <c r="S1679" s="4"/>
    </row>
    <row r="1680" spans="18:19" x14ac:dyDescent="0.25">
      <c r="R1680" s="4"/>
      <c r="S1680" s="4"/>
    </row>
    <row r="1681" spans="18:19" x14ac:dyDescent="0.25">
      <c r="R1681" s="4"/>
      <c r="S1681" s="4"/>
    </row>
    <row r="1682" spans="18:19" x14ac:dyDescent="0.25">
      <c r="R1682" s="4"/>
      <c r="S1682" s="4"/>
    </row>
    <row r="1683" spans="18:19" x14ac:dyDescent="0.25">
      <c r="R1683" s="4"/>
      <c r="S1683" s="4"/>
    </row>
    <row r="1684" spans="18:19" x14ac:dyDescent="0.25">
      <c r="R1684" s="4"/>
      <c r="S1684" s="4"/>
    </row>
    <row r="1685" spans="18:19" x14ac:dyDescent="0.25">
      <c r="R1685" s="4"/>
      <c r="S1685" s="4"/>
    </row>
    <row r="1686" spans="18:19" x14ac:dyDescent="0.25">
      <c r="R1686" s="4"/>
      <c r="S1686" s="4"/>
    </row>
    <row r="1687" spans="18:19" x14ac:dyDescent="0.25">
      <c r="R1687" s="4"/>
      <c r="S1687" s="4"/>
    </row>
    <row r="1688" spans="18:19" x14ac:dyDescent="0.25">
      <c r="R1688" s="4"/>
      <c r="S1688" s="4"/>
    </row>
    <row r="1689" spans="18:19" x14ac:dyDescent="0.25">
      <c r="R1689" s="4"/>
      <c r="S1689" s="4"/>
    </row>
    <row r="1690" spans="18:19" x14ac:dyDescent="0.25">
      <c r="R1690" s="4"/>
      <c r="S1690" s="4"/>
    </row>
    <row r="1691" spans="18:19" x14ac:dyDescent="0.25">
      <c r="R1691" s="4"/>
      <c r="S1691" s="4"/>
    </row>
    <row r="1692" spans="18:19" x14ac:dyDescent="0.25">
      <c r="R1692" s="4"/>
      <c r="S1692" s="4"/>
    </row>
    <row r="1693" spans="18:19" x14ac:dyDescent="0.25">
      <c r="R1693" s="4"/>
      <c r="S1693" s="4"/>
    </row>
    <row r="1694" spans="18:19" x14ac:dyDescent="0.25">
      <c r="R1694" s="4"/>
      <c r="S1694" s="4"/>
    </row>
    <row r="1695" spans="18:19" x14ac:dyDescent="0.25">
      <c r="R1695" s="4"/>
      <c r="S1695" s="4"/>
    </row>
    <row r="1696" spans="18:19" x14ac:dyDescent="0.25">
      <c r="R1696" s="4"/>
      <c r="S1696" s="4"/>
    </row>
    <row r="1697" spans="18:19" x14ac:dyDescent="0.25">
      <c r="R1697" s="4"/>
      <c r="S1697" s="4"/>
    </row>
    <row r="1698" spans="18:19" x14ac:dyDescent="0.25">
      <c r="R1698" s="4"/>
      <c r="S1698" s="4"/>
    </row>
    <row r="1699" spans="18:19" x14ac:dyDescent="0.25">
      <c r="R1699" s="4"/>
      <c r="S1699" s="4"/>
    </row>
    <row r="1700" spans="18:19" x14ac:dyDescent="0.25">
      <c r="R1700" s="4"/>
      <c r="S1700" s="4"/>
    </row>
    <row r="1701" spans="18:19" x14ac:dyDescent="0.25">
      <c r="R1701" s="4"/>
      <c r="S1701" s="4"/>
    </row>
    <row r="1702" spans="18:19" x14ac:dyDescent="0.25">
      <c r="R1702" s="4"/>
      <c r="S1702" s="4"/>
    </row>
    <row r="1703" spans="18:19" x14ac:dyDescent="0.25">
      <c r="R1703" s="4"/>
      <c r="S1703" s="4"/>
    </row>
    <row r="1704" spans="18:19" x14ac:dyDescent="0.25">
      <c r="R1704" s="4"/>
      <c r="S1704" s="4"/>
    </row>
    <row r="1705" spans="18:19" x14ac:dyDescent="0.25">
      <c r="R1705" s="4"/>
      <c r="S1705" s="4"/>
    </row>
    <row r="1706" spans="18:19" x14ac:dyDescent="0.25">
      <c r="R1706" s="4"/>
      <c r="S1706" s="4"/>
    </row>
    <row r="1707" spans="18:19" x14ac:dyDescent="0.25">
      <c r="R1707" s="4"/>
      <c r="S1707" s="4"/>
    </row>
    <row r="1708" spans="18:19" x14ac:dyDescent="0.25">
      <c r="R1708" s="4"/>
      <c r="S1708" s="4"/>
    </row>
    <row r="1709" spans="18:19" x14ac:dyDescent="0.25">
      <c r="R1709" s="4"/>
      <c r="S1709" s="4"/>
    </row>
    <row r="1710" spans="18:19" x14ac:dyDescent="0.25">
      <c r="R1710" s="4"/>
      <c r="S1710" s="4"/>
    </row>
    <row r="1711" spans="18:19" x14ac:dyDescent="0.25">
      <c r="R1711" s="4"/>
      <c r="S1711" s="4"/>
    </row>
    <row r="1712" spans="18:19" x14ac:dyDescent="0.25">
      <c r="R1712" s="4"/>
      <c r="S1712" s="4"/>
    </row>
    <row r="1713" spans="18:19" x14ac:dyDescent="0.25">
      <c r="R1713" s="4"/>
      <c r="S1713" s="4"/>
    </row>
    <row r="1714" spans="18:19" x14ac:dyDescent="0.25">
      <c r="R1714" s="4"/>
      <c r="S1714" s="4"/>
    </row>
    <row r="1715" spans="18:19" x14ac:dyDescent="0.25">
      <c r="R1715" s="4"/>
      <c r="S1715" s="4"/>
    </row>
    <row r="1716" spans="18:19" x14ac:dyDescent="0.25">
      <c r="R1716" s="4"/>
      <c r="S1716" s="4"/>
    </row>
    <row r="1717" spans="18:19" x14ac:dyDescent="0.25">
      <c r="R1717" s="4"/>
      <c r="S1717" s="4"/>
    </row>
    <row r="1718" spans="18:19" x14ac:dyDescent="0.25">
      <c r="R1718" s="4"/>
      <c r="S1718" s="4"/>
    </row>
    <row r="1719" spans="18:19" x14ac:dyDescent="0.25">
      <c r="R1719" s="4"/>
      <c r="S1719" s="4"/>
    </row>
    <row r="1720" spans="18:19" x14ac:dyDescent="0.25">
      <c r="R1720" s="4"/>
      <c r="S1720" s="4"/>
    </row>
    <row r="1721" spans="18:19" x14ac:dyDescent="0.25">
      <c r="R1721" s="4"/>
      <c r="S1721" s="4"/>
    </row>
    <row r="1722" spans="18:19" x14ac:dyDescent="0.25">
      <c r="R1722" s="4"/>
      <c r="S1722" s="4"/>
    </row>
    <row r="1723" spans="18:19" x14ac:dyDescent="0.25">
      <c r="R1723" s="4"/>
      <c r="S1723" s="4"/>
    </row>
    <row r="1724" spans="18:19" x14ac:dyDescent="0.25">
      <c r="R1724" s="4"/>
      <c r="S1724" s="4"/>
    </row>
    <row r="1725" spans="18:19" x14ac:dyDescent="0.25">
      <c r="R1725" s="4"/>
      <c r="S1725" s="4"/>
    </row>
    <row r="1726" spans="18:19" x14ac:dyDescent="0.25">
      <c r="R1726" s="4"/>
      <c r="S1726" s="4"/>
    </row>
    <row r="1727" spans="18:19" x14ac:dyDescent="0.25">
      <c r="R1727" s="4"/>
      <c r="S1727" s="4"/>
    </row>
    <row r="1728" spans="18:19" x14ac:dyDescent="0.25">
      <c r="R1728" s="4"/>
      <c r="S1728" s="4"/>
    </row>
    <row r="1729" spans="18:19" x14ac:dyDescent="0.25">
      <c r="R1729" s="4"/>
      <c r="S1729" s="4"/>
    </row>
    <row r="1730" spans="18:19" x14ac:dyDescent="0.25">
      <c r="R1730" s="4"/>
      <c r="S1730" s="4"/>
    </row>
    <row r="1731" spans="18:19" x14ac:dyDescent="0.25">
      <c r="R1731" s="4"/>
      <c r="S1731" s="4"/>
    </row>
    <row r="1732" spans="18:19" x14ac:dyDescent="0.25">
      <c r="R1732" s="4"/>
      <c r="S1732" s="4"/>
    </row>
    <row r="1733" spans="18:19" x14ac:dyDescent="0.25">
      <c r="R1733" s="4"/>
      <c r="S1733" s="4"/>
    </row>
    <row r="1734" spans="18:19" x14ac:dyDescent="0.25">
      <c r="R1734" s="4"/>
      <c r="S1734" s="4"/>
    </row>
    <row r="1735" spans="18:19" x14ac:dyDescent="0.25">
      <c r="R1735" s="4"/>
      <c r="S1735" s="4"/>
    </row>
    <row r="1736" spans="18:19" x14ac:dyDescent="0.25">
      <c r="R1736" s="4"/>
      <c r="S1736" s="4"/>
    </row>
    <row r="1737" spans="18:19" x14ac:dyDescent="0.25">
      <c r="R1737" s="4"/>
      <c r="S1737" s="4"/>
    </row>
    <row r="1738" spans="18:19" x14ac:dyDescent="0.25">
      <c r="R1738" s="4"/>
      <c r="S1738" s="4"/>
    </row>
    <row r="1739" spans="18:19" x14ac:dyDescent="0.25">
      <c r="R1739" s="4"/>
      <c r="S1739" s="4"/>
    </row>
    <row r="1740" spans="18:19" x14ac:dyDescent="0.25">
      <c r="R1740" s="4"/>
      <c r="S1740" s="4"/>
    </row>
    <row r="1741" spans="18:19" x14ac:dyDescent="0.25">
      <c r="R1741" s="4"/>
      <c r="S1741" s="4"/>
    </row>
    <row r="1742" spans="18:19" x14ac:dyDescent="0.25">
      <c r="R1742" s="4"/>
      <c r="S1742" s="4"/>
    </row>
    <row r="1743" spans="18:19" x14ac:dyDescent="0.25">
      <c r="R1743" s="4"/>
      <c r="S1743" s="4"/>
    </row>
    <row r="1744" spans="18:19" x14ac:dyDescent="0.25">
      <c r="R1744" s="4"/>
      <c r="S1744" s="4"/>
    </row>
    <row r="1745" spans="18:19" x14ac:dyDescent="0.25">
      <c r="R1745" s="4"/>
      <c r="S1745" s="4"/>
    </row>
    <row r="1746" spans="18:19" x14ac:dyDescent="0.25">
      <c r="R1746" s="4"/>
      <c r="S1746" s="4"/>
    </row>
    <row r="1747" spans="18:19" x14ac:dyDescent="0.25">
      <c r="R1747" s="4"/>
      <c r="S1747" s="4"/>
    </row>
    <row r="1748" spans="18:19" x14ac:dyDescent="0.25">
      <c r="R1748" s="4"/>
      <c r="S1748" s="4"/>
    </row>
    <row r="1749" spans="18:19" x14ac:dyDescent="0.25">
      <c r="R1749" s="4"/>
      <c r="S1749" s="4"/>
    </row>
    <row r="1750" spans="18:19" x14ac:dyDescent="0.25">
      <c r="R1750" s="4"/>
      <c r="S1750" s="4"/>
    </row>
    <row r="1751" spans="18:19" x14ac:dyDescent="0.25">
      <c r="R1751" s="4"/>
      <c r="S1751" s="4"/>
    </row>
    <row r="1752" spans="18:19" x14ac:dyDescent="0.25">
      <c r="R1752" s="4"/>
      <c r="S1752" s="4"/>
    </row>
    <row r="1753" spans="18:19" x14ac:dyDescent="0.25">
      <c r="R1753" s="4"/>
      <c r="S1753" s="4"/>
    </row>
    <row r="1754" spans="18:19" x14ac:dyDescent="0.25">
      <c r="R1754" s="4"/>
      <c r="S1754" s="4"/>
    </row>
    <row r="1755" spans="18:19" x14ac:dyDescent="0.25">
      <c r="R1755" s="4"/>
      <c r="S1755" s="4"/>
    </row>
    <row r="1756" spans="18:19" x14ac:dyDescent="0.25">
      <c r="R1756" s="4"/>
      <c r="S1756" s="4"/>
    </row>
    <row r="1757" spans="18:19" x14ac:dyDescent="0.25">
      <c r="R1757" s="4"/>
      <c r="S1757" s="4"/>
    </row>
    <row r="1758" spans="18:19" x14ac:dyDescent="0.25">
      <c r="R1758" s="4"/>
      <c r="S1758" s="4"/>
    </row>
    <row r="1759" spans="18:19" x14ac:dyDescent="0.25">
      <c r="R1759" s="4"/>
      <c r="S1759" s="4"/>
    </row>
    <row r="1760" spans="18:19" x14ac:dyDescent="0.25">
      <c r="R1760" s="4"/>
      <c r="S1760" s="4"/>
    </row>
    <row r="1761" spans="18:19" x14ac:dyDescent="0.25">
      <c r="R1761" s="4"/>
      <c r="S1761" s="4"/>
    </row>
    <row r="1762" spans="18:19" x14ac:dyDescent="0.25">
      <c r="R1762" s="4"/>
      <c r="S1762" s="4"/>
    </row>
    <row r="1763" spans="18:19" x14ac:dyDescent="0.25">
      <c r="R1763" s="4"/>
      <c r="S1763" s="4"/>
    </row>
    <row r="1764" spans="18:19" x14ac:dyDescent="0.25">
      <c r="R1764" s="4"/>
      <c r="S1764" s="4"/>
    </row>
    <row r="1765" spans="18:19" x14ac:dyDescent="0.25">
      <c r="R1765" s="4"/>
      <c r="S1765" s="4"/>
    </row>
    <row r="1766" spans="18:19" x14ac:dyDescent="0.25">
      <c r="R1766" s="4"/>
      <c r="S1766" s="4"/>
    </row>
    <row r="1767" spans="18:19" x14ac:dyDescent="0.25">
      <c r="R1767" s="4"/>
      <c r="S1767" s="4"/>
    </row>
    <row r="1768" spans="18:19" x14ac:dyDescent="0.25">
      <c r="R1768" s="4"/>
      <c r="S1768" s="4"/>
    </row>
    <row r="1769" spans="18:19" x14ac:dyDescent="0.25">
      <c r="R1769" s="4"/>
      <c r="S1769" s="4"/>
    </row>
    <row r="1770" spans="18:19" x14ac:dyDescent="0.25">
      <c r="R1770" s="4"/>
      <c r="S1770" s="4"/>
    </row>
    <row r="1771" spans="18:19" x14ac:dyDescent="0.25">
      <c r="R1771" s="4"/>
      <c r="S1771" s="4"/>
    </row>
    <row r="1772" spans="18:19" x14ac:dyDescent="0.25">
      <c r="R1772" s="4"/>
      <c r="S1772" s="4"/>
    </row>
    <row r="1773" spans="18:19" x14ac:dyDescent="0.25">
      <c r="R1773" s="4"/>
      <c r="S1773" s="4"/>
    </row>
    <row r="1774" spans="18:19" x14ac:dyDescent="0.25">
      <c r="R1774" s="4"/>
      <c r="S1774" s="4"/>
    </row>
    <row r="1775" spans="18:19" x14ac:dyDescent="0.25">
      <c r="R1775" s="4"/>
      <c r="S1775" s="4"/>
    </row>
    <row r="1776" spans="18:19" x14ac:dyDescent="0.25">
      <c r="R1776" s="4"/>
      <c r="S1776" s="4"/>
    </row>
    <row r="1777" spans="18:19" x14ac:dyDescent="0.25">
      <c r="R1777" s="4"/>
      <c r="S1777" s="4"/>
    </row>
    <row r="1778" spans="18:19" x14ac:dyDescent="0.25">
      <c r="R1778" s="4"/>
      <c r="S1778" s="4"/>
    </row>
    <row r="1779" spans="18:19" x14ac:dyDescent="0.25">
      <c r="R1779" s="4"/>
      <c r="S1779" s="4"/>
    </row>
    <row r="1780" spans="18:19" x14ac:dyDescent="0.25">
      <c r="R1780" s="4"/>
      <c r="S1780" s="4"/>
    </row>
    <row r="1781" spans="18:19" x14ac:dyDescent="0.25">
      <c r="R1781" s="4"/>
      <c r="S1781" s="4"/>
    </row>
    <row r="1782" spans="18:19" x14ac:dyDescent="0.25">
      <c r="R1782" s="4"/>
      <c r="S1782" s="4"/>
    </row>
    <row r="1783" spans="18:19" x14ac:dyDescent="0.25">
      <c r="R1783" s="4"/>
      <c r="S1783" s="4"/>
    </row>
    <row r="1784" spans="18:19" x14ac:dyDescent="0.25">
      <c r="R1784" s="4"/>
      <c r="S1784" s="4"/>
    </row>
    <row r="1785" spans="18:19" x14ac:dyDescent="0.25">
      <c r="R1785" s="4"/>
      <c r="S1785" s="4"/>
    </row>
    <row r="1786" spans="18:19" x14ac:dyDescent="0.25">
      <c r="R1786" s="4"/>
      <c r="S1786" s="4"/>
    </row>
    <row r="1787" spans="18:19" x14ac:dyDescent="0.25">
      <c r="R1787" s="4"/>
      <c r="S1787" s="4"/>
    </row>
    <row r="1788" spans="18:19" x14ac:dyDescent="0.25">
      <c r="R1788" s="4"/>
      <c r="S1788" s="4"/>
    </row>
    <row r="1789" spans="18:19" x14ac:dyDescent="0.25">
      <c r="R1789" s="4"/>
      <c r="S1789" s="4"/>
    </row>
    <row r="1790" spans="18:19" x14ac:dyDescent="0.25">
      <c r="R1790" s="4"/>
      <c r="S1790" s="4"/>
    </row>
    <row r="1791" spans="18:19" x14ac:dyDescent="0.25">
      <c r="R1791" s="4"/>
      <c r="S1791" s="4"/>
    </row>
    <row r="1792" spans="18:19" x14ac:dyDescent="0.25">
      <c r="R1792" s="4"/>
      <c r="S1792" s="4"/>
    </row>
    <row r="1793" spans="18:19" x14ac:dyDescent="0.25">
      <c r="R1793" s="4"/>
      <c r="S1793" s="4"/>
    </row>
    <row r="1794" spans="18:19" x14ac:dyDescent="0.25">
      <c r="R1794" s="4"/>
      <c r="S1794" s="4"/>
    </row>
    <row r="1795" spans="18:19" x14ac:dyDescent="0.25">
      <c r="R1795" s="4"/>
      <c r="S1795" s="4"/>
    </row>
    <row r="1796" spans="18:19" x14ac:dyDescent="0.25">
      <c r="R1796" s="4"/>
      <c r="S1796" s="4"/>
    </row>
    <row r="1797" spans="18:19" x14ac:dyDescent="0.25">
      <c r="R1797" s="4"/>
      <c r="S1797" s="4"/>
    </row>
    <row r="1798" spans="18:19" x14ac:dyDescent="0.25">
      <c r="R1798" s="4"/>
      <c r="S1798" s="4"/>
    </row>
    <row r="1799" spans="18:19" x14ac:dyDescent="0.25">
      <c r="R1799" s="4"/>
      <c r="S1799" s="4"/>
    </row>
    <row r="1800" spans="18:19" x14ac:dyDescent="0.25">
      <c r="R1800" s="4"/>
      <c r="S1800" s="4"/>
    </row>
    <row r="1801" spans="18:19" x14ac:dyDescent="0.25">
      <c r="R1801" s="4"/>
      <c r="S1801" s="4"/>
    </row>
    <row r="1802" spans="18:19" x14ac:dyDescent="0.25">
      <c r="R1802" s="4"/>
      <c r="S1802" s="4"/>
    </row>
    <row r="1803" spans="18:19" x14ac:dyDescent="0.25">
      <c r="R1803" s="4"/>
      <c r="S1803" s="4"/>
    </row>
    <row r="1804" spans="18:19" x14ac:dyDescent="0.25">
      <c r="R1804" s="4"/>
      <c r="S1804" s="4"/>
    </row>
    <row r="1805" spans="18:19" x14ac:dyDescent="0.25">
      <c r="R1805" s="4"/>
      <c r="S1805" s="4"/>
    </row>
    <row r="1806" spans="18:19" x14ac:dyDescent="0.25">
      <c r="R1806" s="4"/>
      <c r="S1806" s="4"/>
    </row>
    <row r="1807" spans="18:19" x14ac:dyDescent="0.25">
      <c r="R1807" s="4"/>
      <c r="S1807" s="4"/>
    </row>
    <row r="1808" spans="18:19" x14ac:dyDescent="0.25">
      <c r="R1808" s="4"/>
      <c r="S1808" s="4"/>
    </row>
    <row r="1809" spans="18:19" x14ac:dyDescent="0.25">
      <c r="R1809" s="4"/>
      <c r="S1809" s="4"/>
    </row>
    <row r="1810" spans="18:19" x14ac:dyDescent="0.25">
      <c r="R1810" s="4"/>
      <c r="S1810" s="4"/>
    </row>
    <row r="1811" spans="18:19" x14ac:dyDescent="0.25">
      <c r="R1811" s="4"/>
      <c r="S1811" s="4"/>
    </row>
    <row r="1812" spans="18:19" x14ac:dyDescent="0.25">
      <c r="R1812" s="4"/>
      <c r="S1812" s="4"/>
    </row>
    <row r="1813" spans="18:19" x14ac:dyDescent="0.25">
      <c r="R1813" s="4"/>
      <c r="S1813" s="4"/>
    </row>
    <row r="1814" spans="18:19" x14ac:dyDescent="0.25">
      <c r="R1814" s="4"/>
      <c r="S1814" s="4"/>
    </row>
    <row r="1815" spans="18:19" x14ac:dyDescent="0.25">
      <c r="R1815" s="4"/>
      <c r="S1815" s="4"/>
    </row>
    <row r="1816" spans="18:19" x14ac:dyDescent="0.25">
      <c r="R1816" s="4"/>
      <c r="S1816" s="4"/>
    </row>
    <row r="1817" spans="18:19" x14ac:dyDescent="0.25">
      <c r="R1817" s="4"/>
      <c r="S1817" s="4"/>
    </row>
    <row r="1818" spans="18:19" x14ac:dyDescent="0.25">
      <c r="R1818" s="4"/>
      <c r="S1818" s="4"/>
    </row>
    <row r="1819" spans="18:19" x14ac:dyDescent="0.25">
      <c r="R1819" s="4"/>
      <c r="S1819" s="4"/>
    </row>
    <row r="1820" spans="18:19" x14ac:dyDescent="0.25">
      <c r="R1820" s="4"/>
      <c r="S1820" s="4"/>
    </row>
    <row r="1821" spans="18:19" x14ac:dyDescent="0.25">
      <c r="R1821" s="4"/>
      <c r="S1821" s="4"/>
    </row>
    <row r="1822" spans="18:19" x14ac:dyDescent="0.25">
      <c r="R1822" s="4"/>
      <c r="S1822" s="4"/>
    </row>
    <row r="1823" spans="18:19" x14ac:dyDescent="0.25">
      <c r="R1823" s="4"/>
      <c r="S1823" s="4"/>
    </row>
    <row r="1824" spans="18:19" x14ac:dyDescent="0.25">
      <c r="R1824" s="4"/>
      <c r="S1824" s="4"/>
    </row>
    <row r="1825" spans="18:19" x14ac:dyDescent="0.25">
      <c r="R1825" s="4"/>
      <c r="S1825" s="4"/>
    </row>
    <row r="1826" spans="18:19" x14ac:dyDescent="0.25">
      <c r="R1826" s="4"/>
      <c r="S1826" s="4"/>
    </row>
    <row r="1827" spans="18:19" x14ac:dyDescent="0.25">
      <c r="R1827" s="4"/>
      <c r="S1827" s="4"/>
    </row>
    <row r="1828" spans="18:19" x14ac:dyDescent="0.25">
      <c r="R1828" s="4"/>
      <c r="S1828" s="4"/>
    </row>
    <row r="1829" spans="18:19" x14ac:dyDescent="0.25">
      <c r="R1829" s="4"/>
      <c r="S1829" s="4"/>
    </row>
    <row r="1830" spans="18:19" x14ac:dyDescent="0.25">
      <c r="R1830" s="4"/>
      <c r="S1830" s="4"/>
    </row>
    <row r="1831" spans="18:19" x14ac:dyDescent="0.25">
      <c r="R1831" s="4"/>
      <c r="S1831" s="4"/>
    </row>
    <row r="1832" spans="18:19" x14ac:dyDescent="0.25">
      <c r="R1832" s="4"/>
      <c r="S1832" s="4"/>
    </row>
    <row r="1833" spans="18:19" x14ac:dyDescent="0.25">
      <c r="R1833" s="4"/>
      <c r="S1833" s="4"/>
    </row>
    <row r="1834" spans="18:19" x14ac:dyDescent="0.25">
      <c r="R1834" s="4"/>
      <c r="S1834" s="4"/>
    </row>
    <row r="1835" spans="18:19" x14ac:dyDescent="0.25">
      <c r="R1835" s="4"/>
      <c r="S1835" s="4"/>
    </row>
    <row r="1836" spans="18:19" x14ac:dyDescent="0.25">
      <c r="R1836" s="4"/>
      <c r="S1836" s="4"/>
    </row>
    <row r="1837" spans="18:19" x14ac:dyDescent="0.25">
      <c r="R1837" s="4"/>
      <c r="S1837" s="4"/>
    </row>
    <row r="1838" spans="18:19" x14ac:dyDescent="0.25">
      <c r="R1838" s="4"/>
      <c r="S1838" s="4"/>
    </row>
    <row r="1839" spans="18:19" x14ac:dyDescent="0.25">
      <c r="R1839" s="4"/>
      <c r="S1839" s="4"/>
    </row>
    <row r="1840" spans="18:19" x14ac:dyDescent="0.25">
      <c r="R1840" s="4"/>
      <c r="S1840" s="4"/>
    </row>
    <row r="1841" spans="18:19" x14ac:dyDescent="0.25">
      <c r="R1841" s="4"/>
      <c r="S1841" s="4"/>
    </row>
    <row r="1842" spans="18:19" x14ac:dyDescent="0.25">
      <c r="R1842" s="4"/>
      <c r="S1842" s="4"/>
    </row>
    <row r="1843" spans="18:19" x14ac:dyDescent="0.25">
      <c r="R1843" s="4"/>
      <c r="S1843" s="4"/>
    </row>
    <row r="1844" spans="18:19" x14ac:dyDescent="0.25">
      <c r="R1844" s="4"/>
      <c r="S1844" s="4"/>
    </row>
    <row r="1845" spans="18:19" x14ac:dyDescent="0.25">
      <c r="R1845" s="4"/>
      <c r="S1845" s="4"/>
    </row>
    <row r="1846" spans="18:19" x14ac:dyDescent="0.25">
      <c r="R1846" s="4"/>
      <c r="S1846" s="4"/>
    </row>
    <row r="1847" spans="18:19" x14ac:dyDescent="0.25">
      <c r="R1847" s="4"/>
      <c r="S1847" s="4"/>
    </row>
    <row r="1848" spans="18:19" x14ac:dyDescent="0.25">
      <c r="R1848" s="4"/>
      <c r="S1848" s="4"/>
    </row>
    <row r="1849" spans="18:19" x14ac:dyDescent="0.25">
      <c r="R1849" s="4"/>
      <c r="S1849" s="4"/>
    </row>
    <row r="1850" spans="18:19" x14ac:dyDescent="0.25">
      <c r="R1850" s="4"/>
      <c r="S1850" s="4"/>
    </row>
    <row r="1851" spans="18:19" x14ac:dyDescent="0.25">
      <c r="R1851" s="4"/>
      <c r="S1851" s="4"/>
    </row>
    <row r="1852" spans="18:19" x14ac:dyDescent="0.25">
      <c r="R1852" s="4"/>
      <c r="S1852" s="4"/>
    </row>
    <row r="1853" spans="18:19" x14ac:dyDescent="0.25">
      <c r="R1853" s="4"/>
      <c r="S1853" s="4"/>
    </row>
    <row r="1854" spans="18:19" x14ac:dyDescent="0.25">
      <c r="R1854" s="4"/>
      <c r="S1854" s="4"/>
    </row>
    <row r="1855" spans="18:19" x14ac:dyDescent="0.25">
      <c r="R1855" s="4"/>
      <c r="S1855" s="4"/>
    </row>
    <row r="1856" spans="18:19" x14ac:dyDescent="0.25">
      <c r="R1856" s="4"/>
      <c r="S1856" s="4"/>
    </row>
    <row r="1857" spans="18:19" x14ac:dyDescent="0.25">
      <c r="R1857" s="4"/>
      <c r="S1857" s="4"/>
    </row>
    <row r="1858" spans="18:19" x14ac:dyDescent="0.25">
      <c r="R1858" s="4"/>
      <c r="S1858" s="4"/>
    </row>
    <row r="1859" spans="18:19" x14ac:dyDescent="0.25">
      <c r="R1859" s="4"/>
      <c r="S1859" s="4"/>
    </row>
    <row r="1860" spans="18:19" x14ac:dyDescent="0.25">
      <c r="R1860" s="4"/>
      <c r="S1860" s="4"/>
    </row>
    <row r="1861" spans="18:19" x14ac:dyDescent="0.25">
      <c r="R1861" s="4"/>
      <c r="S1861" s="4"/>
    </row>
    <row r="1862" spans="18:19" x14ac:dyDescent="0.25">
      <c r="R1862" s="4"/>
      <c r="S1862" s="4"/>
    </row>
    <row r="1863" spans="18:19" x14ac:dyDescent="0.25">
      <c r="R1863" s="4"/>
      <c r="S1863" s="4"/>
    </row>
    <row r="1864" spans="18:19" x14ac:dyDescent="0.25">
      <c r="R1864" s="4"/>
      <c r="S1864" s="4"/>
    </row>
    <row r="1865" spans="18:19" x14ac:dyDescent="0.25">
      <c r="R1865" s="4"/>
      <c r="S1865" s="4"/>
    </row>
    <row r="1866" spans="18:19" x14ac:dyDescent="0.25">
      <c r="R1866" s="4"/>
      <c r="S1866" s="4"/>
    </row>
    <row r="1867" spans="18:19" x14ac:dyDescent="0.25">
      <c r="R1867" s="4"/>
      <c r="S1867" s="4"/>
    </row>
    <row r="1868" spans="18:19" x14ac:dyDescent="0.25">
      <c r="R1868" s="4"/>
      <c r="S1868" s="4"/>
    </row>
    <row r="1869" spans="18:19" x14ac:dyDescent="0.25">
      <c r="R1869" s="4"/>
      <c r="S1869" s="4"/>
    </row>
    <row r="1870" spans="18:19" x14ac:dyDescent="0.25">
      <c r="R1870" s="4"/>
      <c r="S1870" s="4"/>
    </row>
    <row r="1871" spans="18:19" x14ac:dyDescent="0.25">
      <c r="R1871" s="4"/>
      <c r="S1871" s="4"/>
    </row>
    <row r="1872" spans="18:19" x14ac:dyDescent="0.25">
      <c r="R1872" s="4"/>
      <c r="S1872" s="4"/>
    </row>
    <row r="1873" spans="18:19" x14ac:dyDescent="0.25">
      <c r="R1873" s="4"/>
      <c r="S1873" s="4"/>
    </row>
    <row r="1874" spans="18:19" x14ac:dyDescent="0.25">
      <c r="R1874" s="4"/>
      <c r="S1874" s="4"/>
    </row>
    <row r="1875" spans="18:19" x14ac:dyDescent="0.25">
      <c r="R1875" s="4"/>
      <c r="S1875" s="4"/>
    </row>
    <row r="1876" spans="18:19" x14ac:dyDescent="0.25">
      <c r="R1876" s="4"/>
      <c r="S1876" s="4"/>
    </row>
    <row r="1877" spans="18:19" x14ac:dyDescent="0.25">
      <c r="R1877" s="4"/>
      <c r="S1877" s="4"/>
    </row>
    <row r="1878" spans="18:19" x14ac:dyDescent="0.25">
      <c r="R1878" s="4"/>
      <c r="S1878" s="4"/>
    </row>
    <row r="1879" spans="18:19" x14ac:dyDescent="0.25">
      <c r="R1879" s="4"/>
      <c r="S1879" s="4"/>
    </row>
    <row r="1880" spans="18:19" x14ac:dyDescent="0.25">
      <c r="R1880" s="4"/>
      <c r="S1880" s="4"/>
    </row>
    <row r="1881" spans="18:19" x14ac:dyDescent="0.25">
      <c r="R1881" s="4"/>
      <c r="S1881" s="4"/>
    </row>
    <row r="1882" spans="18:19" x14ac:dyDescent="0.25">
      <c r="R1882" s="4"/>
      <c r="S1882" s="4"/>
    </row>
    <row r="1883" spans="18:19" x14ac:dyDescent="0.25">
      <c r="R1883" s="4"/>
      <c r="S1883" s="4"/>
    </row>
    <row r="1884" spans="18:19" x14ac:dyDescent="0.25">
      <c r="R1884" s="4"/>
      <c r="S1884" s="4"/>
    </row>
    <row r="1885" spans="18:19" x14ac:dyDescent="0.25">
      <c r="R1885" s="4"/>
      <c r="S1885" s="4"/>
    </row>
    <row r="1886" spans="18:19" x14ac:dyDescent="0.25">
      <c r="R1886" s="4"/>
      <c r="S1886" s="4"/>
    </row>
    <row r="1887" spans="18:19" x14ac:dyDescent="0.25">
      <c r="R1887" s="4"/>
      <c r="S1887" s="4"/>
    </row>
    <row r="1888" spans="18:19" x14ac:dyDescent="0.25">
      <c r="R1888" s="4"/>
      <c r="S1888" s="4"/>
    </row>
  </sheetData>
  <autoFilter ref="C2:S256" xr:uid="{00000000-0009-0000-0000-000003000000}"/>
  <conditionalFormatting sqref="M3:M256">
    <cfRule type="iconSet" priority="1">
      <iconSet iconSet="3Symbols2" showValue="0">
        <cfvo type="percent" val="0"/>
        <cfvo type="num" val="0"/>
        <cfvo type="num" val="1"/>
      </iconSet>
    </cfRule>
  </conditionalFormatting>
  <pageMargins left="0.7" right="0.7" top="0.75" bottom="0.75" header="0.3" footer="0.3"/>
  <pageSetup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F827E-59E0-4992-A8FE-36855D501A0E}">
  <dimension ref="A1:C74"/>
  <sheetViews>
    <sheetView workbookViewId="0">
      <selection sqref="A1:C1"/>
    </sheetView>
  </sheetViews>
  <sheetFormatPr baseColWidth="10" defaultRowHeight="14.25" x14ac:dyDescent="0.2"/>
  <cols>
    <col min="1" max="1" width="9.375" style="329" bestFit="1" customWidth="1"/>
    <col min="2" max="2" width="72.625" style="329" bestFit="1" customWidth="1"/>
    <col min="3" max="3" width="15.375" style="329" customWidth="1"/>
  </cols>
  <sheetData>
    <row r="1" spans="1:3" ht="15" x14ac:dyDescent="0.2">
      <c r="A1" s="403" t="s">
        <v>411</v>
      </c>
      <c r="B1" s="404"/>
      <c r="C1" s="405"/>
    </row>
    <row r="2" spans="1:3" ht="15" x14ac:dyDescent="0.2">
      <c r="A2" s="406" t="s">
        <v>1496</v>
      </c>
      <c r="B2" s="400"/>
      <c r="C2" s="407"/>
    </row>
    <row r="3" spans="1:3" ht="15" x14ac:dyDescent="0.2">
      <c r="A3" s="408" t="s">
        <v>1497</v>
      </c>
      <c r="B3" s="409"/>
      <c r="C3" s="410"/>
    </row>
    <row r="4" spans="1:3" ht="30" x14ac:dyDescent="0.2">
      <c r="A4" s="376"/>
      <c r="B4" s="377"/>
      <c r="C4" s="378" t="s">
        <v>1498</v>
      </c>
    </row>
    <row r="5" spans="1:3" ht="15" x14ac:dyDescent="0.2">
      <c r="A5" s="379"/>
      <c r="B5" s="380" t="s">
        <v>1</v>
      </c>
      <c r="C5" s="381">
        <f>SUM(C6:C74)</f>
        <v>2011939329.9997602</v>
      </c>
    </row>
    <row r="6" spans="1:3" ht="15" x14ac:dyDescent="0.2">
      <c r="A6" s="372" t="s">
        <v>2</v>
      </c>
      <c r="B6" s="373" t="s">
        <v>3</v>
      </c>
      <c r="C6" s="374">
        <v>11838615.83</v>
      </c>
    </row>
    <row r="7" spans="1:3" ht="15" x14ac:dyDescent="0.2">
      <c r="A7" s="372" t="s">
        <v>54</v>
      </c>
      <c r="B7" s="373" t="s">
        <v>1128</v>
      </c>
      <c r="C7" s="374">
        <v>21623656.830000006</v>
      </c>
    </row>
    <row r="8" spans="1:3" ht="15" x14ac:dyDescent="0.2">
      <c r="A8" s="372" t="s">
        <v>56</v>
      </c>
      <c r="B8" s="373" t="s">
        <v>57</v>
      </c>
      <c r="C8" s="374">
        <v>1909652.2200000004</v>
      </c>
    </row>
    <row r="9" spans="1:3" ht="15" x14ac:dyDescent="0.2">
      <c r="A9" s="372" t="s">
        <v>82</v>
      </c>
      <c r="B9" s="373" t="s">
        <v>1315</v>
      </c>
      <c r="C9" s="374">
        <v>454952.3</v>
      </c>
    </row>
    <row r="10" spans="1:3" ht="15" x14ac:dyDescent="0.2">
      <c r="A10" s="372" t="s">
        <v>83</v>
      </c>
      <c r="B10" s="373" t="s">
        <v>1316</v>
      </c>
      <c r="C10" s="374">
        <v>454952.3</v>
      </c>
    </row>
    <row r="11" spans="1:3" ht="15" x14ac:dyDescent="0.2">
      <c r="A11" s="372" t="s">
        <v>84</v>
      </c>
      <c r="B11" s="375" t="s">
        <v>1317</v>
      </c>
      <c r="C11" s="374">
        <v>449458.26</v>
      </c>
    </row>
    <row r="12" spans="1:3" ht="15" x14ac:dyDescent="0.2">
      <c r="A12" s="372" t="s">
        <v>85</v>
      </c>
      <c r="B12" s="375" t="s">
        <v>1318</v>
      </c>
      <c r="C12" s="374">
        <v>449458.26</v>
      </c>
    </row>
    <row r="13" spans="1:3" ht="15" x14ac:dyDescent="0.2">
      <c r="A13" s="372" t="s">
        <v>86</v>
      </c>
      <c r="B13" s="375" t="s">
        <v>1319</v>
      </c>
      <c r="C13" s="374">
        <v>449458.26</v>
      </c>
    </row>
    <row r="14" spans="1:3" ht="15" x14ac:dyDescent="0.2">
      <c r="A14" s="372" t="s">
        <v>87</v>
      </c>
      <c r="B14" s="375" t="s">
        <v>1320</v>
      </c>
      <c r="C14" s="374">
        <v>449458.26</v>
      </c>
    </row>
    <row r="15" spans="1:3" ht="15" x14ac:dyDescent="0.2">
      <c r="A15" s="372" t="s">
        <v>88</v>
      </c>
      <c r="B15" s="375" t="s">
        <v>1321</v>
      </c>
      <c r="C15" s="374">
        <v>449458.26</v>
      </c>
    </row>
    <row r="16" spans="1:3" ht="15" x14ac:dyDescent="0.2">
      <c r="A16" s="372" t="s">
        <v>89</v>
      </c>
      <c r="B16" s="375" t="s">
        <v>1322</v>
      </c>
      <c r="C16" s="374">
        <v>449458.26</v>
      </c>
    </row>
    <row r="17" spans="1:3" ht="15" x14ac:dyDescent="0.2">
      <c r="A17" s="372" t="s">
        <v>90</v>
      </c>
      <c r="B17" s="375" t="s">
        <v>1323</v>
      </c>
      <c r="C17" s="374">
        <v>449458.26</v>
      </c>
    </row>
    <row r="18" spans="1:3" ht="15" x14ac:dyDescent="0.2">
      <c r="A18" s="372" t="s">
        <v>91</v>
      </c>
      <c r="B18" s="375" t="s">
        <v>1324</v>
      </c>
      <c r="C18" s="374">
        <v>400000</v>
      </c>
    </row>
    <row r="19" spans="1:3" ht="15" x14ac:dyDescent="0.2">
      <c r="A19" s="372" t="s">
        <v>92</v>
      </c>
      <c r="B19" s="375" t="s">
        <v>1325</v>
      </c>
      <c r="C19" s="374">
        <v>449458.26</v>
      </c>
    </row>
    <row r="20" spans="1:3" ht="15" x14ac:dyDescent="0.2">
      <c r="A20" s="372" t="s">
        <v>93</v>
      </c>
      <c r="B20" s="375" t="s">
        <v>1326</v>
      </c>
      <c r="C20" s="374">
        <v>449458.26</v>
      </c>
    </row>
    <row r="21" spans="1:3" ht="15" x14ac:dyDescent="0.2">
      <c r="A21" s="372" t="s">
        <v>94</v>
      </c>
      <c r="B21" s="375" t="s">
        <v>1328</v>
      </c>
      <c r="C21" s="374">
        <v>449458.26</v>
      </c>
    </row>
    <row r="22" spans="1:3" ht="15" x14ac:dyDescent="0.2">
      <c r="A22" s="372" t="s">
        <v>95</v>
      </c>
      <c r="B22" s="375" t="s">
        <v>1327</v>
      </c>
      <c r="C22" s="374">
        <v>449458.26</v>
      </c>
    </row>
    <row r="23" spans="1:3" ht="15" x14ac:dyDescent="0.2">
      <c r="A23" s="372" t="s">
        <v>96</v>
      </c>
      <c r="B23" s="373" t="s">
        <v>1120</v>
      </c>
      <c r="C23" s="374">
        <v>12510808.84</v>
      </c>
    </row>
    <row r="24" spans="1:3" ht="15" x14ac:dyDescent="0.2">
      <c r="A24" s="372" t="s">
        <v>106</v>
      </c>
      <c r="B24" s="373" t="s">
        <v>107</v>
      </c>
      <c r="C24" s="374">
        <v>18476780.699999999</v>
      </c>
    </row>
    <row r="25" spans="1:3" ht="15" x14ac:dyDescent="0.2">
      <c r="A25" s="372" t="s">
        <v>127</v>
      </c>
      <c r="B25" s="373" t="s">
        <v>128</v>
      </c>
      <c r="C25" s="374">
        <v>4340007.32</v>
      </c>
    </row>
    <row r="26" spans="1:3" ht="15" x14ac:dyDescent="0.2">
      <c r="A26" s="372" t="s">
        <v>132</v>
      </c>
      <c r="B26" s="373" t="s">
        <v>133</v>
      </c>
      <c r="C26" s="374">
        <v>18121480.449999999</v>
      </c>
    </row>
    <row r="27" spans="1:3" ht="15" x14ac:dyDescent="0.2">
      <c r="A27" s="372" t="s">
        <v>142</v>
      </c>
      <c r="B27" s="373" t="s">
        <v>143</v>
      </c>
      <c r="C27" s="374">
        <v>8367732.1400000006</v>
      </c>
    </row>
    <row r="28" spans="1:3" ht="15" x14ac:dyDescent="0.2">
      <c r="A28" s="372" t="s">
        <v>154</v>
      </c>
      <c r="B28" s="373" t="s">
        <v>155</v>
      </c>
      <c r="C28" s="374">
        <v>18820543.920000002</v>
      </c>
    </row>
    <row r="29" spans="1:3" ht="15" x14ac:dyDescent="0.2">
      <c r="A29" s="372" t="s">
        <v>167</v>
      </c>
      <c r="B29" s="373" t="s">
        <v>168</v>
      </c>
      <c r="C29" s="374">
        <v>1980392.29</v>
      </c>
    </row>
    <row r="30" spans="1:3" ht="15" x14ac:dyDescent="0.2">
      <c r="A30" s="372" t="s">
        <v>175</v>
      </c>
      <c r="B30" s="373" t="s">
        <v>176</v>
      </c>
      <c r="C30" s="374">
        <v>23617804.510000002</v>
      </c>
    </row>
    <row r="31" spans="1:3" ht="15" x14ac:dyDescent="0.2">
      <c r="A31" s="372" t="s">
        <v>179</v>
      </c>
      <c r="B31" s="373" t="s">
        <v>180</v>
      </c>
      <c r="C31" s="374">
        <v>9584492.3300000001</v>
      </c>
    </row>
    <row r="32" spans="1:3" ht="15" x14ac:dyDescent="0.2">
      <c r="A32" s="372" t="s">
        <v>185</v>
      </c>
      <c r="B32" s="373" t="s">
        <v>186</v>
      </c>
      <c r="C32" s="374">
        <v>38822897.800000004</v>
      </c>
    </row>
    <row r="33" spans="1:3" ht="15" x14ac:dyDescent="0.2">
      <c r="A33" s="372" t="s">
        <v>195</v>
      </c>
      <c r="B33" s="373" t="s">
        <v>1121</v>
      </c>
      <c r="C33" s="374">
        <v>13091975.6</v>
      </c>
    </row>
    <row r="34" spans="1:3" ht="15" x14ac:dyDescent="0.2">
      <c r="A34" s="372" t="s">
        <v>200</v>
      </c>
      <c r="B34" s="373" t="s">
        <v>201</v>
      </c>
      <c r="C34" s="374">
        <v>6800254.9100000001</v>
      </c>
    </row>
    <row r="35" spans="1:3" ht="15" x14ac:dyDescent="0.2">
      <c r="A35" s="372" t="s">
        <v>206</v>
      </c>
      <c r="B35" s="373" t="s">
        <v>207</v>
      </c>
      <c r="C35" s="374">
        <v>2478457.44</v>
      </c>
    </row>
    <row r="36" spans="1:3" ht="15" x14ac:dyDescent="0.2">
      <c r="A36" s="372" t="s">
        <v>209</v>
      </c>
      <c r="B36" s="373" t="s">
        <v>210</v>
      </c>
      <c r="C36" s="374">
        <v>10215563.300000001</v>
      </c>
    </row>
    <row r="37" spans="1:3" ht="15" x14ac:dyDescent="0.2">
      <c r="A37" s="372" t="s">
        <v>213</v>
      </c>
      <c r="B37" s="373" t="s">
        <v>1109</v>
      </c>
      <c r="C37" s="374">
        <v>92716589.300000012</v>
      </c>
    </row>
    <row r="38" spans="1:3" ht="15" x14ac:dyDescent="0.2">
      <c r="A38" s="372" t="s">
        <v>226</v>
      </c>
      <c r="B38" s="373" t="s">
        <v>227</v>
      </c>
      <c r="C38" s="374">
        <v>7807590.8900000006</v>
      </c>
    </row>
    <row r="39" spans="1:3" ht="15" x14ac:dyDescent="0.2">
      <c r="A39" s="372" t="s">
        <v>229</v>
      </c>
      <c r="B39" s="373" t="s">
        <v>230</v>
      </c>
      <c r="C39" s="374">
        <v>45683223.780000001</v>
      </c>
    </row>
    <row r="40" spans="1:3" ht="15" x14ac:dyDescent="0.2">
      <c r="A40" s="372" t="s">
        <v>237</v>
      </c>
      <c r="B40" s="373" t="s">
        <v>238</v>
      </c>
      <c r="C40" s="374">
        <v>72965114.700000003</v>
      </c>
    </row>
    <row r="41" spans="1:3" ht="15" x14ac:dyDescent="0.2">
      <c r="A41" s="372" t="s">
        <v>241</v>
      </c>
      <c r="B41" s="373" t="s">
        <v>1123</v>
      </c>
      <c r="C41" s="374">
        <v>1649455.53</v>
      </c>
    </row>
    <row r="42" spans="1:3" ht="15" x14ac:dyDescent="0.2">
      <c r="A42" s="372" t="s">
        <v>244</v>
      </c>
      <c r="B42" s="373" t="s">
        <v>245</v>
      </c>
      <c r="C42" s="374">
        <v>1586806.42</v>
      </c>
    </row>
    <row r="43" spans="1:3" ht="15" x14ac:dyDescent="0.2">
      <c r="A43" s="372" t="s">
        <v>248</v>
      </c>
      <c r="B43" s="373" t="s">
        <v>249</v>
      </c>
      <c r="C43" s="374">
        <v>44136499.810000002</v>
      </c>
    </row>
    <row r="44" spans="1:3" ht="15" x14ac:dyDescent="0.2">
      <c r="A44" s="372" t="s">
        <v>254</v>
      </c>
      <c r="B44" s="373" t="s">
        <v>255</v>
      </c>
      <c r="C44" s="374">
        <v>9533728.2200000007</v>
      </c>
    </row>
    <row r="45" spans="1:3" ht="15" x14ac:dyDescent="0.2">
      <c r="A45" s="372" t="s">
        <v>258</v>
      </c>
      <c r="B45" s="373" t="s">
        <v>259</v>
      </c>
      <c r="C45" s="374">
        <v>28017260.170000002</v>
      </c>
    </row>
    <row r="46" spans="1:3" ht="15" x14ac:dyDescent="0.2">
      <c r="A46" s="372" t="s">
        <v>264</v>
      </c>
      <c r="B46" s="373" t="s">
        <v>265</v>
      </c>
      <c r="C46" s="374">
        <v>19094076.140000001</v>
      </c>
    </row>
    <row r="47" spans="1:3" ht="15" x14ac:dyDescent="0.2">
      <c r="A47" s="372" t="s">
        <v>267</v>
      </c>
      <c r="B47" s="373" t="s">
        <v>268</v>
      </c>
      <c r="C47" s="374">
        <v>13623602.24</v>
      </c>
    </row>
    <row r="48" spans="1:3" ht="15" x14ac:dyDescent="0.2">
      <c r="A48" s="372" t="s">
        <v>270</v>
      </c>
      <c r="B48" s="373" t="s">
        <v>271</v>
      </c>
      <c r="C48" s="374">
        <v>3752608.3099999991</v>
      </c>
    </row>
    <row r="49" spans="1:3" ht="15" x14ac:dyDescent="0.2">
      <c r="A49" s="372" t="s">
        <v>273</v>
      </c>
      <c r="B49" s="373" t="s">
        <v>274</v>
      </c>
      <c r="C49" s="374">
        <v>18135817.909999996</v>
      </c>
    </row>
    <row r="50" spans="1:3" ht="15" x14ac:dyDescent="0.2">
      <c r="A50" s="372" t="s">
        <v>280</v>
      </c>
      <c r="B50" s="373" t="s">
        <v>281</v>
      </c>
      <c r="C50" s="374">
        <v>8294208.0200000005</v>
      </c>
    </row>
    <row r="51" spans="1:3" ht="15" x14ac:dyDescent="0.2">
      <c r="A51" s="372" t="s">
        <v>284</v>
      </c>
      <c r="B51" s="373" t="s">
        <v>1124</v>
      </c>
      <c r="C51" s="374">
        <v>16086603.07</v>
      </c>
    </row>
    <row r="52" spans="1:3" ht="15" x14ac:dyDescent="0.2">
      <c r="A52" s="372" t="s">
        <v>288</v>
      </c>
      <c r="B52" s="373" t="s">
        <v>289</v>
      </c>
      <c r="C52" s="374">
        <v>60943278.889999993</v>
      </c>
    </row>
    <row r="53" spans="1:3" ht="15" x14ac:dyDescent="0.2">
      <c r="A53" s="372" t="s">
        <v>296</v>
      </c>
      <c r="B53" s="373" t="s">
        <v>297</v>
      </c>
      <c r="C53" s="374">
        <v>20423505.600000001</v>
      </c>
    </row>
    <row r="54" spans="1:3" ht="15" x14ac:dyDescent="0.2">
      <c r="A54" s="372" t="s">
        <v>301</v>
      </c>
      <c r="B54" s="373" t="s">
        <v>302</v>
      </c>
      <c r="C54" s="374">
        <v>257563010.83000001</v>
      </c>
    </row>
    <row r="55" spans="1:3" ht="15" x14ac:dyDescent="0.2">
      <c r="A55" s="372" t="s">
        <v>314</v>
      </c>
      <c r="B55" s="373" t="s">
        <v>1122</v>
      </c>
      <c r="C55" s="374">
        <v>23469854.910000004</v>
      </c>
    </row>
    <row r="56" spans="1:3" ht="15" x14ac:dyDescent="0.2">
      <c r="A56" s="372" t="s">
        <v>319</v>
      </c>
      <c r="B56" s="373" t="s">
        <v>320</v>
      </c>
      <c r="C56" s="374">
        <v>410802371.96000004</v>
      </c>
    </row>
    <row r="57" spans="1:3" ht="15" x14ac:dyDescent="0.2">
      <c r="A57" s="372" t="s">
        <v>331</v>
      </c>
      <c r="B57" s="373" t="s">
        <v>1125</v>
      </c>
      <c r="C57" s="374">
        <v>86678218.070000008</v>
      </c>
    </row>
    <row r="58" spans="1:3" ht="15" x14ac:dyDescent="0.2">
      <c r="A58" s="372" t="s">
        <v>337</v>
      </c>
      <c r="B58" s="373" t="s">
        <v>338</v>
      </c>
      <c r="C58" s="374">
        <v>18613592</v>
      </c>
    </row>
    <row r="59" spans="1:3" ht="15" x14ac:dyDescent="0.2">
      <c r="A59" s="372" t="s">
        <v>340</v>
      </c>
      <c r="B59" s="373" t="s">
        <v>341</v>
      </c>
      <c r="C59" s="374">
        <v>27052479.439999998</v>
      </c>
    </row>
    <row r="60" spans="1:3" ht="15" x14ac:dyDescent="0.2">
      <c r="A60" s="372" t="s">
        <v>346</v>
      </c>
      <c r="B60" s="373" t="s">
        <v>347</v>
      </c>
      <c r="C60" s="374">
        <v>14703933.630000001</v>
      </c>
    </row>
    <row r="61" spans="1:3" ht="15" x14ac:dyDescent="0.2">
      <c r="A61" s="372" t="s">
        <v>352</v>
      </c>
      <c r="B61" s="375" t="s">
        <v>1126</v>
      </c>
      <c r="C61" s="374">
        <v>312800744.82999998</v>
      </c>
    </row>
    <row r="62" spans="1:3" ht="15" x14ac:dyDescent="0.2">
      <c r="A62" s="372" t="s">
        <v>365</v>
      </c>
      <c r="B62" s="373" t="s">
        <v>366</v>
      </c>
      <c r="C62" s="374">
        <v>28484802.409999996</v>
      </c>
    </row>
    <row r="63" spans="1:3" ht="15" x14ac:dyDescent="0.2">
      <c r="A63" s="372" t="s">
        <v>374</v>
      </c>
      <c r="B63" s="373" t="s">
        <v>375</v>
      </c>
      <c r="C63" s="374">
        <v>37329871.64976</v>
      </c>
    </row>
    <row r="64" spans="1:3" ht="15" x14ac:dyDescent="0.2">
      <c r="A64" s="372" t="s">
        <v>380</v>
      </c>
      <c r="B64" s="373" t="s">
        <v>1127</v>
      </c>
      <c r="C64" s="374">
        <v>19025357.579999998</v>
      </c>
    </row>
    <row r="65" spans="1:3" ht="15" x14ac:dyDescent="0.2">
      <c r="A65" s="372" t="s">
        <v>382</v>
      </c>
      <c r="B65" s="373" t="s">
        <v>384</v>
      </c>
      <c r="C65" s="374">
        <v>32108248</v>
      </c>
    </row>
    <row r="66" spans="1:3" ht="15" x14ac:dyDescent="0.2">
      <c r="A66" s="372" t="s">
        <v>385</v>
      </c>
      <c r="B66" s="373" t="s">
        <v>386</v>
      </c>
      <c r="C66" s="374">
        <v>5473846</v>
      </c>
    </row>
    <row r="67" spans="1:3" ht="15" x14ac:dyDescent="0.2">
      <c r="A67" s="372" t="s">
        <v>388</v>
      </c>
      <c r="B67" s="373" t="s">
        <v>1329</v>
      </c>
      <c r="C67" s="374">
        <v>3290921</v>
      </c>
    </row>
    <row r="68" spans="1:3" ht="15" x14ac:dyDescent="0.2">
      <c r="A68" s="372" t="s">
        <v>390</v>
      </c>
      <c r="B68" s="373" t="s">
        <v>1129</v>
      </c>
      <c r="C68" s="374">
        <v>15309132</v>
      </c>
    </row>
    <row r="69" spans="1:3" ht="15" x14ac:dyDescent="0.2">
      <c r="A69" s="372" t="s">
        <v>392</v>
      </c>
      <c r="B69" s="373" t="s">
        <v>393</v>
      </c>
      <c r="C69" s="374">
        <v>4055948</v>
      </c>
    </row>
    <row r="70" spans="1:3" ht="15" x14ac:dyDescent="0.2">
      <c r="A70" s="372" t="s">
        <v>395</v>
      </c>
      <c r="B70" s="373" t="s">
        <v>396</v>
      </c>
      <c r="C70" s="374">
        <v>1500000</v>
      </c>
    </row>
    <row r="71" spans="1:3" ht="15" x14ac:dyDescent="0.2">
      <c r="A71" s="372" t="s">
        <v>398</v>
      </c>
      <c r="B71" s="373" t="s">
        <v>399</v>
      </c>
      <c r="C71" s="374">
        <v>4630297</v>
      </c>
    </row>
    <row r="72" spans="1:3" ht="15" x14ac:dyDescent="0.2">
      <c r="A72" s="372" t="s">
        <v>402</v>
      </c>
      <c r="B72" s="373" t="s">
        <v>403</v>
      </c>
      <c r="C72" s="374">
        <v>2949425</v>
      </c>
    </row>
    <row r="73" spans="1:3" ht="15" x14ac:dyDescent="0.2">
      <c r="A73" s="372" t="s">
        <v>405</v>
      </c>
      <c r="B73" s="373" t="s">
        <v>406</v>
      </c>
      <c r="C73" s="374">
        <v>8082084.7999999998</v>
      </c>
    </row>
    <row r="74" spans="1:3" ht="15" x14ac:dyDescent="0.2">
      <c r="A74" s="372" t="s">
        <v>408</v>
      </c>
      <c r="B74" s="373" t="s">
        <v>409</v>
      </c>
      <c r="C74" s="374">
        <v>4710160</v>
      </c>
    </row>
  </sheetData>
  <mergeCells count="3">
    <mergeCell ref="A1:C1"/>
    <mergeCell ref="A2:C2"/>
    <mergeCell ref="A3:C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A539-947F-4688-9159-9385C51ACA58}">
  <dimension ref="A1:D67"/>
  <sheetViews>
    <sheetView topLeftCell="A48" workbookViewId="0">
      <selection activeCell="C66" sqref="C66"/>
    </sheetView>
  </sheetViews>
  <sheetFormatPr baseColWidth="10" defaultRowHeight="14.25" x14ac:dyDescent="0.2"/>
  <cols>
    <col min="1" max="1" width="8.875" style="3" customWidth="1"/>
    <col min="2" max="2" width="64.125" style="330" customWidth="1"/>
    <col min="3" max="3" width="17.375" customWidth="1"/>
    <col min="4" max="4" width="13.375" bestFit="1" customWidth="1"/>
  </cols>
  <sheetData>
    <row r="1" spans="1:4" ht="15" x14ac:dyDescent="0.2">
      <c r="A1" s="403" t="s">
        <v>411</v>
      </c>
      <c r="B1" s="404"/>
      <c r="C1" s="405"/>
    </row>
    <row r="2" spans="1:4" ht="15" x14ac:dyDescent="0.2">
      <c r="A2" s="406" t="s">
        <v>1496</v>
      </c>
      <c r="B2" s="400"/>
      <c r="C2" s="407"/>
      <c r="D2" s="327"/>
    </row>
    <row r="3" spans="1:4" ht="15" x14ac:dyDescent="0.2">
      <c r="A3" s="408" t="s">
        <v>1499</v>
      </c>
      <c r="B3" s="409"/>
      <c r="C3" s="410"/>
      <c r="D3" s="327"/>
    </row>
    <row r="4" spans="1:4" ht="30" x14ac:dyDescent="0.2">
      <c r="A4" s="411" t="s">
        <v>1173</v>
      </c>
      <c r="B4" s="411"/>
      <c r="C4" s="385" t="s">
        <v>1174</v>
      </c>
    </row>
    <row r="5" spans="1:4" ht="15" x14ac:dyDescent="0.2">
      <c r="A5" s="382">
        <v>1</v>
      </c>
      <c r="B5" s="383" t="s">
        <v>1175</v>
      </c>
      <c r="C5" s="384">
        <v>937062442.50999999</v>
      </c>
    </row>
    <row r="6" spans="1:4" x14ac:dyDescent="0.2">
      <c r="A6" s="351" t="s">
        <v>1176</v>
      </c>
      <c r="B6" s="352" t="s">
        <v>1177</v>
      </c>
      <c r="C6" s="353">
        <v>16086603.07</v>
      </c>
    </row>
    <row r="7" spans="1:4" x14ac:dyDescent="0.2">
      <c r="A7" s="347" t="s">
        <v>1178</v>
      </c>
      <c r="B7" s="354" t="s">
        <v>1179</v>
      </c>
      <c r="C7" s="355">
        <v>16086603.07</v>
      </c>
    </row>
    <row r="8" spans="1:4" x14ac:dyDescent="0.2">
      <c r="A8" s="351" t="s">
        <v>1180</v>
      </c>
      <c r="B8" s="352" t="s">
        <v>1181</v>
      </c>
      <c r="C8" s="353">
        <v>7614987.3599999994</v>
      </c>
    </row>
    <row r="9" spans="1:4" x14ac:dyDescent="0.2">
      <c r="A9" s="347" t="s">
        <v>1182</v>
      </c>
      <c r="B9" s="354" t="s">
        <v>1183</v>
      </c>
      <c r="C9" s="355">
        <v>2478457.44</v>
      </c>
    </row>
    <row r="10" spans="1:4" x14ac:dyDescent="0.2">
      <c r="A10" s="347" t="s">
        <v>1184</v>
      </c>
      <c r="B10" s="354" t="s">
        <v>1185</v>
      </c>
      <c r="C10" s="355">
        <v>5136529.92</v>
      </c>
    </row>
    <row r="11" spans="1:4" x14ac:dyDescent="0.2">
      <c r="A11" s="351" t="s">
        <v>1186</v>
      </c>
      <c r="B11" s="352" t="s">
        <v>1187</v>
      </c>
      <c r="C11" s="353">
        <v>100925115.93999998</v>
      </c>
    </row>
    <row r="12" spans="1:4" x14ac:dyDescent="0.2">
      <c r="A12" s="347" t="s">
        <v>1188</v>
      </c>
      <c r="B12" s="354" t="s">
        <v>1189</v>
      </c>
      <c r="C12" s="355">
        <v>39716218.119999975</v>
      </c>
    </row>
    <row r="13" spans="1:4" x14ac:dyDescent="0.2">
      <c r="A13" s="347" t="s">
        <v>1190</v>
      </c>
      <c r="B13" s="354" t="s">
        <v>1191</v>
      </c>
      <c r="C13" s="355">
        <v>31419734.570000004</v>
      </c>
    </row>
    <row r="14" spans="1:4" x14ac:dyDescent="0.2">
      <c r="A14" s="347" t="s">
        <v>1192</v>
      </c>
      <c r="B14" s="354" t="s">
        <v>1193</v>
      </c>
      <c r="C14" s="355">
        <v>16697187.65</v>
      </c>
    </row>
    <row r="15" spans="1:4" x14ac:dyDescent="0.2">
      <c r="A15" s="347" t="s">
        <v>1194</v>
      </c>
      <c r="B15" s="354" t="s">
        <v>1195</v>
      </c>
      <c r="C15" s="355">
        <v>13091975.6</v>
      </c>
    </row>
    <row r="16" spans="1:4" x14ac:dyDescent="0.2">
      <c r="A16" s="351" t="s">
        <v>1196</v>
      </c>
      <c r="B16" s="352" t="s">
        <v>1197</v>
      </c>
      <c r="C16" s="353">
        <v>6800254.9100000001</v>
      </c>
    </row>
    <row r="17" spans="1:3" x14ac:dyDescent="0.2">
      <c r="A17" s="347" t="s">
        <v>1198</v>
      </c>
      <c r="B17" s="354" t="s">
        <v>1199</v>
      </c>
      <c r="C17" s="355">
        <v>6800254.9100000001</v>
      </c>
    </row>
    <row r="18" spans="1:3" x14ac:dyDescent="0.2">
      <c r="A18" s="351" t="s">
        <v>1200</v>
      </c>
      <c r="B18" s="352" t="s">
        <v>1201</v>
      </c>
      <c r="C18" s="353">
        <v>83135100.020000011</v>
      </c>
    </row>
    <row r="19" spans="1:3" x14ac:dyDescent="0.2">
      <c r="A19" s="347" t="s">
        <v>1202</v>
      </c>
      <c r="B19" s="354" t="s">
        <v>1203</v>
      </c>
      <c r="C19" s="355">
        <v>83135100.020000011</v>
      </c>
    </row>
    <row r="20" spans="1:3" x14ac:dyDescent="0.2">
      <c r="A20" s="351" t="s">
        <v>1204</v>
      </c>
      <c r="B20" s="352" t="s">
        <v>1205</v>
      </c>
      <c r="C20" s="353">
        <v>474808320.39000005</v>
      </c>
    </row>
    <row r="21" spans="1:3" x14ac:dyDescent="0.2">
      <c r="A21" s="347" t="s">
        <v>1206</v>
      </c>
      <c r="B21" s="354" t="s">
        <v>1207</v>
      </c>
      <c r="C21" s="355">
        <v>447749288.95000005</v>
      </c>
    </row>
    <row r="22" spans="1:3" x14ac:dyDescent="0.2">
      <c r="A22" s="347" t="s">
        <v>1208</v>
      </c>
      <c r="B22" s="354" t="s">
        <v>1209</v>
      </c>
      <c r="C22" s="355">
        <v>27052479.439999998</v>
      </c>
    </row>
    <row r="23" spans="1:3" x14ac:dyDescent="0.2">
      <c r="A23" s="347" t="s">
        <v>1210</v>
      </c>
      <c r="B23" s="354" t="s">
        <v>1211</v>
      </c>
      <c r="C23" s="355">
        <v>6552</v>
      </c>
    </row>
    <row r="24" spans="1:3" x14ac:dyDescent="0.2">
      <c r="A24" s="351" t="s">
        <v>1212</v>
      </c>
      <c r="B24" s="352" t="s">
        <v>1157</v>
      </c>
      <c r="C24" s="353">
        <v>247692060.81999999</v>
      </c>
    </row>
    <row r="25" spans="1:3" x14ac:dyDescent="0.2">
      <c r="A25" s="347" t="s">
        <v>1213</v>
      </c>
      <c r="B25" s="354" t="s">
        <v>1214</v>
      </c>
      <c r="C25" s="355">
        <v>15309132</v>
      </c>
    </row>
    <row r="26" spans="1:3" x14ac:dyDescent="0.2">
      <c r="A26" s="347" t="s">
        <v>1215</v>
      </c>
      <c r="B26" s="354" t="s">
        <v>1216</v>
      </c>
      <c r="C26" s="355">
        <v>33202296.840000004</v>
      </c>
    </row>
    <row r="27" spans="1:3" x14ac:dyDescent="0.2">
      <c r="A27" s="347" t="s">
        <v>1217</v>
      </c>
      <c r="B27" s="354" t="s">
        <v>1218</v>
      </c>
      <c r="C27" s="355">
        <v>2701367.6400000006</v>
      </c>
    </row>
    <row r="28" spans="1:3" x14ac:dyDescent="0.2">
      <c r="A28" s="347" t="s">
        <v>1219</v>
      </c>
      <c r="B28" s="354" t="s">
        <v>1220</v>
      </c>
      <c r="C28" s="355">
        <v>196479264.33999997</v>
      </c>
    </row>
    <row r="29" spans="1:3" ht="15" x14ac:dyDescent="0.2">
      <c r="A29" s="382">
        <v>2</v>
      </c>
      <c r="B29" s="383" t="s">
        <v>107</v>
      </c>
      <c r="C29" s="384">
        <v>890538928.54975998</v>
      </c>
    </row>
    <row r="30" spans="1:3" x14ac:dyDescent="0.2">
      <c r="A30" s="351" t="s">
        <v>1221</v>
      </c>
      <c r="B30" s="352" t="s">
        <v>1222</v>
      </c>
      <c r="C30" s="353">
        <v>120029336.05999999</v>
      </c>
    </row>
    <row r="31" spans="1:3" x14ac:dyDescent="0.2">
      <c r="A31" s="347" t="s">
        <v>1223</v>
      </c>
      <c r="B31" s="354" t="s">
        <v>1224</v>
      </c>
      <c r="C31" s="355">
        <v>86398482.909999996</v>
      </c>
    </row>
    <row r="32" spans="1:3" x14ac:dyDescent="0.2">
      <c r="A32" s="347" t="s">
        <v>1225</v>
      </c>
      <c r="B32" s="354" t="s">
        <v>1226</v>
      </c>
      <c r="C32" s="355">
        <v>8082084.7999999998</v>
      </c>
    </row>
    <row r="33" spans="1:3" x14ac:dyDescent="0.2">
      <c r="A33" s="347" t="s">
        <v>1227</v>
      </c>
      <c r="B33" s="354" t="s">
        <v>1228</v>
      </c>
      <c r="C33" s="355">
        <v>100000</v>
      </c>
    </row>
    <row r="34" spans="1:3" x14ac:dyDescent="0.2">
      <c r="A34" s="347" t="s">
        <v>1229</v>
      </c>
      <c r="B34" s="354" t="s">
        <v>1230</v>
      </c>
      <c r="C34" s="355">
        <v>25448768.349999994</v>
      </c>
    </row>
    <row r="35" spans="1:3" x14ac:dyDescent="0.2">
      <c r="A35" s="351" t="s">
        <v>1231</v>
      </c>
      <c r="B35" s="352" t="s">
        <v>1232</v>
      </c>
      <c r="C35" s="353">
        <v>601628417.97000003</v>
      </c>
    </row>
    <row r="36" spans="1:3" x14ac:dyDescent="0.2">
      <c r="A36" s="347" t="s">
        <v>1233</v>
      </c>
      <c r="B36" s="354" t="s">
        <v>1234</v>
      </c>
      <c r="C36" s="355">
        <v>346966655.43000007</v>
      </c>
    </row>
    <row r="37" spans="1:3" x14ac:dyDescent="0.2">
      <c r="A37" s="347" t="s">
        <v>1235</v>
      </c>
      <c r="B37" s="354" t="s">
        <v>1236</v>
      </c>
      <c r="C37" s="355">
        <v>63820067.550000004</v>
      </c>
    </row>
    <row r="38" spans="1:3" x14ac:dyDescent="0.2">
      <c r="A38" s="347" t="s">
        <v>1237</v>
      </c>
      <c r="B38" s="354" t="s">
        <v>1238</v>
      </c>
      <c r="C38" s="355">
        <v>6784895.8100000005</v>
      </c>
    </row>
    <row r="39" spans="1:3" x14ac:dyDescent="0.2">
      <c r="A39" s="347" t="s">
        <v>1239</v>
      </c>
      <c r="B39" s="354" t="s">
        <v>1240</v>
      </c>
      <c r="C39" s="355">
        <v>85873264.730000004</v>
      </c>
    </row>
    <row r="40" spans="1:3" x14ac:dyDescent="0.2">
      <c r="A40" s="347" t="s">
        <v>1241</v>
      </c>
      <c r="B40" s="354" t="s">
        <v>1242</v>
      </c>
      <c r="C40" s="355">
        <v>12892271.26</v>
      </c>
    </row>
    <row r="41" spans="1:3" x14ac:dyDescent="0.2">
      <c r="A41" s="347" t="s">
        <v>1243</v>
      </c>
      <c r="B41" s="354" t="s">
        <v>1244</v>
      </c>
      <c r="C41" s="355">
        <v>85291263.189999998</v>
      </c>
    </row>
    <row r="42" spans="1:3" x14ac:dyDescent="0.2">
      <c r="A42" s="351" t="s">
        <v>1245</v>
      </c>
      <c r="B42" s="352" t="s">
        <v>1246</v>
      </c>
      <c r="C42" s="353">
        <v>8168732.1400000006</v>
      </c>
    </row>
    <row r="43" spans="1:3" x14ac:dyDescent="0.2">
      <c r="A43" s="347" t="s">
        <v>1247</v>
      </c>
      <c r="B43" s="354" t="s">
        <v>1248</v>
      </c>
      <c r="C43" s="355">
        <v>7453732.1400000006</v>
      </c>
    </row>
    <row r="44" spans="1:3" x14ac:dyDescent="0.2">
      <c r="A44" s="356" t="s">
        <v>1330</v>
      </c>
      <c r="B44" s="357" t="s">
        <v>1331</v>
      </c>
      <c r="C44" s="355">
        <v>715000</v>
      </c>
    </row>
    <row r="45" spans="1:3" x14ac:dyDescent="0.2">
      <c r="A45" s="351" t="s">
        <v>1249</v>
      </c>
      <c r="B45" s="352" t="s">
        <v>1250</v>
      </c>
      <c r="C45" s="353">
        <v>61056876.579999998</v>
      </c>
    </row>
    <row r="46" spans="1:3" x14ac:dyDescent="0.2">
      <c r="A46" s="347" t="s">
        <v>1251</v>
      </c>
      <c r="B46" s="354" t="s">
        <v>1252</v>
      </c>
      <c r="C46" s="355">
        <v>28948628.579999998</v>
      </c>
    </row>
    <row r="47" spans="1:3" x14ac:dyDescent="0.2">
      <c r="A47" s="347" t="s">
        <v>1253</v>
      </c>
      <c r="B47" s="354" t="s">
        <v>1254</v>
      </c>
      <c r="C47" s="355">
        <v>32108248</v>
      </c>
    </row>
    <row r="48" spans="1:3" x14ac:dyDescent="0.2">
      <c r="A48" s="351" t="s">
        <v>1255</v>
      </c>
      <c r="B48" s="352" t="s">
        <v>1256</v>
      </c>
      <c r="C48" s="353">
        <v>20879611</v>
      </c>
    </row>
    <row r="49" spans="1:3" x14ac:dyDescent="0.2">
      <c r="A49" s="347" t="s">
        <v>1257</v>
      </c>
      <c r="B49" s="354" t="s">
        <v>1258</v>
      </c>
      <c r="C49" s="355">
        <v>20879611</v>
      </c>
    </row>
    <row r="50" spans="1:3" x14ac:dyDescent="0.2">
      <c r="A50" s="351" t="s">
        <v>1259</v>
      </c>
      <c r="B50" s="352" t="s">
        <v>1260</v>
      </c>
      <c r="C50" s="353">
        <v>8766108</v>
      </c>
    </row>
    <row r="51" spans="1:3" x14ac:dyDescent="0.2">
      <c r="A51" s="347" t="s">
        <v>1261</v>
      </c>
      <c r="B51" s="354" t="s">
        <v>1262</v>
      </c>
      <c r="C51" s="355">
        <v>4710160</v>
      </c>
    </row>
    <row r="52" spans="1:3" x14ac:dyDescent="0.2">
      <c r="A52" s="347" t="s">
        <v>1263</v>
      </c>
      <c r="B52" s="354" t="s">
        <v>1264</v>
      </c>
      <c r="C52" s="355">
        <v>4055948</v>
      </c>
    </row>
    <row r="53" spans="1:3" x14ac:dyDescent="0.2">
      <c r="A53" s="351" t="s">
        <v>1265</v>
      </c>
      <c r="B53" s="352" t="s">
        <v>1266</v>
      </c>
      <c r="C53" s="353">
        <v>70009846.799759999</v>
      </c>
    </row>
    <row r="54" spans="1:3" x14ac:dyDescent="0.2">
      <c r="A54" s="347" t="s">
        <v>1267</v>
      </c>
      <c r="B54" s="354" t="s">
        <v>1268</v>
      </c>
      <c r="C54" s="355">
        <v>70009846.799759999</v>
      </c>
    </row>
    <row r="55" spans="1:3" ht="15" x14ac:dyDescent="0.2">
      <c r="A55" s="382">
        <v>3</v>
      </c>
      <c r="B55" s="383" t="s">
        <v>1120</v>
      </c>
      <c r="C55" s="384">
        <v>147334951.01999998</v>
      </c>
    </row>
    <row r="56" spans="1:3" x14ac:dyDescent="0.2">
      <c r="A56" s="351" t="s">
        <v>1269</v>
      </c>
      <c r="B56" s="352" t="s">
        <v>1270</v>
      </c>
      <c r="C56" s="353">
        <v>27675054.739999998</v>
      </c>
    </row>
    <row r="57" spans="1:3" x14ac:dyDescent="0.2">
      <c r="A57" s="347" t="s">
        <v>1271</v>
      </c>
      <c r="B57" s="354" t="s">
        <v>1272</v>
      </c>
      <c r="C57" s="355">
        <v>27675054.739999998</v>
      </c>
    </row>
    <row r="58" spans="1:3" x14ac:dyDescent="0.2">
      <c r="A58" s="351" t="s">
        <v>1273</v>
      </c>
      <c r="B58" s="352" t="s">
        <v>1274</v>
      </c>
      <c r="C58" s="353">
        <v>96893781.370000005</v>
      </c>
    </row>
    <row r="59" spans="1:3" x14ac:dyDescent="0.2">
      <c r="A59" s="347" t="s">
        <v>1275</v>
      </c>
      <c r="B59" s="354" t="s">
        <v>1276</v>
      </c>
      <c r="C59" s="355">
        <v>96893781.370000005</v>
      </c>
    </row>
    <row r="60" spans="1:3" x14ac:dyDescent="0.2">
      <c r="A60" s="351" t="s">
        <v>1277</v>
      </c>
      <c r="B60" s="352" t="s">
        <v>1278</v>
      </c>
      <c r="C60" s="353">
        <v>18135817.909999996</v>
      </c>
    </row>
    <row r="61" spans="1:3" x14ac:dyDescent="0.2">
      <c r="A61" s="347" t="s">
        <v>1279</v>
      </c>
      <c r="B61" s="354" t="s">
        <v>1280</v>
      </c>
      <c r="C61" s="355">
        <v>18135817.909999996</v>
      </c>
    </row>
    <row r="62" spans="1:3" x14ac:dyDescent="0.2">
      <c r="A62" s="351" t="s">
        <v>1281</v>
      </c>
      <c r="B62" s="352" t="s">
        <v>1282</v>
      </c>
      <c r="C62" s="353">
        <v>4630297</v>
      </c>
    </row>
    <row r="63" spans="1:3" x14ac:dyDescent="0.2">
      <c r="A63" s="347" t="s">
        <v>1283</v>
      </c>
      <c r="B63" s="354" t="s">
        <v>1284</v>
      </c>
      <c r="C63" s="355">
        <v>4630297</v>
      </c>
    </row>
    <row r="64" spans="1:3" ht="15" x14ac:dyDescent="0.2">
      <c r="A64" s="382">
        <v>4</v>
      </c>
      <c r="B64" s="383" t="s">
        <v>1285</v>
      </c>
      <c r="C64" s="384">
        <v>37003007.920000002</v>
      </c>
    </row>
    <row r="65" spans="1:4" ht="28.5" x14ac:dyDescent="0.2">
      <c r="A65" s="351" t="s">
        <v>1286</v>
      </c>
      <c r="B65" s="352" t="s">
        <v>1287</v>
      </c>
      <c r="C65" s="353">
        <v>37003007.920000002</v>
      </c>
      <c r="D65" s="327"/>
    </row>
    <row r="66" spans="1:4" x14ac:dyDescent="0.2">
      <c r="A66" s="347" t="s">
        <v>1288</v>
      </c>
      <c r="B66" s="354" t="s">
        <v>1289</v>
      </c>
      <c r="C66" s="355">
        <v>37003007.920000002</v>
      </c>
    </row>
    <row r="67" spans="1:4" ht="15" x14ac:dyDescent="0.2">
      <c r="A67" s="412" t="s">
        <v>1</v>
      </c>
      <c r="B67" s="412"/>
      <c r="C67" s="384">
        <f>SUM(C64,C55,C29,C5)</f>
        <v>2011939329.9997599</v>
      </c>
    </row>
  </sheetData>
  <autoFilter ref="A5:C67" xr:uid="{7D06A539-947F-4688-9159-9385C51ACA58}"/>
  <mergeCells count="5">
    <mergeCell ref="A4:B4"/>
    <mergeCell ref="A67:B67"/>
    <mergeCell ref="A1:C1"/>
    <mergeCell ref="A2:C2"/>
    <mergeCell ref="A3:C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C81FB-75BC-4DE3-A74B-1EDBCA31895F}">
  <dimension ref="A1:C9"/>
  <sheetViews>
    <sheetView workbookViewId="0">
      <selection activeCell="C9" sqref="C9"/>
    </sheetView>
  </sheetViews>
  <sheetFormatPr baseColWidth="10" defaultRowHeight="14.25" x14ac:dyDescent="0.2"/>
  <cols>
    <col min="1" max="1" width="23" customWidth="1"/>
    <col min="2" max="3" width="31.25" customWidth="1"/>
  </cols>
  <sheetData>
    <row r="1" spans="1:3" ht="15" x14ac:dyDescent="0.2">
      <c r="A1" s="403" t="s">
        <v>411</v>
      </c>
      <c r="B1" s="404"/>
      <c r="C1" s="405"/>
    </row>
    <row r="2" spans="1:3" ht="15" x14ac:dyDescent="0.2">
      <c r="A2" s="406" t="s">
        <v>1496</v>
      </c>
      <c r="B2" s="400"/>
      <c r="C2" s="407"/>
    </row>
    <row r="3" spans="1:3" ht="15" x14ac:dyDescent="0.2">
      <c r="A3" s="408" t="s">
        <v>1500</v>
      </c>
      <c r="B3" s="409"/>
      <c r="C3" s="410"/>
    </row>
    <row r="4" spans="1:3" x14ac:dyDescent="0.2">
      <c r="A4" s="413" t="s">
        <v>1</v>
      </c>
      <c r="B4" s="414"/>
      <c r="C4" s="386">
        <f>SUM(C5:C9)</f>
        <v>2011939329.9997599</v>
      </c>
    </row>
    <row r="5" spans="1:3" x14ac:dyDescent="0.2">
      <c r="A5" s="366">
        <v>1</v>
      </c>
      <c r="B5" s="387" t="s">
        <v>1501</v>
      </c>
      <c r="C5" s="386">
        <v>1397944461.4999998</v>
      </c>
    </row>
    <row r="6" spans="1:3" x14ac:dyDescent="0.2">
      <c r="A6" s="366">
        <v>2</v>
      </c>
      <c r="B6" s="387" t="s">
        <v>1502</v>
      </c>
      <c r="C6" s="388">
        <v>504026745.87976009</v>
      </c>
    </row>
    <row r="7" spans="1:3" x14ac:dyDescent="0.2">
      <c r="A7" s="366">
        <v>3</v>
      </c>
      <c r="B7" s="387" t="s">
        <v>1503</v>
      </c>
      <c r="C7" s="388">
        <v>37003007.920000002</v>
      </c>
    </row>
    <row r="8" spans="1:3" x14ac:dyDescent="0.2">
      <c r="A8" s="389">
        <v>4</v>
      </c>
      <c r="B8" s="390" t="s">
        <v>1313</v>
      </c>
      <c r="C8" s="391">
        <v>72965114.700000003</v>
      </c>
    </row>
    <row r="9" spans="1:3" x14ac:dyDescent="0.2">
      <c r="A9" s="366">
        <v>5</v>
      </c>
      <c r="B9" s="387" t="s">
        <v>1015</v>
      </c>
      <c r="C9" s="388" t="s">
        <v>1493</v>
      </c>
    </row>
  </sheetData>
  <mergeCells count="4">
    <mergeCell ref="A1:C1"/>
    <mergeCell ref="A2:C2"/>
    <mergeCell ref="A3:C3"/>
    <mergeCell ref="A4:B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68C95-DCDA-45B2-A2EB-C57933FC25A2}">
  <dimension ref="A1:C11"/>
  <sheetViews>
    <sheetView workbookViewId="0">
      <selection sqref="A1:C3"/>
    </sheetView>
  </sheetViews>
  <sheetFormatPr baseColWidth="10" defaultRowHeight="14.25" x14ac:dyDescent="0.2"/>
  <cols>
    <col min="1" max="1" width="14.25" customWidth="1"/>
    <col min="2" max="2" width="52.375" customWidth="1"/>
    <col min="3" max="3" width="21.75" customWidth="1"/>
  </cols>
  <sheetData>
    <row r="1" spans="1:3" ht="15" x14ac:dyDescent="0.2">
      <c r="A1" s="403" t="s">
        <v>411</v>
      </c>
      <c r="B1" s="404"/>
      <c r="C1" s="405"/>
    </row>
    <row r="2" spans="1:3" ht="15" x14ac:dyDescent="0.2">
      <c r="A2" s="406" t="s">
        <v>1496</v>
      </c>
      <c r="B2" s="400"/>
      <c r="C2" s="407"/>
    </row>
    <row r="3" spans="1:3" ht="15" x14ac:dyDescent="0.2">
      <c r="A3" s="408" t="s">
        <v>1506</v>
      </c>
      <c r="B3" s="409"/>
      <c r="C3" s="410"/>
    </row>
    <row r="4" spans="1:3" ht="15" x14ac:dyDescent="0.2">
      <c r="A4" s="367" t="s">
        <v>1507</v>
      </c>
      <c r="B4" s="367" t="s">
        <v>0</v>
      </c>
      <c r="C4" s="367"/>
    </row>
    <row r="5" spans="1:3" x14ac:dyDescent="0.2">
      <c r="A5" s="366">
        <v>1</v>
      </c>
      <c r="B5" s="416" t="s">
        <v>23</v>
      </c>
      <c r="C5" s="416"/>
    </row>
    <row r="6" spans="1:3" x14ac:dyDescent="0.2">
      <c r="A6" s="366">
        <v>2</v>
      </c>
      <c r="B6" s="415" t="s">
        <v>73</v>
      </c>
      <c r="C6" s="415"/>
    </row>
    <row r="7" spans="1:3" x14ac:dyDescent="0.2">
      <c r="A7" s="366">
        <v>3</v>
      </c>
      <c r="B7" s="415" t="s">
        <v>1504</v>
      </c>
      <c r="C7" s="415"/>
    </row>
    <row r="8" spans="1:3" x14ac:dyDescent="0.2">
      <c r="A8" s="366">
        <v>4</v>
      </c>
      <c r="B8" s="415" t="s">
        <v>52</v>
      </c>
      <c r="C8" s="415"/>
    </row>
    <row r="9" spans="1:3" x14ac:dyDescent="0.2">
      <c r="A9" s="366">
        <v>5</v>
      </c>
      <c r="B9" s="415" t="s">
        <v>1505</v>
      </c>
      <c r="C9" s="415"/>
    </row>
    <row r="10" spans="1:3" x14ac:dyDescent="0.2">
      <c r="A10" s="366">
        <v>6</v>
      </c>
      <c r="B10" s="415" t="s">
        <v>70</v>
      </c>
      <c r="C10" s="415"/>
    </row>
    <row r="11" spans="1:3" x14ac:dyDescent="0.2">
      <c r="A11" s="366">
        <v>7</v>
      </c>
      <c r="B11" s="415" t="s">
        <v>74</v>
      </c>
      <c r="C11" s="415"/>
    </row>
  </sheetData>
  <mergeCells count="10">
    <mergeCell ref="B8:C8"/>
    <mergeCell ref="B9:C9"/>
    <mergeCell ref="B10:C10"/>
    <mergeCell ref="B11:C11"/>
    <mergeCell ref="A1:C1"/>
    <mergeCell ref="A2:C2"/>
    <mergeCell ref="A3:C3"/>
    <mergeCell ref="B5:C5"/>
    <mergeCell ref="B6:C6"/>
    <mergeCell ref="B7:C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00FB2-3BEE-4B66-86B5-166387AB0638}">
  <dimension ref="A1:H151"/>
  <sheetViews>
    <sheetView topLeftCell="A133" zoomScaleNormal="100" workbookViewId="0">
      <selection activeCell="B150" sqref="B150"/>
    </sheetView>
  </sheetViews>
  <sheetFormatPr baseColWidth="10" defaultRowHeight="14.25" x14ac:dyDescent="0.2"/>
  <cols>
    <col min="1" max="1" width="11" style="3"/>
    <col min="2" max="2" width="67.25" style="2" customWidth="1"/>
    <col min="3" max="3" width="21.375" style="328" bestFit="1" customWidth="1"/>
    <col min="4" max="4" width="11.375" bestFit="1" customWidth="1"/>
    <col min="7" max="7" width="13.375" bestFit="1" customWidth="1"/>
    <col min="8" max="8" width="12.375" bestFit="1" customWidth="1"/>
  </cols>
  <sheetData>
    <row r="1" spans="1:3" ht="15" x14ac:dyDescent="0.2">
      <c r="A1" s="403" t="s">
        <v>411</v>
      </c>
      <c r="B1" s="404"/>
      <c r="C1" s="405"/>
    </row>
    <row r="2" spans="1:3" ht="15" x14ac:dyDescent="0.2">
      <c r="A2" s="406" t="s">
        <v>1496</v>
      </c>
      <c r="B2" s="400"/>
      <c r="C2" s="407"/>
    </row>
    <row r="3" spans="1:3" ht="15" x14ac:dyDescent="0.2">
      <c r="A3" s="408" t="s">
        <v>1509</v>
      </c>
      <c r="B3" s="409"/>
      <c r="C3" s="410"/>
    </row>
    <row r="4" spans="1:3" ht="15" x14ac:dyDescent="0.2">
      <c r="A4" s="338"/>
      <c r="B4" s="359" t="s">
        <v>1508</v>
      </c>
      <c r="C4" s="392" t="s">
        <v>1290</v>
      </c>
    </row>
    <row r="5" spans="1:3" ht="15" x14ac:dyDescent="0.2">
      <c r="A5" s="338"/>
      <c r="B5" s="359" t="s">
        <v>1291</v>
      </c>
      <c r="C5" s="360">
        <f>SUM(C6,C24)</f>
        <v>209997609.49976003</v>
      </c>
    </row>
    <row r="6" spans="1:3" ht="15" x14ac:dyDescent="0.2">
      <c r="A6" s="361" t="s">
        <v>1292</v>
      </c>
      <c r="B6" s="362" t="s">
        <v>1293</v>
      </c>
      <c r="C6" s="363">
        <v>54349523.350000001</v>
      </c>
    </row>
    <row r="7" spans="1:3" x14ac:dyDescent="0.2">
      <c r="A7" s="347" t="s">
        <v>125</v>
      </c>
      <c r="B7" s="364" t="s">
        <v>1527</v>
      </c>
      <c r="C7" s="355">
        <v>1000000</v>
      </c>
    </row>
    <row r="8" spans="1:3" x14ac:dyDescent="0.2">
      <c r="A8" s="347" t="s">
        <v>108</v>
      </c>
      <c r="B8" s="364" t="s">
        <v>1528</v>
      </c>
      <c r="C8" s="355">
        <v>1000000</v>
      </c>
    </row>
    <row r="9" spans="1:3" x14ac:dyDescent="0.2">
      <c r="A9" s="347" t="s">
        <v>361</v>
      </c>
      <c r="B9" s="364" t="s">
        <v>1529</v>
      </c>
      <c r="C9" s="355">
        <v>2061990.69</v>
      </c>
    </row>
    <row r="10" spans="1:3" x14ac:dyDescent="0.2">
      <c r="A10" s="347" t="s">
        <v>109</v>
      </c>
      <c r="B10" s="364" t="s">
        <v>1530</v>
      </c>
      <c r="C10" s="355">
        <v>500000</v>
      </c>
    </row>
    <row r="11" spans="1:3" x14ac:dyDescent="0.2">
      <c r="A11" s="347" t="s">
        <v>362</v>
      </c>
      <c r="B11" s="364" t="s">
        <v>757</v>
      </c>
      <c r="C11" s="355">
        <v>12767181.66</v>
      </c>
    </row>
    <row r="12" spans="1:3" x14ac:dyDescent="0.2">
      <c r="A12" s="347" t="s">
        <v>159</v>
      </c>
      <c r="B12" s="364" t="s">
        <v>1531</v>
      </c>
      <c r="C12" s="355">
        <v>6000000</v>
      </c>
    </row>
    <row r="13" spans="1:3" x14ac:dyDescent="0.2">
      <c r="A13" s="347" t="s">
        <v>160</v>
      </c>
      <c r="B13" s="364" t="s">
        <v>1532</v>
      </c>
      <c r="C13" s="355">
        <v>1200000</v>
      </c>
    </row>
    <row r="14" spans="1:3" x14ac:dyDescent="0.2">
      <c r="A14" s="347" t="s">
        <v>161</v>
      </c>
      <c r="B14" s="364" t="s">
        <v>1533</v>
      </c>
      <c r="C14" s="355">
        <v>1000000</v>
      </c>
    </row>
    <row r="15" spans="1:3" x14ac:dyDescent="0.2">
      <c r="A15" s="347" t="s">
        <v>162</v>
      </c>
      <c r="B15" s="364" t="s">
        <v>163</v>
      </c>
      <c r="C15" s="355">
        <v>1200000</v>
      </c>
    </row>
    <row r="16" spans="1:3" x14ac:dyDescent="0.2">
      <c r="A16" s="347" t="s">
        <v>173</v>
      </c>
      <c r="B16" s="364" t="s">
        <v>1534</v>
      </c>
      <c r="C16" s="355">
        <v>17770351</v>
      </c>
    </row>
    <row r="17" spans="1:3" x14ac:dyDescent="0.2">
      <c r="A17" s="347" t="s">
        <v>1333</v>
      </c>
      <c r="B17" s="364" t="s">
        <v>1535</v>
      </c>
      <c r="C17" s="355">
        <v>2000000</v>
      </c>
    </row>
    <row r="18" spans="1:3" x14ac:dyDescent="0.2">
      <c r="A18" s="347" t="s">
        <v>1332</v>
      </c>
      <c r="B18" s="364" t="s">
        <v>1536</v>
      </c>
      <c r="C18" s="355">
        <v>750000</v>
      </c>
    </row>
    <row r="19" spans="1:3" x14ac:dyDescent="0.2">
      <c r="A19" s="347" t="s">
        <v>135</v>
      </c>
      <c r="B19" s="364" t="s">
        <v>1537</v>
      </c>
      <c r="C19" s="355">
        <v>2000000</v>
      </c>
    </row>
    <row r="20" spans="1:3" x14ac:dyDescent="0.2">
      <c r="A20" s="347" t="s">
        <v>137</v>
      </c>
      <c r="B20" s="364" t="s">
        <v>1538</v>
      </c>
      <c r="C20" s="355">
        <v>1000000</v>
      </c>
    </row>
    <row r="21" spans="1:3" x14ac:dyDescent="0.2">
      <c r="A21" s="347" t="s">
        <v>138</v>
      </c>
      <c r="B21" s="364" t="s">
        <v>1539</v>
      </c>
      <c r="C21" s="355">
        <v>3000000</v>
      </c>
    </row>
    <row r="22" spans="1:3" x14ac:dyDescent="0.2">
      <c r="A22" s="347" t="s">
        <v>158</v>
      </c>
      <c r="B22" s="364" t="s">
        <v>1540</v>
      </c>
      <c r="C22" s="355">
        <v>100000</v>
      </c>
    </row>
    <row r="23" spans="1:3" x14ac:dyDescent="0.2">
      <c r="A23" s="347" t="s">
        <v>1116</v>
      </c>
      <c r="B23" s="364" t="s">
        <v>1541</v>
      </c>
      <c r="C23" s="355">
        <v>1000000</v>
      </c>
    </row>
    <row r="24" spans="1:3" ht="15" x14ac:dyDescent="0.2">
      <c r="A24" s="361" t="s">
        <v>1294</v>
      </c>
      <c r="B24" s="362" t="s">
        <v>1295</v>
      </c>
      <c r="C24" s="363">
        <v>155648086.14976004</v>
      </c>
    </row>
    <row r="25" spans="1:3" x14ac:dyDescent="0.2">
      <c r="A25" s="347" t="s">
        <v>383</v>
      </c>
      <c r="B25" s="364" t="s">
        <v>384</v>
      </c>
      <c r="C25" s="355">
        <v>32108248</v>
      </c>
    </row>
    <row r="26" spans="1:3" x14ac:dyDescent="0.2">
      <c r="A26" s="347" t="s">
        <v>400</v>
      </c>
      <c r="B26" s="364" t="s">
        <v>399</v>
      </c>
      <c r="C26" s="355">
        <v>3630297</v>
      </c>
    </row>
    <row r="27" spans="1:3" x14ac:dyDescent="0.2">
      <c r="A27" s="347" t="s">
        <v>401</v>
      </c>
      <c r="B27" s="364" t="s">
        <v>1542</v>
      </c>
      <c r="C27" s="355">
        <v>1000000</v>
      </c>
    </row>
    <row r="28" spans="1:3" x14ac:dyDescent="0.2">
      <c r="A28" s="347" t="s">
        <v>404</v>
      </c>
      <c r="B28" s="364" t="s">
        <v>403</v>
      </c>
      <c r="C28" s="355">
        <v>2949425</v>
      </c>
    </row>
    <row r="29" spans="1:3" x14ac:dyDescent="0.2">
      <c r="A29" s="347" t="s">
        <v>397</v>
      </c>
      <c r="B29" s="364" t="s">
        <v>1543</v>
      </c>
      <c r="C29" s="355">
        <v>1500000</v>
      </c>
    </row>
    <row r="30" spans="1:3" x14ac:dyDescent="0.2">
      <c r="A30" s="347" t="s">
        <v>224</v>
      </c>
      <c r="B30" s="364" t="s">
        <v>1544</v>
      </c>
      <c r="C30" s="355">
        <v>9382794.8399999999</v>
      </c>
    </row>
    <row r="31" spans="1:3" x14ac:dyDescent="0.2">
      <c r="A31" s="347" t="s">
        <v>410</v>
      </c>
      <c r="B31" s="364" t="s">
        <v>1545</v>
      </c>
      <c r="C31" s="355">
        <v>4710160</v>
      </c>
    </row>
    <row r="32" spans="1:3" x14ac:dyDescent="0.2">
      <c r="A32" s="347" t="s">
        <v>164</v>
      </c>
      <c r="B32" s="364" t="s">
        <v>165</v>
      </c>
      <c r="C32" s="355">
        <v>600000</v>
      </c>
    </row>
    <row r="33" spans="1:4" x14ac:dyDescent="0.2">
      <c r="A33" s="347" t="s">
        <v>376</v>
      </c>
      <c r="B33" s="364" t="s">
        <v>1546</v>
      </c>
      <c r="C33" s="355">
        <v>37329871.64976</v>
      </c>
    </row>
    <row r="34" spans="1:4" x14ac:dyDescent="0.2">
      <c r="A34" s="347" t="s">
        <v>381</v>
      </c>
      <c r="B34" s="364" t="s">
        <v>1547</v>
      </c>
      <c r="C34" s="355">
        <v>19025357.579999998</v>
      </c>
    </row>
    <row r="35" spans="1:4" x14ac:dyDescent="0.2">
      <c r="A35" s="347" t="s">
        <v>389</v>
      </c>
      <c r="B35" s="364" t="s">
        <v>1548</v>
      </c>
      <c r="C35" s="355">
        <v>3290921</v>
      </c>
    </row>
    <row r="36" spans="1:4" x14ac:dyDescent="0.2">
      <c r="A36" s="347" t="s">
        <v>391</v>
      </c>
      <c r="B36" s="364" t="s">
        <v>1549</v>
      </c>
      <c r="C36" s="355">
        <v>15309132</v>
      </c>
    </row>
    <row r="37" spans="1:4" x14ac:dyDescent="0.2">
      <c r="A37" s="347" t="s">
        <v>394</v>
      </c>
      <c r="B37" s="364" t="s">
        <v>1549</v>
      </c>
      <c r="C37" s="355">
        <v>4055948</v>
      </c>
    </row>
    <row r="38" spans="1:4" x14ac:dyDescent="0.2">
      <c r="A38" s="347" t="s">
        <v>166</v>
      </c>
      <c r="B38" s="364" t="s">
        <v>1550</v>
      </c>
      <c r="C38" s="355">
        <v>2200000</v>
      </c>
    </row>
    <row r="39" spans="1:4" x14ac:dyDescent="0.2">
      <c r="A39" s="347" t="s">
        <v>364</v>
      </c>
      <c r="B39" s="364" t="s">
        <v>1551</v>
      </c>
      <c r="C39" s="355">
        <v>5000000.28</v>
      </c>
    </row>
    <row r="40" spans="1:4" x14ac:dyDescent="0.2">
      <c r="A40" s="347" t="s">
        <v>387</v>
      </c>
      <c r="B40" s="364" t="s">
        <v>386</v>
      </c>
      <c r="C40" s="355">
        <v>5473846</v>
      </c>
    </row>
    <row r="41" spans="1:4" x14ac:dyDescent="0.2">
      <c r="A41" s="347" t="s">
        <v>407</v>
      </c>
      <c r="B41" s="364" t="s">
        <v>406</v>
      </c>
      <c r="C41" s="355">
        <v>8082084.7999999998</v>
      </c>
    </row>
    <row r="42" spans="1:4" ht="15" x14ac:dyDescent="0.2">
      <c r="A42" s="338"/>
      <c r="B42" s="359" t="s">
        <v>1305</v>
      </c>
      <c r="C42" s="360">
        <v>1235248639.9799998</v>
      </c>
    </row>
    <row r="43" spans="1:4" ht="15" x14ac:dyDescent="0.2">
      <c r="A43" s="361" t="s">
        <v>1296</v>
      </c>
      <c r="B43" s="362" t="s">
        <v>1297</v>
      </c>
      <c r="C43" s="363">
        <v>817082415.30999994</v>
      </c>
    </row>
    <row r="44" spans="1:4" x14ac:dyDescent="0.2">
      <c r="A44" s="347" t="s">
        <v>129</v>
      </c>
      <c r="B44" s="364" t="s">
        <v>1552</v>
      </c>
      <c r="C44" s="355">
        <v>3540007.3200000008</v>
      </c>
    </row>
    <row r="45" spans="1:4" x14ac:dyDescent="0.2">
      <c r="A45" s="347" t="s">
        <v>1113</v>
      </c>
      <c r="B45" s="364" t="s">
        <v>1553</v>
      </c>
      <c r="C45" s="355">
        <v>80000</v>
      </c>
    </row>
    <row r="46" spans="1:4" x14ac:dyDescent="0.2">
      <c r="A46" s="347" t="s">
        <v>1110</v>
      </c>
      <c r="B46" s="364" t="s">
        <v>1554</v>
      </c>
      <c r="C46" s="355">
        <v>220000</v>
      </c>
    </row>
    <row r="47" spans="1:4" x14ac:dyDescent="0.2">
      <c r="A47" s="347" t="s">
        <v>1117</v>
      </c>
      <c r="B47" s="364" t="s">
        <v>1555</v>
      </c>
      <c r="C47" s="355">
        <v>80000</v>
      </c>
      <c r="D47" s="327"/>
    </row>
    <row r="48" spans="1:4" x14ac:dyDescent="0.2">
      <c r="A48" s="347" t="s">
        <v>139</v>
      </c>
      <c r="B48" s="364" t="s">
        <v>1556</v>
      </c>
      <c r="C48" s="355">
        <v>2408288.04</v>
      </c>
    </row>
    <row r="49" spans="1:3" x14ac:dyDescent="0.2">
      <c r="A49" s="347" t="s">
        <v>144</v>
      </c>
      <c r="B49" s="364" t="s">
        <v>1557</v>
      </c>
      <c r="C49" s="355">
        <v>2687329.9800000004</v>
      </c>
    </row>
    <row r="50" spans="1:3" x14ac:dyDescent="0.2">
      <c r="A50" s="347" t="s">
        <v>151</v>
      </c>
      <c r="B50" s="364" t="s">
        <v>1558</v>
      </c>
      <c r="C50" s="355">
        <v>3936402.16</v>
      </c>
    </row>
    <row r="51" spans="1:3" x14ac:dyDescent="0.2">
      <c r="A51" s="347" t="s">
        <v>222</v>
      </c>
      <c r="B51" s="364" t="s">
        <v>1559</v>
      </c>
      <c r="C51" s="355">
        <v>3833917.6500000008</v>
      </c>
    </row>
    <row r="52" spans="1:3" x14ac:dyDescent="0.2">
      <c r="A52" s="347" t="s">
        <v>223</v>
      </c>
      <c r="B52" s="364" t="s">
        <v>1560</v>
      </c>
      <c r="C52" s="355">
        <v>4924212.9000000004</v>
      </c>
    </row>
    <row r="53" spans="1:3" x14ac:dyDescent="0.2">
      <c r="A53" s="347" t="s">
        <v>1111</v>
      </c>
      <c r="B53" s="364" t="s">
        <v>1561</v>
      </c>
      <c r="C53" s="355">
        <v>180000</v>
      </c>
    </row>
    <row r="54" spans="1:3" x14ac:dyDescent="0.2">
      <c r="A54" s="347" t="s">
        <v>1112</v>
      </c>
      <c r="B54" s="364" t="s">
        <v>1562</v>
      </c>
      <c r="C54" s="355">
        <v>710000</v>
      </c>
    </row>
    <row r="55" spans="1:3" x14ac:dyDescent="0.2">
      <c r="A55" s="347" t="s">
        <v>1114</v>
      </c>
      <c r="B55" s="364" t="s">
        <v>1563</v>
      </c>
      <c r="C55" s="355">
        <v>5000</v>
      </c>
    </row>
    <row r="56" spans="1:3" x14ac:dyDescent="0.2">
      <c r="A56" s="347" t="s">
        <v>1115</v>
      </c>
      <c r="B56" s="364" t="s">
        <v>1564</v>
      </c>
      <c r="C56" s="355">
        <v>830000</v>
      </c>
    </row>
    <row r="57" spans="1:3" x14ac:dyDescent="0.2">
      <c r="A57" s="347" t="s">
        <v>315</v>
      </c>
      <c r="B57" s="364" t="s">
        <v>1565</v>
      </c>
      <c r="C57" s="355">
        <v>5136529.92</v>
      </c>
    </row>
    <row r="58" spans="1:3" x14ac:dyDescent="0.2">
      <c r="A58" s="347" t="s">
        <v>191</v>
      </c>
      <c r="B58" s="364" t="s">
        <v>1566</v>
      </c>
      <c r="C58" s="355">
        <v>6552</v>
      </c>
    </row>
    <row r="59" spans="1:3" x14ac:dyDescent="0.2">
      <c r="A59" s="347" t="s">
        <v>196</v>
      </c>
      <c r="B59" s="364" t="s">
        <v>1567</v>
      </c>
      <c r="C59" s="355">
        <v>13091975.6</v>
      </c>
    </row>
    <row r="60" spans="1:3" x14ac:dyDescent="0.2">
      <c r="A60" s="347" t="s">
        <v>202</v>
      </c>
      <c r="B60" s="364" t="s">
        <v>1568</v>
      </c>
      <c r="C60" s="355">
        <v>6800254.9100000001</v>
      </c>
    </row>
    <row r="61" spans="1:3" x14ac:dyDescent="0.2">
      <c r="A61" s="347" t="s">
        <v>342</v>
      </c>
      <c r="B61" s="364" t="s">
        <v>1569</v>
      </c>
      <c r="C61" s="355">
        <v>27052479.439999998</v>
      </c>
    </row>
    <row r="62" spans="1:3" x14ac:dyDescent="0.2">
      <c r="A62" s="347" t="s">
        <v>208</v>
      </c>
      <c r="B62" s="364" t="s">
        <v>1570</v>
      </c>
      <c r="C62" s="355">
        <v>2478457.44</v>
      </c>
    </row>
    <row r="63" spans="1:3" x14ac:dyDescent="0.2">
      <c r="A63" s="347" t="s">
        <v>332</v>
      </c>
      <c r="B63" s="364" t="s">
        <v>1571</v>
      </c>
      <c r="C63" s="355">
        <v>5735267.1899999995</v>
      </c>
    </row>
    <row r="64" spans="1:3" x14ac:dyDescent="0.2">
      <c r="A64" s="347" t="s">
        <v>334</v>
      </c>
      <c r="B64" s="364" t="s">
        <v>1572</v>
      </c>
      <c r="C64" s="355">
        <v>72940751.620000005</v>
      </c>
    </row>
    <row r="65" spans="1:3" x14ac:dyDescent="0.2">
      <c r="A65" s="347" t="s">
        <v>336</v>
      </c>
      <c r="B65" s="364" t="s">
        <v>1573</v>
      </c>
      <c r="C65" s="355">
        <v>8002199.2600000007</v>
      </c>
    </row>
    <row r="66" spans="1:3" x14ac:dyDescent="0.2">
      <c r="A66" s="347" t="s">
        <v>266</v>
      </c>
      <c r="B66" s="364" t="s">
        <v>1574</v>
      </c>
      <c r="C66" s="355">
        <v>19094076.140000001</v>
      </c>
    </row>
    <row r="67" spans="1:3" x14ac:dyDescent="0.2">
      <c r="A67" s="347" t="s">
        <v>348</v>
      </c>
      <c r="B67" s="364" t="s">
        <v>1575</v>
      </c>
      <c r="C67" s="355">
        <v>2494173.66</v>
      </c>
    </row>
    <row r="68" spans="1:3" x14ac:dyDescent="0.2">
      <c r="A68" s="347" t="s">
        <v>349</v>
      </c>
      <c r="B68" s="364" t="s">
        <v>1576</v>
      </c>
      <c r="C68" s="355">
        <v>1479667.13</v>
      </c>
    </row>
    <row r="69" spans="1:3" ht="28.5" x14ac:dyDescent="0.2">
      <c r="A69" s="347" t="s">
        <v>350</v>
      </c>
      <c r="B69" s="364" t="s">
        <v>1577</v>
      </c>
      <c r="C69" s="355">
        <v>2679059.8200000003</v>
      </c>
    </row>
    <row r="70" spans="1:3" x14ac:dyDescent="0.2">
      <c r="A70" s="347" t="s">
        <v>351</v>
      </c>
      <c r="B70" s="364" t="s">
        <v>1578</v>
      </c>
      <c r="C70" s="355">
        <v>8051033.0200000005</v>
      </c>
    </row>
    <row r="71" spans="1:3" x14ac:dyDescent="0.2">
      <c r="A71" s="347" t="s">
        <v>290</v>
      </c>
      <c r="B71" s="364" t="s">
        <v>1579</v>
      </c>
      <c r="C71" s="355">
        <v>36040293.399999999</v>
      </c>
    </row>
    <row r="72" spans="1:3" x14ac:dyDescent="0.2">
      <c r="A72" s="347" t="s">
        <v>298</v>
      </c>
      <c r="B72" s="364" t="s">
        <v>1549</v>
      </c>
      <c r="C72" s="355">
        <v>6126876.4500000002</v>
      </c>
    </row>
    <row r="73" spans="1:3" x14ac:dyDescent="0.2">
      <c r="A73" s="347" t="s">
        <v>299</v>
      </c>
      <c r="B73" s="364" t="s">
        <v>1580</v>
      </c>
      <c r="C73" s="355">
        <v>4695278.8900000006</v>
      </c>
    </row>
    <row r="74" spans="1:3" x14ac:dyDescent="0.2">
      <c r="A74" s="347" t="s">
        <v>300</v>
      </c>
      <c r="B74" s="364" t="s">
        <v>1581</v>
      </c>
      <c r="C74" s="355">
        <v>9601350.2599999998</v>
      </c>
    </row>
    <row r="75" spans="1:3" x14ac:dyDescent="0.2">
      <c r="A75" s="347" t="s">
        <v>308</v>
      </c>
      <c r="B75" s="364" t="s">
        <v>1582</v>
      </c>
      <c r="C75" s="355">
        <v>9928617.1799999997</v>
      </c>
    </row>
    <row r="76" spans="1:3" x14ac:dyDescent="0.2">
      <c r="A76" s="347" t="s">
        <v>309</v>
      </c>
      <c r="B76" s="364" t="s">
        <v>1583</v>
      </c>
      <c r="C76" s="355">
        <v>56755061.840000004</v>
      </c>
    </row>
    <row r="77" spans="1:3" x14ac:dyDescent="0.2">
      <c r="A77" s="347" t="s">
        <v>312</v>
      </c>
      <c r="B77" s="364" t="s">
        <v>1584</v>
      </c>
      <c r="C77" s="355">
        <v>11567214.649999999</v>
      </c>
    </row>
    <row r="78" spans="1:3" x14ac:dyDescent="0.2">
      <c r="A78" s="347" t="s">
        <v>306</v>
      </c>
      <c r="B78" s="364" t="s">
        <v>1585</v>
      </c>
      <c r="C78" s="355">
        <v>85873264.730000004</v>
      </c>
    </row>
    <row r="79" spans="1:3" x14ac:dyDescent="0.2">
      <c r="A79" s="347" t="s">
        <v>313</v>
      </c>
      <c r="B79" s="364" t="s">
        <v>1586</v>
      </c>
      <c r="C79" s="355">
        <v>7040369.5199999996</v>
      </c>
    </row>
    <row r="80" spans="1:3" x14ac:dyDescent="0.2">
      <c r="A80" s="347" t="s">
        <v>303</v>
      </c>
      <c r="B80" s="364" t="s">
        <v>1587</v>
      </c>
      <c r="C80" s="355">
        <v>9538948.3499999996</v>
      </c>
    </row>
    <row r="81" spans="1:3" x14ac:dyDescent="0.2">
      <c r="A81" s="347" t="s">
        <v>304</v>
      </c>
      <c r="B81" s="364" t="s">
        <v>1588</v>
      </c>
      <c r="C81" s="355">
        <v>70599778.650000006</v>
      </c>
    </row>
    <row r="82" spans="1:3" x14ac:dyDescent="0.2">
      <c r="A82" s="347" t="s">
        <v>305</v>
      </c>
      <c r="B82" s="364" t="s">
        <v>1589</v>
      </c>
      <c r="C82" s="355">
        <v>6259755.9100000001</v>
      </c>
    </row>
    <row r="83" spans="1:3" x14ac:dyDescent="0.2">
      <c r="A83" s="347" t="s">
        <v>321</v>
      </c>
      <c r="B83" s="364" t="s">
        <v>1590</v>
      </c>
      <c r="C83" s="355">
        <v>270528993.85000002</v>
      </c>
    </row>
    <row r="84" spans="1:3" x14ac:dyDescent="0.2">
      <c r="A84" s="347" t="s">
        <v>193</v>
      </c>
      <c r="B84" s="364" t="s">
        <v>1591</v>
      </c>
      <c r="C84" s="355">
        <v>6604895.8100000005</v>
      </c>
    </row>
    <row r="85" spans="1:3" x14ac:dyDescent="0.2">
      <c r="A85" s="347" t="s">
        <v>317</v>
      </c>
      <c r="B85" s="364" t="s">
        <v>1592</v>
      </c>
      <c r="C85" s="355">
        <v>1235000</v>
      </c>
    </row>
    <row r="86" spans="1:3" x14ac:dyDescent="0.2">
      <c r="A86" s="347" t="s">
        <v>263</v>
      </c>
      <c r="B86" s="364" t="s">
        <v>1593</v>
      </c>
      <c r="C86" s="355">
        <v>460312.27</v>
      </c>
    </row>
    <row r="87" spans="1:3" x14ac:dyDescent="0.2">
      <c r="A87" s="347" t="s">
        <v>246</v>
      </c>
      <c r="B87" s="364" t="s">
        <v>1594</v>
      </c>
      <c r="C87" s="355">
        <v>300000</v>
      </c>
    </row>
    <row r="88" spans="1:3" x14ac:dyDescent="0.2">
      <c r="A88" s="347" t="s">
        <v>367</v>
      </c>
      <c r="B88" s="364" t="s">
        <v>1595</v>
      </c>
      <c r="C88" s="355">
        <v>3353141.51</v>
      </c>
    </row>
    <row r="89" spans="1:3" x14ac:dyDescent="0.2">
      <c r="A89" s="347" t="s">
        <v>368</v>
      </c>
      <c r="B89" s="364" t="s">
        <v>1596</v>
      </c>
      <c r="C89" s="355">
        <v>6548368.7999999998</v>
      </c>
    </row>
    <row r="90" spans="1:3" x14ac:dyDescent="0.2">
      <c r="A90" s="347" t="s">
        <v>370</v>
      </c>
      <c r="B90" s="364" t="s">
        <v>1597</v>
      </c>
      <c r="C90" s="355">
        <v>1344311.11</v>
      </c>
    </row>
    <row r="91" spans="1:3" x14ac:dyDescent="0.2">
      <c r="A91" s="347" t="s">
        <v>372</v>
      </c>
      <c r="B91" s="364" t="s">
        <v>1598</v>
      </c>
      <c r="C91" s="355">
        <v>13882946.929999998</v>
      </c>
    </row>
    <row r="92" spans="1:3" x14ac:dyDescent="0.2">
      <c r="A92" s="347" t="s">
        <v>373</v>
      </c>
      <c r="B92" s="364" t="s">
        <v>1599</v>
      </c>
      <c r="C92" s="355">
        <v>320000</v>
      </c>
    </row>
    <row r="93" spans="1:3" ht="15" x14ac:dyDescent="0.2">
      <c r="A93" s="361" t="s">
        <v>1298</v>
      </c>
      <c r="B93" s="362" t="s">
        <v>1299</v>
      </c>
      <c r="C93" s="363">
        <v>20689462.920000002</v>
      </c>
    </row>
    <row r="94" spans="1:3" x14ac:dyDescent="0.2">
      <c r="A94" s="347" t="s">
        <v>187</v>
      </c>
      <c r="B94" s="364" t="s">
        <v>1600</v>
      </c>
      <c r="C94" s="355">
        <v>10473899.620000001</v>
      </c>
    </row>
    <row r="95" spans="1:3" x14ac:dyDescent="0.2">
      <c r="A95" s="347" t="s">
        <v>211</v>
      </c>
      <c r="B95" s="364" t="s">
        <v>1601</v>
      </c>
      <c r="C95" s="355">
        <v>10215563.300000001</v>
      </c>
    </row>
    <row r="96" spans="1:3" ht="15" x14ac:dyDescent="0.2">
      <c r="A96" s="361" t="s">
        <v>1118</v>
      </c>
      <c r="B96" s="362" t="s">
        <v>1300</v>
      </c>
      <c r="C96" s="363">
        <v>33202296.840000004</v>
      </c>
    </row>
    <row r="97" spans="1:8" x14ac:dyDescent="0.2">
      <c r="A97" s="347" t="s">
        <v>177</v>
      </c>
      <c r="B97" s="364" t="s">
        <v>1602</v>
      </c>
      <c r="C97" s="355">
        <v>23617804.510000002</v>
      </c>
    </row>
    <row r="98" spans="1:8" x14ac:dyDescent="0.2">
      <c r="A98" s="347" t="s">
        <v>181</v>
      </c>
      <c r="B98" s="364" t="s">
        <v>1603</v>
      </c>
      <c r="C98" s="355">
        <v>9584492.3300000001</v>
      </c>
    </row>
    <row r="99" spans="1:8" ht="15" x14ac:dyDescent="0.2">
      <c r="A99" s="361" t="s">
        <v>1301</v>
      </c>
      <c r="B99" s="362" t="s">
        <v>1302</v>
      </c>
      <c r="C99" s="363">
        <v>351763656.07000005</v>
      </c>
    </row>
    <row r="100" spans="1:8" x14ac:dyDescent="0.2">
      <c r="A100" s="347" t="s">
        <v>189</v>
      </c>
      <c r="B100" s="364" t="s">
        <v>1604</v>
      </c>
      <c r="C100" s="355">
        <v>20945834.950000003</v>
      </c>
    </row>
    <row r="101" spans="1:8" x14ac:dyDescent="0.2">
      <c r="A101" s="347" t="s">
        <v>339</v>
      </c>
      <c r="B101" s="364" t="s">
        <v>1605</v>
      </c>
      <c r="C101" s="355">
        <v>18613592</v>
      </c>
    </row>
    <row r="102" spans="1:8" x14ac:dyDescent="0.2">
      <c r="A102" s="347" t="s">
        <v>253</v>
      </c>
      <c r="B102" s="364" t="s">
        <v>74</v>
      </c>
      <c r="C102" s="355">
        <v>37003007.920000002</v>
      </c>
    </row>
    <row r="103" spans="1:8" x14ac:dyDescent="0.2">
      <c r="A103" s="347" t="s">
        <v>354</v>
      </c>
      <c r="B103" s="364" t="s">
        <v>1606</v>
      </c>
      <c r="C103" s="355">
        <v>111087408</v>
      </c>
    </row>
    <row r="104" spans="1:8" x14ac:dyDescent="0.2">
      <c r="A104" s="347" t="s">
        <v>357</v>
      </c>
      <c r="B104" s="364" t="s">
        <v>1607</v>
      </c>
      <c r="C104" s="355">
        <v>96643134</v>
      </c>
    </row>
    <row r="105" spans="1:8" x14ac:dyDescent="0.2">
      <c r="A105" s="347" t="s">
        <v>358</v>
      </c>
      <c r="B105" s="364" t="s">
        <v>1608</v>
      </c>
      <c r="C105" s="355">
        <v>42117160</v>
      </c>
    </row>
    <row r="106" spans="1:8" x14ac:dyDescent="0.2">
      <c r="A106" s="347" t="s">
        <v>359</v>
      </c>
      <c r="B106" s="364" t="s">
        <v>1609</v>
      </c>
      <c r="C106" s="355">
        <v>19821548.479999997</v>
      </c>
    </row>
    <row r="107" spans="1:8" x14ac:dyDescent="0.2">
      <c r="A107" s="347" t="s">
        <v>360</v>
      </c>
      <c r="B107" s="364" t="s">
        <v>1610</v>
      </c>
      <c r="C107" s="355">
        <v>5531970.7199999997</v>
      </c>
    </row>
    <row r="108" spans="1:8" ht="15" x14ac:dyDescent="0.2">
      <c r="A108" s="361" t="s">
        <v>1303</v>
      </c>
      <c r="B108" s="362" t="s">
        <v>1304</v>
      </c>
      <c r="C108" s="363">
        <v>12510808.84</v>
      </c>
    </row>
    <row r="109" spans="1:8" x14ac:dyDescent="0.2">
      <c r="A109" s="347" t="s">
        <v>97</v>
      </c>
      <c r="B109" s="364" t="s">
        <v>1611</v>
      </c>
      <c r="C109" s="355">
        <v>7170584.9199999999</v>
      </c>
    </row>
    <row r="110" spans="1:8" x14ac:dyDescent="0.2">
      <c r="A110" s="347" t="s">
        <v>104</v>
      </c>
      <c r="B110" s="364" t="s">
        <v>1612</v>
      </c>
      <c r="C110" s="355">
        <v>5340223.92</v>
      </c>
    </row>
    <row r="111" spans="1:8" ht="15" x14ac:dyDescent="0.2">
      <c r="A111" s="338"/>
      <c r="B111" s="359" t="s">
        <v>1306</v>
      </c>
      <c r="C111" s="360">
        <v>493727965.82000005</v>
      </c>
      <c r="H111" s="327"/>
    </row>
    <row r="112" spans="1:8" ht="15" x14ac:dyDescent="0.2">
      <c r="A112" s="361" t="s">
        <v>1307</v>
      </c>
      <c r="B112" s="362" t="s">
        <v>1308</v>
      </c>
      <c r="C112" s="363">
        <v>9533728.2200000007</v>
      </c>
    </row>
    <row r="113" spans="1:3" x14ac:dyDescent="0.2">
      <c r="A113" s="347" t="s">
        <v>256</v>
      </c>
      <c r="B113" s="364" t="s">
        <v>1613</v>
      </c>
      <c r="C113" s="355">
        <v>9533728.2200000007</v>
      </c>
    </row>
    <row r="114" spans="1:3" ht="15" x14ac:dyDescent="0.2">
      <c r="A114" s="361" t="s">
        <v>1310</v>
      </c>
      <c r="B114" s="362" t="s">
        <v>1309</v>
      </c>
      <c r="C114" s="363">
        <v>484194237.60000002</v>
      </c>
    </row>
    <row r="115" spans="1:3" x14ac:dyDescent="0.2">
      <c r="A115" s="347" t="s">
        <v>55</v>
      </c>
      <c r="B115" s="364" t="s">
        <v>1578</v>
      </c>
      <c r="C115" s="355">
        <v>27877602.290000025</v>
      </c>
    </row>
    <row r="116" spans="1:3" x14ac:dyDescent="0.2">
      <c r="A116" s="347" t="s">
        <v>113</v>
      </c>
      <c r="B116" s="364" t="s">
        <v>1578</v>
      </c>
      <c r="C116" s="355">
        <v>16476780.699999999</v>
      </c>
    </row>
    <row r="117" spans="1:3" x14ac:dyDescent="0.2">
      <c r="A117" s="347" t="s">
        <v>141</v>
      </c>
      <c r="B117" s="364" t="s">
        <v>1578</v>
      </c>
      <c r="C117" s="355">
        <v>9713192.4100000001</v>
      </c>
    </row>
    <row r="118" spans="1:3" x14ac:dyDescent="0.2">
      <c r="A118" s="347" t="s">
        <v>156</v>
      </c>
      <c r="B118" s="364" t="s">
        <v>1578</v>
      </c>
      <c r="C118" s="355">
        <v>2690543.92</v>
      </c>
    </row>
    <row r="119" spans="1:3" x14ac:dyDescent="0.2">
      <c r="A119" s="347" t="s">
        <v>169</v>
      </c>
      <c r="B119" s="364" t="s">
        <v>1614</v>
      </c>
      <c r="C119" s="355">
        <v>1980392.29</v>
      </c>
    </row>
    <row r="120" spans="1:3" x14ac:dyDescent="0.2">
      <c r="A120" s="347" t="s">
        <v>5</v>
      </c>
      <c r="B120" s="364" t="s">
        <v>1615</v>
      </c>
      <c r="C120" s="355">
        <v>6460424.7800000012</v>
      </c>
    </row>
    <row r="121" spans="1:3" x14ac:dyDescent="0.2">
      <c r="A121" s="347" t="s">
        <v>37</v>
      </c>
      <c r="B121" s="364" t="s">
        <v>1616</v>
      </c>
      <c r="C121" s="355">
        <v>2774193.5</v>
      </c>
    </row>
    <row r="122" spans="1:3" x14ac:dyDescent="0.2">
      <c r="A122" s="347" t="s">
        <v>46</v>
      </c>
      <c r="B122" s="364" t="s">
        <v>1617</v>
      </c>
      <c r="C122" s="355">
        <v>1797223.3699999999</v>
      </c>
    </row>
    <row r="123" spans="1:3" x14ac:dyDescent="0.2">
      <c r="A123" s="347" t="s">
        <v>51</v>
      </c>
      <c r="B123" s="364" t="s">
        <v>1618</v>
      </c>
      <c r="C123" s="355">
        <v>806774.18</v>
      </c>
    </row>
    <row r="124" spans="1:3" x14ac:dyDescent="0.2">
      <c r="A124" s="347" t="s">
        <v>58</v>
      </c>
      <c r="B124" s="364" t="s">
        <v>1619</v>
      </c>
      <c r="C124" s="355">
        <v>1909652.2200000004</v>
      </c>
    </row>
    <row r="125" spans="1:3" x14ac:dyDescent="0.2">
      <c r="A125" s="347" t="s">
        <v>192</v>
      </c>
      <c r="B125" s="364" t="s">
        <v>1620</v>
      </c>
      <c r="C125" s="355">
        <v>791715.42</v>
      </c>
    </row>
    <row r="126" spans="1:3" x14ac:dyDescent="0.2">
      <c r="A126" s="347" t="s">
        <v>214</v>
      </c>
      <c r="B126" s="364" t="s">
        <v>1621</v>
      </c>
      <c r="C126" s="355">
        <v>74594663.909999996</v>
      </c>
    </row>
    <row r="127" spans="1:3" x14ac:dyDescent="0.2">
      <c r="A127" s="347" t="s">
        <v>228</v>
      </c>
      <c r="B127" s="364" t="s">
        <v>1622</v>
      </c>
      <c r="C127" s="355">
        <v>7807590.8900000006</v>
      </c>
    </row>
    <row r="128" spans="1:3" x14ac:dyDescent="0.2">
      <c r="A128" s="347" t="s">
        <v>231</v>
      </c>
      <c r="B128" s="364" t="s">
        <v>1623</v>
      </c>
      <c r="C128" s="355">
        <v>45683223.780000001</v>
      </c>
    </row>
    <row r="129" spans="1:3" x14ac:dyDescent="0.2">
      <c r="A129" s="347" t="s">
        <v>242</v>
      </c>
      <c r="B129" s="364" t="s">
        <v>1624</v>
      </c>
      <c r="C129" s="355">
        <v>1649455.53</v>
      </c>
    </row>
    <row r="130" spans="1:3" x14ac:dyDescent="0.2">
      <c r="A130" s="347" t="s">
        <v>247</v>
      </c>
      <c r="B130" s="364" t="s">
        <v>1578</v>
      </c>
      <c r="C130" s="355">
        <v>1286806.42</v>
      </c>
    </row>
    <row r="131" spans="1:3" x14ac:dyDescent="0.2">
      <c r="A131" s="347" t="s">
        <v>251</v>
      </c>
      <c r="B131" s="364" t="s">
        <v>1625</v>
      </c>
      <c r="C131" s="355">
        <v>7133491.8900000006</v>
      </c>
    </row>
    <row r="132" spans="1:3" x14ac:dyDescent="0.2">
      <c r="A132" s="347" t="s">
        <v>260</v>
      </c>
      <c r="B132" s="364" t="s">
        <v>1626</v>
      </c>
      <c r="C132" s="355">
        <v>18433591.530000001</v>
      </c>
    </row>
    <row r="133" spans="1:3" x14ac:dyDescent="0.2">
      <c r="A133" s="347" t="s">
        <v>269</v>
      </c>
      <c r="B133" s="364" t="s">
        <v>1627</v>
      </c>
      <c r="C133" s="355">
        <v>13623602.24</v>
      </c>
    </row>
    <row r="134" spans="1:3" x14ac:dyDescent="0.2">
      <c r="A134" s="347" t="s">
        <v>272</v>
      </c>
      <c r="B134" s="364" t="s">
        <v>1628</v>
      </c>
      <c r="C134" s="355">
        <v>3752608.3099999991</v>
      </c>
    </row>
    <row r="135" spans="1:3" x14ac:dyDescent="0.2">
      <c r="A135" s="347" t="s">
        <v>275</v>
      </c>
      <c r="B135" s="364" t="s">
        <v>1629</v>
      </c>
      <c r="C135" s="355">
        <v>6580023.5299999993</v>
      </c>
    </row>
    <row r="136" spans="1:3" x14ac:dyDescent="0.2">
      <c r="A136" s="347" t="s">
        <v>277</v>
      </c>
      <c r="B136" s="364" t="s">
        <v>1630</v>
      </c>
      <c r="C136" s="355">
        <v>11555794.379999999</v>
      </c>
    </row>
    <row r="137" spans="1:3" x14ac:dyDescent="0.2">
      <c r="A137" s="347" t="s">
        <v>283</v>
      </c>
      <c r="B137" s="364" t="s">
        <v>1631</v>
      </c>
      <c r="C137" s="355">
        <v>2440645.3200000003</v>
      </c>
    </row>
    <row r="138" spans="1:3" x14ac:dyDescent="0.2">
      <c r="A138" s="347" t="s">
        <v>282</v>
      </c>
      <c r="B138" s="364" t="s">
        <v>1632</v>
      </c>
      <c r="C138" s="355">
        <v>5853562.7000000002</v>
      </c>
    </row>
    <row r="139" spans="1:3" x14ac:dyDescent="0.2">
      <c r="A139" s="347" t="s">
        <v>285</v>
      </c>
      <c r="B139" s="364" t="s">
        <v>1578</v>
      </c>
      <c r="C139" s="355">
        <v>5426343.169999999</v>
      </c>
    </row>
    <row r="140" spans="1:3" x14ac:dyDescent="0.2">
      <c r="A140" s="347" t="s">
        <v>286</v>
      </c>
      <c r="B140" s="364" t="s">
        <v>1633</v>
      </c>
      <c r="C140" s="355">
        <v>7999869.6100000013</v>
      </c>
    </row>
    <row r="141" spans="1:3" x14ac:dyDescent="0.2">
      <c r="A141" s="347" t="s">
        <v>287</v>
      </c>
      <c r="B141" s="364" t="s">
        <v>1634</v>
      </c>
      <c r="C141" s="355">
        <v>2660390.2899999996</v>
      </c>
    </row>
    <row r="142" spans="1:3" x14ac:dyDescent="0.2">
      <c r="A142" s="347" t="s">
        <v>294</v>
      </c>
      <c r="B142" s="364" t="s">
        <v>1635</v>
      </c>
      <c r="C142" s="355">
        <v>19666442.09</v>
      </c>
    </row>
    <row r="143" spans="1:3" x14ac:dyDescent="0.2">
      <c r="A143" s="347" t="s">
        <v>295</v>
      </c>
      <c r="B143" s="364" t="s">
        <v>1636</v>
      </c>
      <c r="C143" s="355">
        <v>5236543.3999999994</v>
      </c>
    </row>
    <row r="144" spans="1:3" x14ac:dyDescent="0.2">
      <c r="A144" s="347" t="s">
        <v>329</v>
      </c>
      <c r="B144" s="364" t="s">
        <v>1637</v>
      </c>
      <c r="C144" s="355">
        <v>140273378.11000001</v>
      </c>
    </row>
    <row r="145" spans="1:3" x14ac:dyDescent="0.2">
      <c r="A145" s="347" t="s">
        <v>316</v>
      </c>
      <c r="B145" s="364" t="s">
        <v>1638</v>
      </c>
      <c r="C145" s="355">
        <v>3036034.06</v>
      </c>
    </row>
    <row r="146" spans="1:3" x14ac:dyDescent="0.2">
      <c r="A146" s="347" t="s">
        <v>318</v>
      </c>
      <c r="B146" s="364" t="s">
        <v>1639</v>
      </c>
      <c r="C146" s="355">
        <v>17098324.990000002</v>
      </c>
    </row>
    <row r="147" spans="1:3" x14ac:dyDescent="0.2">
      <c r="A147" s="347" t="s">
        <v>262</v>
      </c>
      <c r="B147" s="364" t="s">
        <v>1640</v>
      </c>
      <c r="C147" s="355">
        <v>9123356.370000001</v>
      </c>
    </row>
    <row r="148" spans="1:3" ht="15" x14ac:dyDescent="0.2">
      <c r="A148" s="338"/>
      <c r="B148" s="359" t="s">
        <v>1311</v>
      </c>
      <c r="C148" s="360">
        <v>72965114.700000003</v>
      </c>
    </row>
    <row r="149" spans="1:3" ht="15" x14ac:dyDescent="0.2">
      <c r="A149" s="361" t="s">
        <v>1312</v>
      </c>
      <c r="B149" s="362" t="s">
        <v>1313</v>
      </c>
      <c r="C149" s="363">
        <v>72965114.700000003</v>
      </c>
    </row>
    <row r="150" spans="1:3" x14ac:dyDescent="0.2">
      <c r="A150" s="347" t="s">
        <v>239</v>
      </c>
      <c r="B150" s="364" t="s">
        <v>238</v>
      </c>
      <c r="C150" s="355">
        <v>72965114.700000003</v>
      </c>
    </row>
    <row r="151" spans="1:3" ht="15" x14ac:dyDescent="0.2">
      <c r="A151" s="349"/>
      <c r="B151" s="358" t="s">
        <v>1314</v>
      </c>
      <c r="C151" s="350">
        <f>SUM(C148,C111,C42,C5)</f>
        <v>2011939329.9997602</v>
      </c>
    </row>
  </sheetData>
  <autoFilter ref="A5:C151" xr:uid="{29D00FB2-3BEE-4B66-86B5-166387AB0638}"/>
  <mergeCells count="3">
    <mergeCell ref="A1:C1"/>
    <mergeCell ref="A2:C2"/>
    <mergeCell ref="A3:C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3D625-1535-47FB-9190-5C1205AEB8E6}">
  <dimension ref="A1:D177"/>
  <sheetViews>
    <sheetView workbookViewId="0">
      <selection activeCell="A3" sqref="A3:C3"/>
    </sheetView>
  </sheetViews>
  <sheetFormatPr baseColWidth="10" defaultRowHeight="14.25" x14ac:dyDescent="0.2"/>
  <cols>
    <col min="1" max="1" width="38.75" customWidth="1"/>
    <col min="2" max="2" width="17.75" style="365" customWidth="1"/>
    <col min="3" max="3" width="25.625" style="1" customWidth="1"/>
  </cols>
  <sheetData>
    <row r="1" spans="1:4" ht="15" x14ac:dyDescent="0.2">
      <c r="A1" s="403" t="s">
        <v>411</v>
      </c>
      <c r="B1" s="404"/>
      <c r="C1" s="405"/>
    </row>
    <row r="2" spans="1:4" ht="15" customHeight="1" x14ac:dyDescent="0.2">
      <c r="A2" s="417" t="s">
        <v>1496</v>
      </c>
      <c r="B2" s="418"/>
      <c r="C2" s="419"/>
    </row>
    <row r="3" spans="1:4" ht="15" x14ac:dyDescent="0.2">
      <c r="A3" s="408" t="s">
        <v>1509</v>
      </c>
      <c r="B3" s="409"/>
      <c r="C3" s="410"/>
    </row>
    <row r="4" spans="1:4" ht="15" x14ac:dyDescent="0.2">
      <c r="A4" s="394" t="s">
        <v>1336</v>
      </c>
      <c r="B4" s="394" t="s">
        <v>1</v>
      </c>
      <c r="C4" s="396" t="s">
        <v>1510</v>
      </c>
    </row>
    <row r="5" spans="1:4" x14ac:dyDescent="0.2">
      <c r="A5" s="393" t="s">
        <v>1476</v>
      </c>
      <c r="B5" s="347">
        <v>2</v>
      </c>
      <c r="C5" s="348">
        <v>30800.62</v>
      </c>
      <c r="D5" s="327"/>
    </row>
    <row r="6" spans="1:4" x14ac:dyDescent="0.2">
      <c r="A6" s="393" t="s">
        <v>1478</v>
      </c>
      <c r="B6" s="347">
        <v>1</v>
      </c>
      <c r="C6" s="348">
        <v>29196.91</v>
      </c>
      <c r="D6" s="327"/>
    </row>
    <row r="7" spans="1:4" x14ac:dyDescent="0.2">
      <c r="A7" s="393" t="s">
        <v>1477</v>
      </c>
      <c r="B7" s="347">
        <v>1</v>
      </c>
      <c r="C7" s="348">
        <v>27347.94</v>
      </c>
      <c r="D7" s="327"/>
    </row>
    <row r="8" spans="1:4" x14ac:dyDescent="0.2">
      <c r="A8" s="393" t="s">
        <v>1455</v>
      </c>
      <c r="B8" s="347">
        <v>8</v>
      </c>
      <c r="C8" s="348">
        <v>23521.83</v>
      </c>
      <c r="D8" s="327"/>
    </row>
    <row r="9" spans="1:4" x14ac:dyDescent="0.2">
      <c r="A9" s="393" t="s">
        <v>1479</v>
      </c>
      <c r="B9" s="347">
        <v>3</v>
      </c>
      <c r="C9" s="348">
        <v>38930.33</v>
      </c>
      <c r="D9" s="327"/>
    </row>
    <row r="10" spans="1:4" x14ac:dyDescent="0.2">
      <c r="A10" s="393" t="s">
        <v>1437</v>
      </c>
      <c r="B10" s="347">
        <v>1</v>
      </c>
      <c r="C10" s="348">
        <v>36001.39</v>
      </c>
      <c r="D10" s="327"/>
    </row>
    <row r="11" spans="1:4" x14ac:dyDescent="0.2">
      <c r="A11" s="393" t="s">
        <v>1480</v>
      </c>
      <c r="B11" s="347">
        <v>1</v>
      </c>
      <c r="C11" s="348">
        <v>25682.12</v>
      </c>
      <c r="D11" s="327"/>
    </row>
    <row r="12" spans="1:4" x14ac:dyDescent="0.2">
      <c r="A12" s="393" t="s">
        <v>1465</v>
      </c>
      <c r="B12" s="347">
        <v>192</v>
      </c>
      <c r="C12" s="348">
        <v>12596.63</v>
      </c>
      <c r="D12" s="327"/>
    </row>
    <row r="13" spans="1:4" x14ac:dyDescent="0.2">
      <c r="A13" s="393" t="s">
        <v>1484</v>
      </c>
      <c r="B13" s="347">
        <v>1</v>
      </c>
      <c r="C13" s="348">
        <v>7168.78</v>
      </c>
      <c r="D13" s="327"/>
    </row>
    <row r="14" spans="1:4" x14ac:dyDescent="0.2">
      <c r="A14" s="393" t="s">
        <v>1406</v>
      </c>
      <c r="B14" s="347">
        <v>1</v>
      </c>
      <c r="C14" s="348">
        <v>18090.189999999999</v>
      </c>
      <c r="D14" s="327"/>
    </row>
    <row r="15" spans="1:4" x14ac:dyDescent="0.2">
      <c r="A15" s="393" t="s">
        <v>1415</v>
      </c>
      <c r="B15" s="347">
        <v>1</v>
      </c>
      <c r="C15" s="348">
        <v>13587.32</v>
      </c>
      <c r="D15" s="327"/>
    </row>
    <row r="16" spans="1:4" x14ac:dyDescent="0.2">
      <c r="A16" s="393" t="s">
        <v>1345</v>
      </c>
      <c r="B16" s="347">
        <v>14</v>
      </c>
      <c r="C16" s="348">
        <v>20348.88</v>
      </c>
      <c r="D16" s="327"/>
    </row>
    <row r="17" spans="1:4" x14ac:dyDescent="0.2">
      <c r="A17" s="393" t="s">
        <v>1348</v>
      </c>
      <c r="B17" s="347">
        <v>17</v>
      </c>
      <c r="C17" s="348">
        <v>20348.88</v>
      </c>
      <c r="D17" s="327"/>
    </row>
    <row r="18" spans="1:4" x14ac:dyDescent="0.2">
      <c r="A18" s="393" t="s">
        <v>1358</v>
      </c>
      <c r="B18" s="347">
        <v>39</v>
      </c>
      <c r="C18" s="348">
        <v>17934.61</v>
      </c>
      <c r="D18" s="327"/>
    </row>
    <row r="19" spans="1:4" x14ac:dyDescent="0.2">
      <c r="A19" s="393" t="s">
        <v>1349</v>
      </c>
      <c r="B19" s="347">
        <v>13</v>
      </c>
      <c r="C19" s="348">
        <v>16092.51</v>
      </c>
      <c r="D19" s="327"/>
    </row>
    <row r="20" spans="1:4" x14ac:dyDescent="0.2">
      <c r="A20" s="393" t="s">
        <v>1381</v>
      </c>
      <c r="B20" s="347">
        <v>16</v>
      </c>
      <c r="C20" s="348">
        <v>15691.84</v>
      </c>
      <c r="D20" s="327"/>
    </row>
    <row r="21" spans="1:4" x14ac:dyDescent="0.2">
      <c r="A21" s="393" t="s">
        <v>1366</v>
      </c>
      <c r="B21" s="347">
        <v>32</v>
      </c>
      <c r="C21" s="348">
        <v>14675.9</v>
      </c>
      <c r="D21" s="327"/>
    </row>
    <row r="22" spans="1:4" x14ac:dyDescent="0.2">
      <c r="A22" s="393" t="s">
        <v>1376</v>
      </c>
      <c r="B22" s="347">
        <v>23</v>
      </c>
      <c r="C22" s="348">
        <v>13848.34</v>
      </c>
      <c r="D22" s="327"/>
    </row>
    <row r="23" spans="1:4" x14ac:dyDescent="0.2">
      <c r="A23" s="393" t="s">
        <v>1371</v>
      </c>
      <c r="B23" s="347">
        <v>52</v>
      </c>
      <c r="C23" s="348">
        <v>13416.75</v>
      </c>
      <c r="D23" s="327"/>
    </row>
    <row r="24" spans="1:4" x14ac:dyDescent="0.2">
      <c r="A24" s="393" t="s">
        <v>1374</v>
      </c>
      <c r="B24" s="347">
        <v>46</v>
      </c>
      <c r="C24" s="348">
        <v>12396.12</v>
      </c>
      <c r="D24" s="327"/>
    </row>
    <row r="25" spans="1:4" x14ac:dyDescent="0.2">
      <c r="A25" s="393" t="s">
        <v>1377</v>
      </c>
      <c r="B25" s="347">
        <v>22</v>
      </c>
      <c r="C25" s="348">
        <v>11708.2</v>
      </c>
      <c r="D25" s="327"/>
    </row>
    <row r="26" spans="1:4" x14ac:dyDescent="0.2">
      <c r="A26" s="393" t="s">
        <v>1383</v>
      </c>
      <c r="B26" s="347">
        <v>36</v>
      </c>
      <c r="C26" s="348">
        <v>11031.06</v>
      </c>
      <c r="D26" s="327"/>
    </row>
    <row r="27" spans="1:4" x14ac:dyDescent="0.2">
      <c r="A27" s="393" t="s">
        <v>1355</v>
      </c>
      <c r="B27" s="347">
        <v>28</v>
      </c>
      <c r="C27" s="348">
        <v>10079.780000000001</v>
      </c>
      <c r="D27" s="327"/>
    </row>
    <row r="28" spans="1:4" x14ac:dyDescent="0.2">
      <c r="A28" s="393" t="s">
        <v>1393</v>
      </c>
      <c r="B28" s="347">
        <v>12</v>
      </c>
      <c r="C28" s="348">
        <v>9703.49</v>
      </c>
      <c r="D28" s="327"/>
    </row>
    <row r="29" spans="1:4" x14ac:dyDescent="0.2">
      <c r="A29" s="393" t="s">
        <v>1372</v>
      </c>
      <c r="B29" s="347">
        <v>13</v>
      </c>
      <c r="C29" s="348">
        <v>8984.17</v>
      </c>
      <c r="D29" s="327"/>
    </row>
    <row r="30" spans="1:4" x14ac:dyDescent="0.2">
      <c r="A30" s="393" t="s">
        <v>1441</v>
      </c>
      <c r="B30" s="347">
        <v>5</v>
      </c>
      <c r="C30" s="348">
        <v>8300</v>
      </c>
      <c r="D30" s="327"/>
    </row>
    <row r="31" spans="1:4" x14ac:dyDescent="0.2">
      <c r="A31" s="393" t="s">
        <v>1425</v>
      </c>
      <c r="B31" s="347">
        <v>4</v>
      </c>
      <c r="C31" s="348">
        <v>7766.73</v>
      </c>
      <c r="D31" s="327"/>
    </row>
    <row r="32" spans="1:4" x14ac:dyDescent="0.2">
      <c r="A32" s="393" t="s">
        <v>1386</v>
      </c>
      <c r="B32" s="347">
        <v>8</v>
      </c>
      <c r="C32" s="348">
        <v>9012.76</v>
      </c>
      <c r="D32" s="327"/>
    </row>
    <row r="33" spans="1:4" x14ac:dyDescent="0.2">
      <c r="A33" s="393" t="s">
        <v>1387</v>
      </c>
      <c r="B33" s="347">
        <v>6</v>
      </c>
      <c r="C33" s="348">
        <v>8256.42</v>
      </c>
      <c r="D33" s="327"/>
    </row>
    <row r="34" spans="1:4" x14ac:dyDescent="0.2">
      <c r="A34" s="393" t="s">
        <v>1442</v>
      </c>
      <c r="B34" s="347">
        <v>19</v>
      </c>
      <c r="C34" s="348">
        <v>7393.71</v>
      </c>
      <c r="D34" s="327"/>
    </row>
    <row r="35" spans="1:4" x14ac:dyDescent="0.2">
      <c r="A35" s="393" t="s">
        <v>1388</v>
      </c>
      <c r="B35" s="347">
        <v>26</v>
      </c>
      <c r="C35" s="348">
        <v>6831.85</v>
      </c>
      <c r="D35" s="327"/>
    </row>
    <row r="36" spans="1:4" x14ac:dyDescent="0.2">
      <c r="A36" s="393" t="s">
        <v>1449</v>
      </c>
      <c r="B36" s="347">
        <v>9</v>
      </c>
      <c r="C36" s="348">
        <v>6060.05</v>
      </c>
      <c r="D36" s="327"/>
    </row>
    <row r="37" spans="1:4" x14ac:dyDescent="0.2">
      <c r="A37" s="393" t="s">
        <v>1424</v>
      </c>
      <c r="B37" s="347">
        <v>1</v>
      </c>
      <c r="C37" s="348">
        <v>7311.24</v>
      </c>
      <c r="D37" s="327"/>
    </row>
    <row r="38" spans="1:4" x14ac:dyDescent="0.2">
      <c r="A38" s="393" t="s">
        <v>1338</v>
      </c>
      <c r="B38" s="347">
        <v>4</v>
      </c>
      <c r="C38" s="348">
        <v>13953.42</v>
      </c>
      <c r="D38" s="327"/>
    </row>
    <row r="39" spans="1:4" x14ac:dyDescent="0.2">
      <c r="A39" s="393" t="s">
        <v>1339</v>
      </c>
      <c r="B39" s="347">
        <v>6</v>
      </c>
      <c r="C39" s="348">
        <v>10482.959999999999</v>
      </c>
      <c r="D39" s="327"/>
    </row>
    <row r="40" spans="1:4" x14ac:dyDescent="0.2">
      <c r="A40" s="393" t="s">
        <v>1340</v>
      </c>
      <c r="B40" s="347">
        <v>11</v>
      </c>
      <c r="C40" s="348">
        <v>10091.629999999999</v>
      </c>
      <c r="D40" s="327"/>
    </row>
    <row r="41" spans="1:4" x14ac:dyDescent="0.2">
      <c r="A41" s="393" t="s">
        <v>1487</v>
      </c>
      <c r="B41" s="347">
        <v>1</v>
      </c>
      <c r="C41" s="348">
        <v>14163.24</v>
      </c>
      <c r="D41" s="327"/>
    </row>
    <row r="42" spans="1:4" x14ac:dyDescent="0.2">
      <c r="A42" s="393" t="s">
        <v>1486</v>
      </c>
      <c r="B42" s="347">
        <v>7</v>
      </c>
      <c r="C42" s="348">
        <v>11717.57</v>
      </c>
      <c r="D42" s="327"/>
    </row>
    <row r="43" spans="1:4" x14ac:dyDescent="0.2">
      <c r="A43" s="393" t="s">
        <v>1489</v>
      </c>
      <c r="B43" s="347">
        <v>2</v>
      </c>
      <c r="C43" s="348">
        <v>10837.52</v>
      </c>
      <c r="D43" s="327"/>
    </row>
    <row r="44" spans="1:4" x14ac:dyDescent="0.2">
      <c r="A44" s="393" t="s">
        <v>1485</v>
      </c>
      <c r="B44" s="347">
        <v>2</v>
      </c>
      <c r="C44" s="348">
        <v>5021.62</v>
      </c>
      <c r="D44" s="327"/>
    </row>
    <row r="45" spans="1:4" x14ac:dyDescent="0.2">
      <c r="A45" s="393" t="s">
        <v>1431</v>
      </c>
      <c r="B45" s="347">
        <v>1</v>
      </c>
      <c r="C45" s="348">
        <v>27384.58</v>
      </c>
      <c r="D45" s="327"/>
    </row>
    <row r="46" spans="1:4" x14ac:dyDescent="0.2">
      <c r="A46" s="393" t="s">
        <v>1471</v>
      </c>
      <c r="B46" s="347">
        <v>1</v>
      </c>
      <c r="C46" s="348">
        <v>11031.06</v>
      </c>
      <c r="D46" s="327"/>
    </row>
    <row r="47" spans="1:4" x14ac:dyDescent="0.2">
      <c r="A47" s="393" t="s">
        <v>1421</v>
      </c>
      <c r="B47" s="347">
        <v>5</v>
      </c>
      <c r="C47" s="348">
        <v>9863.2800000000007</v>
      </c>
      <c r="D47" s="327"/>
    </row>
    <row r="48" spans="1:4" x14ac:dyDescent="0.2">
      <c r="A48" s="393" t="s">
        <v>1443</v>
      </c>
      <c r="B48" s="347">
        <v>9</v>
      </c>
      <c r="C48" s="348">
        <v>7516.96</v>
      </c>
      <c r="D48" s="327"/>
    </row>
    <row r="49" spans="1:4" x14ac:dyDescent="0.2">
      <c r="A49" s="393" t="s">
        <v>1417</v>
      </c>
      <c r="B49" s="347">
        <v>77</v>
      </c>
      <c r="C49" s="348">
        <v>7184.71</v>
      </c>
      <c r="D49" s="327"/>
    </row>
    <row r="50" spans="1:4" x14ac:dyDescent="0.2">
      <c r="A50" s="393" t="s">
        <v>1461</v>
      </c>
      <c r="B50" s="347">
        <v>1</v>
      </c>
      <c r="C50" s="348">
        <v>62320.27</v>
      </c>
      <c r="D50" s="327"/>
    </row>
    <row r="51" spans="1:4" x14ac:dyDescent="0.2">
      <c r="A51" s="393" t="s">
        <v>1363</v>
      </c>
      <c r="B51" s="347">
        <v>9</v>
      </c>
      <c r="C51" s="348">
        <v>33912.230000000003</v>
      </c>
      <c r="D51" s="327"/>
    </row>
    <row r="52" spans="1:4" x14ac:dyDescent="0.2">
      <c r="A52" s="393" t="s">
        <v>1370</v>
      </c>
      <c r="B52" s="347">
        <v>3</v>
      </c>
      <c r="C52" s="348">
        <v>26972.67</v>
      </c>
      <c r="D52" s="327"/>
    </row>
    <row r="53" spans="1:4" x14ac:dyDescent="0.2">
      <c r="A53" s="393" t="s">
        <v>1428</v>
      </c>
      <c r="B53" s="347">
        <v>5</v>
      </c>
      <c r="C53" s="348">
        <v>25882.22</v>
      </c>
      <c r="D53" s="327"/>
    </row>
    <row r="54" spans="1:4" x14ac:dyDescent="0.2">
      <c r="A54" s="393" t="s">
        <v>1423</v>
      </c>
      <c r="B54" s="347">
        <v>3</v>
      </c>
      <c r="C54" s="348">
        <v>24596.35</v>
      </c>
      <c r="D54" s="327"/>
    </row>
    <row r="55" spans="1:4" x14ac:dyDescent="0.2">
      <c r="A55" s="393" t="s">
        <v>1357</v>
      </c>
      <c r="B55" s="347">
        <v>12</v>
      </c>
      <c r="C55" s="348">
        <v>23124.45</v>
      </c>
      <c r="D55" s="327"/>
    </row>
    <row r="56" spans="1:4" x14ac:dyDescent="0.2">
      <c r="A56" s="393" t="s">
        <v>1400</v>
      </c>
      <c r="B56" s="347">
        <v>9</v>
      </c>
      <c r="C56" s="348">
        <v>21256.58</v>
      </c>
      <c r="D56" s="327"/>
    </row>
    <row r="57" spans="1:4" x14ac:dyDescent="0.2">
      <c r="A57" s="393" t="s">
        <v>1440</v>
      </c>
      <c r="B57" s="347">
        <v>6</v>
      </c>
      <c r="C57" s="348">
        <v>19066.3</v>
      </c>
      <c r="D57" s="327"/>
    </row>
    <row r="58" spans="1:4" x14ac:dyDescent="0.2">
      <c r="A58" s="393" t="s">
        <v>1408</v>
      </c>
      <c r="B58" s="347">
        <v>6</v>
      </c>
      <c r="C58" s="348">
        <v>18090.189999999999</v>
      </c>
      <c r="D58" s="327"/>
    </row>
    <row r="59" spans="1:4" x14ac:dyDescent="0.2">
      <c r="A59" s="393" t="s">
        <v>1356</v>
      </c>
      <c r="B59" s="347">
        <v>6</v>
      </c>
      <c r="C59" s="348">
        <v>16898.509999999998</v>
      </c>
      <c r="D59" s="327"/>
    </row>
    <row r="60" spans="1:4" x14ac:dyDescent="0.2">
      <c r="A60" s="393" t="s">
        <v>1354</v>
      </c>
      <c r="B60" s="347">
        <v>3</v>
      </c>
      <c r="C60" s="348">
        <v>15113.58</v>
      </c>
      <c r="D60" s="327"/>
    </row>
    <row r="61" spans="1:4" x14ac:dyDescent="0.2">
      <c r="A61" s="393" t="s">
        <v>1525</v>
      </c>
      <c r="B61" s="347">
        <v>1</v>
      </c>
      <c r="C61" s="348">
        <v>30654.43</v>
      </c>
      <c r="D61" s="327"/>
    </row>
    <row r="62" spans="1:4" x14ac:dyDescent="0.2">
      <c r="A62" s="393" t="s">
        <v>1511</v>
      </c>
      <c r="B62" s="347">
        <v>6</v>
      </c>
      <c r="C62" s="348">
        <v>28780.84</v>
      </c>
      <c r="D62" s="327"/>
    </row>
    <row r="63" spans="1:4" x14ac:dyDescent="0.2">
      <c r="A63" s="393" t="s">
        <v>1433</v>
      </c>
      <c r="B63" s="347">
        <v>1</v>
      </c>
      <c r="C63" s="395">
        <v>27347.93</v>
      </c>
      <c r="D63" s="327"/>
    </row>
    <row r="64" spans="1:4" x14ac:dyDescent="0.2">
      <c r="A64" s="393" t="s">
        <v>1474</v>
      </c>
      <c r="B64" s="347">
        <v>5</v>
      </c>
      <c r="C64" s="348">
        <v>10396.56</v>
      </c>
      <c r="D64" s="327"/>
    </row>
    <row r="65" spans="1:4" x14ac:dyDescent="0.2">
      <c r="A65" s="393" t="s">
        <v>1473</v>
      </c>
      <c r="B65" s="347">
        <v>60</v>
      </c>
      <c r="C65" s="348">
        <v>8542.74</v>
      </c>
      <c r="D65" s="327"/>
    </row>
    <row r="66" spans="1:4" x14ac:dyDescent="0.2">
      <c r="A66" s="393" t="s">
        <v>1514</v>
      </c>
      <c r="B66" s="347">
        <v>9</v>
      </c>
      <c r="C66" s="348">
        <v>36473.85</v>
      </c>
      <c r="D66" s="327"/>
    </row>
    <row r="67" spans="1:4" x14ac:dyDescent="0.2">
      <c r="A67" s="393" t="s">
        <v>1512</v>
      </c>
      <c r="B67" s="347">
        <v>2</v>
      </c>
      <c r="C67" s="348">
        <v>35622.660000000003</v>
      </c>
      <c r="D67" s="327"/>
    </row>
    <row r="68" spans="1:4" x14ac:dyDescent="0.2">
      <c r="A68" s="393" t="s">
        <v>1513</v>
      </c>
      <c r="B68" s="347">
        <v>5</v>
      </c>
      <c r="C68" s="348">
        <v>33171.730000000003</v>
      </c>
      <c r="D68" s="327"/>
    </row>
    <row r="69" spans="1:4" x14ac:dyDescent="0.2">
      <c r="A69" s="393" t="s">
        <v>1343</v>
      </c>
      <c r="B69" s="347">
        <v>12</v>
      </c>
      <c r="C69" s="348">
        <v>43503.77</v>
      </c>
      <c r="D69" s="327"/>
    </row>
    <row r="70" spans="1:4" x14ac:dyDescent="0.2">
      <c r="A70" s="393" t="s">
        <v>1450</v>
      </c>
      <c r="B70" s="347">
        <v>6</v>
      </c>
      <c r="C70" s="348">
        <v>9043.69</v>
      </c>
      <c r="D70" s="327"/>
    </row>
    <row r="71" spans="1:4" x14ac:dyDescent="0.2">
      <c r="A71" s="393" t="s">
        <v>1434</v>
      </c>
      <c r="B71" s="347">
        <v>2</v>
      </c>
      <c r="C71" s="348">
        <v>21788.92</v>
      </c>
      <c r="D71" s="327"/>
    </row>
    <row r="72" spans="1:4" x14ac:dyDescent="0.2">
      <c r="A72" s="393" t="s">
        <v>1347</v>
      </c>
      <c r="B72" s="347">
        <v>8</v>
      </c>
      <c r="C72" s="348">
        <v>18090.189999999999</v>
      </c>
      <c r="D72" s="327"/>
    </row>
    <row r="73" spans="1:4" x14ac:dyDescent="0.2">
      <c r="A73" s="393" t="s">
        <v>1379</v>
      </c>
      <c r="B73" s="347">
        <v>12</v>
      </c>
      <c r="C73" s="348">
        <v>17371.810000000001</v>
      </c>
      <c r="D73" s="327"/>
    </row>
    <row r="74" spans="1:4" x14ac:dyDescent="0.2">
      <c r="A74" s="393" t="s">
        <v>1359</v>
      </c>
      <c r="B74" s="347">
        <v>12</v>
      </c>
      <c r="C74" s="348">
        <v>16532.53</v>
      </c>
      <c r="D74" s="327"/>
    </row>
    <row r="75" spans="1:4" x14ac:dyDescent="0.2">
      <c r="A75" s="393" t="s">
        <v>1412</v>
      </c>
      <c r="B75" s="347">
        <v>8</v>
      </c>
      <c r="C75" s="348">
        <v>15030.17</v>
      </c>
      <c r="D75" s="327"/>
    </row>
    <row r="76" spans="1:4" x14ac:dyDescent="0.2">
      <c r="A76" s="393" t="s">
        <v>1375</v>
      </c>
      <c r="B76" s="347">
        <v>6</v>
      </c>
      <c r="C76" s="348">
        <v>13610.75</v>
      </c>
      <c r="D76" s="327"/>
    </row>
    <row r="77" spans="1:4" x14ac:dyDescent="0.2">
      <c r="A77" s="393" t="s">
        <v>1361</v>
      </c>
      <c r="B77" s="347">
        <v>9</v>
      </c>
      <c r="C77" s="348">
        <v>12229.29</v>
      </c>
      <c r="D77" s="327"/>
    </row>
    <row r="78" spans="1:4" x14ac:dyDescent="0.2">
      <c r="A78" s="393" t="s">
        <v>1368</v>
      </c>
      <c r="B78" s="347">
        <v>6</v>
      </c>
      <c r="C78" s="348">
        <v>11272.39</v>
      </c>
      <c r="D78" s="327"/>
    </row>
    <row r="79" spans="1:4" x14ac:dyDescent="0.2">
      <c r="A79" s="393" t="s">
        <v>1392</v>
      </c>
      <c r="B79" s="347">
        <v>5</v>
      </c>
      <c r="C79" s="348">
        <v>10731.15</v>
      </c>
      <c r="D79" s="327"/>
    </row>
    <row r="80" spans="1:4" x14ac:dyDescent="0.2">
      <c r="A80" s="393" t="s">
        <v>1422</v>
      </c>
      <c r="B80" s="347">
        <v>6</v>
      </c>
      <c r="C80" s="348">
        <v>9707.7099999999991</v>
      </c>
      <c r="D80" s="327"/>
    </row>
    <row r="81" spans="1:4" x14ac:dyDescent="0.2">
      <c r="A81" s="393" t="s">
        <v>1378</v>
      </c>
      <c r="B81" s="347">
        <v>15</v>
      </c>
      <c r="C81" s="348">
        <v>9062.9</v>
      </c>
      <c r="D81" s="327"/>
    </row>
    <row r="82" spans="1:4" x14ac:dyDescent="0.2">
      <c r="A82" s="393" t="s">
        <v>1427</v>
      </c>
      <c r="B82" s="347">
        <v>14</v>
      </c>
      <c r="C82" s="348">
        <v>8253.61</v>
      </c>
      <c r="D82" s="327"/>
    </row>
    <row r="83" spans="1:4" x14ac:dyDescent="0.2">
      <c r="A83" s="393" t="s">
        <v>1403</v>
      </c>
      <c r="B83" s="347">
        <v>9</v>
      </c>
      <c r="C83" s="348">
        <v>7665.98</v>
      </c>
      <c r="D83" s="327"/>
    </row>
    <row r="84" spans="1:4" x14ac:dyDescent="0.2">
      <c r="A84" s="393" t="s">
        <v>1445</v>
      </c>
      <c r="B84" s="347">
        <v>5</v>
      </c>
      <c r="C84" s="348">
        <v>6885.74</v>
      </c>
      <c r="D84" s="327"/>
    </row>
    <row r="85" spans="1:4" x14ac:dyDescent="0.2">
      <c r="A85" s="393" t="s">
        <v>1516</v>
      </c>
      <c r="B85" s="347">
        <v>1</v>
      </c>
      <c r="C85" s="348">
        <v>42315.42</v>
      </c>
      <c r="D85" s="327"/>
    </row>
    <row r="86" spans="1:4" x14ac:dyDescent="0.2">
      <c r="A86" s="393" t="s">
        <v>1436</v>
      </c>
      <c r="B86" s="347">
        <v>1</v>
      </c>
      <c r="C86" s="348">
        <v>15696.53</v>
      </c>
      <c r="D86" s="327"/>
    </row>
    <row r="87" spans="1:4" x14ac:dyDescent="0.2">
      <c r="A87" s="393" t="s">
        <v>1470</v>
      </c>
      <c r="B87" s="347">
        <v>30</v>
      </c>
      <c r="C87" s="348">
        <v>11435.76</v>
      </c>
      <c r="D87" s="327"/>
    </row>
    <row r="88" spans="1:4" x14ac:dyDescent="0.2">
      <c r="A88" s="393" t="s">
        <v>1395</v>
      </c>
      <c r="B88" s="347">
        <v>2</v>
      </c>
      <c r="C88" s="348">
        <v>11272.39</v>
      </c>
      <c r="D88" s="327"/>
    </row>
    <row r="89" spans="1:4" x14ac:dyDescent="0.2">
      <c r="A89" s="393" t="s">
        <v>1439</v>
      </c>
      <c r="B89" s="347">
        <v>1</v>
      </c>
      <c r="C89" s="348">
        <v>6999.61</v>
      </c>
      <c r="D89" s="327"/>
    </row>
    <row r="90" spans="1:4" x14ac:dyDescent="0.2">
      <c r="A90" s="393" t="s">
        <v>1385</v>
      </c>
      <c r="B90" s="347">
        <v>22</v>
      </c>
      <c r="C90" s="348">
        <v>7735.8</v>
      </c>
      <c r="D90" s="327"/>
    </row>
    <row r="91" spans="1:4" x14ac:dyDescent="0.2">
      <c r="A91" s="393" t="s">
        <v>1446</v>
      </c>
      <c r="B91" s="347">
        <v>2</v>
      </c>
      <c r="C91" s="348">
        <v>6218.44</v>
      </c>
      <c r="D91" s="327"/>
    </row>
    <row r="92" spans="1:4" x14ac:dyDescent="0.2">
      <c r="A92" s="393" t="s">
        <v>1404</v>
      </c>
      <c r="B92" s="347">
        <v>10</v>
      </c>
      <c r="C92" s="348">
        <v>7184.25</v>
      </c>
      <c r="D92" s="327"/>
    </row>
    <row r="93" spans="1:4" x14ac:dyDescent="0.2">
      <c r="A93" s="393" t="s">
        <v>1405</v>
      </c>
      <c r="B93" s="347">
        <v>13</v>
      </c>
      <c r="C93" s="348">
        <v>6549.75</v>
      </c>
      <c r="D93" s="327"/>
    </row>
    <row r="94" spans="1:4" x14ac:dyDescent="0.2">
      <c r="A94" s="393" t="s">
        <v>1448</v>
      </c>
      <c r="B94" s="347">
        <v>9</v>
      </c>
      <c r="C94" s="348">
        <v>6060.05</v>
      </c>
      <c r="D94" s="327"/>
    </row>
    <row r="95" spans="1:4" x14ac:dyDescent="0.2">
      <c r="A95" s="393" t="s">
        <v>1411</v>
      </c>
      <c r="B95" s="347">
        <v>3</v>
      </c>
      <c r="C95" s="348">
        <v>33918.58</v>
      </c>
      <c r="D95" s="327"/>
    </row>
    <row r="96" spans="1:4" x14ac:dyDescent="0.2">
      <c r="A96" s="393" t="s">
        <v>1394</v>
      </c>
      <c r="B96" s="347">
        <v>7</v>
      </c>
      <c r="C96" s="348">
        <v>31576.47</v>
      </c>
      <c r="D96" s="327"/>
    </row>
    <row r="97" spans="1:4" x14ac:dyDescent="0.2">
      <c r="A97" s="393" t="s">
        <v>1344</v>
      </c>
      <c r="B97" s="347">
        <v>11</v>
      </c>
      <c r="C97" s="348">
        <v>29196.91</v>
      </c>
      <c r="D97" s="327"/>
    </row>
    <row r="98" spans="1:4" x14ac:dyDescent="0.2">
      <c r="A98" s="393" t="s">
        <v>1409</v>
      </c>
      <c r="B98" s="347">
        <v>3</v>
      </c>
      <c r="C98" s="348">
        <v>27562.84</v>
      </c>
      <c r="D98" s="327"/>
    </row>
    <row r="99" spans="1:4" x14ac:dyDescent="0.2">
      <c r="A99" s="393" t="s">
        <v>1352</v>
      </c>
      <c r="B99" s="347">
        <v>4</v>
      </c>
      <c r="C99" s="348">
        <v>26263.67</v>
      </c>
      <c r="D99" s="327"/>
    </row>
    <row r="100" spans="1:4" x14ac:dyDescent="0.2">
      <c r="A100" s="393" t="s">
        <v>1353</v>
      </c>
      <c r="B100" s="347">
        <v>8</v>
      </c>
      <c r="C100" s="348">
        <v>24705.07</v>
      </c>
      <c r="D100" s="327"/>
    </row>
    <row r="101" spans="1:4" x14ac:dyDescent="0.2">
      <c r="A101" s="393" t="s">
        <v>1351</v>
      </c>
      <c r="B101" s="347">
        <v>14</v>
      </c>
      <c r="C101" s="348">
        <v>22985.279999999999</v>
      </c>
      <c r="D101" s="327"/>
    </row>
    <row r="102" spans="1:4" x14ac:dyDescent="0.2">
      <c r="A102" s="393" t="s">
        <v>1350</v>
      </c>
      <c r="B102" s="347">
        <v>4</v>
      </c>
      <c r="C102" s="348">
        <v>21463.7</v>
      </c>
      <c r="D102" s="327"/>
    </row>
    <row r="103" spans="1:4" x14ac:dyDescent="0.2">
      <c r="A103" s="393" t="s">
        <v>1360</v>
      </c>
      <c r="B103" s="347">
        <v>6</v>
      </c>
      <c r="C103" s="348">
        <v>20436.04</v>
      </c>
      <c r="D103" s="327"/>
    </row>
    <row r="104" spans="1:4" x14ac:dyDescent="0.2">
      <c r="A104" s="393" t="s">
        <v>1397</v>
      </c>
      <c r="B104" s="347">
        <v>3</v>
      </c>
      <c r="C104" s="348">
        <v>17362.900000000001</v>
      </c>
      <c r="D104" s="327"/>
    </row>
    <row r="105" spans="1:4" x14ac:dyDescent="0.2">
      <c r="A105" s="393" t="s">
        <v>1469</v>
      </c>
      <c r="B105" s="347">
        <v>2</v>
      </c>
      <c r="C105" s="348">
        <v>16268.7</v>
      </c>
      <c r="D105" s="327"/>
    </row>
    <row r="106" spans="1:4" x14ac:dyDescent="0.2">
      <c r="A106" s="393" t="s">
        <v>1396</v>
      </c>
      <c r="B106" s="347">
        <v>1</v>
      </c>
      <c r="C106" s="348">
        <v>15113.58</v>
      </c>
      <c r="D106" s="327"/>
    </row>
    <row r="107" spans="1:4" x14ac:dyDescent="0.2">
      <c r="A107" s="393" t="s">
        <v>1367</v>
      </c>
      <c r="B107" s="347">
        <v>1</v>
      </c>
      <c r="C107" s="348">
        <v>11029.65</v>
      </c>
      <c r="D107" s="327"/>
    </row>
    <row r="108" spans="1:4" x14ac:dyDescent="0.2">
      <c r="A108" s="393" t="s">
        <v>1435</v>
      </c>
      <c r="B108" s="347">
        <v>26</v>
      </c>
      <c r="C108" s="397" t="s">
        <v>1494</v>
      </c>
      <c r="D108" s="327"/>
    </row>
    <row r="109" spans="1:4" x14ac:dyDescent="0.2">
      <c r="A109" s="393" t="s">
        <v>1463</v>
      </c>
      <c r="B109" s="347">
        <v>1</v>
      </c>
      <c r="C109" s="348">
        <v>17934.61</v>
      </c>
      <c r="D109" s="327"/>
    </row>
    <row r="110" spans="1:4" x14ac:dyDescent="0.2">
      <c r="A110" s="393" t="s">
        <v>1490</v>
      </c>
      <c r="B110" s="347">
        <v>6</v>
      </c>
      <c r="C110" s="348">
        <v>9509.34</v>
      </c>
      <c r="D110" s="327"/>
    </row>
    <row r="111" spans="1:4" x14ac:dyDescent="0.2">
      <c r="A111" s="393" t="s">
        <v>1459</v>
      </c>
      <c r="B111" s="347">
        <v>4</v>
      </c>
      <c r="C111" s="348">
        <v>19763.12</v>
      </c>
      <c r="D111" s="327"/>
    </row>
    <row r="112" spans="1:4" x14ac:dyDescent="0.2">
      <c r="A112" s="393" t="s">
        <v>1389</v>
      </c>
      <c r="B112" s="347">
        <v>3</v>
      </c>
      <c r="C112" s="348">
        <v>8253.61</v>
      </c>
      <c r="D112" s="327"/>
    </row>
    <row r="113" spans="1:4" x14ac:dyDescent="0.2">
      <c r="A113" s="393" t="s">
        <v>1420</v>
      </c>
      <c r="B113" s="347">
        <v>5</v>
      </c>
      <c r="C113" s="348">
        <v>7017.89</v>
      </c>
      <c r="D113" s="327"/>
    </row>
    <row r="114" spans="1:4" x14ac:dyDescent="0.2">
      <c r="A114" s="393" t="s">
        <v>1468</v>
      </c>
      <c r="B114" s="347">
        <v>2</v>
      </c>
      <c r="C114" s="348">
        <v>14404.71</v>
      </c>
      <c r="D114" s="327"/>
    </row>
    <row r="115" spans="1:4" x14ac:dyDescent="0.2">
      <c r="A115" s="393" t="s">
        <v>1466</v>
      </c>
      <c r="B115" s="347">
        <v>18</v>
      </c>
      <c r="C115" s="348">
        <v>13657.59</v>
      </c>
      <c r="D115" s="327"/>
    </row>
    <row r="116" spans="1:4" x14ac:dyDescent="0.2">
      <c r="A116" s="393" t="s">
        <v>1462</v>
      </c>
      <c r="B116" s="347">
        <v>9</v>
      </c>
      <c r="C116" s="348">
        <v>36912.730000000003</v>
      </c>
      <c r="D116" s="327"/>
    </row>
    <row r="117" spans="1:4" x14ac:dyDescent="0.2">
      <c r="A117" s="393" t="s">
        <v>1418</v>
      </c>
      <c r="B117" s="347">
        <v>6</v>
      </c>
      <c r="C117" s="348">
        <v>12931.74</v>
      </c>
      <c r="D117" s="327"/>
    </row>
    <row r="118" spans="1:4" x14ac:dyDescent="0.2">
      <c r="A118" s="393" t="s">
        <v>1453</v>
      </c>
      <c r="B118" s="347">
        <v>1</v>
      </c>
      <c r="C118" s="348">
        <v>11271.92</v>
      </c>
      <c r="D118" s="327"/>
    </row>
    <row r="119" spans="1:4" x14ac:dyDescent="0.2">
      <c r="A119" s="393" t="s">
        <v>1444</v>
      </c>
      <c r="B119" s="347">
        <v>4</v>
      </c>
      <c r="C119" s="348">
        <v>10560.11</v>
      </c>
      <c r="D119" s="327"/>
    </row>
    <row r="120" spans="1:4" x14ac:dyDescent="0.2">
      <c r="A120" s="393" t="s">
        <v>1483</v>
      </c>
      <c r="B120" s="347">
        <v>1</v>
      </c>
      <c r="C120" s="348">
        <v>7593.34</v>
      </c>
      <c r="D120" s="327"/>
    </row>
    <row r="121" spans="1:4" x14ac:dyDescent="0.2">
      <c r="A121" s="393" t="s">
        <v>1451</v>
      </c>
      <c r="B121" s="347">
        <v>5</v>
      </c>
      <c r="C121" s="348">
        <v>6915.26</v>
      </c>
      <c r="D121" s="327"/>
    </row>
    <row r="122" spans="1:4" x14ac:dyDescent="0.2">
      <c r="A122" s="393" t="s">
        <v>1452</v>
      </c>
      <c r="B122" s="347">
        <v>5</v>
      </c>
      <c r="C122" s="348">
        <v>6060.05</v>
      </c>
      <c r="D122" s="327"/>
    </row>
    <row r="123" spans="1:4" x14ac:dyDescent="0.2">
      <c r="A123" s="393" t="s">
        <v>1401</v>
      </c>
      <c r="B123" s="347">
        <v>12</v>
      </c>
      <c r="C123" s="348">
        <v>5289.78</v>
      </c>
      <c r="D123" s="327"/>
    </row>
    <row r="124" spans="1:4" x14ac:dyDescent="0.2">
      <c r="A124" s="393" t="s">
        <v>1391</v>
      </c>
      <c r="B124" s="347">
        <v>154</v>
      </c>
      <c r="C124" s="348">
        <v>5053.05</v>
      </c>
      <c r="D124" s="327"/>
    </row>
    <row r="125" spans="1:4" x14ac:dyDescent="0.2">
      <c r="A125" s="393" t="s">
        <v>1517</v>
      </c>
      <c r="B125" s="347">
        <v>20</v>
      </c>
      <c r="C125" s="348">
        <v>24693.02</v>
      </c>
      <c r="D125" s="327"/>
    </row>
    <row r="126" spans="1:4" x14ac:dyDescent="0.2">
      <c r="A126" s="393" t="s">
        <v>1518</v>
      </c>
      <c r="B126" s="347">
        <v>60</v>
      </c>
      <c r="C126" s="348">
        <v>20756.14</v>
      </c>
      <c r="D126" s="327"/>
    </row>
    <row r="127" spans="1:4" x14ac:dyDescent="0.2">
      <c r="A127" s="393" t="s">
        <v>1519</v>
      </c>
      <c r="B127" s="347">
        <v>183</v>
      </c>
      <c r="C127" s="348">
        <v>17740.29</v>
      </c>
      <c r="D127" s="327"/>
    </row>
    <row r="128" spans="1:4" x14ac:dyDescent="0.2">
      <c r="A128" s="393" t="s">
        <v>1520</v>
      </c>
      <c r="B128" s="347">
        <v>1</v>
      </c>
      <c r="C128" s="348">
        <v>16926</v>
      </c>
      <c r="D128" s="327"/>
    </row>
    <row r="129" spans="1:4" x14ac:dyDescent="0.2">
      <c r="A129" s="393" t="s">
        <v>1521</v>
      </c>
      <c r="B129" s="347">
        <v>1</v>
      </c>
      <c r="C129" s="348">
        <v>17772.3</v>
      </c>
      <c r="D129" s="327"/>
    </row>
    <row r="130" spans="1:4" x14ac:dyDescent="0.2">
      <c r="A130" s="393" t="s">
        <v>1522</v>
      </c>
      <c r="B130" s="347">
        <v>548</v>
      </c>
      <c r="C130" s="348">
        <v>15390.09</v>
      </c>
      <c r="D130" s="327"/>
    </row>
    <row r="131" spans="1:4" x14ac:dyDescent="0.2">
      <c r="A131" s="393" t="s">
        <v>1523</v>
      </c>
      <c r="B131" s="347">
        <v>4</v>
      </c>
      <c r="C131" s="348">
        <v>14208.65</v>
      </c>
      <c r="D131" s="327"/>
    </row>
    <row r="132" spans="1:4" x14ac:dyDescent="0.2">
      <c r="A132" s="393" t="s">
        <v>1524</v>
      </c>
      <c r="B132" s="347">
        <v>9</v>
      </c>
      <c r="C132" s="348">
        <v>14676.48</v>
      </c>
      <c r="D132" s="327"/>
    </row>
    <row r="133" spans="1:4" x14ac:dyDescent="0.2">
      <c r="A133" s="393" t="s">
        <v>1432</v>
      </c>
      <c r="B133" s="347">
        <v>1</v>
      </c>
      <c r="C133" s="348">
        <v>91151.34</v>
      </c>
      <c r="D133" s="327"/>
    </row>
    <row r="134" spans="1:4" x14ac:dyDescent="0.2">
      <c r="A134" s="393" t="s">
        <v>1464</v>
      </c>
      <c r="B134" s="347">
        <v>2</v>
      </c>
      <c r="C134" s="348">
        <v>24605.01</v>
      </c>
      <c r="D134" s="327"/>
    </row>
    <row r="135" spans="1:4" x14ac:dyDescent="0.2">
      <c r="A135" s="393" t="s">
        <v>1492</v>
      </c>
      <c r="B135" s="347">
        <v>5</v>
      </c>
      <c r="C135" s="348">
        <v>22616.95</v>
      </c>
      <c r="D135" s="327"/>
    </row>
    <row r="136" spans="1:4" x14ac:dyDescent="0.2">
      <c r="A136" s="393" t="s">
        <v>1362</v>
      </c>
      <c r="B136" s="347">
        <v>8</v>
      </c>
      <c r="C136" s="348">
        <v>15030.17</v>
      </c>
      <c r="D136" s="327"/>
    </row>
    <row r="137" spans="1:4" x14ac:dyDescent="0.2">
      <c r="A137" s="393" t="s">
        <v>1365</v>
      </c>
      <c r="B137" s="347">
        <v>4</v>
      </c>
      <c r="C137" s="348">
        <v>12043.72</v>
      </c>
      <c r="D137" s="327"/>
    </row>
    <row r="138" spans="1:4" x14ac:dyDescent="0.2">
      <c r="A138" s="393" t="s">
        <v>1369</v>
      </c>
      <c r="B138" s="347">
        <v>2</v>
      </c>
      <c r="C138" s="348">
        <v>9673.5</v>
      </c>
      <c r="D138" s="327"/>
    </row>
    <row r="139" spans="1:4" x14ac:dyDescent="0.2">
      <c r="A139" s="393" t="s">
        <v>1488</v>
      </c>
      <c r="B139" s="347">
        <v>2</v>
      </c>
      <c r="C139" s="348">
        <v>8217.83</v>
      </c>
      <c r="D139" s="327"/>
    </row>
    <row r="140" spans="1:4" x14ac:dyDescent="0.2">
      <c r="A140" s="393" t="s">
        <v>1457</v>
      </c>
      <c r="B140" s="347">
        <v>12</v>
      </c>
      <c r="C140" s="348">
        <v>48916.72</v>
      </c>
      <c r="D140" s="327"/>
    </row>
    <row r="141" spans="1:4" x14ac:dyDescent="0.2">
      <c r="A141" s="393" t="s">
        <v>1458</v>
      </c>
      <c r="B141" s="347">
        <v>2</v>
      </c>
      <c r="C141" s="348">
        <v>21981.05</v>
      </c>
      <c r="D141" s="327"/>
    </row>
    <row r="142" spans="1:4" x14ac:dyDescent="0.2">
      <c r="A142" s="393" t="s">
        <v>1364</v>
      </c>
      <c r="B142" s="347">
        <v>13</v>
      </c>
      <c r="C142" s="348">
        <v>18511.47</v>
      </c>
      <c r="D142" s="327"/>
    </row>
    <row r="143" spans="1:4" x14ac:dyDescent="0.2">
      <c r="A143" s="393" t="s">
        <v>1342</v>
      </c>
      <c r="B143" s="347">
        <v>11</v>
      </c>
      <c r="C143" s="348">
        <v>16023.62</v>
      </c>
      <c r="D143" s="327"/>
    </row>
    <row r="144" spans="1:4" x14ac:dyDescent="0.2">
      <c r="A144" s="393" t="s">
        <v>1384</v>
      </c>
      <c r="B144" s="347">
        <v>7</v>
      </c>
      <c r="C144" s="348">
        <v>15367.1</v>
      </c>
      <c r="D144" s="327"/>
    </row>
    <row r="145" spans="1:4" x14ac:dyDescent="0.2">
      <c r="A145" s="393" t="s">
        <v>1414</v>
      </c>
      <c r="B145" s="347">
        <v>8</v>
      </c>
      <c r="C145" s="348">
        <v>12815.52</v>
      </c>
      <c r="D145" s="327"/>
    </row>
    <row r="146" spans="1:4" x14ac:dyDescent="0.2">
      <c r="A146" s="393" t="s">
        <v>1373</v>
      </c>
      <c r="B146" s="347">
        <v>9</v>
      </c>
      <c r="C146" s="348">
        <v>12586.37</v>
      </c>
      <c r="D146" s="327"/>
    </row>
    <row r="147" spans="1:4" x14ac:dyDescent="0.2">
      <c r="A147" s="393" t="s">
        <v>1380</v>
      </c>
      <c r="B147" s="347">
        <v>7</v>
      </c>
      <c r="C147" s="348">
        <v>11837.07</v>
      </c>
      <c r="D147" s="327"/>
    </row>
    <row r="148" spans="1:4" x14ac:dyDescent="0.2">
      <c r="A148" s="393" t="s">
        <v>1382</v>
      </c>
      <c r="B148" s="347">
        <v>9</v>
      </c>
      <c r="C148" s="348">
        <v>10915.31</v>
      </c>
      <c r="D148" s="327"/>
    </row>
    <row r="149" spans="1:4" x14ac:dyDescent="0.2">
      <c r="A149" s="393" t="s">
        <v>1429</v>
      </c>
      <c r="B149" s="347">
        <v>2</v>
      </c>
      <c r="C149" s="348">
        <v>9582.1200000000008</v>
      </c>
      <c r="D149" s="327"/>
    </row>
    <row r="150" spans="1:4" x14ac:dyDescent="0.2">
      <c r="A150" s="393" t="s">
        <v>1482</v>
      </c>
      <c r="B150" s="347">
        <v>1</v>
      </c>
      <c r="C150" s="348">
        <v>8633.65</v>
      </c>
      <c r="D150" s="327"/>
    </row>
    <row r="151" spans="1:4" x14ac:dyDescent="0.2">
      <c r="A151" s="393" t="s">
        <v>1426</v>
      </c>
      <c r="B151" s="347">
        <v>1</v>
      </c>
      <c r="C151" s="348">
        <v>7978.07</v>
      </c>
      <c r="D151" s="327"/>
    </row>
    <row r="152" spans="1:4" x14ac:dyDescent="0.2">
      <c r="A152" s="393" t="s">
        <v>1481</v>
      </c>
      <c r="B152" s="347">
        <v>7</v>
      </c>
      <c r="C152" s="348">
        <v>6804.2</v>
      </c>
      <c r="D152" s="327"/>
    </row>
    <row r="153" spans="1:4" x14ac:dyDescent="0.2">
      <c r="A153" s="393" t="s">
        <v>1337</v>
      </c>
      <c r="B153" s="347">
        <v>1</v>
      </c>
      <c r="C153" s="348">
        <v>93551.77</v>
      </c>
      <c r="D153" s="327"/>
    </row>
    <row r="154" spans="1:4" x14ac:dyDescent="0.2">
      <c r="A154" s="393" t="s">
        <v>1472</v>
      </c>
      <c r="B154" s="347">
        <v>1</v>
      </c>
      <c r="C154" s="348">
        <v>65603.600000000006</v>
      </c>
      <c r="D154" s="327"/>
    </row>
    <row r="155" spans="1:4" x14ac:dyDescent="0.2">
      <c r="A155" s="393" t="s">
        <v>1467</v>
      </c>
      <c r="B155" s="347">
        <v>9</v>
      </c>
      <c r="C155" s="348">
        <v>20847.03</v>
      </c>
      <c r="D155" s="327"/>
    </row>
    <row r="156" spans="1:4" x14ac:dyDescent="0.2">
      <c r="A156" s="393" t="s">
        <v>1456</v>
      </c>
      <c r="B156" s="347">
        <v>2</v>
      </c>
      <c r="C156" s="348">
        <v>54350.6</v>
      </c>
      <c r="D156" s="327"/>
    </row>
    <row r="157" spans="1:4" x14ac:dyDescent="0.2">
      <c r="A157" s="393" t="s">
        <v>1447</v>
      </c>
      <c r="B157" s="347">
        <v>1</v>
      </c>
      <c r="C157" s="348">
        <v>8736.75</v>
      </c>
      <c r="D157" s="327"/>
    </row>
    <row r="158" spans="1:4" x14ac:dyDescent="0.2">
      <c r="A158" s="393" t="s">
        <v>1475</v>
      </c>
      <c r="B158" s="347">
        <v>5</v>
      </c>
      <c r="C158" s="348">
        <v>5186.1000000000004</v>
      </c>
      <c r="D158" s="327"/>
    </row>
    <row r="159" spans="1:4" x14ac:dyDescent="0.2">
      <c r="A159" s="393" t="s">
        <v>1515</v>
      </c>
      <c r="B159" s="347">
        <v>1</v>
      </c>
      <c r="C159" s="348">
        <v>36471.03</v>
      </c>
      <c r="D159" s="327"/>
    </row>
    <row r="160" spans="1:4" x14ac:dyDescent="0.2">
      <c r="A160" s="393" t="s">
        <v>1526</v>
      </c>
      <c r="B160" s="347">
        <v>1</v>
      </c>
      <c r="C160" s="348">
        <v>36001.39</v>
      </c>
      <c r="D160" s="327"/>
    </row>
    <row r="161" spans="1:4" x14ac:dyDescent="0.2">
      <c r="A161" s="393" t="s">
        <v>1407</v>
      </c>
      <c r="B161" s="347">
        <v>4</v>
      </c>
      <c r="C161" s="348">
        <v>40998.910000000003</v>
      </c>
      <c r="D161" s="327"/>
    </row>
    <row r="162" spans="1:4" x14ac:dyDescent="0.2">
      <c r="A162" s="393" t="s">
        <v>1346</v>
      </c>
      <c r="B162" s="347">
        <v>1</v>
      </c>
      <c r="C162" s="348">
        <v>39801.32</v>
      </c>
      <c r="D162" s="327"/>
    </row>
    <row r="163" spans="1:4" x14ac:dyDescent="0.2">
      <c r="A163" s="393" t="s">
        <v>1460</v>
      </c>
      <c r="B163" s="347">
        <v>52</v>
      </c>
      <c r="C163" s="348">
        <v>29648.78</v>
      </c>
      <c r="D163" s="327"/>
    </row>
    <row r="164" spans="1:4" x14ac:dyDescent="0.2">
      <c r="A164" s="393" t="s">
        <v>1410</v>
      </c>
      <c r="B164" s="347">
        <v>1</v>
      </c>
      <c r="C164" s="348">
        <v>33910.54</v>
      </c>
      <c r="D164" s="327"/>
    </row>
    <row r="165" spans="1:4" x14ac:dyDescent="0.2">
      <c r="A165" s="393" t="s">
        <v>1413</v>
      </c>
      <c r="B165" s="347">
        <v>1</v>
      </c>
      <c r="C165" s="348">
        <v>31066.15</v>
      </c>
      <c r="D165" s="327"/>
    </row>
    <row r="166" spans="1:4" x14ac:dyDescent="0.2">
      <c r="A166" s="393" t="s">
        <v>1399</v>
      </c>
      <c r="B166" s="347">
        <v>11</v>
      </c>
      <c r="C166" s="348">
        <v>13610.75</v>
      </c>
      <c r="D166" s="327"/>
    </row>
    <row r="167" spans="1:4" x14ac:dyDescent="0.2">
      <c r="A167" s="393" t="s">
        <v>1454</v>
      </c>
      <c r="B167" s="347">
        <v>1</v>
      </c>
      <c r="C167" s="348">
        <v>10837.52</v>
      </c>
      <c r="D167" s="327"/>
    </row>
    <row r="168" spans="1:4" x14ac:dyDescent="0.2">
      <c r="A168" s="393" t="s">
        <v>1341</v>
      </c>
      <c r="B168" s="347">
        <v>1</v>
      </c>
      <c r="C168" s="348">
        <v>58928.5</v>
      </c>
      <c r="D168" s="327"/>
    </row>
    <row r="169" spans="1:4" x14ac:dyDescent="0.2">
      <c r="A169" s="393" t="s">
        <v>1416</v>
      </c>
      <c r="B169" s="347">
        <v>1</v>
      </c>
      <c r="C169" s="348">
        <v>12219.09</v>
      </c>
      <c r="D169" s="327"/>
    </row>
    <row r="170" spans="1:4" x14ac:dyDescent="0.2">
      <c r="A170" s="393" t="s">
        <v>1398</v>
      </c>
      <c r="B170" s="347">
        <v>1</v>
      </c>
      <c r="C170" s="348">
        <v>7452.45</v>
      </c>
      <c r="D170" s="327"/>
    </row>
    <row r="171" spans="1:4" x14ac:dyDescent="0.2">
      <c r="A171" s="393" t="s">
        <v>1491</v>
      </c>
      <c r="B171" s="347">
        <v>4</v>
      </c>
      <c r="C171" s="348">
        <v>16204.5</v>
      </c>
      <c r="D171" s="327"/>
    </row>
    <row r="172" spans="1:4" x14ac:dyDescent="0.2">
      <c r="A172" s="393" t="s">
        <v>1402</v>
      </c>
      <c r="B172" s="347">
        <v>2</v>
      </c>
      <c r="C172" s="348">
        <v>8719.41</v>
      </c>
      <c r="D172" s="327"/>
    </row>
    <row r="173" spans="1:4" x14ac:dyDescent="0.2">
      <c r="A173" s="393" t="s">
        <v>1430</v>
      </c>
      <c r="B173" s="347">
        <v>5</v>
      </c>
      <c r="C173" s="348">
        <v>7413.4</v>
      </c>
      <c r="D173" s="327"/>
    </row>
    <row r="174" spans="1:4" x14ac:dyDescent="0.2">
      <c r="A174" s="393" t="s">
        <v>1390</v>
      </c>
      <c r="B174" s="347">
        <v>14</v>
      </c>
      <c r="C174" s="348">
        <v>6964.94</v>
      </c>
      <c r="D174" s="327"/>
    </row>
    <row r="175" spans="1:4" x14ac:dyDescent="0.2">
      <c r="A175" s="393" t="s">
        <v>1419</v>
      </c>
      <c r="B175" s="347">
        <v>13</v>
      </c>
      <c r="C175" s="348">
        <v>6060.05</v>
      </c>
      <c r="D175" s="327"/>
    </row>
    <row r="176" spans="1:4" x14ac:dyDescent="0.2">
      <c r="A176" s="393" t="s">
        <v>1438</v>
      </c>
      <c r="B176" s="347">
        <v>1</v>
      </c>
      <c r="C176" s="348">
        <v>24436.09</v>
      </c>
      <c r="D176" s="327"/>
    </row>
    <row r="177" spans="2:2" x14ac:dyDescent="0.2">
      <c r="B177" s="365">
        <f>SUM(B5:B176)</f>
        <v>2559</v>
      </c>
    </row>
  </sheetData>
  <autoFilter ref="C4:C177" xr:uid="{CD33D625-1535-47FB-9190-5C1205AEB8E6}"/>
  <dataConsolidate/>
  <mergeCells count="3">
    <mergeCell ref="A1:C1"/>
    <mergeCell ref="A2:C2"/>
    <mergeCell ref="A3:C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5DCC1-A043-4B86-9FFB-31599F9F5598}">
  <dimension ref="A1:C26"/>
  <sheetViews>
    <sheetView workbookViewId="0">
      <selection activeCell="C22" sqref="C22"/>
    </sheetView>
  </sheetViews>
  <sheetFormatPr baseColWidth="10" defaultRowHeight="14.25" x14ac:dyDescent="0.2"/>
  <cols>
    <col min="1" max="1" width="18.25" customWidth="1"/>
    <col min="2" max="2" width="50.125" customWidth="1"/>
    <col min="3" max="3" width="14.875" style="327" bestFit="1" customWidth="1"/>
  </cols>
  <sheetData>
    <row r="1" spans="1:3" ht="15" x14ac:dyDescent="0.25">
      <c r="A1" s="439" t="s">
        <v>411</v>
      </c>
      <c r="B1" s="439"/>
      <c r="C1" s="439"/>
    </row>
    <row r="2" spans="1:3" ht="15" x14ac:dyDescent="0.25">
      <c r="A2" s="439" t="s">
        <v>1641</v>
      </c>
      <c r="B2" s="439"/>
      <c r="C2" s="439"/>
    </row>
    <row r="3" spans="1:3" ht="15" x14ac:dyDescent="0.25">
      <c r="A3" s="439" t="s">
        <v>1651</v>
      </c>
      <c r="B3" s="439"/>
      <c r="C3" s="439"/>
    </row>
    <row r="4" spans="1:3" ht="15" x14ac:dyDescent="0.2">
      <c r="A4" s="421" t="s">
        <v>1642</v>
      </c>
      <c r="B4" s="422" t="s">
        <v>0</v>
      </c>
      <c r="C4" s="434" t="s">
        <v>1644</v>
      </c>
    </row>
    <row r="5" spans="1:3" x14ac:dyDescent="0.2">
      <c r="C5" s="435"/>
    </row>
    <row r="6" spans="1:3" ht="15" x14ac:dyDescent="0.25">
      <c r="A6" s="423">
        <v>1</v>
      </c>
      <c r="B6" s="424" t="s">
        <v>7</v>
      </c>
      <c r="C6" s="438">
        <v>405724850</v>
      </c>
    </row>
    <row r="7" spans="1:3" ht="15" x14ac:dyDescent="0.25">
      <c r="A7" s="423">
        <v>3</v>
      </c>
      <c r="B7" s="424" t="s">
        <v>1645</v>
      </c>
      <c r="C7" s="438">
        <v>900000</v>
      </c>
    </row>
    <row r="8" spans="1:3" ht="15" x14ac:dyDescent="0.25">
      <c r="A8" s="423">
        <v>4</v>
      </c>
      <c r="B8" s="424" t="s">
        <v>10</v>
      </c>
      <c r="C8" s="438">
        <v>167703807</v>
      </c>
    </row>
    <row r="9" spans="1:3" ht="15" x14ac:dyDescent="0.25">
      <c r="A9" s="423">
        <v>5</v>
      </c>
      <c r="B9" s="424" t="s">
        <v>12</v>
      </c>
      <c r="C9" s="438">
        <v>23685989</v>
      </c>
    </row>
    <row r="10" spans="1:3" ht="15" x14ac:dyDescent="0.25">
      <c r="A10" s="423">
        <v>6</v>
      </c>
      <c r="B10" s="424" t="s">
        <v>14</v>
      </c>
      <c r="C10" s="438">
        <v>73361288</v>
      </c>
    </row>
    <row r="11" spans="1:3" ht="15" x14ac:dyDescent="0.25">
      <c r="A11" s="423">
        <v>8</v>
      </c>
      <c r="B11" s="424" t="s">
        <v>1646</v>
      </c>
      <c r="C11" s="438">
        <v>1197005918.1875098</v>
      </c>
    </row>
    <row r="12" spans="1:3" ht="15" x14ac:dyDescent="0.25">
      <c r="A12" s="423">
        <v>0</v>
      </c>
      <c r="B12" s="424" t="s">
        <v>17</v>
      </c>
      <c r="C12" s="438">
        <v>143557477.80999997</v>
      </c>
    </row>
    <row r="13" spans="1:3" ht="15" x14ac:dyDescent="0.25">
      <c r="A13" s="425"/>
      <c r="B13" s="425" t="s">
        <v>1647</v>
      </c>
      <c r="C13" s="436">
        <v>2011939329.9975097</v>
      </c>
    </row>
    <row r="14" spans="1:3" ht="15" x14ac:dyDescent="0.25">
      <c r="A14" s="426"/>
      <c r="B14" s="426"/>
      <c r="C14" s="435"/>
    </row>
    <row r="15" spans="1:3" ht="18.75" x14ac:dyDescent="0.3">
      <c r="A15" s="433"/>
      <c r="B15" s="440" t="s">
        <v>1648</v>
      </c>
      <c r="C15" s="435"/>
    </row>
    <row r="16" spans="1:3" ht="15" x14ac:dyDescent="0.2">
      <c r="A16" s="437"/>
      <c r="B16" s="437"/>
      <c r="C16" s="435"/>
    </row>
    <row r="17" spans="1:3" ht="15" x14ac:dyDescent="0.25">
      <c r="A17" s="427">
        <v>1000</v>
      </c>
      <c r="B17" s="428" t="s">
        <v>23</v>
      </c>
      <c r="C17" s="438">
        <v>929480413.54999983</v>
      </c>
    </row>
    <row r="18" spans="1:3" ht="15" x14ac:dyDescent="0.25">
      <c r="A18" s="427">
        <v>2000</v>
      </c>
      <c r="B18" s="428" t="s">
        <v>1334</v>
      </c>
      <c r="C18" s="438">
        <v>151637789.44</v>
      </c>
    </row>
    <row r="19" spans="1:3" ht="15" x14ac:dyDescent="0.25">
      <c r="A19" s="427">
        <v>3000</v>
      </c>
      <c r="B19" s="428" t="s">
        <v>52</v>
      </c>
      <c r="C19" s="438">
        <v>295981210.37</v>
      </c>
    </row>
    <row r="20" spans="1:3" ht="30" x14ac:dyDescent="0.2">
      <c r="A20" s="429">
        <v>4000</v>
      </c>
      <c r="B20" s="430" t="s">
        <v>67</v>
      </c>
      <c r="C20" s="441">
        <v>275236816.88976002</v>
      </c>
    </row>
    <row r="21" spans="1:3" ht="15" x14ac:dyDescent="0.25">
      <c r="A21" s="427">
        <v>5000</v>
      </c>
      <c r="B21" s="428" t="s">
        <v>70</v>
      </c>
      <c r="C21" s="438">
        <v>20845048.140000001</v>
      </c>
    </row>
    <row r="22" spans="1:3" ht="15" x14ac:dyDescent="0.25">
      <c r="A22" s="427">
        <v>6000</v>
      </c>
      <c r="B22" s="428" t="s">
        <v>73</v>
      </c>
      <c r="C22" s="438">
        <v>301755043.69</v>
      </c>
    </row>
    <row r="23" spans="1:3" ht="15" x14ac:dyDescent="0.25">
      <c r="A23" s="427">
        <v>9000</v>
      </c>
      <c r="B23" s="428" t="s">
        <v>74</v>
      </c>
      <c r="C23" s="438">
        <v>37003007.920000002</v>
      </c>
    </row>
    <row r="24" spans="1:3" ht="15" x14ac:dyDescent="0.25">
      <c r="A24" s="425"/>
      <c r="B24" s="425" t="s">
        <v>77</v>
      </c>
      <c r="C24" s="436">
        <v>2011939329.9997599</v>
      </c>
    </row>
    <row r="26" spans="1:3" ht="15" x14ac:dyDescent="0.25">
      <c r="A26" s="431"/>
      <c r="B26" s="432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4D33-3C0B-4CA3-AE6D-7BABF0F27AC6}">
  <dimension ref="A1:AK423"/>
  <sheetViews>
    <sheetView topLeftCell="A409" workbookViewId="0">
      <selection activeCell="AM10" sqref="AM10"/>
    </sheetView>
  </sheetViews>
  <sheetFormatPr baseColWidth="10" defaultRowHeight="14.25" x14ac:dyDescent="0.2"/>
  <cols>
    <col min="1" max="1" width="5.375" bestFit="1" customWidth="1"/>
    <col min="2" max="2" width="4" bestFit="1" customWidth="1"/>
    <col min="4" max="4" width="8.25" bestFit="1" customWidth="1"/>
    <col min="5" max="5" width="6.125" bestFit="1" customWidth="1"/>
    <col min="6" max="6" width="46.125" customWidth="1"/>
    <col min="7" max="7" width="15.25" hidden="1" customWidth="1"/>
    <col min="8" max="8" width="14.625" hidden="1" customWidth="1"/>
    <col min="9" max="9" width="13" hidden="1" customWidth="1"/>
    <col min="10" max="10" width="0" hidden="1" customWidth="1"/>
    <col min="11" max="11" width="13.125" hidden="1" customWidth="1"/>
    <col min="12" max="24" width="0" hidden="1" customWidth="1"/>
    <col min="25" max="25" width="16" hidden="1" customWidth="1"/>
    <col min="26" max="26" width="15.5" hidden="1" customWidth="1"/>
    <col min="27" max="29" width="0" hidden="1" customWidth="1"/>
    <col min="30" max="30" width="15.25" hidden="1" customWidth="1"/>
    <col min="31" max="31" width="16" hidden="1" customWidth="1"/>
    <col min="32" max="32" width="13.625" hidden="1" customWidth="1"/>
    <col min="33" max="33" width="13.25" hidden="1" customWidth="1"/>
    <col min="34" max="34" width="15" hidden="1" customWidth="1"/>
    <col min="35" max="35" width="15.375" hidden="1" customWidth="1"/>
    <col min="36" max="36" width="16.25" customWidth="1"/>
  </cols>
  <sheetData>
    <row r="1" spans="1:37" x14ac:dyDescent="0.2">
      <c r="A1" s="442" t="s">
        <v>1652</v>
      </c>
      <c r="B1" s="442"/>
      <c r="C1" s="442"/>
      <c r="D1" s="442"/>
      <c r="E1" s="443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</row>
    <row r="2" spans="1:37" x14ac:dyDescent="0.2">
      <c r="A2" s="442" t="s">
        <v>1653</v>
      </c>
      <c r="B2" s="442"/>
      <c r="C2" s="442"/>
      <c r="D2" s="442"/>
      <c r="E2" s="443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</row>
    <row r="3" spans="1:37" x14ac:dyDescent="0.2">
      <c r="A3" s="442" t="s">
        <v>1654</v>
      </c>
      <c r="B3" s="442"/>
      <c r="C3" s="442"/>
      <c r="D3" s="442"/>
      <c r="E3" s="443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</row>
    <row r="4" spans="1:37" ht="26.25" thickBot="1" x14ac:dyDescent="0.25">
      <c r="A4" s="444" t="s">
        <v>413</v>
      </c>
      <c r="B4" s="444" t="s">
        <v>414</v>
      </c>
      <c r="C4" s="444" t="s">
        <v>415</v>
      </c>
      <c r="D4" s="444" t="s">
        <v>416</v>
      </c>
      <c r="E4" s="444" t="s">
        <v>417</v>
      </c>
      <c r="F4" s="445" t="s">
        <v>0</v>
      </c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7"/>
      <c r="AE4" s="444" t="s">
        <v>418</v>
      </c>
      <c r="AF4" s="448" t="s">
        <v>78</v>
      </c>
      <c r="AG4" s="449" t="s">
        <v>4</v>
      </c>
      <c r="AH4" s="448" t="s">
        <v>420</v>
      </c>
      <c r="AI4" s="448" t="s">
        <v>421</v>
      </c>
      <c r="AJ4" s="448" t="s">
        <v>1119</v>
      </c>
      <c r="AK4" s="450" t="s">
        <v>419</v>
      </c>
    </row>
    <row r="5" spans="1:37" ht="16.5" thickTop="1" thickBot="1" x14ac:dyDescent="0.25">
      <c r="A5" s="451"/>
      <c r="B5" s="451"/>
      <c r="C5" s="451"/>
      <c r="D5" s="451"/>
      <c r="E5" s="452"/>
      <c r="F5" s="453" t="s">
        <v>1655</v>
      </c>
      <c r="G5" s="454">
        <f t="shared" ref="G5:AB5" si="0">G6+G43+G46+G166+G195+G249+G374</f>
        <v>1910627831.5900002</v>
      </c>
      <c r="H5" s="455">
        <f t="shared" si="0"/>
        <v>1908403699.3897171</v>
      </c>
      <c r="I5" s="455">
        <f t="shared" si="0"/>
        <v>2213337196.5095816</v>
      </c>
      <c r="J5" s="455">
        <f t="shared" si="0"/>
        <v>2281828157.670136</v>
      </c>
      <c r="K5" s="455">
        <f t="shared" si="0"/>
        <v>263897502.52999997</v>
      </c>
      <c r="L5" s="455">
        <f t="shared" si="0"/>
        <v>189910824.90000001</v>
      </c>
      <c r="M5" s="455">
        <f t="shared" si="0"/>
        <v>194454026.71999997</v>
      </c>
      <c r="N5" s="455">
        <f t="shared" si="0"/>
        <v>155664505.66999999</v>
      </c>
      <c r="O5" s="455">
        <f t="shared" si="0"/>
        <v>225124394.22</v>
      </c>
      <c r="P5" s="455">
        <f t="shared" si="0"/>
        <v>151425107.81999999</v>
      </c>
      <c r="Q5" s="455">
        <f t="shared" si="0"/>
        <v>115187393.6771591</v>
      </c>
      <c r="R5" s="455">
        <f t="shared" si="0"/>
        <v>117137981.14279912</v>
      </c>
      <c r="S5" s="455">
        <f t="shared" si="0"/>
        <v>117980217.13169912</v>
      </c>
      <c r="T5" s="455">
        <f t="shared" si="0"/>
        <v>125978434.51238912</v>
      </c>
      <c r="U5" s="455">
        <f t="shared" si="0"/>
        <v>116509901.40432911</v>
      </c>
      <c r="V5" s="455">
        <f t="shared" si="0"/>
        <v>245355916.21429908</v>
      </c>
      <c r="W5" s="455">
        <f t="shared" si="0"/>
        <v>2216285633.8000002</v>
      </c>
      <c r="X5" s="455">
        <f t="shared" si="0"/>
        <v>2266338441.0000005</v>
      </c>
      <c r="Y5" s="456">
        <f t="shared" si="0"/>
        <v>2232609109.9500003</v>
      </c>
      <c r="Z5" s="457">
        <f t="shared" si="0"/>
        <v>2035702119.9999998</v>
      </c>
      <c r="AA5" s="457">
        <f t="shared" si="0"/>
        <v>267598733.84999996</v>
      </c>
      <c r="AB5" s="457">
        <f t="shared" si="0"/>
        <v>207003609.62</v>
      </c>
      <c r="AC5" s="458"/>
      <c r="AD5" s="459">
        <f>AD6+AD43+AD46+AD166+AD195+AD249+AD374</f>
        <v>2613840555.3663206</v>
      </c>
      <c r="AE5" s="459">
        <f>AE6+AE43+AE46+AE166+AE195+AE249+AE374</f>
        <v>867235532.49999988</v>
      </c>
      <c r="AF5" s="459">
        <f>AF6+AF43+AF46+AF166+AF195+AF249+AF374</f>
        <v>2644032777.0700006</v>
      </c>
      <c r="AG5" s="460">
        <f t="shared" ref="AG5:AG22" si="1">AF5-AD5</f>
        <v>30192221.703680038</v>
      </c>
      <c r="AH5" s="456">
        <f>AH6+AH43+AH46+AH166+AH195+AH249+AH374</f>
        <v>2232609109.9500003</v>
      </c>
      <c r="AI5" s="456">
        <f>AI6+AI43+AI46+AI166+AI195+AI249+AI374</f>
        <v>2308461248.9938889</v>
      </c>
      <c r="AJ5" s="456">
        <f>AJ6+AJ43+AJ46+AJ166+AJ195+AJ249+AJ374</f>
        <v>2011939329.9975097</v>
      </c>
      <c r="AK5" s="461"/>
    </row>
    <row r="6" spans="1:37" ht="15.75" thickTop="1" thickBot="1" x14ac:dyDescent="0.25">
      <c r="A6" s="462" t="s">
        <v>423</v>
      </c>
      <c r="B6" s="462"/>
      <c r="C6" s="463"/>
      <c r="D6" s="463"/>
      <c r="E6" s="464"/>
      <c r="F6" s="465" t="s">
        <v>7</v>
      </c>
      <c r="G6" s="466">
        <f>G10+G13+G17+G18+G19+G24+G25+G20+G28+G29</f>
        <v>302727531.44</v>
      </c>
      <c r="H6" s="466">
        <f t="shared" ref="H6:AB6" si="2">H7+H15+H26+H30</f>
        <v>350431001.42000002</v>
      </c>
      <c r="I6" s="466">
        <f t="shared" si="2"/>
        <v>344331001.42000002</v>
      </c>
      <c r="J6" s="466">
        <f t="shared" si="2"/>
        <v>344351001.42000002</v>
      </c>
      <c r="K6" s="466">
        <f t="shared" si="2"/>
        <v>159413111.37</v>
      </c>
      <c r="L6" s="466">
        <f t="shared" si="2"/>
        <v>42610220.669999994</v>
      </c>
      <c r="M6" s="466">
        <f t="shared" si="2"/>
        <v>18868773.16</v>
      </c>
      <c r="N6" s="466">
        <f t="shared" si="2"/>
        <v>7970994.6700000009</v>
      </c>
      <c r="O6" s="466">
        <f t="shared" si="2"/>
        <v>9379034.4300000016</v>
      </c>
      <c r="P6" s="466">
        <f t="shared" si="2"/>
        <v>10263442.299999999</v>
      </c>
      <c r="Q6" s="466">
        <f t="shared" si="2"/>
        <v>9142265.870000001</v>
      </c>
      <c r="R6" s="466">
        <f t="shared" si="2"/>
        <v>8236858.3169999989</v>
      </c>
      <c r="S6" s="466">
        <f t="shared" si="2"/>
        <v>7597216.0599999996</v>
      </c>
      <c r="T6" s="466">
        <f t="shared" si="2"/>
        <v>8809039.6565099992</v>
      </c>
      <c r="U6" s="466">
        <f t="shared" si="2"/>
        <v>8638907.8242699988</v>
      </c>
      <c r="V6" s="466">
        <f t="shared" si="2"/>
        <v>18329762.40971997</v>
      </c>
      <c r="W6" s="466">
        <f t="shared" si="2"/>
        <v>320181465</v>
      </c>
      <c r="X6" s="466">
        <f t="shared" si="2"/>
        <v>320181465</v>
      </c>
      <c r="Y6" s="467">
        <f t="shared" si="2"/>
        <v>342214185.07000005</v>
      </c>
      <c r="Z6" s="468">
        <f t="shared" si="2"/>
        <v>339012342.31</v>
      </c>
      <c r="AA6" s="468">
        <f t="shared" si="2"/>
        <v>166273086.60999998</v>
      </c>
      <c r="AB6" s="468">
        <f t="shared" si="2"/>
        <v>44878044.900000006</v>
      </c>
      <c r="AC6" s="469">
        <f t="shared" ref="AC6:AC20" si="3">W6-X6</f>
        <v>0</v>
      </c>
      <c r="AD6" s="468">
        <f>AD7+AD15+AD26+AD30</f>
        <v>347444994.00999999</v>
      </c>
      <c r="AE6" s="468">
        <f>AE7+AE15+AE26+AE30</f>
        <v>249827508.55000001</v>
      </c>
      <c r="AF6" s="468">
        <f>AF7+AF15+AF26+AF30</f>
        <v>349574520.51000005</v>
      </c>
      <c r="AG6" s="468">
        <f t="shared" si="1"/>
        <v>2129526.5000000596</v>
      </c>
      <c r="AH6" s="467">
        <f>AH7+AH15+AH26+AH30</f>
        <v>342214185.06999999</v>
      </c>
      <c r="AI6" s="467">
        <f>AI7+AI15+AI26+AI30</f>
        <v>376420753.23000002</v>
      </c>
      <c r="AJ6" s="467">
        <f>AJ7+AJ15+AJ26+AJ30</f>
        <v>405724850</v>
      </c>
      <c r="AK6" s="470"/>
    </row>
    <row r="7" spans="1:37" ht="15.75" thickTop="1" thickBot="1" x14ac:dyDescent="0.25">
      <c r="A7" s="471"/>
      <c r="B7" s="471" t="s">
        <v>423</v>
      </c>
      <c r="C7" s="471"/>
      <c r="D7" s="471"/>
      <c r="E7" s="472"/>
      <c r="F7" s="473" t="s">
        <v>424</v>
      </c>
      <c r="G7" s="474"/>
      <c r="H7" s="475">
        <f t="shared" ref="H7:AB7" si="4">H8+H10+H13</f>
        <v>6050000</v>
      </c>
      <c r="I7" s="475">
        <f t="shared" si="4"/>
        <v>6050000</v>
      </c>
      <c r="J7" s="474">
        <f t="shared" si="4"/>
        <v>6050000</v>
      </c>
      <c r="K7" s="474">
        <f t="shared" si="4"/>
        <v>815914.06</v>
      </c>
      <c r="L7" s="474">
        <f t="shared" si="4"/>
        <v>207296.2</v>
      </c>
      <c r="M7" s="474">
        <f t="shared" si="4"/>
        <v>512434.39</v>
      </c>
      <c r="N7" s="474">
        <f t="shared" si="4"/>
        <v>110961</v>
      </c>
      <c r="O7" s="474">
        <f t="shared" si="4"/>
        <v>0</v>
      </c>
      <c r="P7" s="474">
        <f t="shared" si="4"/>
        <v>1320</v>
      </c>
      <c r="Q7" s="474">
        <f t="shared" si="4"/>
        <v>0</v>
      </c>
      <c r="R7" s="474">
        <f t="shared" si="4"/>
        <v>469224.76</v>
      </c>
      <c r="S7" s="474">
        <f t="shared" si="4"/>
        <v>469224.76</v>
      </c>
      <c r="T7" s="474">
        <f t="shared" si="4"/>
        <v>511546.38</v>
      </c>
      <c r="U7" s="474">
        <f t="shared" si="4"/>
        <v>398787.07</v>
      </c>
      <c r="V7" s="474">
        <f t="shared" si="4"/>
        <v>340410.45</v>
      </c>
      <c r="W7" s="476">
        <f t="shared" si="4"/>
        <v>4724404.3499999996</v>
      </c>
      <c r="X7" s="476">
        <f t="shared" si="4"/>
        <v>4724404.3499999996</v>
      </c>
      <c r="Y7" s="477">
        <f t="shared" si="4"/>
        <v>1814683.65</v>
      </c>
      <c r="Z7" s="476">
        <f t="shared" si="4"/>
        <v>5324404.3499999996</v>
      </c>
      <c r="AA7" s="476">
        <f t="shared" si="4"/>
        <v>107468</v>
      </c>
      <c r="AB7" s="476">
        <f t="shared" si="4"/>
        <v>95847</v>
      </c>
      <c r="AC7" s="478">
        <f t="shared" si="3"/>
        <v>0</v>
      </c>
      <c r="AD7" s="474">
        <f>AD8+AD10+AD13</f>
        <v>5324404.3499999996</v>
      </c>
      <c r="AE7" s="474">
        <f>AE8+AE10+AE13</f>
        <v>320543</v>
      </c>
      <c r="AF7" s="474">
        <f>AF8+AF10+AF13</f>
        <v>3212036.99</v>
      </c>
      <c r="AG7" s="479">
        <f t="shared" si="1"/>
        <v>-2112367.3599999994</v>
      </c>
      <c r="AH7" s="477">
        <f>AH8+AH10+AH13</f>
        <v>1814683.65</v>
      </c>
      <c r="AI7" s="477">
        <f>AI8+AI10+AI13</f>
        <v>1966311.79</v>
      </c>
      <c r="AJ7" s="477">
        <f>AJ8+AJ10+AJ13</f>
        <v>2220000</v>
      </c>
      <c r="AK7" s="480"/>
    </row>
    <row r="8" spans="1:37" ht="15.75" thickTop="1" thickBot="1" x14ac:dyDescent="0.25">
      <c r="A8" s="481"/>
      <c r="B8" s="482"/>
      <c r="C8" s="483">
        <v>1</v>
      </c>
      <c r="D8" s="483"/>
      <c r="E8" s="484"/>
      <c r="F8" s="485" t="s">
        <v>425</v>
      </c>
      <c r="G8" s="486">
        <f>G9</f>
        <v>0</v>
      </c>
      <c r="H8" s="486">
        <f>H9</f>
        <v>20000</v>
      </c>
      <c r="I8" s="486">
        <v>20000</v>
      </c>
      <c r="J8" s="486">
        <f t="shared" ref="J8:AB8" si="5">J9</f>
        <v>20000</v>
      </c>
      <c r="K8" s="487">
        <f t="shared" si="5"/>
        <v>0</v>
      </c>
      <c r="L8" s="487">
        <f t="shared" si="5"/>
        <v>0</v>
      </c>
      <c r="M8" s="487">
        <f t="shared" si="5"/>
        <v>0</v>
      </c>
      <c r="N8" s="487">
        <f t="shared" si="5"/>
        <v>0</v>
      </c>
      <c r="O8" s="487">
        <f t="shared" si="5"/>
        <v>0</v>
      </c>
      <c r="P8" s="487">
        <f t="shared" si="5"/>
        <v>0</v>
      </c>
      <c r="Q8" s="487">
        <f t="shared" si="5"/>
        <v>0</v>
      </c>
      <c r="R8" s="487">
        <f t="shared" si="5"/>
        <v>5000</v>
      </c>
      <c r="S8" s="487">
        <f t="shared" si="5"/>
        <v>5000</v>
      </c>
      <c r="T8" s="487">
        <f t="shared" si="5"/>
        <v>5000</v>
      </c>
      <c r="U8" s="487">
        <f t="shared" si="5"/>
        <v>5000</v>
      </c>
      <c r="V8" s="487">
        <f t="shared" si="5"/>
        <v>5000</v>
      </c>
      <c r="W8" s="486">
        <f t="shared" si="5"/>
        <v>25000</v>
      </c>
      <c r="X8" s="486">
        <f t="shared" si="5"/>
        <v>25000</v>
      </c>
      <c r="Y8" s="488">
        <f t="shared" si="5"/>
        <v>0</v>
      </c>
      <c r="Z8" s="486">
        <f t="shared" si="5"/>
        <v>25000</v>
      </c>
      <c r="AA8" s="486">
        <f t="shared" si="5"/>
        <v>0</v>
      </c>
      <c r="AB8" s="486">
        <f t="shared" si="5"/>
        <v>0</v>
      </c>
      <c r="AC8" s="489">
        <f t="shared" si="3"/>
        <v>0</v>
      </c>
      <c r="AD8" s="486">
        <f>AD9</f>
        <v>25000</v>
      </c>
      <c r="AE8" s="486">
        <f>AE9</f>
        <v>0</v>
      </c>
      <c r="AF8" s="486">
        <f>AF9</f>
        <v>25000</v>
      </c>
      <c r="AG8" s="486">
        <f t="shared" si="1"/>
        <v>0</v>
      </c>
      <c r="AH8" s="488">
        <f>AH9</f>
        <v>0</v>
      </c>
      <c r="AI8" s="488">
        <f>AI9</f>
        <v>0</v>
      </c>
      <c r="AJ8" s="488">
        <f>AJ9</f>
        <v>20000</v>
      </c>
      <c r="AK8" s="490"/>
    </row>
    <row r="9" spans="1:37" ht="27" thickTop="1" thickBot="1" x14ac:dyDescent="0.25">
      <c r="A9" s="491"/>
      <c r="B9" s="492"/>
      <c r="C9" s="493"/>
      <c r="D9" s="493">
        <v>1</v>
      </c>
      <c r="E9" s="494">
        <v>110102</v>
      </c>
      <c r="F9" s="495" t="s">
        <v>426</v>
      </c>
      <c r="G9" s="496"/>
      <c r="H9" s="497">
        <v>20000</v>
      </c>
      <c r="I9" s="497">
        <v>20000</v>
      </c>
      <c r="J9" s="487">
        <v>20000</v>
      </c>
      <c r="K9" s="498">
        <v>0</v>
      </c>
      <c r="L9" s="498">
        <v>0</v>
      </c>
      <c r="M9" s="498">
        <v>0</v>
      </c>
      <c r="N9" s="498">
        <v>0</v>
      </c>
      <c r="O9" s="498">
        <v>0</v>
      </c>
      <c r="P9" s="499">
        <v>0</v>
      </c>
      <c r="Q9" s="498">
        <v>0</v>
      </c>
      <c r="R9" s="498">
        <v>5000</v>
      </c>
      <c r="S9" s="498">
        <v>5000</v>
      </c>
      <c r="T9" s="498">
        <v>5000</v>
      </c>
      <c r="U9" s="498">
        <v>5000</v>
      </c>
      <c r="V9" s="498">
        <v>5000</v>
      </c>
      <c r="W9" s="498">
        <f>SUM(K9:V9)</f>
        <v>25000</v>
      </c>
      <c r="X9" s="498">
        <f>W9</f>
        <v>25000</v>
      </c>
      <c r="Y9" s="500"/>
      <c r="Z9" s="501">
        <v>25000</v>
      </c>
      <c r="AA9" s="501">
        <v>0</v>
      </c>
      <c r="AB9" s="501">
        <v>0</v>
      </c>
      <c r="AC9" s="478">
        <f t="shared" si="3"/>
        <v>0</v>
      </c>
      <c r="AD9" s="502">
        <f>Z9</f>
        <v>25000</v>
      </c>
      <c r="AE9" s="502">
        <v>0</v>
      </c>
      <c r="AF9" s="502">
        <v>25000</v>
      </c>
      <c r="AG9" s="502">
        <f t="shared" si="1"/>
        <v>0</v>
      </c>
      <c r="AH9" s="503">
        <v>0</v>
      </c>
      <c r="AI9" s="503">
        <v>0</v>
      </c>
      <c r="AJ9" s="503">
        <v>20000</v>
      </c>
      <c r="AK9" s="472">
        <v>1100122</v>
      </c>
    </row>
    <row r="10" spans="1:37" ht="27" thickTop="1" thickBot="1" x14ac:dyDescent="0.25">
      <c r="A10" s="481"/>
      <c r="B10" s="482"/>
      <c r="C10" s="483">
        <v>2</v>
      </c>
      <c r="D10" s="483"/>
      <c r="E10" s="484"/>
      <c r="F10" s="485" t="s">
        <v>427</v>
      </c>
      <c r="G10" s="486">
        <f t="shared" ref="G10:AB10" si="6">G11+G12</f>
        <v>1095470.06</v>
      </c>
      <c r="H10" s="486">
        <f t="shared" si="6"/>
        <v>1330000</v>
      </c>
      <c r="I10" s="486">
        <f t="shared" si="6"/>
        <v>1330000</v>
      </c>
      <c r="J10" s="486">
        <f t="shared" si="6"/>
        <v>1330000</v>
      </c>
      <c r="K10" s="487">
        <f t="shared" si="6"/>
        <v>441250.4</v>
      </c>
      <c r="L10" s="487">
        <f t="shared" si="6"/>
        <v>17566.2</v>
      </c>
      <c r="M10" s="487">
        <f t="shared" si="6"/>
        <v>34195</v>
      </c>
      <c r="N10" s="487">
        <f t="shared" si="6"/>
        <v>0</v>
      </c>
      <c r="O10" s="487">
        <f t="shared" si="6"/>
        <v>0</v>
      </c>
      <c r="P10" s="487">
        <f t="shared" si="6"/>
        <v>0</v>
      </c>
      <c r="Q10" s="487">
        <f t="shared" si="6"/>
        <v>0</v>
      </c>
      <c r="R10" s="487">
        <f t="shared" si="6"/>
        <v>145390.6</v>
      </c>
      <c r="S10" s="487">
        <f t="shared" si="6"/>
        <v>145390.6</v>
      </c>
      <c r="T10" s="487">
        <f t="shared" si="6"/>
        <v>21883.200000000001</v>
      </c>
      <c r="U10" s="487">
        <f t="shared" si="6"/>
        <v>91210.08</v>
      </c>
      <c r="V10" s="487">
        <f t="shared" si="6"/>
        <v>6086</v>
      </c>
      <c r="W10" s="486">
        <f t="shared" si="6"/>
        <v>1790257.3599999999</v>
      </c>
      <c r="X10" s="486">
        <f t="shared" si="6"/>
        <v>1790257.3599999999</v>
      </c>
      <c r="Y10" s="488">
        <f t="shared" si="6"/>
        <v>493011.6</v>
      </c>
      <c r="Z10" s="486">
        <f t="shared" si="6"/>
        <v>1790257.3599999999</v>
      </c>
      <c r="AA10" s="486">
        <f t="shared" si="6"/>
        <v>0</v>
      </c>
      <c r="AB10" s="486">
        <f t="shared" si="6"/>
        <v>0</v>
      </c>
      <c r="AC10" s="489">
        <f t="shared" si="3"/>
        <v>0</v>
      </c>
      <c r="AD10" s="486">
        <f>AD11+AD12</f>
        <v>1790257.3599999999</v>
      </c>
      <c r="AE10" s="486">
        <f>AE11+AE12</f>
        <v>2000</v>
      </c>
      <c r="AF10" s="486">
        <f>AF11+AF12</f>
        <v>677890</v>
      </c>
      <c r="AG10" s="486">
        <f t="shared" si="1"/>
        <v>-1112367.3599999999</v>
      </c>
      <c r="AH10" s="488">
        <f>AH11+AH12</f>
        <v>493011.6</v>
      </c>
      <c r="AI10" s="488">
        <f>AI11+AI12</f>
        <v>158547.64000000001</v>
      </c>
      <c r="AJ10" s="488">
        <f>AJ11+AJ12</f>
        <v>200000</v>
      </c>
      <c r="AK10" s="490"/>
    </row>
    <row r="11" spans="1:37" ht="27" thickTop="1" thickBot="1" x14ac:dyDescent="0.25">
      <c r="A11" s="491"/>
      <c r="B11" s="492"/>
      <c r="C11" s="493"/>
      <c r="D11" s="493">
        <v>1</v>
      </c>
      <c r="E11" s="494">
        <v>110201</v>
      </c>
      <c r="F11" s="495" t="s">
        <v>428</v>
      </c>
      <c r="G11" s="497">
        <v>106952.14</v>
      </c>
      <c r="H11" s="497">
        <v>130000</v>
      </c>
      <c r="I11" s="497">
        <v>130000</v>
      </c>
      <c r="J11" s="487">
        <v>130000</v>
      </c>
      <c r="K11" s="504">
        <v>548.4</v>
      </c>
      <c r="L11" s="505">
        <v>1424.2</v>
      </c>
      <c r="M11" s="504">
        <v>3153</v>
      </c>
      <c r="N11" s="505">
        <v>0</v>
      </c>
      <c r="O11" s="505">
        <v>0</v>
      </c>
      <c r="P11" s="506">
        <v>0</v>
      </c>
      <c r="Q11" s="507">
        <v>0</v>
      </c>
      <c r="R11" s="507">
        <v>579</v>
      </c>
      <c r="S11" s="507">
        <v>579</v>
      </c>
      <c r="T11" s="507">
        <v>2738.4</v>
      </c>
      <c r="U11" s="507">
        <v>5794.8</v>
      </c>
      <c r="V11" s="507">
        <v>870</v>
      </c>
      <c r="W11" s="508">
        <f>SUM(K10:V10)</f>
        <v>902972.08</v>
      </c>
      <c r="X11" s="498">
        <f>W11</f>
        <v>902972.08</v>
      </c>
      <c r="Y11" s="500">
        <v>5125.6000000000004</v>
      </c>
      <c r="Z11" s="501">
        <v>902972.08</v>
      </c>
      <c r="AA11" s="501">
        <v>0</v>
      </c>
      <c r="AB11" s="501">
        <v>0</v>
      </c>
      <c r="AC11" s="478">
        <f t="shared" si="3"/>
        <v>0</v>
      </c>
      <c r="AD11" s="509">
        <f>Z11</f>
        <v>902972.08</v>
      </c>
      <c r="AE11" s="510">
        <v>2000</v>
      </c>
      <c r="AF11" s="502">
        <v>250000</v>
      </c>
      <c r="AG11" s="509">
        <f t="shared" si="1"/>
        <v>-652972.07999999996</v>
      </c>
      <c r="AH11" s="503">
        <v>5125.6000000000004</v>
      </c>
      <c r="AI11" s="503">
        <v>28271</v>
      </c>
      <c r="AJ11" s="503">
        <v>50000</v>
      </c>
      <c r="AK11" s="472">
        <v>1100122</v>
      </c>
    </row>
    <row r="12" spans="1:37" ht="27" thickTop="1" thickBot="1" x14ac:dyDescent="0.25">
      <c r="A12" s="491"/>
      <c r="B12" s="492"/>
      <c r="C12" s="493"/>
      <c r="D12" s="493">
        <v>2</v>
      </c>
      <c r="E12" s="494">
        <v>110202</v>
      </c>
      <c r="F12" s="495" t="s">
        <v>429</v>
      </c>
      <c r="G12" s="497">
        <v>988517.92</v>
      </c>
      <c r="H12" s="497">
        <v>1200000</v>
      </c>
      <c r="I12" s="497">
        <v>1200000</v>
      </c>
      <c r="J12" s="487">
        <v>1200000</v>
      </c>
      <c r="K12" s="504">
        <v>440702</v>
      </c>
      <c r="L12" s="505">
        <v>16142</v>
      </c>
      <c r="M12" s="504">
        <v>31042</v>
      </c>
      <c r="N12" s="505">
        <v>0</v>
      </c>
      <c r="O12" s="505">
        <v>0</v>
      </c>
      <c r="P12" s="506">
        <v>0</v>
      </c>
      <c r="Q12" s="507">
        <v>0</v>
      </c>
      <c r="R12" s="507">
        <v>144811.6</v>
      </c>
      <c r="S12" s="507">
        <v>144811.6</v>
      </c>
      <c r="T12" s="507">
        <v>19144.8</v>
      </c>
      <c r="U12" s="507">
        <v>85415.28</v>
      </c>
      <c r="V12" s="507">
        <v>5216</v>
      </c>
      <c r="W12" s="508">
        <f>SUM(K12:V12)</f>
        <v>887285.28</v>
      </c>
      <c r="X12" s="498">
        <f>W12</f>
        <v>887285.28</v>
      </c>
      <c r="Y12" s="500">
        <v>487886</v>
      </c>
      <c r="Z12" s="501">
        <v>887285.28</v>
      </c>
      <c r="AA12" s="501">
        <v>0</v>
      </c>
      <c r="AB12" s="501">
        <v>0</v>
      </c>
      <c r="AC12" s="478">
        <f t="shared" si="3"/>
        <v>0</v>
      </c>
      <c r="AD12" s="509">
        <f>Z12</f>
        <v>887285.28</v>
      </c>
      <c r="AE12" s="509">
        <v>0</v>
      </c>
      <c r="AF12" s="502">
        <v>427890</v>
      </c>
      <c r="AG12" s="509">
        <f t="shared" si="1"/>
        <v>-459395.28</v>
      </c>
      <c r="AH12" s="503">
        <v>487886</v>
      </c>
      <c r="AI12" s="503">
        <v>130276.64</v>
      </c>
      <c r="AJ12" s="503">
        <v>150000</v>
      </c>
      <c r="AK12" s="472">
        <v>1100122</v>
      </c>
    </row>
    <row r="13" spans="1:37" ht="27" thickTop="1" thickBot="1" x14ac:dyDescent="0.25">
      <c r="A13" s="481"/>
      <c r="B13" s="482"/>
      <c r="C13" s="483">
        <v>3</v>
      </c>
      <c r="D13" s="483"/>
      <c r="E13" s="484"/>
      <c r="F13" s="485" t="s">
        <v>430</v>
      </c>
      <c r="G13" s="486">
        <f>G14</f>
        <v>3890802.17</v>
      </c>
      <c r="H13" s="486">
        <f>H14</f>
        <v>4700000</v>
      </c>
      <c r="I13" s="486">
        <v>4700000</v>
      </c>
      <c r="J13" s="486">
        <f t="shared" ref="J13:AB13" si="7">J14</f>
        <v>4700000</v>
      </c>
      <c r="K13" s="487">
        <f t="shared" si="7"/>
        <v>374663.66</v>
      </c>
      <c r="L13" s="487">
        <f t="shared" si="7"/>
        <v>189730</v>
      </c>
      <c r="M13" s="487">
        <f t="shared" si="7"/>
        <v>478239.39</v>
      </c>
      <c r="N13" s="487">
        <f t="shared" si="7"/>
        <v>110961</v>
      </c>
      <c r="O13" s="487">
        <f t="shared" si="7"/>
        <v>0</v>
      </c>
      <c r="P13" s="487">
        <f t="shared" si="7"/>
        <v>1320</v>
      </c>
      <c r="Q13" s="487">
        <f t="shared" si="7"/>
        <v>0</v>
      </c>
      <c r="R13" s="487">
        <f t="shared" si="7"/>
        <v>318834.15999999997</v>
      </c>
      <c r="S13" s="487">
        <f t="shared" si="7"/>
        <v>318834.15999999997</v>
      </c>
      <c r="T13" s="487">
        <f t="shared" si="7"/>
        <v>484663.18</v>
      </c>
      <c r="U13" s="487">
        <f t="shared" si="7"/>
        <v>302576.99</v>
      </c>
      <c r="V13" s="487">
        <f t="shared" si="7"/>
        <v>329324.45</v>
      </c>
      <c r="W13" s="486">
        <f t="shared" si="7"/>
        <v>2909146.99</v>
      </c>
      <c r="X13" s="486">
        <f t="shared" si="7"/>
        <v>2909146.99</v>
      </c>
      <c r="Y13" s="488">
        <f t="shared" si="7"/>
        <v>1321672.05</v>
      </c>
      <c r="Z13" s="486">
        <f t="shared" si="7"/>
        <v>3509146.99</v>
      </c>
      <c r="AA13" s="486">
        <f t="shared" si="7"/>
        <v>107468</v>
      </c>
      <c r="AB13" s="486">
        <f t="shared" si="7"/>
        <v>95847</v>
      </c>
      <c r="AC13" s="489">
        <f t="shared" si="3"/>
        <v>0</v>
      </c>
      <c r="AD13" s="486">
        <f>AD14</f>
        <v>3509146.99</v>
      </c>
      <c r="AE13" s="486">
        <f>AE14</f>
        <v>318543</v>
      </c>
      <c r="AF13" s="486">
        <f>AF14</f>
        <v>2509146.9900000002</v>
      </c>
      <c r="AG13" s="486">
        <f t="shared" si="1"/>
        <v>-1000000</v>
      </c>
      <c r="AH13" s="488">
        <f>AH14</f>
        <v>1321672.05</v>
      </c>
      <c r="AI13" s="488">
        <f>AI14</f>
        <v>1807764.15</v>
      </c>
      <c r="AJ13" s="488">
        <f>AJ14</f>
        <v>2000000</v>
      </c>
      <c r="AK13" s="490"/>
    </row>
    <row r="14" spans="1:37" ht="27" thickTop="1" thickBot="1" x14ac:dyDescent="0.25">
      <c r="A14" s="491"/>
      <c r="B14" s="492"/>
      <c r="C14" s="493"/>
      <c r="D14" s="493">
        <v>1</v>
      </c>
      <c r="E14" s="494">
        <v>110301</v>
      </c>
      <c r="F14" s="495" t="s">
        <v>431</v>
      </c>
      <c r="G14" s="498">
        <v>3890802.17</v>
      </c>
      <c r="H14" s="497">
        <f>3700000+1000000</f>
        <v>4700000</v>
      </c>
      <c r="I14" s="497">
        <f>3700000+1000000</f>
        <v>4700000</v>
      </c>
      <c r="J14" s="487">
        <f>3700000+1000000</f>
        <v>4700000</v>
      </c>
      <c r="K14" s="504">
        <v>374663.66</v>
      </c>
      <c r="L14" s="505">
        <v>189730</v>
      </c>
      <c r="M14" s="504">
        <v>478239.39</v>
      </c>
      <c r="N14" s="504">
        <v>110961</v>
      </c>
      <c r="O14" s="504">
        <v>0</v>
      </c>
      <c r="P14" s="499">
        <v>1320</v>
      </c>
      <c r="Q14" s="511">
        <v>0</v>
      </c>
      <c r="R14" s="511">
        <v>318834.15999999997</v>
      </c>
      <c r="S14" s="507">
        <v>318834.15999999997</v>
      </c>
      <c r="T14" s="507">
        <v>484663.18</v>
      </c>
      <c r="U14" s="507">
        <v>302576.99</v>
      </c>
      <c r="V14" s="507">
        <v>329324.45</v>
      </c>
      <c r="W14" s="508">
        <f>SUM(K14:V14)</f>
        <v>2909146.99</v>
      </c>
      <c r="X14" s="498">
        <f>W14</f>
        <v>2909146.99</v>
      </c>
      <c r="Y14" s="500">
        <v>1321672.05</v>
      </c>
      <c r="Z14" s="501">
        <v>3509146.99</v>
      </c>
      <c r="AA14" s="501">
        <v>107468</v>
      </c>
      <c r="AB14" s="512">
        <v>95847</v>
      </c>
      <c r="AC14" s="478">
        <f t="shared" si="3"/>
        <v>0</v>
      </c>
      <c r="AD14" s="509">
        <f>Z14</f>
        <v>3509146.99</v>
      </c>
      <c r="AE14" s="510">
        <v>318543</v>
      </c>
      <c r="AF14" s="502">
        <f>AD14-1000000</f>
        <v>2509146.9900000002</v>
      </c>
      <c r="AG14" s="509">
        <f t="shared" si="1"/>
        <v>-1000000</v>
      </c>
      <c r="AH14" s="503">
        <v>1321672.05</v>
      </c>
      <c r="AI14" s="503">
        <v>1807764.15</v>
      </c>
      <c r="AJ14" s="503">
        <v>2000000</v>
      </c>
      <c r="AK14" s="472">
        <v>1100122</v>
      </c>
    </row>
    <row r="15" spans="1:37" ht="15.75" thickTop="1" thickBot="1" x14ac:dyDescent="0.25">
      <c r="A15" s="481"/>
      <c r="B15" s="482" t="s">
        <v>432</v>
      </c>
      <c r="C15" s="513"/>
      <c r="D15" s="513"/>
      <c r="E15" s="484"/>
      <c r="F15" s="485" t="s">
        <v>433</v>
      </c>
      <c r="G15" s="486">
        <f t="shared" ref="G15:AB15" si="8">G16+G23</f>
        <v>241860901.91</v>
      </c>
      <c r="H15" s="486">
        <f t="shared" si="8"/>
        <v>259654734</v>
      </c>
      <c r="I15" s="486">
        <f t="shared" si="8"/>
        <v>252654734</v>
      </c>
      <c r="J15" s="486">
        <f t="shared" si="8"/>
        <v>252654734</v>
      </c>
      <c r="K15" s="514">
        <f t="shared" si="8"/>
        <v>154649158.97999999</v>
      </c>
      <c r="L15" s="474">
        <f t="shared" si="8"/>
        <v>28497853.419999998</v>
      </c>
      <c r="M15" s="474">
        <f t="shared" si="8"/>
        <v>8124927.0899999999</v>
      </c>
      <c r="N15" s="515">
        <f t="shared" si="8"/>
        <v>3045041.78</v>
      </c>
      <c r="O15" s="515">
        <f t="shared" si="8"/>
        <v>3792255.7700000005</v>
      </c>
      <c r="P15" s="515">
        <f t="shared" si="8"/>
        <v>3830585.71</v>
      </c>
      <c r="Q15" s="515">
        <f t="shared" si="8"/>
        <v>4831781.6900000013</v>
      </c>
      <c r="R15" s="515">
        <f t="shared" si="8"/>
        <v>4576339.0369999995</v>
      </c>
      <c r="S15" s="515">
        <f t="shared" si="8"/>
        <v>3469539.5649999995</v>
      </c>
      <c r="T15" s="515">
        <f t="shared" si="8"/>
        <v>4465286.7815099992</v>
      </c>
      <c r="U15" s="515">
        <f t="shared" si="8"/>
        <v>3821691.5292700003</v>
      </c>
      <c r="V15" s="515">
        <f t="shared" si="8"/>
        <v>12933094.554719971</v>
      </c>
      <c r="W15" s="486">
        <f t="shared" si="8"/>
        <v>246072108.88999996</v>
      </c>
      <c r="X15" s="486">
        <f t="shared" si="8"/>
        <v>246072108.88999996</v>
      </c>
      <c r="Y15" s="488">
        <f t="shared" si="8"/>
        <v>245670171.22</v>
      </c>
      <c r="Z15" s="486">
        <f t="shared" si="8"/>
        <v>253527376.66</v>
      </c>
      <c r="AA15" s="486">
        <f t="shared" si="8"/>
        <v>163272106.01999998</v>
      </c>
      <c r="AB15" s="486">
        <f t="shared" si="8"/>
        <v>31916945.970000003</v>
      </c>
      <c r="AC15" s="489">
        <f t="shared" si="3"/>
        <v>0</v>
      </c>
      <c r="AD15" s="486">
        <f>AD16+AD23</f>
        <v>260926387.27000004</v>
      </c>
      <c r="AE15" s="486">
        <f>AE16+AE23</f>
        <v>213040041.22</v>
      </c>
      <c r="AF15" s="486">
        <f>AF16+AF23</f>
        <v>264149192.32000005</v>
      </c>
      <c r="AG15" s="486">
        <f t="shared" si="1"/>
        <v>3222805.0500000119</v>
      </c>
      <c r="AH15" s="488">
        <f>AH16+AH23</f>
        <v>246077813.19999999</v>
      </c>
      <c r="AI15" s="488">
        <f>AI16+AI23</f>
        <v>269070946.58999997</v>
      </c>
      <c r="AJ15" s="488">
        <f>AJ16+AJ23</f>
        <v>304799136</v>
      </c>
      <c r="AK15" s="490"/>
    </row>
    <row r="16" spans="1:37" ht="15.75" thickTop="1" thickBot="1" x14ac:dyDescent="0.25">
      <c r="A16" s="516"/>
      <c r="B16" s="517"/>
      <c r="C16" s="518">
        <v>1</v>
      </c>
      <c r="D16" s="518"/>
      <c r="E16" s="519"/>
      <c r="F16" s="520" t="s">
        <v>434</v>
      </c>
      <c r="G16" s="487">
        <f>G17+G18+G19+G20</f>
        <v>228236957.59999999</v>
      </c>
      <c r="H16" s="521">
        <f>H17+H18+H19+H20</f>
        <v>255592588</v>
      </c>
      <c r="I16" s="497">
        <f>255592588-7000000</f>
        <v>248592588</v>
      </c>
      <c r="J16" s="498">
        <f t="shared" ref="J16:X16" si="9">J17+J18+J19+J20</f>
        <v>248592588</v>
      </c>
      <c r="K16" s="498">
        <f t="shared" si="9"/>
        <v>154603856.34</v>
      </c>
      <c r="L16" s="498">
        <f t="shared" si="9"/>
        <v>28179554.93</v>
      </c>
      <c r="M16" s="498">
        <f t="shared" si="9"/>
        <v>7438708.4199999999</v>
      </c>
      <c r="N16" s="498">
        <f t="shared" si="9"/>
        <v>2721026.03</v>
      </c>
      <c r="O16" s="498">
        <f t="shared" si="9"/>
        <v>3590585.8400000003</v>
      </c>
      <c r="P16" s="498">
        <f t="shared" si="9"/>
        <v>3571442.77</v>
      </c>
      <c r="Q16" s="498">
        <f t="shared" si="9"/>
        <v>4775873.580000001</v>
      </c>
      <c r="R16" s="498">
        <f t="shared" si="9"/>
        <v>4477994.0369999995</v>
      </c>
      <c r="S16" s="498">
        <f t="shared" si="9"/>
        <v>3368321.5649999995</v>
      </c>
      <c r="T16" s="498">
        <f t="shared" si="9"/>
        <v>4334558.7815099992</v>
      </c>
      <c r="U16" s="498">
        <f t="shared" si="9"/>
        <v>3680771.5292700003</v>
      </c>
      <c r="V16" s="498">
        <f t="shared" si="9"/>
        <v>12698897.554719971</v>
      </c>
      <c r="W16" s="522">
        <f t="shared" si="9"/>
        <v>235041591.35999995</v>
      </c>
      <c r="X16" s="522">
        <f t="shared" si="9"/>
        <v>235041591.35999995</v>
      </c>
      <c r="Y16" s="523">
        <f>Y17+Y18+Y19+Y20+Y21+Y22</f>
        <v>234627718.84</v>
      </c>
      <c r="Z16" s="524">
        <f>Z17+Z18+Z19+Z20+Z21+Z22</f>
        <v>242136094.68000001</v>
      </c>
      <c r="AA16" s="524">
        <f>AA17+AA18+AA19+AA20+AA21+AA22</f>
        <v>163272106.01999998</v>
      </c>
      <c r="AB16" s="524">
        <f>AB17+AB18+AB19+AB20+AB21+AB22</f>
        <v>30353450.540000003</v>
      </c>
      <c r="AC16" s="478">
        <f t="shared" si="3"/>
        <v>0</v>
      </c>
      <c r="AD16" s="522">
        <f>AD17+AD18+AD19+AD20+AD21+AD22</f>
        <v>249306299.93000004</v>
      </c>
      <c r="AE16" s="522">
        <f>AE17+AE18+AE19+AE20+AE21+AE22</f>
        <v>210280947.53</v>
      </c>
      <c r="AF16" s="522">
        <f>AF17+AF18+AF19+AF20+AF21+AF22</f>
        <v>252529104.67000005</v>
      </c>
      <c r="AG16" s="522">
        <f t="shared" si="1"/>
        <v>3222804.7400000095</v>
      </c>
      <c r="AH16" s="523">
        <f>AH17+AH18+AH19+AH20+AH21+AH22</f>
        <v>235035360.81999999</v>
      </c>
      <c r="AI16" s="523">
        <f>AI17+AI18+AI19+AI20+AI21+AI22</f>
        <v>262451191.94999999</v>
      </c>
      <c r="AJ16" s="523">
        <f>AJ17+AJ18+AJ19+AJ20+AJ21+AJ22</f>
        <v>295972313</v>
      </c>
      <c r="AK16" s="525"/>
    </row>
    <row r="17" spans="1:37" ht="16.5" thickTop="1" thickBot="1" x14ac:dyDescent="0.25">
      <c r="A17" s="491"/>
      <c r="B17" s="492"/>
      <c r="C17" s="493"/>
      <c r="D17" s="493">
        <v>1</v>
      </c>
      <c r="E17" s="494">
        <v>120101</v>
      </c>
      <c r="F17" s="495" t="s">
        <v>435</v>
      </c>
      <c r="G17" s="498">
        <v>167234702.75</v>
      </c>
      <c r="H17" s="521">
        <v>190829921</v>
      </c>
      <c r="I17" s="497">
        <v>190829921</v>
      </c>
      <c r="J17" s="498">
        <f>190829921-7000000</f>
        <v>183829921</v>
      </c>
      <c r="K17" s="526">
        <v>144772514.74000001</v>
      </c>
      <c r="L17" s="526">
        <v>23202656</v>
      </c>
      <c r="M17" s="526">
        <v>3704541.65</v>
      </c>
      <c r="N17" s="526">
        <v>945396.56</v>
      </c>
      <c r="O17" s="526">
        <v>1676483.48</v>
      </c>
      <c r="P17" s="506">
        <v>892675.82</v>
      </c>
      <c r="Q17" s="527">
        <f>'[16]PREDIAL PROY'!I8</f>
        <v>1458538.4790000001</v>
      </c>
      <c r="R17" s="527">
        <f>'[16]PREDIAL PROY'!I9</f>
        <v>856468.69200000004</v>
      </c>
      <c r="S17" s="527">
        <f>'[16]PREDIAL PROY'!I10</f>
        <v>891909.78099999996</v>
      </c>
      <c r="T17" s="527">
        <f>'[16]PREDIAL PROY'!I11</f>
        <v>542455.20432000002</v>
      </c>
      <c r="U17" s="527">
        <f>'[16]PREDIAL PROY'!I12</f>
        <v>671615.88338999997</v>
      </c>
      <c r="V17" s="527">
        <f>'[16]PREDIAL PROY'!I13</f>
        <v>164734.88772</v>
      </c>
      <c r="W17" s="508">
        <v>179779991.16999999</v>
      </c>
      <c r="X17" s="498">
        <f>W17</f>
        <v>179779991.16999999</v>
      </c>
      <c r="Y17" s="500">
        <v>180044494.69999999</v>
      </c>
      <c r="Z17" s="501">
        <v>188494532.86000001</v>
      </c>
      <c r="AA17" s="501">
        <v>153244148.62</v>
      </c>
      <c r="AB17" s="512">
        <v>23822442.280000001</v>
      </c>
      <c r="AC17" s="478">
        <f t="shared" si="3"/>
        <v>0</v>
      </c>
      <c r="AD17" s="509">
        <v>189790422.63000003</v>
      </c>
      <c r="AE17" s="510">
        <v>184179393.68000001</v>
      </c>
      <c r="AF17" s="528">
        <f>AD17+500000</f>
        <v>190290422.63000003</v>
      </c>
      <c r="AG17" s="510">
        <f t="shared" si="1"/>
        <v>500000</v>
      </c>
      <c r="AH17" s="503">
        <v>180044494.69999999</v>
      </c>
      <c r="AI17" s="503">
        <v>191657445.66999999</v>
      </c>
      <c r="AJ17" s="503">
        <f>232772544-3000000</f>
        <v>229772544</v>
      </c>
      <c r="AK17" s="472">
        <v>1100122</v>
      </c>
    </row>
    <row r="18" spans="1:37" ht="16.5" thickTop="1" thickBot="1" x14ac:dyDescent="0.25">
      <c r="A18" s="491"/>
      <c r="B18" s="492"/>
      <c r="C18" s="493"/>
      <c r="D18" s="493">
        <v>2</v>
      </c>
      <c r="E18" s="494">
        <v>120102</v>
      </c>
      <c r="F18" s="495" t="s">
        <v>436</v>
      </c>
      <c r="G18" s="498">
        <v>2576577.31</v>
      </c>
      <c r="H18" s="521">
        <v>2756937</v>
      </c>
      <c r="I18" s="497">
        <v>2756937</v>
      </c>
      <c r="J18" s="498">
        <v>2756937</v>
      </c>
      <c r="K18" s="526">
        <v>1936541.72</v>
      </c>
      <c r="L18" s="526">
        <v>550415.97</v>
      </c>
      <c r="M18" s="526">
        <v>37732.559999999998</v>
      </c>
      <c r="N18" s="526">
        <v>5973.17</v>
      </c>
      <c r="O18" s="526">
        <v>1000.12</v>
      </c>
      <c r="P18" s="506">
        <v>2313.3000000000002</v>
      </c>
      <c r="Q18" s="527">
        <f>'[16]PREDIAL PROY'!J8</f>
        <v>3787.2629999999999</v>
      </c>
      <c r="R18" s="527">
        <f>'[16]PREDIAL PROY'!J9</f>
        <v>23810.058000000001</v>
      </c>
      <c r="S18" s="527">
        <f>'[16]PREDIAL PROY'!J10</f>
        <v>3116.5609999999997</v>
      </c>
      <c r="T18" s="527">
        <f>'[16]PREDIAL PROY'!J11</f>
        <v>2506.19823</v>
      </c>
      <c r="U18" s="527">
        <f>'[16]PREDIAL PROY'!J12</f>
        <v>2265.7217700000001</v>
      </c>
      <c r="V18" s="527">
        <f>'[16]PREDIAL PROY'!J13</f>
        <v>0</v>
      </c>
      <c r="W18" s="508">
        <v>2569462.64</v>
      </c>
      <c r="X18" s="498">
        <f>W18</f>
        <v>2569462.64</v>
      </c>
      <c r="Y18" s="500">
        <v>2578936.2200000002</v>
      </c>
      <c r="Z18" s="501">
        <v>2699779.04</v>
      </c>
      <c r="AA18" s="501">
        <v>2011104.98</v>
      </c>
      <c r="AB18" s="512">
        <v>524576.65</v>
      </c>
      <c r="AC18" s="478">
        <f t="shared" si="3"/>
        <v>0</v>
      </c>
      <c r="AD18" s="509">
        <v>2699779.04</v>
      </c>
      <c r="AE18" s="510">
        <v>2576974.2599999998</v>
      </c>
      <c r="AF18" s="528">
        <f>AD18+222804.74</f>
        <v>2922583.7800000003</v>
      </c>
      <c r="AG18" s="510">
        <f t="shared" si="1"/>
        <v>222804.74000000022</v>
      </c>
      <c r="AH18" s="503">
        <v>2578936.2200000002</v>
      </c>
      <c r="AI18" s="503">
        <v>2609257.59</v>
      </c>
      <c r="AJ18" s="503">
        <v>2712323</v>
      </c>
      <c r="AK18" s="472">
        <v>1100122</v>
      </c>
    </row>
    <row r="19" spans="1:37" ht="16.5" thickTop="1" thickBot="1" x14ac:dyDescent="0.25">
      <c r="A19" s="491"/>
      <c r="B19" s="492"/>
      <c r="C19" s="493"/>
      <c r="D19" s="493">
        <v>3</v>
      </c>
      <c r="E19" s="494">
        <v>120103</v>
      </c>
      <c r="F19" s="495" t="s">
        <v>437</v>
      </c>
      <c r="G19" s="498">
        <v>57369478.619999997</v>
      </c>
      <c r="H19" s="497">
        <f>57888755+3000000</f>
        <v>60888755</v>
      </c>
      <c r="I19" s="497">
        <f>57888755+3000000</f>
        <v>60888755</v>
      </c>
      <c r="J19" s="498">
        <f>57888755+3000000</f>
        <v>60888755</v>
      </c>
      <c r="K19" s="526">
        <v>7793105.9699999997</v>
      </c>
      <c r="L19" s="526">
        <v>4344564.59</v>
      </c>
      <c r="M19" s="526">
        <v>3472965.08</v>
      </c>
      <c r="N19" s="526">
        <v>1721686.67</v>
      </c>
      <c r="O19" s="526">
        <v>1879033.72</v>
      </c>
      <c r="P19" s="506">
        <v>2645821.42</v>
      </c>
      <c r="Q19" s="527">
        <f>'[16]PREDIAL PROY'!K8</f>
        <v>3259689.7410000004</v>
      </c>
      <c r="R19" s="527">
        <f>'[16]PREDIAL PROY'!K9</f>
        <v>3551724.0900000003</v>
      </c>
      <c r="S19" s="527">
        <f>'[16]PREDIAL PROY'!K10</f>
        <v>2445471.7629999998</v>
      </c>
      <c r="T19" s="527">
        <f>'[16]PREDIAL PROY'!K11</f>
        <v>3708485.6476499997</v>
      </c>
      <c r="U19" s="527">
        <f>'[16]PREDIAL PROY'!K12</f>
        <v>2968586.0457900004</v>
      </c>
      <c r="V19" s="527">
        <f>'[16]PREDIAL PROY'!K13</f>
        <v>12416352.313059971</v>
      </c>
      <c r="W19" s="508">
        <f>50207487.05+1600000</f>
        <v>51807487.049999997</v>
      </c>
      <c r="X19" s="498">
        <f>W19</f>
        <v>51807487.049999997</v>
      </c>
      <c r="Y19" s="500">
        <v>51028693.590000004</v>
      </c>
      <c r="Z19" s="501">
        <v>49713376.759999998</v>
      </c>
      <c r="AA19" s="501">
        <v>7568119.3399999999</v>
      </c>
      <c r="AB19" s="512">
        <v>5749379.5899999999</v>
      </c>
      <c r="AC19" s="478">
        <f t="shared" si="3"/>
        <v>0</v>
      </c>
      <c r="AD19" s="509">
        <v>55177673.540000007</v>
      </c>
      <c r="AE19" s="510">
        <v>22286378.449999999</v>
      </c>
      <c r="AF19" s="528">
        <f>AD19+1500000</f>
        <v>56677673.540000007</v>
      </c>
      <c r="AG19" s="510">
        <f t="shared" si="1"/>
        <v>1500000</v>
      </c>
      <c r="AH19" s="503">
        <v>51028693.590000004</v>
      </c>
      <c r="AI19" s="503">
        <v>64748360.759999998</v>
      </c>
      <c r="AJ19" s="503">
        <v>60000000</v>
      </c>
      <c r="AK19" s="472">
        <v>1100122</v>
      </c>
    </row>
    <row r="20" spans="1:37" ht="16.5" thickTop="1" thickBot="1" x14ac:dyDescent="0.25">
      <c r="A20" s="491"/>
      <c r="B20" s="492"/>
      <c r="C20" s="493"/>
      <c r="D20" s="493">
        <v>4</v>
      </c>
      <c r="E20" s="494">
        <v>120104</v>
      </c>
      <c r="F20" s="495" t="s">
        <v>438</v>
      </c>
      <c r="G20" s="498">
        <v>1056198.92</v>
      </c>
      <c r="H20" s="497">
        <v>1116975</v>
      </c>
      <c r="I20" s="529">
        <v>1116975</v>
      </c>
      <c r="J20" s="498">
        <v>1116975</v>
      </c>
      <c r="K20" s="530">
        <v>101693.91</v>
      </c>
      <c r="L20" s="531">
        <v>81918.37</v>
      </c>
      <c r="M20" s="526">
        <v>223469.13</v>
      </c>
      <c r="N20" s="526">
        <v>47969.63</v>
      </c>
      <c r="O20" s="532">
        <v>34068.519999999997</v>
      </c>
      <c r="P20" s="499">
        <v>30632.23</v>
      </c>
      <c r="Q20" s="527">
        <f>'[16]PREDIAL PROY'!L8</f>
        <v>53858.097000000002</v>
      </c>
      <c r="R20" s="527">
        <f>'[16]PREDIAL PROY'!L9</f>
        <v>45991.197</v>
      </c>
      <c r="S20" s="527">
        <f>'[16]PREDIAL PROY'!L10</f>
        <v>27823.46</v>
      </c>
      <c r="T20" s="527">
        <f>'[16]PREDIAL PROY'!L11</f>
        <v>81111.731310000003</v>
      </c>
      <c r="U20" s="527">
        <f>'[16]PREDIAL PROY'!L12</f>
        <v>38303.878320000003</v>
      </c>
      <c r="V20" s="527">
        <f>'[16]PREDIAL PROY'!L13</f>
        <v>117810.35394</v>
      </c>
      <c r="W20" s="508">
        <v>884650.5</v>
      </c>
      <c r="X20" s="498">
        <f>W20</f>
        <v>884650.5</v>
      </c>
      <c r="Y20" s="500">
        <v>975594.33</v>
      </c>
      <c r="Z20" s="501">
        <v>958997.4</v>
      </c>
      <c r="AA20" s="501">
        <v>207699.75</v>
      </c>
      <c r="AB20" s="512">
        <v>118042.92</v>
      </c>
      <c r="AC20" s="478">
        <f t="shared" si="3"/>
        <v>0</v>
      </c>
      <c r="AD20" s="509">
        <v>1147688.2599999998</v>
      </c>
      <c r="AE20" s="510">
        <v>708854.4</v>
      </c>
      <c r="AF20" s="528">
        <f>AD20+500000</f>
        <v>1647688.2599999998</v>
      </c>
      <c r="AG20" s="510">
        <f t="shared" si="1"/>
        <v>500000</v>
      </c>
      <c r="AH20" s="503">
        <v>975594.33</v>
      </c>
      <c r="AI20" s="503">
        <v>1517505.02</v>
      </c>
      <c r="AJ20" s="503">
        <v>1577446</v>
      </c>
      <c r="AK20" s="472">
        <v>1100122</v>
      </c>
    </row>
    <row r="21" spans="1:37" ht="16.5" thickTop="1" thickBot="1" x14ac:dyDescent="0.25">
      <c r="A21" s="491"/>
      <c r="B21" s="492"/>
      <c r="C21" s="493"/>
      <c r="D21" s="493">
        <v>5</v>
      </c>
      <c r="E21" s="494">
        <v>120105</v>
      </c>
      <c r="F21" s="495" t="s">
        <v>439</v>
      </c>
      <c r="G21" s="498"/>
      <c r="H21" s="497"/>
      <c r="I21" s="529"/>
      <c r="J21" s="498"/>
      <c r="K21" s="530"/>
      <c r="L21" s="531"/>
      <c r="M21" s="526"/>
      <c r="N21" s="526"/>
      <c r="O21" s="532"/>
      <c r="P21" s="499"/>
      <c r="Q21" s="527"/>
      <c r="R21" s="527"/>
      <c r="S21" s="527"/>
      <c r="T21" s="527"/>
      <c r="U21" s="527"/>
      <c r="V21" s="527"/>
      <c r="W21" s="508"/>
      <c r="X21" s="498"/>
      <c r="Y21" s="500"/>
      <c r="Z21" s="533">
        <v>28672.16</v>
      </c>
      <c r="AA21" s="533">
        <v>96669.29</v>
      </c>
      <c r="AB21" s="512">
        <v>97501.18</v>
      </c>
      <c r="AC21" s="478"/>
      <c r="AD21" s="502">
        <v>250000</v>
      </c>
      <c r="AE21" s="510">
        <v>320092.86</v>
      </c>
      <c r="AF21" s="528">
        <f>AD21+500000</f>
        <v>750000</v>
      </c>
      <c r="AG21" s="510">
        <f t="shared" si="1"/>
        <v>500000</v>
      </c>
      <c r="AH21" s="503">
        <v>169005.16</v>
      </c>
      <c r="AI21" s="503">
        <v>1663383.98</v>
      </c>
      <c r="AJ21" s="503">
        <v>1650000</v>
      </c>
      <c r="AK21" s="472">
        <v>1100122</v>
      </c>
    </row>
    <row r="22" spans="1:37" ht="16.5" thickTop="1" thickBot="1" x14ac:dyDescent="0.25">
      <c r="A22" s="491"/>
      <c r="B22" s="492"/>
      <c r="C22" s="493"/>
      <c r="D22" s="493">
        <v>6</v>
      </c>
      <c r="E22" s="494">
        <v>120106</v>
      </c>
      <c r="F22" s="495" t="s">
        <v>440</v>
      </c>
      <c r="G22" s="498"/>
      <c r="H22" s="497"/>
      <c r="I22" s="529"/>
      <c r="J22" s="498"/>
      <c r="K22" s="530"/>
      <c r="L22" s="531"/>
      <c r="M22" s="526"/>
      <c r="N22" s="526"/>
      <c r="O22" s="532"/>
      <c r="P22" s="499"/>
      <c r="Q22" s="527"/>
      <c r="R22" s="527"/>
      <c r="S22" s="527"/>
      <c r="T22" s="527"/>
      <c r="U22" s="527"/>
      <c r="V22" s="527"/>
      <c r="W22" s="508"/>
      <c r="X22" s="498"/>
      <c r="Y22" s="500"/>
      <c r="Z22" s="533">
        <v>240736.46</v>
      </c>
      <c r="AA22" s="533">
        <v>144364.04</v>
      </c>
      <c r="AB22" s="512">
        <v>41507.919999999998</v>
      </c>
      <c r="AC22" s="478"/>
      <c r="AD22" s="502">
        <v>240736.46</v>
      </c>
      <c r="AE22" s="510">
        <v>209253.88</v>
      </c>
      <c r="AF22" s="528">
        <f>AD22</f>
        <v>240736.46</v>
      </c>
      <c r="AG22" s="510">
        <f t="shared" si="1"/>
        <v>0</v>
      </c>
      <c r="AH22" s="503">
        <v>238636.82</v>
      </c>
      <c r="AI22" s="503">
        <v>255238.93</v>
      </c>
      <c r="AJ22" s="503">
        <v>260000</v>
      </c>
      <c r="AK22" s="472">
        <v>1100122</v>
      </c>
    </row>
    <row r="23" spans="1:37" ht="27" thickTop="1" thickBot="1" x14ac:dyDescent="0.25">
      <c r="A23" s="516"/>
      <c r="B23" s="517"/>
      <c r="C23" s="518">
        <v>2</v>
      </c>
      <c r="D23" s="518"/>
      <c r="E23" s="519"/>
      <c r="F23" s="520" t="s">
        <v>441</v>
      </c>
      <c r="G23" s="498">
        <f>G24+G25</f>
        <v>13623944.310000001</v>
      </c>
      <c r="H23" s="497">
        <f>H24</f>
        <v>4062146</v>
      </c>
      <c r="I23" s="498">
        <f t="shared" ref="I23:AB23" si="10">I24+I25</f>
        <v>4062146</v>
      </c>
      <c r="J23" s="498">
        <f t="shared" si="10"/>
        <v>4062146</v>
      </c>
      <c r="K23" s="498">
        <f t="shared" si="10"/>
        <v>45302.64</v>
      </c>
      <c r="L23" s="498">
        <f t="shared" si="10"/>
        <v>318298.49</v>
      </c>
      <c r="M23" s="498">
        <f t="shared" si="10"/>
        <v>686218.67</v>
      </c>
      <c r="N23" s="498">
        <f t="shared" si="10"/>
        <v>324015.75</v>
      </c>
      <c r="O23" s="498">
        <f t="shared" si="10"/>
        <v>201669.93</v>
      </c>
      <c r="P23" s="498">
        <f t="shared" si="10"/>
        <v>259142.94</v>
      </c>
      <c r="Q23" s="498">
        <f t="shared" si="10"/>
        <v>55908.11</v>
      </c>
      <c r="R23" s="498">
        <f t="shared" si="10"/>
        <v>98345</v>
      </c>
      <c r="S23" s="498">
        <f t="shared" si="10"/>
        <v>101218</v>
      </c>
      <c r="T23" s="498">
        <f t="shared" si="10"/>
        <v>130728</v>
      </c>
      <c r="U23" s="498">
        <f t="shared" si="10"/>
        <v>140920</v>
      </c>
      <c r="V23" s="498">
        <f t="shared" si="10"/>
        <v>234197</v>
      </c>
      <c r="W23" s="522">
        <f t="shared" si="10"/>
        <v>11030517.530000001</v>
      </c>
      <c r="X23" s="522">
        <f t="shared" si="10"/>
        <v>11030517.530000001</v>
      </c>
      <c r="Y23" s="523">
        <f t="shared" si="10"/>
        <v>11042452.380000001</v>
      </c>
      <c r="Z23" s="524">
        <f t="shared" si="10"/>
        <v>11391281.98</v>
      </c>
      <c r="AA23" s="524">
        <f t="shared" si="10"/>
        <v>0</v>
      </c>
      <c r="AB23" s="524">
        <f t="shared" si="10"/>
        <v>1563495.43</v>
      </c>
      <c r="AC23" s="478">
        <f t="shared" ref="AC23:AC42" si="11">W23-X23</f>
        <v>0</v>
      </c>
      <c r="AD23" s="522">
        <f t="shared" ref="AD23:AJ23" si="12">AD24+AD25</f>
        <v>11620087.34</v>
      </c>
      <c r="AE23" s="522">
        <f t="shared" si="12"/>
        <v>2759093.69</v>
      </c>
      <c r="AF23" s="522">
        <f t="shared" si="12"/>
        <v>11620087.65</v>
      </c>
      <c r="AG23" s="522">
        <f t="shared" si="12"/>
        <v>0.31000000052154064</v>
      </c>
      <c r="AH23" s="523">
        <f t="shared" si="12"/>
        <v>11042452.380000001</v>
      </c>
      <c r="AI23" s="523">
        <f t="shared" si="12"/>
        <v>6619754.6400000006</v>
      </c>
      <c r="AJ23" s="523">
        <f t="shared" si="12"/>
        <v>8826823</v>
      </c>
      <c r="AK23" s="525"/>
    </row>
    <row r="24" spans="1:37" ht="16.5" thickTop="1" thickBot="1" x14ac:dyDescent="0.25">
      <c r="A24" s="491"/>
      <c r="B24" s="492"/>
      <c r="C24" s="493"/>
      <c r="D24" s="493">
        <v>1</v>
      </c>
      <c r="E24" s="494">
        <v>120201</v>
      </c>
      <c r="F24" s="495" t="s">
        <v>442</v>
      </c>
      <c r="G24" s="498">
        <v>3915603.31</v>
      </c>
      <c r="H24" s="497">
        <v>4062146</v>
      </c>
      <c r="I24" s="497">
        <v>4062146</v>
      </c>
      <c r="J24" s="498">
        <v>4062146</v>
      </c>
      <c r="K24" s="526">
        <v>45302.64</v>
      </c>
      <c r="L24" s="526">
        <v>318298.49</v>
      </c>
      <c r="M24" s="526">
        <v>686218.67</v>
      </c>
      <c r="N24" s="526">
        <v>324015.75</v>
      </c>
      <c r="O24" s="526">
        <v>201669.93</v>
      </c>
      <c r="P24" s="506">
        <v>259142.94</v>
      </c>
      <c r="Q24" s="527">
        <v>55908.11</v>
      </c>
      <c r="R24" s="527">
        <v>98345</v>
      </c>
      <c r="S24" s="527">
        <v>101218</v>
      </c>
      <c r="T24" s="527">
        <v>130728</v>
      </c>
      <c r="U24" s="527">
        <v>140920</v>
      </c>
      <c r="V24" s="527">
        <v>234197</v>
      </c>
      <c r="W24" s="508">
        <f>SUM(K24:V24)</f>
        <v>2595964.5300000003</v>
      </c>
      <c r="X24" s="498">
        <f>W24</f>
        <v>2595964.5300000003</v>
      </c>
      <c r="Y24" s="500">
        <v>2915628.65</v>
      </c>
      <c r="Z24" s="501">
        <v>2686823.29</v>
      </c>
      <c r="AA24" s="501">
        <v>0</v>
      </c>
      <c r="AB24" s="512">
        <v>427512.28</v>
      </c>
      <c r="AC24" s="478">
        <f t="shared" si="11"/>
        <v>0</v>
      </c>
      <c r="AD24" s="509">
        <f>Y24</f>
        <v>2915628.65</v>
      </c>
      <c r="AE24" s="510">
        <v>1198214.97</v>
      </c>
      <c r="AF24" s="528">
        <f>AD24</f>
        <v>2915628.65</v>
      </c>
      <c r="AG24" s="534">
        <f>AF24-AD24</f>
        <v>0</v>
      </c>
      <c r="AH24" s="503">
        <v>2915628.65</v>
      </c>
      <c r="AI24" s="503">
        <v>3523102.0200000005</v>
      </c>
      <c r="AJ24" s="503">
        <v>3700000</v>
      </c>
      <c r="AK24" s="472">
        <v>1100122</v>
      </c>
    </row>
    <row r="25" spans="1:37" ht="16.5" thickTop="1" thickBot="1" x14ac:dyDescent="0.25">
      <c r="A25" s="491"/>
      <c r="B25" s="492"/>
      <c r="C25" s="493"/>
      <c r="D25" s="493"/>
      <c r="E25" s="494">
        <v>120202</v>
      </c>
      <c r="F25" s="495" t="s">
        <v>443</v>
      </c>
      <c r="G25" s="498">
        <v>9708341</v>
      </c>
      <c r="H25" s="521"/>
      <c r="I25" s="521"/>
      <c r="J25" s="487"/>
      <c r="K25" s="504"/>
      <c r="L25" s="535"/>
      <c r="M25" s="504"/>
      <c r="N25" s="504"/>
      <c r="O25" s="504"/>
      <c r="P25" s="506"/>
      <c r="Q25" s="511"/>
      <c r="R25" s="511"/>
      <c r="S25" s="511"/>
      <c r="T25" s="511"/>
      <c r="U25" s="511"/>
      <c r="V25" s="511"/>
      <c r="W25" s="508">
        <v>8434553</v>
      </c>
      <c r="X25" s="498">
        <f>W25</f>
        <v>8434553</v>
      </c>
      <c r="Y25" s="500">
        <v>8126823.7300000004</v>
      </c>
      <c r="Z25" s="533">
        <v>8704458.6899999995</v>
      </c>
      <c r="AA25" s="533">
        <v>0</v>
      </c>
      <c r="AB25" s="512">
        <v>1135983.1499999999</v>
      </c>
      <c r="AC25" s="478">
        <f t="shared" si="11"/>
        <v>0</v>
      </c>
      <c r="AD25" s="502">
        <f>Z25</f>
        <v>8704458.6899999995</v>
      </c>
      <c r="AE25" s="510">
        <v>1560878.72</v>
      </c>
      <c r="AF25" s="528">
        <v>8704459</v>
      </c>
      <c r="AG25" s="534">
        <f>AF25-AD25</f>
        <v>0.31000000052154064</v>
      </c>
      <c r="AH25" s="503">
        <v>8126823.7300000004</v>
      </c>
      <c r="AI25" s="503">
        <v>3096652.6199999996</v>
      </c>
      <c r="AJ25" s="503">
        <v>5126823</v>
      </c>
      <c r="AK25" s="472">
        <v>1100122</v>
      </c>
    </row>
    <row r="26" spans="1:37" ht="27" thickTop="1" thickBot="1" x14ac:dyDescent="0.25">
      <c r="A26" s="481"/>
      <c r="B26" s="482">
        <v>3</v>
      </c>
      <c r="C26" s="513"/>
      <c r="D26" s="513"/>
      <c r="E26" s="484"/>
      <c r="F26" s="485" t="s">
        <v>444</v>
      </c>
      <c r="G26" s="486">
        <f t="shared" ref="G26:AB26" si="13">G27+G28+G29</f>
        <v>55880357.300000004</v>
      </c>
      <c r="H26" s="486">
        <f t="shared" si="13"/>
        <v>57926267.420000002</v>
      </c>
      <c r="I26" s="536">
        <f t="shared" si="13"/>
        <v>57926267.420000002</v>
      </c>
      <c r="J26" s="536">
        <f t="shared" si="13"/>
        <v>57926267.420000002</v>
      </c>
      <c r="K26" s="537">
        <f t="shared" si="13"/>
        <v>1047073.8099999999</v>
      </c>
      <c r="L26" s="537">
        <f t="shared" si="13"/>
        <v>11382959.73</v>
      </c>
      <c r="M26" s="537">
        <f t="shared" si="13"/>
        <v>8257965.75</v>
      </c>
      <c r="N26" s="537">
        <f t="shared" si="13"/>
        <v>4030622.5300000003</v>
      </c>
      <c r="O26" s="537">
        <f t="shared" si="13"/>
        <v>4797313.42</v>
      </c>
      <c r="P26" s="537">
        <f t="shared" si="13"/>
        <v>5428655.8799999999</v>
      </c>
      <c r="Q26" s="515">
        <f t="shared" si="13"/>
        <v>4123430.54</v>
      </c>
      <c r="R26" s="515">
        <f t="shared" si="13"/>
        <v>2994660.21</v>
      </c>
      <c r="S26" s="515">
        <f t="shared" si="13"/>
        <v>3027479.91</v>
      </c>
      <c r="T26" s="515">
        <f t="shared" si="13"/>
        <v>3106410.56</v>
      </c>
      <c r="U26" s="515">
        <f t="shared" si="13"/>
        <v>3790112.64</v>
      </c>
      <c r="V26" s="515">
        <f t="shared" si="13"/>
        <v>3677565.49</v>
      </c>
      <c r="W26" s="486">
        <f t="shared" si="13"/>
        <v>55664250.470000006</v>
      </c>
      <c r="X26" s="486">
        <f t="shared" si="13"/>
        <v>55664250.470000006</v>
      </c>
      <c r="Y26" s="488">
        <f t="shared" si="13"/>
        <v>76421383.350000009</v>
      </c>
      <c r="Z26" s="486">
        <f t="shared" si="13"/>
        <v>58904465.880000003</v>
      </c>
      <c r="AA26" s="486">
        <f t="shared" si="13"/>
        <v>481845.57</v>
      </c>
      <c r="AB26" s="486">
        <f t="shared" si="13"/>
        <v>10181858.539999999</v>
      </c>
      <c r="AC26" s="489">
        <f t="shared" si="11"/>
        <v>0</v>
      </c>
      <c r="AD26" s="486">
        <f t="shared" ref="AD26:AJ26" si="14">AD27+AD28+AD29</f>
        <v>58985377.050000004</v>
      </c>
      <c r="AE26" s="486">
        <f t="shared" si="14"/>
        <v>26614073.080000002</v>
      </c>
      <c r="AF26" s="486">
        <f t="shared" si="14"/>
        <v>59004465.880000003</v>
      </c>
      <c r="AG26" s="486">
        <f t="shared" si="14"/>
        <v>19088.829999999987</v>
      </c>
      <c r="AH26" s="488">
        <f t="shared" si="14"/>
        <v>76421383.350000009</v>
      </c>
      <c r="AI26" s="488">
        <f t="shared" si="14"/>
        <v>77026723.049999997</v>
      </c>
      <c r="AJ26" s="488">
        <f t="shared" si="14"/>
        <v>70340000</v>
      </c>
      <c r="AK26" s="490"/>
    </row>
    <row r="27" spans="1:37" ht="27" thickTop="1" thickBot="1" x14ac:dyDescent="0.25">
      <c r="A27" s="491"/>
      <c r="B27" s="492"/>
      <c r="C27" s="493">
        <v>1</v>
      </c>
      <c r="D27" s="493">
        <v>1</v>
      </c>
      <c r="E27" s="494">
        <v>130101</v>
      </c>
      <c r="F27" s="495" t="s">
        <v>445</v>
      </c>
      <c r="G27" s="496">
        <v>0</v>
      </c>
      <c r="H27" s="521">
        <v>20000</v>
      </c>
      <c r="I27" s="521">
        <v>20000</v>
      </c>
      <c r="J27" s="487">
        <v>20000</v>
      </c>
      <c r="K27" s="487">
        <v>0</v>
      </c>
      <c r="L27" s="487">
        <v>0</v>
      </c>
      <c r="M27" s="487">
        <v>0</v>
      </c>
      <c r="N27" s="487">
        <v>0</v>
      </c>
      <c r="O27" s="487">
        <v>0</v>
      </c>
      <c r="P27" s="506">
        <v>0</v>
      </c>
      <c r="Q27" s="487">
        <v>0</v>
      </c>
      <c r="R27" s="487">
        <v>0</v>
      </c>
      <c r="S27" s="487">
        <v>0</v>
      </c>
      <c r="T27" s="487">
        <v>0</v>
      </c>
      <c r="U27" s="487">
        <v>0</v>
      </c>
      <c r="V27" s="487">
        <v>0</v>
      </c>
      <c r="W27" s="521">
        <v>0</v>
      </c>
      <c r="X27" s="498">
        <f>W27</f>
        <v>0</v>
      </c>
      <c r="Y27" s="500"/>
      <c r="Z27" s="501">
        <v>10000</v>
      </c>
      <c r="AA27" s="501">
        <v>0</v>
      </c>
      <c r="AB27" s="501">
        <v>0</v>
      </c>
      <c r="AC27" s="478">
        <f t="shared" si="11"/>
        <v>0</v>
      </c>
      <c r="AD27" s="502">
        <f>Z27</f>
        <v>10000</v>
      </c>
      <c r="AE27" s="502">
        <v>0</v>
      </c>
      <c r="AF27" s="502">
        <v>10000</v>
      </c>
      <c r="AG27" s="502">
        <f>AF27-AD27</f>
        <v>0</v>
      </c>
      <c r="AH27" s="503">
        <v>0</v>
      </c>
      <c r="AI27" s="503">
        <v>0</v>
      </c>
      <c r="AJ27" s="503">
        <v>10000</v>
      </c>
      <c r="AK27" s="472">
        <v>1100122</v>
      </c>
    </row>
    <row r="28" spans="1:37" ht="27" thickTop="1" thickBot="1" x14ac:dyDescent="0.25">
      <c r="A28" s="491"/>
      <c r="B28" s="492"/>
      <c r="C28" s="493">
        <v>2</v>
      </c>
      <c r="D28" s="493">
        <v>2</v>
      </c>
      <c r="E28" s="494">
        <v>130201</v>
      </c>
      <c r="F28" s="495" t="s">
        <v>446</v>
      </c>
      <c r="G28" s="498">
        <v>55794465.880000003</v>
      </c>
      <c r="H28" s="521">
        <v>57611180.740000002</v>
      </c>
      <c r="I28" s="521">
        <v>57611180.740000002</v>
      </c>
      <c r="J28" s="487">
        <v>57611180.740000002</v>
      </c>
      <c r="K28" s="504">
        <v>1042443.47</v>
      </c>
      <c r="L28" s="535">
        <v>11382959.73</v>
      </c>
      <c r="M28" s="504">
        <v>8224305.0099999998</v>
      </c>
      <c r="N28" s="504">
        <v>4028134.16</v>
      </c>
      <c r="O28" s="538">
        <v>4797313.42</v>
      </c>
      <c r="P28" s="506">
        <v>5407945.3899999997</v>
      </c>
      <c r="Q28" s="511">
        <f>[16]ABI!D8</f>
        <v>4122462.84</v>
      </c>
      <c r="R28" s="511">
        <f>[16]ABI!D9</f>
        <v>2993540.21</v>
      </c>
      <c r="S28" s="511">
        <f>[16]ABI!D10</f>
        <v>3026714.7</v>
      </c>
      <c r="T28" s="511">
        <f>[16]ABI!D11</f>
        <v>3105587.56</v>
      </c>
      <c r="U28" s="511">
        <f>[16]ABI!D12</f>
        <v>3789792.64</v>
      </c>
      <c r="V28" s="511">
        <f>[16]ABI!D13</f>
        <v>3677025.49</v>
      </c>
      <c r="W28" s="508">
        <f>SUM(K28:V28)</f>
        <v>55598224.620000005</v>
      </c>
      <c r="X28" s="498">
        <f>W28</f>
        <v>55598224.620000005</v>
      </c>
      <c r="Y28" s="500">
        <v>76240472.180000007</v>
      </c>
      <c r="Z28" s="501">
        <v>58794465.880000003</v>
      </c>
      <c r="AA28" s="501">
        <v>481845.57</v>
      </c>
      <c r="AB28" s="512">
        <v>10181858.539999999</v>
      </c>
      <c r="AC28" s="478">
        <f t="shared" si="11"/>
        <v>0</v>
      </c>
      <c r="AD28" s="502">
        <f>Z28</f>
        <v>58794465.880000003</v>
      </c>
      <c r="AE28" s="510">
        <v>26482957.760000002</v>
      </c>
      <c r="AF28" s="502">
        <f>AD28</f>
        <v>58794465.880000003</v>
      </c>
      <c r="AG28" s="502">
        <f>AF28-AD28</f>
        <v>0</v>
      </c>
      <c r="AH28" s="503">
        <v>76240472.180000007</v>
      </c>
      <c r="AI28" s="503">
        <v>76767151.789999992</v>
      </c>
      <c r="AJ28" s="503">
        <v>70000000</v>
      </c>
      <c r="AK28" s="472">
        <v>1100122</v>
      </c>
    </row>
    <row r="29" spans="1:37" ht="16.5" thickTop="1" thickBot="1" x14ac:dyDescent="0.25">
      <c r="A29" s="491"/>
      <c r="B29" s="492"/>
      <c r="C29" s="493">
        <v>3</v>
      </c>
      <c r="D29" s="493">
        <v>3</v>
      </c>
      <c r="E29" s="494">
        <v>130301</v>
      </c>
      <c r="F29" s="495" t="s">
        <v>447</v>
      </c>
      <c r="G29" s="498">
        <v>85891.42</v>
      </c>
      <c r="H29" s="521">
        <v>295086.68</v>
      </c>
      <c r="I29" s="521">
        <v>295086.68</v>
      </c>
      <c r="J29" s="487">
        <v>295086.68</v>
      </c>
      <c r="K29" s="539">
        <v>4630.34</v>
      </c>
      <c r="L29" s="487">
        <v>0</v>
      </c>
      <c r="M29" s="504">
        <v>33660.74</v>
      </c>
      <c r="N29" s="504">
        <v>2488.37</v>
      </c>
      <c r="O29" s="504">
        <v>0</v>
      </c>
      <c r="P29" s="506">
        <v>20710.490000000002</v>
      </c>
      <c r="Q29" s="511">
        <v>967.7</v>
      </c>
      <c r="R29" s="511">
        <v>1120</v>
      </c>
      <c r="S29" s="511">
        <v>765.21</v>
      </c>
      <c r="T29" s="511">
        <v>823</v>
      </c>
      <c r="U29" s="511">
        <v>320</v>
      </c>
      <c r="V29" s="511">
        <v>540</v>
      </c>
      <c r="W29" s="508">
        <f>SUM(K29:V29)</f>
        <v>66025.850000000006</v>
      </c>
      <c r="X29" s="498">
        <f>W29</f>
        <v>66025.850000000006</v>
      </c>
      <c r="Y29" s="500">
        <v>180911.17</v>
      </c>
      <c r="Z29" s="501">
        <v>100000</v>
      </c>
      <c r="AA29" s="501">
        <v>0</v>
      </c>
      <c r="AB29" s="501">
        <v>0</v>
      </c>
      <c r="AC29" s="478">
        <f t="shared" si="11"/>
        <v>0</v>
      </c>
      <c r="AD29" s="502">
        <f>Y29</f>
        <v>180911.17</v>
      </c>
      <c r="AE29" s="510">
        <v>131115.32</v>
      </c>
      <c r="AF29" s="502">
        <v>200000</v>
      </c>
      <c r="AG29" s="502">
        <f>AF29-AD29</f>
        <v>19088.829999999987</v>
      </c>
      <c r="AH29" s="503">
        <v>180911.17</v>
      </c>
      <c r="AI29" s="503">
        <v>259571.26</v>
      </c>
      <c r="AJ29" s="503">
        <v>330000</v>
      </c>
      <c r="AK29" s="472">
        <v>1100122</v>
      </c>
    </row>
    <row r="30" spans="1:37" ht="15.75" thickTop="1" thickBot="1" x14ac:dyDescent="0.25">
      <c r="A30" s="481"/>
      <c r="B30" s="482">
        <v>7</v>
      </c>
      <c r="C30" s="513"/>
      <c r="D30" s="513"/>
      <c r="E30" s="484"/>
      <c r="F30" s="485" t="s">
        <v>448</v>
      </c>
      <c r="G30" s="486">
        <f>G31+G35+G37+G41</f>
        <v>27000904.580000002</v>
      </c>
      <c r="H30" s="486">
        <f>H31+H35+H37+H40+H41</f>
        <v>26800000</v>
      </c>
      <c r="I30" s="486">
        <f t="shared" ref="I30:AB30" si="15">I31+I35+I37+I39+I41</f>
        <v>27700000</v>
      </c>
      <c r="J30" s="486">
        <f t="shared" si="15"/>
        <v>27720000</v>
      </c>
      <c r="K30" s="540">
        <f t="shared" si="15"/>
        <v>2900964.5200000005</v>
      </c>
      <c r="L30" s="540">
        <f t="shared" si="15"/>
        <v>2522111.3200000003</v>
      </c>
      <c r="M30" s="540">
        <f t="shared" si="15"/>
        <v>1973445.9299999997</v>
      </c>
      <c r="N30" s="540">
        <f t="shared" si="15"/>
        <v>784369.3600000001</v>
      </c>
      <c r="O30" s="540">
        <f t="shared" si="15"/>
        <v>789465.24000000011</v>
      </c>
      <c r="P30" s="540">
        <f t="shared" si="15"/>
        <v>1002880.7099999998</v>
      </c>
      <c r="Q30" s="515">
        <f t="shared" si="15"/>
        <v>187053.64</v>
      </c>
      <c r="R30" s="515">
        <f t="shared" si="15"/>
        <v>196634.31</v>
      </c>
      <c r="S30" s="515">
        <f t="shared" si="15"/>
        <v>630971.82499999984</v>
      </c>
      <c r="T30" s="515">
        <f t="shared" si="15"/>
        <v>725795.93499999982</v>
      </c>
      <c r="U30" s="515">
        <f t="shared" si="15"/>
        <v>628316.58499999985</v>
      </c>
      <c r="V30" s="515">
        <f t="shared" si="15"/>
        <v>1378691.915</v>
      </c>
      <c r="W30" s="486">
        <f t="shared" si="15"/>
        <v>13720701.290000001</v>
      </c>
      <c r="X30" s="486">
        <f t="shared" si="15"/>
        <v>13720701.290000001</v>
      </c>
      <c r="Y30" s="488">
        <f t="shared" si="15"/>
        <v>18307946.849999998</v>
      </c>
      <c r="Z30" s="486">
        <f t="shared" si="15"/>
        <v>21256095.419999998</v>
      </c>
      <c r="AA30" s="486">
        <f t="shared" si="15"/>
        <v>2411667.0199999996</v>
      </c>
      <c r="AB30" s="486">
        <f t="shared" si="15"/>
        <v>2683393.39</v>
      </c>
      <c r="AC30" s="489">
        <f t="shared" si="11"/>
        <v>0</v>
      </c>
      <c r="AD30" s="486">
        <f t="shared" ref="AD30:AJ30" si="16">AD31+AD35+AD37+AD39+AD41</f>
        <v>22208825.339999996</v>
      </c>
      <c r="AE30" s="486">
        <f t="shared" si="16"/>
        <v>9852851.25</v>
      </c>
      <c r="AF30" s="486">
        <f t="shared" si="16"/>
        <v>23208825.319999997</v>
      </c>
      <c r="AG30" s="486">
        <f t="shared" si="16"/>
        <v>999999.98</v>
      </c>
      <c r="AH30" s="488">
        <f t="shared" si="16"/>
        <v>17900304.869999997</v>
      </c>
      <c r="AI30" s="488">
        <f t="shared" si="16"/>
        <v>28356771.800000004</v>
      </c>
      <c r="AJ30" s="488">
        <f t="shared" si="16"/>
        <v>28365714</v>
      </c>
      <c r="AK30" s="490"/>
    </row>
    <row r="31" spans="1:37" ht="16.5" thickTop="1" thickBot="1" x14ac:dyDescent="0.25">
      <c r="A31" s="516"/>
      <c r="B31" s="517"/>
      <c r="C31" s="518">
        <v>1</v>
      </c>
      <c r="D31" s="518"/>
      <c r="E31" s="519"/>
      <c r="F31" s="520" t="s">
        <v>449</v>
      </c>
      <c r="G31" s="498">
        <f>G32+G33</f>
        <v>18110717.25</v>
      </c>
      <c r="H31" s="521">
        <f>H32+H33</f>
        <v>17900000</v>
      </c>
      <c r="I31" s="521">
        <f>I32+I33</f>
        <v>17900000</v>
      </c>
      <c r="J31" s="487">
        <f t="shared" ref="J31:AB31" si="17">J32+J33+J34</f>
        <v>17920000</v>
      </c>
      <c r="K31" s="487">
        <f t="shared" si="17"/>
        <v>2091000.1</v>
      </c>
      <c r="L31" s="487">
        <f t="shared" si="17"/>
        <v>1665168.7100000002</v>
      </c>
      <c r="M31" s="487">
        <f t="shared" si="17"/>
        <v>1205604.5699999998</v>
      </c>
      <c r="N31" s="487">
        <f t="shared" si="17"/>
        <v>523866.89</v>
      </c>
      <c r="O31" s="487">
        <f t="shared" si="17"/>
        <v>558459.74000000011</v>
      </c>
      <c r="P31" s="487">
        <f t="shared" si="17"/>
        <v>605063.43999999994</v>
      </c>
      <c r="Q31" s="487">
        <f t="shared" si="17"/>
        <v>138256.99</v>
      </c>
      <c r="R31" s="487">
        <f t="shared" si="17"/>
        <v>147837.66</v>
      </c>
      <c r="S31" s="487">
        <f t="shared" si="17"/>
        <v>382191.72</v>
      </c>
      <c r="T31" s="487">
        <f t="shared" si="17"/>
        <v>433504.72</v>
      </c>
      <c r="U31" s="487">
        <f t="shared" si="17"/>
        <v>408935.08999999997</v>
      </c>
      <c r="V31" s="487">
        <f t="shared" si="17"/>
        <v>712581.76</v>
      </c>
      <c r="W31" s="541">
        <f t="shared" si="17"/>
        <v>8872471.3900000025</v>
      </c>
      <c r="X31" s="541">
        <f t="shared" si="17"/>
        <v>8872471.3900000025</v>
      </c>
      <c r="Y31" s="542">
        <f t="shared" si="17"/>
        <v>11379958.859999999</v>
      </c>
      <c r="Z31" s="541">
        <f t="shared" si="17"/>
        <v>15682596.649999999</v>
      </c>
      <c r="AA31" s="541">
        <f t="shared" si="17"/>
        <v>1962287.6999999997</v>
      </c>
      <c r="AB31" s="541">
        <f t="shared" si="17"/>
        <v>2028749.08</v>
      </c>
      <c r="AC31" s="478">
        <f t="shared" si="11"/>
        <v>0</v>
      </c>
      <c r="AD31" s="541">
        <f t="shared" ref="AD31:AJ31" si="18">AD32+AD33+AD34</f>
        <v>15688479.329999998</v>
      </c>
      <c r="AE31" s="541">
        <f t="shared" si="18"/>
        <v>7262342.5499999998</v>
      </c>
      <c r="AF31" s="541">
        <f t="shared" si="18"/>
        <v>16688479.309999999</v>
      </c>
      <c r="AG31" s="541">
        <f t="shared" si="18"/>
        <v>999999.98</v>
      </c>
      <c r="AH31" s="542">
        <f t="shared" si="18"/>
        <v>11379958.859999999</v>
      </c>
      <c r="AI31" s="542">
        <f t="shared" si="18"/>
        <v>20215486.300000004</v>
      </c>
      <c r="AJ31" s="542">
        <f t="shared" si="18"/>
        <v>20040564</v>
      </c>
      <c r="AK31" s="525"/>
    </row>
    <row r="32" spans="1:37" ht="16.5" thickTop="1" thickBot="1" x14ac:dyDescent="0.25">
      <c r="A32" s="491"/>
      <c r="B32" s="492"/>
      <c r="C32" s="493"/>
      <c r="D32" s="493">
        <v>1</v>
      </c>
      <c r="E32" s="494">
        <v>170101</v>
      </c>
      <c r="F32" s="495" t="s">
        <v>450</v>
      </c>
      <c r="G32" s="498">
        <v>16233971.74</v>
      </c>
      <c r="H32" s="521">
        <f>15000000+1000000</f>
        <v>16000000</v>
      </c>
      <c r="I32" s="521">
        <f>15000000+1000000</f>
        <v>16000000</v>
      </c>
      <c r="J32" s="487">
        <v>16000000</v>
      </c>
      <c r="K32" s="504">
        <v>2041263.57</v>
      </c>
      <c r="L32" s="535">
        <v>1482338.12</v>
      </c>
      <c r="M32" s="504">
        <v>1023407.57</v>
      </c>
      <c r="N32" s="504">
        <v>439703.41</v>
      </c>
      <c r="O32" s="504">
        <v>408533.53</v>
      </c>
      <c r="P32" s="506">
        <v>458589.08</v>
      </c>
      <c r="Q32" s="511">
        <v>120653</v>
      </c>
      <c r="R32" s="511">
        <v>132926</v>
      </c>
      <c r="S32" s="511">
        <v>245761</v>
      </c>
      <c r="T32" s="511">
        <v>237829</v>
      </c>
      <c r="U32" s="511">
        <v>278683.69</v>
      </c>
      <c r="V32" s="511">
        <v>535528.49</v>
      </c>
      <c r="W32" s="508">
        <f>SUM(K32:V32)</f>
        <v>7405216.4600000018</v>
      </c>
      <c r="X32" s="498">
        <f>W32</f>
        <v>7405216.4600000018</v>
      </c>
      <c r="Y32" s="500">
        <v>9758933.4199999999</v>
      </c>
      <c r="Z32" s="501">
        <v>13664399.039999999</v>
      </c>
      <c r="AA32" s="501">
        <v>1953886.92</v>
      </c>
      <c r="AB32" s="512">
        <v>1658312.17</v>
      </c>
      <c r="AC32" s="478">
        <f t="shared" si="11"/>
        <v>0</v>
      </c>
      <c r="AD32" s="509">
        <f>Z32</f>
        <v>13664399.039999999</v>
      </c>
      <c r="AE32" s="510">
        <v>6505286.79</v>
      </c>
      <c r="AF32" s="528">
        <f>AD32+1000000</f>
        <v>14664399.039999999</v>
      </c>
      <c r="AG32" s="534">
        <f>AF32-AD32</f>
        <v>1000000</v>
      </c>
      <c r="AH32" s="503">
        <v>9758933.4199999999</v>
      </c>
      <c r="AI32" s="503">
        <v>17733779.690000001</v>
      </c>
      <c r="AJ32" s="503">
        <v>17522402</v>
      </c>
      <c r="AK32" s="472">
        <v>1100122</v>
      </c>
    </row>
    <row r="33" spans="1:37" ht="16.5" thickTop="1" thickBot="1" x14ac:dyDescent="0.25">
      <c r="A33" s="491"/>
      <c r="B33" s="492"/>
      <c r="C33" s="493"/>
      <c r="D33" s="493">
        <v>2</v>
      </c>
      <c r="E33" s="494">
        <v>170102</v>
      </c>
      <c r="F33" s="495" t="s">
        <v>451</v>
      </c>
      <c r="G33" s="498">
        <v>1876745.51</v>
      </c>
      <c r="H33" s="521">
        <v>1900000</v>
      </c>
      <c r="I33" s="521">
        <v>1900000</v>
      </c>
      <c r="J33" s="487">
        <v>1900000</v>
      </c>
      <c r="K33" s="504">
        <v>45518.42</v>
      </c>
      <c r="L33" s="535">
        <v>179892.73</v>
      </c>
      <c r="M33" s="504">
        <v>180026.54</v>
      </c>
      <c r="N33" s="504">
        <v>83367.100000000006</v>
      </c>
      <c r="O33" s="504">
        <v>149570.79</v>
      </c>
      <c r="P33" s="506">
        <v>145944.79</v>
      </c>
      <c r="Q33" s="511">
        <v>17353.990000000002</v>
      </c>
      <c r="R33" s="511">
        <v>14461.66</v>
      </c>
      <c r="S33" s="511">
        <v>135810.72</v>
      </c>
      <c r="T33" s="511">
        <v>195055.72</v>
      </c>
      <c r="U33" s="511">
        <v>129631.4</v>
      </c>
      <c r="V33" s="511">
        <v>176433.27</v>
      </c>
      <c r="W33" s="508">
        <f>SUM(K33:V33)</f>
        <v>1453067.1300000001</v>
      </c>
      <c r="X33" s="498">
        <f>W33</f>
        <v>1453067.1300000001</v>
      </c>
      <c r="Y33" s="500">
        <v>1596510.42</v>
      </c>
      <c r="Z33" s="501">
        <v>1999565.27</v>
      </c>
      <c r="AA33" s="501">
        <v>6924.38</v>
      </c>
      <c r="AB33" s="512">
        <v>368590.35</v>
      </c>
      <c r="AC33" s="478">
        <f t="shared" si="11"/>
        <v>0</v>
      </c>
      <c r="AD33" s="509">
        <f>Z33</f>
        <v>1999565.27</v>
      </c>
      <c r="AE33" s="510">
        <v>750152.34</v>
      </c>
      <c r="AF33" s="528">
        <f>AD33</f>
        <v>1999565.27</v>
      </c>
      <c r="AG33" s="534">
        <f>AF33-AD33</f>
        <v>0</v>
      </c>
      <c r="AH33" s="503">
        <v>1596510.42</v>
      </c>
      <c r="AI33" s="503">
        <v>2459015.7599999998</v>
      </c>
      <c r="AJ33" s="503">
        <v>2496297</v>
      </c>
      <c r="AK33" s="472">
        <v>1100122</v>
      </c>
    </row>
    <row r="34" spans="1:37" ht="16.5" thickTop="1" thickBot="1" x14ac:dyDescent="0.25">
      <c r="A34" s="491"/>
      <c r="B34" s="492"/>
      <c r="C34" s="493"/>
      <c r="D34" s="493">
        <v>3</v>
      </c>
      <c r="E34" s="494">
        <v>170103</v>
      </c>
      <c r="F34" s="495" t="s">
        <v>452</v>
      </c>
      <c r="G34" s="498"/>
      <c r="H34" s="521"/>
      <c r="I34" s="521">
        <v>0</v>
      </c>
      <c r="J34" s="487">
        <v>20000</v>
      </c>
      <c r="K34" s="504">
        <v>4218.1099999999997</v>
      </c>
      <c r="L34" s="535">
        <v>2937.86</v>
      </c>
      <c r="M34" s="504">
        <v>2170.46</v>
      </c>
      <c r="N34" s="504">
        <v>796.38</v>
      </c>
      <c r="O34" s="504">
        <v>355.42</v>
      </c>
      <c r="P34" s="506">
        <v>529.57000000000005</v>
      </c>
      <c r="Q34" s="511">
        <v>250</v>
      </c>
      <c r="R34" s="511">
        <v>450</v>
      </c>
      <c r="S34" s="511">
        <v>620</v>
      </c>
      <c r="T34" s="511">
        <v>620</v>
      </c>
      <c r="U34" s="511">
        <v>620</v>
      </c>
      <c r="V34" s="511">
        <v>620</v>
      </c>
      <c r="W34" s="508">
        <f>SUM(K34:V34)</f>
        <v>14187.8</v>
      </c>
      <c r="X34" s="498">
        <f>W34</f>
        <v>14187.8</v>
      </c>
      <c r="Y34" s="500">
        <v>24515.02</v>
      </c>
      <c r="Z34" s="533">
        <v>18632.34</v>
      </c>
      <c r="AA34" s="533">
        <v>1476.4</v>
      </c>
      <c r="AB34" s="512">
        <v>1846.56</v>
      </c>
      <c r="AC34" s="478">
        <f t="shared" si="11"/>
        <v>0</v>
      </c>
      <c r="AD34" s="502">
        <f>Y34</f>
        <v>24515.02</v>
      </c>
      <c r="AE34" s="510">
        <v>6903.42</v>
      </c>
      <c r="AF34" s="528">
        <v>24515</v>
      </c>
      <c r="AG34" s="534">
        <f>AF34-AD34</f>
        <v>-2.0000000000436557E-2</v>
      </c>
      <c r="AH34" s="503">
        <v>24515.02</v>
      </c>
      <c r="AI34" s="503">
        <v>22690.85</v>
      </c>
      <c r="AJ34" s="503">
        <v>21865</v>
      </c>
      <c r="AK34" s="472">
        <v>1100122</v>
      </c>
    </row>
    <row r="35" spans="1:37" ht="16.5" thickTop="1" thickBot="1" x14ac:dyDescent="0.25">
      <c r="A35" s="516"/>
      <c r="B35" s="517"/>
      <c r="C35" s="518">
        <v>2</v>
      </c>
      <c r="D35" s="518"/>
      <c r="E35" s="519"/>
      <c r="F35" s="520" t="s">
        <v>453</v>
      </c>
      <c r="G35" s="498">
        <f t="shared" ref="G35:AB35" si="19">G36</f>
        <v>2350623.2000000002</v>
      </c>
      <c r="H35" s="521">
        <f t="shared" si="19"/>
        <v>2500000</v>
      </c>
      <c r="I35" s="521">
        <f t="shared" si="19"/>
        <v>2500000</v>
      </c>
      <c r="J35" s="521">
        <f t="shared" si="19"/>
        <v>2500000</v>
      </c>
      <c r="K35" s="521">
        <f t="shared" si="19"/>
        <v>92056.1</v>
      </c>
      <c r="L35" s="521">
        <f t="shared" si="19"/>
        <v>239951.02</v>
      </c>
      <c r="M35" s="521">
        <f t="shared" si="19"/>
        <v>402038.2</v>
      </c>
      <c r="N35" s="521">
        <f t="shared" si="19"/>
        <v>149254.15</v>
      </c>
      <c r="O35" s="521">
        <f t="shared" si="19"/>
        <v>159910.62</v>
      </c>
      <c r="P35" s="521">
        <f t="shared" si="19"/>
        <v>272167.69</v>
      </c>
      <c r="Q35" s="487">
        <f t="shared" si="19"/>
        <v>28095.73</v>
      </c>
      <c r="R35" s="487">
        <f t="shared" si="19"/>
        <v>28095.73</v>
      </c>
      <c r="S35" s="487">
        <f t="shared" si="19"/>
        <v>28095.73</v>
      </c>
      <c r="T35" s="487">
        <f t="shared" si="19"/>
        <v>28095.73</v>
      </c>
      <c r="U35" s="487">
        <f t="shared" si="19"/>
        <v>28095.73</v>
      </c>
      <c r="V35" s="487">
        <f t="shared" si="19"/>
        <v>28095.73</v>
      </c>
      <c r="W35" s="541">
        <f t="shared" si="19"/>
        <v>1483952.16</v>
      </c>
      <c r="X35" s="541">
        <f t="shared" si="19"/>
        <v>1483952.16</v>
      </c>
      <c r="Y35" s="542">
        <f t="shared" si="19"/>
        <v>2605940.9500000002</v>
      </c>
      <c r="Z35" s="541">
        <f t="shared" si="19"/>
        <v>2361663.11</v>
      </c>
      <c r="AA35" s="541">
        <f t="shared" si="19"/>
        <v>23509.599999999999</v>
      </c>
      <c r="AB35" s="541">
        <f t="shared" si="19"/>
        <v>189107.13</v>
      </c>
      <c r="AC35" s="478">
        <f t="shared" si="11"/>
        <v>0</v>
      </c>
      <c r="AD35" s="541">
        <f t="shared" ref="AD35:AJ35" si="20">AD36</f>
        <v>2605940.9500000002</v>
      </c>
      <c r="AE35" s="541">
        <f t="shared" si="20"/>
        <v>636728.36</v>
      </c>
      <c r="AF35" s="541">
        <f t="shared" si="20"/>
        <v>2605940.9500000002</v>
      </c>
      <c r="AG35" s="541">
        <f t="shared" si="20"/>
        <v>0</v>
      </c>
      <c r="AH35" s="542">
        <f t="shared" si="20"/>
        <v>2605940.9500000002</v>
      </c>
      <c r="AI35" s="542">
        <f t="shared" si="20"/>
        <v>2007594.89</v>
      </c>
      <c r="AJ35" s="542">
        <f t="shared" si="20"/>
        <v>2054464</v>
      </c>
      <c r="AK35" s="525"/>
    </row>
    <row r="36" spans="1:37" ht="16.5" thickTop="1" thickBot="1" x14ac:dyDescent="0.25">
      <c r="A36" s="491"/>
      <c r="B36" s="492"/>
      <c r="C36" s="493"/>
      <c r="D36" s="493">
        <v>1</v>
      </c>
      <c r="E36" s="494">
        <v>170201</v>
      </c>
      <c r="F36" s="495" t="s">
        <v>454</v>
      </c>
      <c r="G36" s="498">
        <v>2350623.2000000002</v>
      </c>
      <c r="H36" s="497">
        <v>2500000</v>
      </c>
      <c r="I36" s="497">
        <v>2500000</v>
      </c>
      <c r="J36" s="498">
        <v>2500000</v>
      </c>
      <c r="K36" s="504">
        <v>92056.1</v>
      </c>
      <c r="L36" s="543">
        <v>239951.02</v>
      </c>
      <c r="M36" s="504">
        <v>402038.2</v>
      </c>
      <c r="N36" s="544">
        <v>149254.15</v>
      </c>
      <c r="O36" s="538">
        <v>159910.62</v>
      </c>
      <c r="P36" s="506">
        <v>272167.69</v>
      </c>
      <c r="Q36" s="545">
        <v>28095.73</v>
      </c>
      <c r="R36" s="545">
        <v>28095.73</v>
      </c>
      <c r="S36" s="545">
        <v>28095.73</v>
      </c>
      <c r="T36" s="545">
        <v>28095.73</v>
      </c>
      <c r="U36" s="545">
        <v>28095.73</v>
      </c>
      <c r="V36" s="545">
        <v>28095.73</v>
      </c>
      <c r="W36" s="508">
        <f>SUM(K36:V36)</f>
        <v>1483952.16</v>
      </c>
      <c r="X36" s="498">
        <f>W36</f>
        <v>1483952.16</v>
      </c>
      <c r="Y36" s="500">
        <v>2605940.9500000002</v>
      </c>
      <c r="Z36" s="501">
        <v>2361663.11</v>
      </c>
      <c r="AA36" s="501">
        <v>23509.599999999999</v>
      </c>
      <c r="AB36" s="512">
        <v>189107.13</v>
      </c>
      <c r="AC36" s="478">
        <f t="shared" si="11"/>
        <v>0</v>
      </c>
      <c r="AD36" s="509">
        <f>Y36</f>
        <v>2605940.9500000002</v>
      </c>
      <c r="AE36" s="510">
        <v>636728.36</v>
      </c>
      <c r="AF36" s="528">
        <f>AD36</f>
        <v>2605940.9500000002</v>
      </c>
      <c r="AG36" s="534">
        <f>AF36-AD36</f>
        <v>0</v>
      </c>
      <c r="AH36" s="503">
        <v>2605940.9500000002</v>
      </c>
      <c r="AI36" s="503">
        <v>2007594.89</v>
      </c>
      <c r="AJ36" s="503">
        <v>2054464</v>
      </c>
      <c r="AK36" s="472">
        <v>1100122</v>
      </c>
    </row>
    <row r="37" spans="1:37" ht="16.5" thickTop="1" thickBot="1" x14ac:dyDescent="0.25">
      <c r="A37" s="516"/>
      <c r="B37" s="517"/>
      <c r="C37" s="518">
        <v>3</v>
      </c>
      <c r="D37" s="518"/>
      <c r="E37" s="519"/>
      <c r="F37" s="520" t="s">
        <v>455</v>
      </c>
      <c r="G37" s="498">
        <f t="shared" ref="G37:AB37" si="21">G38</f>
        <v>6290784.0099999998</v>
      </c>
      <c r="H37" s="521">
        <f t="shared" si="21"/>
        <v>6000000</v>
      </c>
      <c r="I37" s="521">
        <f t="shared" si="21"/>
        <v>6000000</v>
      </c>
      <c r="J37" s="521">
        <f t="shared" si="21"/>
        <v>6000000</v>
      </c>
      <c r="K37" s="521">
        <f t="shared" si="21"/>
        <v>571901.81000000006</v>
      </c>
      <c r="L37" s="521">
        <f t="shared" si="21"/>
        <v>572815.61</v>
      </c>
      <c r="M37" s="521">
        <f t="shared" si="21"/>
        <v>345479.16</v>
      </c>
      <c r="N37" s="521">
        <f t="shared" si="21"/>
        <v>107033.42</v>
      </c>
      <c r="O37" s="521">
        <f t="shared" si="21"/>
        <v>68197.67</v>
      </c>
      <c r="P37" s="521">
        <f t="shared" si="21"/>
        <v>123911.97</v>
      </c>
      <c r="Q37" s="487">
        <f t="shared" si="21"/>
        <v>18916.669999999998</v>
      </c>
      <c r="R37" s="487">
        <f t="shared" si="21"/>
        <v>18916.669999999998</v>
      </c>
      <c r="S37" s="487">
        <f t="shared" si="21"/>
        <v>213774.845</v>
      </c>
      <c r="T37" s="487">
        <f t="shared" si="21"/>
        <v>254952.345</v>
      </c>
      <c r="U37" s="487">
        <f t="shared" si="21"/>
        <v>184734.095</v>
      </c>
      <c r="V37" s="487">
        <f t="shared" si="21"/>
        <v>622588.59499999997</v>
      </c>
      <c r="W37" s="541">
        <f t="shared" si="21"/>
        <v>3103222.8599999994</v>
      </c>
      <c r="X37" s="541">
        <f t="shared" si="21"/>
        <v>3103222.8599999994</v>
      </c>
      <c r="Y37" s="542">
        <f t="shared" si="21"/>
        <v>3914405.06</v>
      </c>
      <c r="Z37" s="541">
        <f t="shared" si="21"/>
        <v>3211835.66</v>
      </c>
      <c r="AA37" s="541">
        <f t="shared" si="21"/>
        <v>425869.72</v>
      </c>
      <c r="AB37" s="541">
        <f t="shared" si="21"/>
        <v>465537.18</v>
      </c>
      <c r="AC37" s="478">
        <f t="shared" si="11"/>
        <v>0</v>
      </c>
      <c r="AD37" s="541">
        <f t="shared" ref="AD37:AJ37" si="22">AD38</f>
        <v>3914405.06</v>
      </c>
      <c r="AE37" s="541">
        <f t="shared" si="22"/>
        <v>1953780.34</v>
      </c>
      <c r="AF37" s="541">
        <f t="shared" si="22"/>
        <v>3914405.06</v>
      </c>
      <c r="AG37" s="541">
        <f t="shared" si="22"/>
        <v>0</v>
      </c>
      <c r="AH37" s="542">
        <f t="shared" si="22"/>
        <v>3914405.06</v>
      </c>
      <c r="AI37" s="542">
        <f t="shared" si="22"/>
        <v>6133690.6099999994</v>
      </c>
      <c r="AJ37" s="542">
        <f t="shared" si="22"/>
        <v>6270686</v>
      </c>
      <c r="AK37" s="525"/>
    </row>
    <row r="38" spans="1:37" ht="16.5" thickTop="1" thickBot="1" x14ac:dyDescent="0.25">
      <c r="A38" s="491"/>
      <c r="B38" s="492"/>
      <c r="C38" s="493"/>
      <c r="D38" s="493">
        <v>1</v>
      </c>
      <c r="E38" s="494">
        <v>170301</v>
      </c>
      <c r="F38" s="495" t="s">
        <v>456</v>
      </c>
      <c r="G38" s="498">
        <v>6290784.0099999998</v>
      </c>
      <c r="H38" s="546">
        <v>6000000</v>
      </c>
      <c r="I38" s="547">
        <v>6000000</v>
      </c>
      <c r="J38" s="498">
        <v>6000000</v>
      </c>
      <c r="K38" s="548">
        <v>571901.81000000006</v>
      </c>
      <c r="L38" s="549">
        <v>572815.61</v>
      </c>
      <c r="M38" s="550">
        <v>345479.16</v>
      </c>
      <c r="N38" s="504">
        <v>107033.42</v>
      </c>
      <c r="O38" s="538">
        <v>68197.67</v>
      </c>
      <c r="P38" s="506">
        <v>123911.97</v>
      </c>
      <c r="Q38" s="511">
        <v>18916.669999999998</v>
      </c>
      <c r="R38" s="511">
        <v>18916.669999999998</v>
      </c>
      <c r="S38" s="511">
        <v>213774.845</v>
      </c>
      <c r="T38" s="511">
        <v>254952.345</v>
      </c>
      <c r="U38" s="511">
        <v>184734.095</v>
      </c>
      <c r="V38" s="511">
        <v>622588.59499999997</v>
      </c>
      <c r="W38" s="508">
        <f>SUM(K38:V38)</f>
        <v>3103222.8599999994</v>
      </c>
      <c r="X38" s="498">
        <f>W38</f>
        <v>3103222.8599999994</v>
      </c>
      <c r="Y38" s="500">
        <v>3914405.06</v>
      </c>
      <c r="Z38" s="501">
        <v>3211835.66</v>
      </c>
      <c r="AA38" s="501">
        <v>425869.72</v>
      </c>
      <c r="AB38" s="512">
        <v>465537.18</v>
      </c>
      <c r="AC38" s="478">
        <f t="shared" si="11"/>
        <v>0</v>
      </c>
      <c r="AD38" s="509">
        <f>Y38</f>
        <v>3914405.06</v>
      </c>
      <c r="AE38" s="510">
        <v>1953780.34</v>
      </c>
      <c r="AF38" s="528">
        <f>AD38</f>
        <v>3914405.06</v>
      </c>
      <c r="AG38" s="534">
        <f>AF38-AD38</f>
        <v>0</v>
      </c>
      <c r="AH38" s="503">
        <v>3914405.06</v>
      </c>
      <c r="AI38" s="503">
        <v>6133690.6099999994</v>
      </c>
      <c r="AJ38" s="503">
        <v>6270686</v>
      </c>
      <c r="AK38" s="472">
        <v>1100122</v>
      </c>
    </row>
    <row r="39" spans="1:37" ht="16.5" thickTop="1" thickBot="1" x14ac:dyDescent="0.25">
      <c r="A39" s="491"/>
      <c r="B39" s="492"/>
      <c r="C39" s="493"/>
      <c r="D39" s="493"/>
      <c r="E39" s="551"/>
      <c r="F39" s="552" t="s">
        <v>457</v>
      </c>
      <c r="G39" s="553"/>
      <c r="H39" s="553"/>
      <c r="I39" s="553">
        <f t="shared" ref="I39:AB39" si="23">I40</f>
        <v>900000</v>
      </c>
      <c r="J39" s="553">
        <f t="shared" si="23"/>
        <v>900000</v>
      </c>
      <c r="K39" s="553">
        <f t="shared" si="23"/>
        <v>0</v>
      </c>
      <c r="L39" s="553">
        <f t="shared" si="23"/>
        <v>0</v>
      </c>
      <c r="M39" s="553">
        <f t="shared" si="23"/>
        <v>3946.57</v>
      </c>
      <c r="N39" s="553">
        <f t="shared" si="23"/>
        <v>1336</v>
      </c>
      <c r="O39" s="553">
        <f t="shared" si="23"/>
        <v>837.83</v>
      </c>
      <c r="P39" s="553">
        <f t="shared" si="23"/>
        <v>0</v>
      </c>
      <c r="Q39" s="554">
        <f t="shared" si="23"/>
        <v>1100</v>
      </c>
      <c r="R39" s="554">
        <f t="shared" si="23"/>
        <v>1100</v>
      </c>
      <c r="S39" s="554">
        <f t="shared" si="23"/>
        <v>3946.57</v>
      </c>
      <c r="T39" s="554">
        <f t="shared" si="23"/>
        <v>3946.57</v>
      </c>
      <c r="U39" s="554">
        <f t="shared" si="23"/>
        <v>3946.57</v>
      </c>
      <c r="V39" s="554">
        <f t="shared" si="23"/>
        <v>7623</v>
      </c>
      <c r="W39" s="541">
        <f t="shared" si="23"/>
        <v>27783.11</v>
      </c>
      <c r="X39" s="541">
        <f t="shared" si="23"/>
        <v>27783.11</v>
      </c>
      <c r="Y39" s="542">
        <f t="shared" si="23"/>
        <v>169005.16</v>
      </c>
      <c r="Z39" s="541">
        <f t="shared" si="23"/>
        <v>0</v>
      </c>
      <c r="AA39" s="541">
        <f t="shared" si="23"/>
        <v>0</v>
      </c>
      <c r="AB39" s="541">
        <f t="shared" si="23"/>
        <v>0</v>
      </c>
      <c r="AC39" s="478">
        <f t="shared" si="11"/>
        <v>0</v>
      </c>
      <c r="AD39" s="541">
        <f>AD40</f>
        <v>0</v>
      </c>
      <c r="AE39" s="541">
        <f>AE40</f>
        <v>0</v>
      </c>
      <c r="AF39" s="541">
        <f>AF40</f>
        <v>0</v>
      </c>
      <c r="AG39" s="541"/>
      <c r="AH39" s="523"/>
      <c r="AI39" s="523"/>
      <c r="AJ39" s="500"/>
      <c r="AK39" s="472"/>
    </row>
    <row r="40" spans="1:37" ht="16.5" thickTop="1" thickBot="1" x14ac:dyDescent="0.25">
      <c r="A40" s="491"/>
      <c r="B40" s="492"/>
      <c r="C40" s="493"/>
      <c r="D40" s="493"/>
      <c r="E40" s="555">
        <v>170401</v>
      </c>
      <c r="F40" s="495" t="s">
        <v>458</v>
      </c>
      <c r="G40" s="498"/>
      <c r="H40" s="546"/>
      <c r="I40" s="497">
        <v>900000</v>
      </c>
      <c r="J40" s="498">
        <v>900000</v>
      </c>
      <c r="K40" s="504"/>
      <c r="L40" s="505"/>
      <c r="M40" s="550">
        <v>3946.57</v>
      </c>
      <c r="N40" s="504">
        <v>1336</v>
      </c>
      <c r="O40" s="538">
        <v>837.83</v>
      </c>
      <c r="P40" s="499">
        <v>0</v>
      </c>
      <c r="Q40" s="511">
        <v>1100</v>
      </c>
      <c r="R40" s="511">
        <v>1100</v>
      </c>
      <c r="S40" s="511">
        <v>3946.57</v>
      </c>
      <c r="T40" s="511">
        <v>3946.57</v>
      </c>
      <c r="U40" s="511">
        <v>3946.57</v>
      </c>
      <c r="V40" s="511">
        <v>7623</v>
      </c>
      <c r="W40" s="508">
        <f>SUM(K40:V40)</f>
        <v>27783.11</v>
      </c>
      <c r="X40" s="498">
        <f>W40</f>
        <v>27783.11</v>
      </c>
      <c r="Y40" s="500">
        <v>169005.16</v>
      </c>
      <c r="Z40" s="498"/>
      <c r="AA40" s="498"/>
      <c r="AB40" s="498"/>
      <c r="AC40" s="478">
        <f t="shared" si="11"/>
        <v>0</v>
      </c>
      <c r="AD40" s="498">
        <v>0</v>
      </c>
      <c r="AE40" s="498"/>
      <c r="AF40" s="498"/>
      <c r="AG40" s="498"/>
      <c r="AH40" s="477"/>
      <c r="AI40" s="542"/>
      <c r="AJ40" s="542"/>
      <c r="AK40" s="472"/>
    </row>
    <row r="41" spans="1:37" ht="16.5" thickTop="1" thickBot="1" x14ac:dyDescent="0.25">
      <c r="A41" s="516"/>
      <c r="B41" s="517"/>
      <c r="C41" s="556">
        <v>4</v>
      </c>
      <c r="D41" s="556"/>
      <c r="E41" s="556"/>
      <c r="F41" s="557" t="s">
        <v>459</v>
      </c>
      <c r="G41" s="498">
        <f t="shared" ref="G41:AB41" si="24">G42</f>
        <v>248780.12</v>
      </c>
      <c r="H41" s="521">
        <f t="shared" si="24"/>
        <v>400000</v>
      </c>
      <c r="I41" s="521">
        <f t="shared" si="24"/>
        <v>400000</v>
      </c>
      <c r="J41" s="521">
        <f t="shared" si="24"/>
        <v>400000</v>
      </c>
      <c r="K41" s="521">
        <f t="shared" si="24"/>
        <v>146006.51</v>
      </c>
      <c r="L41" s="521">
        <f t="shared" si="24"/>
        <v>44175.98</v>
      </c>
      <c r="M41" s="521">
        <f t="shared" si="24"/>
        <v>16377.43</v>
      </c>
      <c r="N41" s="521">
        <f t="shared" si="24"/>
        <v>2878.9</v>
      </c>
      <c r="O41" s="521">
        <f t="shared" si="24"/>
        <v>2059.38</v>
      </c>
      <c r="P41" s="521">
        <f t="shared" si="24"/>
        <v>1737.61</v>
      </c>
      <c r="Q41" s="487">
        <f t="shared" si="24"/>
        <v>684.25</v>
      </c>
      <c r="R41" s="487">
        <f t="shared" si="24"/>
        <v>684.25</v>
      </c>
      <c r="S41" s="487">
        <f t="shared" si="24"/>
        <v>2962.96</v>
      </c>
      <c r="T41" s="487">
        <f t="shared" si="24"/>
        <v>5296.57</v>
      </c>
      <c r="U41" s="487">
        <f t="shared" si="24"/>
        <v>2605.1</v>
      </c>
      <c r="V41" s="487">
        <f t="shared" si="24"/>
        <v>7802.83</v>
      </c>
      <c r="W41" s="541">
        <f t="shared" si="24"/>
        <v>233271.77</v>
      </c>
      <c r="X41" s="541">
        <f t="shared" si="24"/>
        <v>233271.77</v>
      </c>
      <c r="Y41" s="542">
        <f t="shared" si="24"/>
        <v>238636.82</v>
      </c>
      <c r="Z41" s="541">
        <f t="shared" si="24"/>
        <v>0</v>
      </c>
      <c r="AA41" s="541">
        <f t="shared" si="24"/>
        <v>0</v>
      </c>
      <c r="AB41" s="541">
        <f t="shared" si="24"/>
        <v>0</v>
      </c>
      <c r="AC41" s="478">
        <f t="shared" si="11"/>
        <v>0</v>
      </c>
      <c r="AD41" s="541">
        <f>AD42</f>
        <v>0</v>
      </c>
      <c r="AE41" s="541">
        <f>AE42</f>
        <v>0</v>
      </c>
      <c r="AF41" s="541">
        <f>AF42</f>
        <v>0</v>
      </c>
      <c r="AG41" s="541"/>
      <c r="AH41" s="500"/>
      <c r="AI41" s="500"/>
      <c r="AJ41" s="500"/>
      <c r="AK41" s="558"/>
    </row>
    <row r="42" spans="1:37" ht="16.5" thickTop="1" thickBot="1" x14ac:dyDescent="0.25">
      <c r="A42" s="491"/>
      <c r="B42" s="492"/>
      <c r="C42" s="493"/>
      <c r="D42" s="493">
        <v>1</v>
      </c>
      <c r="E42" s="559">
        <v>170501</v>
      </c>
      <c r="F42" s="495" t="s">
        <v>460</v>
      </c>
      <c r="G42" s="498">
        <v>248780.12</v>
      </c>
      <c r="H42" s="497">
        <v>400000</v>
      </c>
      <c r="I42" s="497">
        <v>400000</v>
      </c>
      <c r="J42" s="498">
        <v>400000</v>
      </c>
      <c r="K42" s="504">
        <v>146006.51</v>
      </c>
      <c r="L42" s="535">
        <v>44175.98</v>
      </c>
      <c r="M42" s="504">
        <v>16377.43</v>
      </c>
      <c r="N42" s="504">
        <v>2878.9</v>
      </c>
      <c r="O42" s="538">
        <v>2059.38</v>
      </c>
      <c r="P42" s="499">
        <v>1737.61</v>
      </c>
      <c r="Q42" s="511">
        <v>684.25</v>
      </c>
      <c r="R42" s="511">
        <v>684.25</v>
      </c>
      <c r="S42" s="511">
        <v>2962.96</v>
      </c>
      <c r="T42" s="511">
        <v>5296.57</v>
      </c>
      <c r="U42" s="511">
        <v>2605.1</v>
      </c>
      <c r="V42" s="511">
        <v>7802.83</v>
      </c>
      <c r="W42" s="560">
        <f>SUM(K42:V42)</f>
        <v>233271.77</v>
      </c>
      <c r="X42" s="498">
        <f>W42</f>
        <v>233271.77</v>
      </c>
      <c r="Y42" s="500">
        <v>238636.82</v>
      </c>
      <c r="Z42" s="498"/>
      <c r="AA42" s="498"/>
      <c r="AB42" s="498"/>
      <c r="AC42" s="478">
        <f t="shared" si="11"/>
        <v>0</v>
      </c>
      <c r="AD42" s="498">
        <v>0</v>
      </c>
      <c r="AE42" s="498"/>
      <c r="AF42" s="498"/>
      <c r="AG42" s="498"/>
      <c r="AH42" s="500"/>
      <c r="AI42" s="500"/>
      <c r="AJ42" s="561"/>
      <c r="AK42" s="472"/>
    </row>
    <row r="43" spans="1:37" ht="15.75" thickTop="1" thickBot="1" x14ac:dyDescent="0.25">
      <c r="A43" s="562" t="s">
        <v>461</v>
      </c>
      <c r="B43" s="562" t="s">
        <v>462</v>
      </c>
      <c r="C43" s="563"/>
      <c r="D43" s="563"/>
      <c r="E43" s="464"/>
      <c r="F43" s="465" t="s">
        <v>463</v>
      </c>
      <c r="G43" s="466">
        <f t="shared" ref="G43:Z44" si="25">G44</f>
        <v>1253008.7</v>
      </c>
      <c r="H43" s="466">
        <f t="shared" si="25"/>
        <v>1900000</v>
      </c>
      <c r="I43" s="466">
        <f t="shared" si="25"/>
        <v>1900000</v>
      </c>
      <c r="J43" s="466">
        <f t="shared" si="25"/>
        <v>1900000</v>
      </c>
      <c r="K43" s="466">
        <f t="shared" si="25"/>
        <v>53473.36</v>
      </c>
      <c r="L43" s="466">
        <f t="shared" si="25"/>
        <v>30689.32</v>
      </c>
      <c r="M43" s="466">
        <f t="shared" si="25"/>
        <v>43652.66</v>
      </c>
      <c r="N43" s="466">
        <f t="shared" si="25"/>
        <v>146419.51</v>
      </c>
      <c r="O43" s="466">
        <f t="shared" si="25"/>
        <v>165202.72</v>
      </c>
      <c r="P43" s="466">
        <f t="shared" si="25"/>
        <v>14842.5</v>
      </c>
      <c r="Q43" s="466">
        <f t="shared" si="25"/>
        <v>45321</v>
      </c>
      <c r="R43" s="466">
        <f t="shared" si="25"/>
        <v>73291</v>
      </c>
      <c r="S43" s="466">
        <f t="shared" si="25"/>
        <v>132796.04</v>
      </c>
      <c r="T43" s="466">
        <f t="shared" si="25"/>
        <v>124981.31</v>
      </c>
      <c r="U43" s="466">
        <f t="shared" si="25"/>
        <v>52143.259999999995</v>
      </c>
      <c r="V43" s="466">
        <f t="shared" si="25"/>
        <v>83392.209999999992</v>
      </c>
      <c r="W43" s="466">
        <f t="shared" si="25"/>
        <v>966205</v>
      </c>
      <c r="X43" s="466">
        <f t="shared" si="25"/>
        <v>966205</v>
      </c>
      <c r="Y43" s="467">
        <f t="shared" si="25"/>
        <v>1760136.6</v>
      </c>
      <c r="Z43" s="468">
        <f t="shared" si="25"/>
        <v>0</v>
      </c>
      <c r="AA43" s="468"/>
      <c r="AB43" s="468"/>
      <c r="AC43" s="564"/>
      <c r="AD43" s="468">
        <f t="shared" ref="AD43:AF44" si="26">AD44</f>
        <v>1500000</v>
      </c>
      <c r="AE43" s="468">
        <f t="shared" si="26"/>
        <v>0</v>
      </c>
      <c r="AF43" s="468">
        <f t="shared" si="26"/>
        <v>1500000</v>
      </c>
      <c r="AG43" s="468">
        <f>AF43-AD43</f>
        <v>0</v>
      </c>
      <c r="AH43" s="467">
        <f t="shared" ref="AH43:AJ44" si="27">AH44</f>
        <v>1760136.6</v>
      </c>
      <c r="AI43" s="467">
        <f t="shared" si="27"/>
        <v>680081.57000000007</v>
      </c>
      <c r="AJ43" s="467">
        <f t="shared" si="27"/>
        <v>900000</v>
      </c>
      <c r="AK43" s="470"/>
    </row>
    <row r="44" spans="1:37" ht="15.75" thickTop="1" thickBot="1" x14ac:dyDescent="0.25">
      <c r="A44" s="565"/>
      <c r="B44" s="471">
        <v>1</v>
      </c>
      <c r="C44" s="566"/>
      <c r="D44" s="566"/>
      <c r="E44" s="519"/>
      <c r="F44" s="567" t="s">
        <v>464</v>
      </c>
      <c r="G44" s="498">
        <f t="shared" si="25"/>
        <v>1253008.7</v>
      </c>
      <c r="H44" s="475">
        <f t="shared" si="25"/>
        <v>1900000</v>
      </c>
      <c r="I44" s="475">
        <f t="shared" si="25"/>
        <v>1900000</v>
      </c>
      <c r="J44" s="474">
        <f t="shared" si="25"/>
        <v>1900000</v>
      </c>
      <c r="K44" s="474">
        <f t="shared" si="25"/>
        <v>53473.36</v>
      </c>
      <c r="L44" s="474">
        <f t="shared" si="25"/>
        <v>30689.32</v>
      </c>
      <c r="M44" s="474">
        <f t="shared" si="25"/>
        <v>43652.66</v>
      </c>
      <c r="N44" s="474">
        <f t="shared" si="25"/>
        <v>146419.51</v>
      </c>
      <c r="O44" s="474">
        <f t="shared" si="25"/>
        <v>165202.72</v>
      </c>
      <c r="P44" s="474">
        <f t="shared" si="25"/>
        <v>14842.5</v>
      </c>
      <c r="Q44" s="474">
        <f t="shared" si="25"/>
        <v>45321</v>
      </c>
      <c r="R44" s="474">
        <f t="shared" si="25"/>
        <v>73291</v>
      </c>
      <c r="S44" s="474">
        <f t="shared" si="25"/>
        <v>132796.04</v>
      </c>
      <c r="T44" s="474">
        <f t="shared" si="25"/>
        <v>124981.31</v>
      </c>
      <c r="U44" s="474">
        <f t="shared" si="25"/>
        <v>52143.259999999995</v>
      </c>
      <c r="V44" s="474">
        <f t="shared" si="25"/>
        <v>83392.209999999992</v>
      </c>
      <c r="W44" s="476">
        <f t="shared" si="25"/>
        <v>966205</v>
      </c>
      <c r="X44" s="476">
        <f t="shared" si="25"/>
        <v>966205</v>
      </c>
      <c r="Y44" s="477">
        <f t="shared" si="25"/>
        <v>1760136.6</v>
      </c>
      <c r="Z44" s="476"/>
      <c r="AA44" s="476"/>
      <c r="AB44" s="476"/>
      <c r="AC44" s="478">
        <f>W44-X44</f>
        <v>0</v>
      </c>
      <c r="AD44" s="474">
        <f t="shared" si="26"/>
        <v>1500000</v>
      </c>
      <c r="AE44" s="474">
        <f t="shared" si="26"/>
        <v>0</v>
      </c>
      <c r="AF44" s="474">
        <f t="shared" si="26"/>
        <v>1500000</v>
      </c>
      <c r="AG44" s="474">
        <f>AF44-AD44</f>
        <v>0</v>
      </c>
      <c r="AH44" s="477">
        <f t="shared" si="27"/>
        <v>1760136.6</v>
      </c>
      <c r="AI44" s="477">
        <f t="shared" si="27"/>
        <v>680081.57000000007</v>
      </c>
      <c r="AJ44" s="477">
        <f t="shared" si="27"/>
        <v>900000</v>
      </c>
      <c r="AK44" s="472"/>
    </row>
    <row r="45" spans="1:37" ht="16.5" thickTop="1" thickBot="1" x14ac:dyDescent="0.25">
      <c r="A45" s="491"/>
      <c r="B45" s="492"/>
      <c r="C45" s="493">
        <v>1</v>
      </c>
      <c r="D45" s="493">
        <v>1</v>
      </c>
      <c r="E45" s="519">
        <v>390101</v>
      </c>
      <c r="F45" s="495" t="s">
        <v>465</v>
      </c>
      <c r="G45" s="498">
        <v>1253008.7</v>
      </c>
      <c r="H45" s="521">
        <v>1900000</v>
      </c>
      <c r="I45" s="521">
        <v>1900000</v>
      </c>
      <c r="J45" s="487">
        <v>1900000</v>
      </c>
      <c r="K45" s="504">
        <v>53473.36</v>
      </c>
      <c r="L45" s="535">
        <v>30689.32</v>
      </c>
      <c r="M45" s="504">
        <v>43652.66</v>
      </c>
      <c r="N45" s="504">
        <v>146419.51</v>
      </c>
      <c r="O45" s="568">
        <v>165202.72</v>
      </c>
      <c r="P45" s="499">
        <v>14842.5</v>
      </c>
      <c r="Q45" s="511">
        <v>45321</v>
      </c>
      <c r="R45" s="511">
        <v>73291</v>
      </c>
      <c r="S45" s="511">
        <v>132796.04</v>
      </c>
      <c r="T45" s="511">
        <v>124981.31</v>
      </c>
      <c r="U45" s="511">
        <v>52143.259999999995</v>
      </c>
      <c r="V45" s="511">
        <v>83392.209999999992</v>
      </c>
      <c r="W45" s="560">
        <v>966205</v>
      </c>
      <c r="X45" s="498">
        <f>W45</f>
        <v>966205</v>
      </c>
      <c r="Y45" s="500">
        <v>1760136.6</v>
      </c>
      <c r="Z45" s="498"/>
      <c r="AA45" s="498"/>
      <c r="AB45" s="498"/>
      <c r="AC45" s="478">
        <f>W45-X45</f>
        <v>0</v>
      </c>
      <c r="AD45" s="498">
        <v>1500000</v>
      </c>
      <c r="AE45" s="569"/>
      <c r="AF45" s="498">
        <v>1500000</v>
      </c>
      <c r="AG45" s="498">
        <f>AF45-AD45</f>
        <v>0</v>
      </c>
      <c r="AH45" s="503">
        <v>1760136.6</v>
      </c>
      <c r="AI45" s="503">
        <v>680081.57000000007</v>
      </c>
      <c r="AJ45" s="503">
        <v>900000</v>
      </c>
      <c r="AK45" s="472">
        <v>1100122</v>
      </c>
    </row>
    <row r="46" spans="1:37" ht="15.75" thickTop="1" thickBot="1" x14ac:dyDescent="0.25">
      <c r="A46" s="562" t="s">
        <v>466</v>
      </c>
      <c r="B46" s="562" t="s">
        <v>462</v>
      </c>
      <c r="C46" s="563"/>
      <c r="D46" s="563"/>
      <c r="E46" s="464"/>
      <c r="F46" s="465" t="s">
        <v>10</v>
      </c>
      <c r="G46" s="466">
        <f>G52+G67+G68+G69+G73+G74+G82+G91+G96+G103+G107+G109+G113+G123+G129+G135+G137+G141+G142+G143+G144+G147+G160+G188+G234</f>
        <v>143359943.88999999</v>
      </c>
      <c r="H46" s="466">
        <f t="shared" ref="H46:AB46" si="28">H47+H65</f>
        <v>183855179.38000003</v>
      </c>
      <c r="I46" s="466">
        <f t="shared" si="28"/>
        <v>187355179.38000003</v>
      </c>
      <c r="J46" s="466">
        <f t="shared" si="28"/>
        <v>192305813.54000002</v>
      </c>
      <c r="K46" s="466">
        <f t="shared" si="28"/>
        <v>9778586.5099999979</v>
      </c>
      <c r="L46" s="466">
        <f t="shared" si="28"/>
        <v>13015059.109999999</v>
      </c>
      <c r="M46" s="466">
        <f t="shared" si="28"/>
        <v>14427126.449999999</v>
      </c>
      <c r="N46" s="466">
        <f t="shared" si="28"/>
        <v>10506067.74</v>
      </c>
      <c r="O46" s="466">
        <f t="shared" si="28"/>
        <v>12540602.979999999</v>
      </c>
      <c r="P46" s="466">
        <f t="shared" si="28"/>
        <v>12246211.91</v>
      </c>
      <c r="Q46" s="466">
        <f t="shared" si="28"/>
        <v>9372369.0741399974</v>
      </c>
      <c r="R46" s="466">
        <f t="shared" si="28"/>
        <v>10067415.032779999</v>
      </c>
      <c r="S46" s="466">
        <f t="shared" si="28"/>
        <v>11448051.195179999</v>
      </c>
      <c r="T46" s="466">
        <f t="shared" si="28"/>
        <v>12326371.417859999</v>
      </c>
      <c r="U46" s="466">
        <f t="shared" si="28"/>
        <v>12191098.32054</v>
      </c>
      <c r="V46" s="466">
        <f t="shared" si="28"/>
        <v>12267994.226059999</v>
      </c>
      <c r="W46" s="466">
        <f t="shared" si="28"/>
        <v>132805415.00000001</v>
      </c>
      <c r="X46" s="466">
        <f t="shared" si="28"/>
        <v>132805415.00000001</v>
      </c>
      <c r="Y46" s="467">
        <f t="shared" si="28"/>
        <v>149592455.81</v>
      </c>
      <c r="Z46" s="468">
        <f t="shared" si="28"/>
        <v>159938489.99000004</v>
      </c>
      <c r="AA46" s="468">
        <f t="shared" si="28"/>
        <v>7703269.25</v>
      </c>
      <c r="AB46" s="468">
        <f t="shared" si="28"/>
        <v>12788477.790000001</v>
      </c>
      <c r="AC46" s="564"/>
      <c r="AD46" s="468">
        <f t="shared" ref="AD46:AJ46" si="29">AD47+AD65</f>
        <v>162313330.91407001</v>
      </c>
      <c r="AE46" s="468">
        <f t="shared" si="29"/>
        <v>47044428.449999996</v>
      </c>
      <c r="AF46" s="468">
        <f t="shared" si="29"/>
        <v>162658514.43000001</v>
      </c>
      <c r="AG46" s="468">
        <f t="shared" si="29"/>
        <v>345183.51593001513</v>
      </c>
      <c r="AH46" s="467">
        <f t="shared" si="29"/>
        <v>149592455.81</v>
      </c>
      <c r="AI46" s="467">
        <f t="shared" si="29"/>
        <v>155088224.50833333</v>
      </c>
      <c r="AJ46" s="467">
        <f t="shared" si="29"/>
        <v>167703807</v>
      </c>
      <c r="AK46" s="470"/>
    </row>
    <row r="47" spans="1:37" ht="27" thickTop="1" thickBot="1" x14ac:dyDescent="0.25">
      <c r="A47" s="565"/>
      <c r="B47" s="471" t="s">
        <v>423</v>
      </c>
      <c r="C47" s="566"/>
      <c r="D47" s="566"/>
      <c r="E47" s="519"/>
      <c r="F47" s="567" t="s">
        <v>467</v>
      </c>
      <c r="G47" s="474">
        <f t="shared" ref="G47:AB47" si="30">G48+G53</f>
        <v>7823040.4000000004</v>
      </c>
      <c r="H47" s="475">
        <f t="shared" si="30"/>
        <v>8645287.9000000004</v>
      </c>
      <c r="I47" s="475">
        <f t="shared" si="30"/>
        <v>8645287.9000000004</v>
      </c>
      <c r="J47" s="474">
        <f t="shared" si="30"/>
        <v>8645287.9000000004</v>
      </c>
      <c r="K47" s="515">
        <f t="shared" si="30"/>
        <v>726079.2</v>
      </c>
      <c r="L47" s="475">
        <f t="shared" si="30"/>
        <v>527254.19999999995</v>
      </c>
      <c r="M47" s="475">
        <f t="shared" si="30"/>
        <v>488089.7</v>
      </c>
      <c r="N47" s="475">
        <f t="shared" si="30"/>
        <v>293667.20000000001</v>
      </c>
      <c r="O47" s="475">
        <f t="shared" si="30"/>
        <v>29392.2</v>
      </c>
      <c r="P47" s="475">
        <f t="shared" si="30"/>
        <v>26681.200000000001</v>
      </c>
      <c r="Q47" s="475">
        <f t="shared" si="30"/>
        <v>42165.2</v>
      </c>
      <c r="R47" s="475">
        <f t="shared" si="30"/>
        <v>316357.2</v>
      </c>
      <c r="S47" s="475">
        <f t="shared" si="30"/>
        <v>655484.39999999991</v>
      </c>
      <c r="T47" s="475">
        <f t="shared" si="30"/>
        <v>601906.39999999991</v>
      </c>
      <c r="U47" s="475">
        <f t="shared" si="30"/>
        <v>885379.39999999991</v>
      </c>
      <c r="V47" s="475">
        <f t="shared" si="30"/>
        <v>691837.6</v>
      </c>
      <c r="W47" s="524">
        <f t="shared" si="30"/>
        <v>5284293.9000000004</v>
      </c>
      <c r="X47" s="524">
        <f t="shared" si="30"/>
        <v>5284293.9000000004</v>
      </c>
      <c r="Y47" s="523">
        <f t="shared" si="30"/>
        <v>4140648.26</v>
      </c>
      <c r="Z47" s="524">
        <f t="shared" si="30"/>
        <v>5464247.0800000001</v>
      </c>
      <c r="AA47" s="524">
        <f t="shared" si="30"/>
        <v>470996.2</v>
      </c>
      <c r="AB47" s="524">
        <f t="shared" si="30"/>
        <v>444033.5</v>
      </c>
      <c r="AC47" s="478">
        <f t="shared" ref="AC47:AC62" si="31">W47-X47</f>
        <v>0</v>
      </c>
      <c r="AD47" s="524">
        <f>AD48+AD53</f>
        <v>5339691.08</v>
      </c>
      <c r="AE47" s="524">
        <f>AE48+AE53</f>
        <v>1843772.4000000001</v>
      </c>
      <c r="AF47" s="522">
        <f>AF48+AF53</f>
        <v>6039690.9000000004</v>
      </c>
      <c r="AG47" s="524">
        <f t="shared" ref="AG47:AG62" si="32">AF47-AD47</f>
        <v>699999.8200000003</v>
      </c>
      <c r="AH47" s="523">
        <f>AH48+AH53</f>
        <v>4140648.26</v>
      </c>
      <c r="AI47" s="523">
        <f>AI48+AI53</f>
        <v>6004810.3594444431</v>
      </c>
      <c r="AJ47" s="523">
        <f>AJ48+AJ53+AJ63</f>
        <v>7065075</v>
      </c>
      <c r="AK47" s="525"/>
    </row>
    <row r="48" spans="1:37" ht="27" thickTop="1" thickBot="1" x14ac:dyDescent="0.25">
      <c r="A48" s="516"/>
      <c r="B48" s="517"/>
      <c r="C48" s="518">
        <v>1</v>
      </c>
      <c r="D48" s="518"/>
      <c r="E48" s="519"/>
      <c r="F48" s="520" t="s">
        <v>468</v>
      </c>
      <c r="G48" s="474">
        <f t="shared" ref="G48:AB48" si="33">SUM(G49:G52)</f>
        <v>7390428</v>
      </c>
      <c r="H48" s="521">
        <f t="shared" si="33"/>
        <v>8166287.9000000004</v>
      </c>
      <c r="I48" s="521">
        <f t="shared" si="33"/>
        <v>8166287.9000000004</v>
      </c>
      <c r="J48" s="487">
        <f t="shared" si="33"/>
        <v>8166287.9000000004</v>
      </c>
      <c r="K48" s="487">
        <f t="shared" si="33"/>
        <v>696042</v>
      </c>
      <c r="L48" s="521">
        <f t="shared" si="33"/>
        <v>492549</v>
      </c>
      <c r="M48" s="521">
        <f t="shared" si="33"/>
        <v>455444.5</v>
      </c>
      <c r="N48" s="521">
        <f t="shared" si="33"/>
        <v>279604</v>
      </c>
      <c r="O48" s="521">
        <f t="shared" si="33"/>
        <v>12505</v>
      </c>
      <c r="P48" s="521">
        <f t="shared" si="33"/>
        <v>11206</v>
      </c>
      <c r="Q48" s="521">
        <f t="shared" si="33"/>
        <v>1100</v>
      </c>
      <c r="R48" s="521">
        <f t="shared" si="33"/>
        <v>280292</v>
      </c>
      <c r="S48" s="521">
        <f t="shared" si="33"/>
        <v>621152.19999999995</v>
      </c>
      <c r="T48" s="521">
        <f t="shared" si="33"/>
        <v>573216.19999999995</v>
      </c>
      <c r="U48" s="521">
        <f t="shared" si="33"/>
        <v>858747.2</v>
      </c>
      <c r="V48" s="521">
        <f t="shared" si="33"/>
        <v>655912.4</v>
      </c>
      <c r="W48" s="541">
        <f t="shared" si="33"/>
        <v>4937770.5</v>
      </c>
      <c r="X48" s="541">
        <f t="shared" si="33"/>
        <v>4937770.5</v>
      </c>
      <c r="Y48" s="542">
        <f t="shared" si="33"/>
        <v>3897673.86</v>
      </c>
      <c r="Z48" s="541">
        <f t="shared" si="33"/>
        <v>4982438.68</v>
      </c>
      <c r="AA48" s="541">
        <f t="shared" si="33"/>
        <v>455046</v>
      </c>
      <c r="AB48" s="541">
        <f t="shared" si="33"/>
        <v>428183.5</v>
      </c>
      <c r="AC48" s="478">
        <f t="shared" si="31"/>
        <v>0</v>
      </c>
      <c r="AD48" s="541">
        <f>SUM(AD49:AD52)</f>
        <v>4982438.68</v>
      </c>
      <c r="AE48" s="541">
        <f>SUM(AE49:AE52)</f>
        <v>1777157.1200000001</v>
      </c>
      <c r="AF48" s="541">
        <f>SUM(AF49:AF52)</f>
        <v>5682438.5</v>
      </c>
      <c r="AG48" s="541">
        <f t="shared" si="32"/>
        <v>699999.8200000003</v>
      </c>
      <c r="AH48" s="542">
        <f>SUM(AH49:AH52)</f>
        <v>3897673.86</v>
      </c>
      <c r="AI48" s="542">
        <f>SUM(AI49:AI52)</f>
        <v>5781233.7511111097</v>
      </c>
      <c r="AJ48" s="542">
        <f>SUM(AJ49:AJ52)</f>
        <v>610000</v>
      </c>
      <c r="AK48" s="525"/>
    </row>
    <row r="49" spans="1:37" ht="16.5" thickTop="1" thickBot="1" x14ac:dyDescent="0.25">
      <c r="A49" s="491"/>
      <c r="B49" s="492"/>
      <c r="C49" s="493"/>
      <c r="D49" s="493">
        <v>1</v>
      </c>
      <c r="E49" s="570">
        <v>410101</v>
      </c>
      <c r="F49" s="495" t="s">
        <v>469</v>
      </c>
      <c r="G49" s="498">
        <v>5465371</v>
      </c>
      <c r="H49" s="497">
        <v>6000000</v>
      </c>
      <c r="I49" s="497">
        <v>6000000</v>
      </c>
      <c r="J49" s="498">
        <v>6000000</v>
      </c>
      <c r="K49" s="504">
        <v>475747</v>
      </c>
      <c r="L49" s="535">
        <v>425853</v>
      </c>
      <c r="M49" s="571">
        <v>424958.5</v>
      </c>
      <c r="N49" s="572">
        <v>279292</v>
      </c>
      <c r="O49" s="568">
        <v>10081</v>
      </c>
      <c r="P49" s="506">
        <v>3786</v>
      </c>
      <c r="Q49" s="573">
        <v>0</v>
      </c>
      <c r="R49" s="573">
        <v>279292</v>
      </c>
      <c r="S49" s="573">
        <v>467111</v>
      </c>
      <c r="T49" s="573">
        <f>448840+50000</f>
        <v>498840</v>
      </c>
      <c r="U49" s="573">
        <f>425854+50000</f>
        <v>475854</v>
      </c>
      <c r="V49" s="573">
        <f>432791+50000</f>
        <v>482791</v>
      </c>
      <c r="W49" s="508">
        <f>SUM(K49:V49)</f>
        <v>3823605.5</v>
      </c>
      <c r="X49" s="498">
        <f>W49</f>
        <v>3823605.5</v>
      </c>
      <c r="Y49" s="500">
        <v>3274982.86</v>
      </c>
      <c r="Z49" s="501">
        <v>3823605.5</v>
      </c>
      <c r="AA49" s="501">
        <v>454780</v>
      </c>
      <c r="AB49" s="512">
        <v>425723.5</v>
      </c>
      <c r="AC49" s="478">
        <f t="shared" si="31"/>
        <v>0</v>
      </c>
      <c r="AD49" s="509">
        <f>Z49</f>
        <v>3823605.5</v>
      </c>
      <c r="AE49" s="510">
        <v>1771853.07</v>
      </c>
      <c r="AF49" s="502">
        <f>AD49+1000000</f>
        <v>4823605.5</v>
      </c>
      <c r="AG49" s="509">
        <f t="shared" si="32"/>
        <v>1000000</v>
      </c>
      <c r="AH49" s="503">
        <v>3274982.86</v>
      </c>
      <c r="AI49" s="503">
        <v>5430856.6411111103</v>
      </c>
      <c r="AJ49" s="503"/>
      <c r="AK49" s="472">
        <v>1100122</v>
      </c>
    </row>
    <row r="50" spans="1:37" ht="16.5" thickTop="1" thickBot="1" x14ac:dyDescent="0.25">
      <c r="A50" s="491"/>
      <c r="B50" s="492"/>
      <c r="C50" s="493"/>
      <c r="D50" s="493">
        <v>2</v>
      </c>
      <c r="E50" s="494">
        <v>410102</v>
      </c>
      <c r="F50" s="495" t="s">
        <v>470</v>
      </c>
      <c r="G50" s="498">
        <v>1850489</v>
      </c>
      <c r="H50" s="497">
        <v>2069287.9</v>
      </c>
      <c r="I50" s="574">
        <v>2069287.9</v>
      </c>
      <c r="J50" s="498">
        <v>2069287.9</v>
      </c>
      <c r="K50" s="504">
        <v>216551</v>
      </c>
      <c r="L50" s="535">
        <v>64512</v>
      </c>
      <c r="M50" s="504">
        <v>29550</v>
      </c>
      <c r="N50" s="504">
        <v>0</v>
      </c>
      <c r="O50" s="568">
        <v>1800</v>
      </c>
      <c r="P50" s="506">
        <v>7420</v>
      </c>
      <c r="Q50" s="504">
        <v>0</v>
      </c>
      <c r="R50" s="504">
        <v>0</v>
      </c>
      <c r="S50" s="511">
        <v>142778</v>
      </c>
      <c r="T50" s="511">
        <v>68807</v>
      </c>
      <c r="U50" s="511">
        <v>381458</v>
      </c>
      <c r="V50" s="511">
        <v>169003</v>
      </c>
      <c r="W50" s="508">
        <f>SUM(K50:V50)</f>
        <v>1081879</v>
      </c>
      <c r="X50" s="498">
        <f>W50</f>
        <v>1081879</v>
      </c>
      <c r="Y50" s="500">
        <v>613331</v>
      </c>
      <c r="Z50" s="501">
        <v>1081879</v>
      </c>
      <c r="AA50" s="501">
        <v>266</v>
      </c>
      <c r="AB50" s="512">
        <v>1836</v>
      </c>
      <c r="AC50" s="478">
        <f t="shared" si="31"/>
        <v>0</v>
      </c>
      <c r="AD50" s="509">
        <f>Z50</f>
        <v>1081879</v>
      </c>
      <c r="AE50" s="510">
        <v>4368.05</v>
      </c>
      <c r="AF50" s="502">
        <f>AD50-300000</f>
        <v>781879</v>
      </c>
      <c r="AG50" s="509">
        <f t="shared" si="32"/>
        <v>-300000</v>
      </c>
      <c r="AH50" s="503">
        <v>613331</v>
      </c>
      <c r="AI50" s="503">
        <v>347514.50999999995</v>
      </c>
      <c r="AJ50" s="503">
        <f>100000+500000</f>
        <v>600000</v>
      </c>
      <c r="AK50" s="472">
        <v>1100122</v>
      </c>
    </row>
    <row r="51" spans="1:37" ht="16.5" thickTop="1" thickBot="1" x14ac:dyDescent="0.25">
      <c r="A51" s="491"/>
      <c r="B51" s="492"/>
      <c r="C51" s="493"/>
      <c r="D51" s="493">
        <v>3</v>
      </c>
      <c r="E51" s="570">
        <v>410103</v>
      </c>
      <c r="F51" s="495" t="s">
        <v>471</v>
      </c>
      <c r="G51" s="498">
        <v>0</v>
      </c>
      <c r="H51" s="497">
        <v>10000</v>
      </c>
      <c r="I51" s="497">
        <v>10000</v>
      </c>
      <c r="J51" s="498">
        <v>10000</v>
      </c>
      <c r="K51" s="474">
        <v>0</v>
      </c>
      <c r="L51" s="535">
        <v>0</v>
      </c>
      <c r="M51" s="535">
        <v>0</v>
      </c>
      <c r="N51" s="504">
        <v>0</v>
      </c>
      <c r="O51" s="568">
        <v>0</v>
      </c>
      <c r="P51" s="506">
        <v>0</v>
      </c>
      <c r="Q51" s="504">
        <v>0</v>
      </c>
      <c r="R51" s="504">
        <v>0</v>
      </c>
      <c r="S51" s="504">
        <v>0</v>
      </c>
      <c r="T51" s="504">
        <v>0</v>
      </c>
      <c r="U51" s="504">
        <v>0</v>
      </c>
      <c r="V51" s="504">
        <v>0</v>
      </c>
      <c r="W51" s="508">
        <f>SUM(K51:V51)</f>
        <v>0</v>
      </c>
      <c r="X51" s="498">
        <f>W51</f>
        <v>0</v>
      </c>
      <c r="Y51" s="500"/>
      <c r="Z51" s="498"/>
      <c r="AA51" s="498"/>
      <c r="AB51" s="498"/>
      <c r="AC51" s="478">
        <f t="shared" si="31"/>
        <v>0</v>
      </c>
      <c r="AD51" s="498">
        <v>0</v>
      </c>
      <c r="AE51" s="498">
        <v>0</v>
      </c>
      <c r="AF51" s="498">
        <v>0</v>
      </c>
      <c r="AG51" s="498">
        <f t="shared" si="32"/>
        <v>0</v>
      </c>
      <c r="AH51" s="503"/>
      <c r="AI51" s="503"/>
      <c r="AJ51" s="503"/>
      <c r="AK51" s="472"/>
    </row>
    <row r="52" spans="1:37" ht="16.5" thickTop="1" thickBot="1" x14ac:dyDescent="0.25">
      <c r="A52" s="491"/>
      <c r="B52" s="492"/>
      <c r="C52" s="493"/>
      <c r="D52" s="493">
        <v>4</v>
      </c>
      <c r="E52" s="494">
        <v>410104</v>
      </c>
      <c r="F52" s="495" t="s">
        <v>472</v>
      </c>
      <c r="G52" s="498">
        <v>74568</v>
      </c>
      <c r="H52" s="497">
        <v>87000</v>
      </c>
      <c r="I52" s="497">
        <v>87000</v>
      </c>
      <c r="J52" s="498">
        <v>87000</v>
      </c>
      <c r="K52" s="504">
        <v>3744</v>
      </c>
      <c r="L52" s="535">
        <v>2184</v>
      </c>
      <c r="M52" s="504">
        <v>936</v>
      </c>
      <c r="N52" s="504">
        <v>312</v>
      </c>
      <c r="O52" s="568">
        <v>624</v>
      </c>
      <c r="P52" s="506">
        <v>0</v>
      </c>
      <c r="Q52" s="511">
        <v>1100</v>
      </c>
      <c r="R52" s="511">
        <v>1000</v>
      </c>
      <c r="S52" s="511">
        <v>11263.199999999999</v>
      </c>
      <c r="T52" s="511">
        <v>5569.2</v>
      </c>
      <c r="U52" s="511">
        <v>1435.1999999999998</v>
      </c>
      <c r="V52" s="511">
        <v>4118.3999999999996</v>
      </c>
      <c r="W52" s="508">
        <f>SUM(K52:V52)</f>
        <v>32286</v>
      </c>
      <c r="X52" s="498">
        <f>W52</f>
        <v>32286</v>
      </c>
      <c r="Y52" s="500">
        <v>9360</v>
      </c>
      <c r="Z52" s="501">
        <v>76954.179999999993</v>
      </c>
      <c r="AA52" s="501">
        <v>0</v>
      </c>
      <c r="AB52" s="512">
        <v>624</v>
      </c>
      <c r="AC52" s="478">
        <f t="shared" si="31"/>
        <v>0</v>
      </c>
      <c r="AD52" s="509">
        <f>Z52</f>
        <v>76954.179999999993</v>
      </c>
      <c r="AE52" s="510">
        <v>936</v>
      </c>
      <c r="AF52" s="502">
        <v>76954</v>
      </c>
      <c r="AG52" s="509">
        <f t="shared" si="32"/>
        <v>-0.17999999999301508</v>
      </c>
      <c r="AH52" s="503">
        <v>9360</v>
      </c>
      <c r="AI52" s="503">
        <v>2862.6</v>
      </c>
      <c r="AJ52" s="503">
        <v>10000</v>
      </c>
      <c r="AK52" s="472">
        <v>1100122</v>
      </c>
    </row>
    <row r="53" spans="1:37" ht="27" thickTop="1" thickBot="1" x14ac:dyDescent="0.25">
      <c r="A53" s="516"/>
      <c r="B53" s="517"/>
      <c r="C53" s="518">
        <v>2</v>
      </c>
      <c r="D53" s="518"/>
      <c r="E53" s="519"/>
      <c r="F53" s="520" t="s">
        <v>473</v>
      </c>
      <c r="G53" s="474">
        <f t="shared" ref="G53:AB53" si="34">G54+G55+G56+G57+G58+G59+G60+G61+G62</f>
        <v>432612.4</v>
      </c>
      <c r="H53" s="540">
        <f t="shared" si="34"/>
        <v>479000</v>
      </c>
      <c r="I53" s="540">
        <f t="shared" si="34"/>
        <v>479000</v>
      </c>
      <c r="J53" s="515">
        <f t="shared" si="34"/>
        <v>479000</v>
      </c>
      <c r="K53" s="515">
        <f t="shared" si="34"/>
        <v>30037.200000000001</v>
      </c>
      <c r="L53" s="540">
        <f t="shared" si="34"/>
        <v>34705.199999999997</v>
      </c>
      <c r="M53" s="540">
        <f t="shared" si="34"/>
        <v>32645.200000000001</v>
      </c>
      <c r="N53" s="540">
        <f t="shared" si="34"/>
        <v>14063.2</v>
      </c>
      <c r="O53" s="540">
        <f t="shared" si="34"/>
        <v>16887.2</v>
      </c>
      <c r="P53" s="540">
        <f t="shared" si="34"/>
        <v>15475.2</v>
      </c>
      <c r="Q53" s="540">
        <f t="shared" si="34"/>
        <v>41065.199999999997</v>
      </c>
      <c r="R53" s="540">
        <f t="shared" si="34"/>
        <v>36065.199999999997</v>
      </c>
      <c r="S53" s="540">
        <f t="shared" si="34"/>
        <v>34332.199999999997</v>
      </c>
      <c r="T53" s="540">
        <f t="shared" si="34"/>
        <v>28690.2</v>
      </c>
      <c r="U53" s="540">
        <f t="shared" si="34"/>
        <v>26632.2</v>
      </c>
      <c r="V53" s="540">
        <f t="shared" si="34"/>
        <v>35925.199999999997</v>
      </c>
      <c r="W53" s="541">
        <f t="shared" si="34"/>
        <v>346523.4</v>
      </c>
      <c r="X53" s="541">
        <f t="shared" si="34"/>
        <v>346523.4</v>
      </c>
      <c r="Y53" s="542">
        <f t="shared" si="34"/>
        <v>242974.4</v>
      </c>
      <c r="Z53" s="541">
        <f t="shared" si="34"/>
        <v>481808.4</v>
      </c>
      <c r="AA53" s="541">
        <f t="shared" si="34"/>
        <v>15950.2</v>
      </c>
      <c r="AB53" s="541">
        <f t="shared" si="34"/>
        <v>15850</v>
      </c>
      <c r="AC53" s="478">
        <f t="shared" si="31"/>
        <v>0</v>
      </c>
      <c r="AD53" s="541">
        <f>AD54+AD55+AD56+AD57+AD58+AD59+AD60+AD61+AD62</f>
        <v>357252.4</v>
      </c>
      <c r="AE53" s="541">
        <f>AE54+AE55+AE56+AE57+AE58+AE59+AE60+AE61+AE62</f>
        <v>66615.28</v>
      </c>
      <c r="AF53" s="541">
        <f>AF54+AF55+AF56+AF57+AF58+AF59+AF60+AF61+AF62</f>
        <v>357252.4</v>
      </c>
      <c r="AG53" s="541">
        <f t="shared" si="32"/>
        <v>0</v>
      </c>
      <c r="AH53" s="542">
        <f>AH54+AH55+AH56+AH57+AH58+AH59+AH60+AH61+AH62</f>
        <v>242974.4</v>
      </c>
      <c r="AI53" s="542">
        <f>AI54+AI55+AI56+AI57+AI58+AI59+AI60+AI61+AI62</f>
        <v>223576.60833333331</v>
      </c>
      <c r="AJ53" s="542">
        <f>AJ54+AJ55+AJ56+AJ57+AJ58+AJ59+AJ60+AJ61+AJ62</f>
        <v>309700</v>
      </c>
      <c r="AK53" s="525"/>
    </row>
    <row r="54" spans="1:37" ht="16.5" thickTop="1" thickBot="1" x14ac:dyDescent="0.25">
      <c r="A54" s="491"/>
      <c r="B54" s="492"/>
      <c r="C54" s="493"/>
      <c r="D54" s="493">
        <v>1</v>
      </c>
      <c r="E54" s="494">
        <v>410201</v>
      </c>
      <c r="F54" s="495" t="s">
        <v>474</v>
      </c>
      <c r="G54" s="498">
        <v>16944</v>
      </c>
      <c r="H54" s="497">
        <v>18000</v>
      </c>
      <c r="I54" s="497">
        <v>18000</v>
      </c>
      <c r="J54" s="498">
        <v>18000</v>
      </c>
      <c r="K54" s="504">
        <v>1412</v>
      </c>
      <c r="L54" s="535">
        <v>1412</v>
      </c>
      <c r="M54" s="504">
        <v>1412</v>
      </c>
      <c r="N54" s="504">
        <v>0</v>
      </c>
      <c r="O54" s="568">
        <v>2824</v>
      </c>
      <c r="P54" s="506">
        <v>1412</v>
      </c>
      <c r="Q54" s="504">
        <v>1412</v>
      </c>
      <c r="R54" s="504">
        <v>1412</v>
      </c>
      <c r="S54" s="504">
        <v>1412</v>
      </c>
      <c r="T54" s="504">
        <v>1412</v>
      </c>
      <c r="U54" s="504">
        <v>1412</v>
      </c>
      <c r="V54" s="504">
        <v>1412</v>
      </c>
      <c r="W54" s="508">
        <f t="shared" ref="W54:W62" si="35">SUM(K54:V54)</f>
        <v>16944</v>
      </c>
      <c r="X54" s="498">
        <f t="shared" ref="X54:X62" si="36">W54</f>
        <v>16944</v>
      </c>
      <c r="Y54" s="500">
        <v>16944</v>
      </c>
      <c r="Z54" s="501">
        <v>17537.04</v>
      </c>
      <c r="AA54" s="501">
        <v>1412</v>
      </c>
      <c r="AB54" s="512">
        <v>1412</v>
      </c>
      <c r="AC54" s="478">
        <f t="shared" si="31"/>
        <v>0</v>
      </c>
      <c r="AD54" s="509">
        <f>Y54</f>
        <v>16944</v>
      </c>
      <c r="AE54" s="510">
        <v>5648</v>
      </c>
      <c r="AF54" s="502">
        <v>16944</v>
      </c>
      <c r="AG54" s="541">
        <f t="shared" si="32"/>
        <v>0</v>
      </c>
      <c r="AH54" s="503">
        <v>16944</v>
      </c>
      <c r="AI54" s="503">
        <v>16944</v>
      </c>
      <c r="AJ54" s="503">
        <v>17613</v>
      </c>
      <c r="AK54" s="472">
        <v>1100122</v>
      </c>
    </row>
    <row r="55" spans="1:37" ht="16.5" thickTop="1" thickBot="1" x14ac:dyDescent="0.25">
      <c r="A55" s="491"/>
      <c r="B55" s="492"/>
      <c r="C55" s="493"/>
      <c r="D55" s="493">
        <v>2</v>
      </c>
      <c r="E55" s="494">
        <v>410202</v>
      </c>
      <c r="F55" s="495" t="s">
        <v>475</v>
      </c>
      <c r="G55" s="498">
        <v>47678.400000000001</v>
      </c>
      <c r="H55" s="497">
        <v>50000</v>
      </c>
      <c r="I55" s="497">
        <v>50000</v>
      </c>
      <c r="J55" s="498">
        <v>50000</v>
      </c>
      <c r="K55" s="504">
        <v>3973.2</v>
      </c>
      <c r="L55" s="535">
        <v>3973.2</v>
      </c>
      <c r="M55" s="504">
        <v>3973.2</v>
      </c>
      <c r="N55" s="504">
        <v>3973.2</v>
      </c>
      <c r="O55" s="568">
        <v>3973.2</v>
      </c>
      <c r="P55" s="506">
        <v>3973.2</v>
      </c>
      <c r="Q55" s="504">
        <v>3973.2</v>
      </c>
      <c r="R55" s="504">
        <v>3973.2</v>
      </c>
      <c r="S55" s="504">
        <v>3973.2</v>
      </c>
      <c r="T55" s="504">
        <v>3973.2</v>
      </c>
      <c r="U55" s="504">
        <v>3973.2</v>
      </c>
      <c r="V55" s="504">
        <v>3973.2</v>
      </c>
      <c r="W55" s="508">
        <f t="shared" si="35"/>
        <v>47678.399999999994</v>
      </c>
      <c r="X55" s="498">
        <f t="shared" si="36"/>
        <v>47678.399999999994</v>
      </c>
      <c r="Y55" s="561">
        <v>47678.400000000001</v>
      </c>
      <c r="Z55" s="501">
        <v>47678.400000000001</v>
      </c>
      <c r="AA55" s="501">
        <v>3973.2</v>
      </c>
      <c r="AB55" s="512">
        <v>3973</v>
      </c>
      <c r="AC55" s="478">
        <f t="shared" si="31"/>
        <v>0</v>
      </c>
      <c r="AD55" s="509">
        <f>Y55</f>
        <v>47678.400000000001</v>
      </c>
      <c r="AE55" s="510">
        <v>15892.4</v>
      </c>
      <c r="AF55" s="502">
        <f>AD55</f>
        <v>47678.400000000001</v>
      </c>
      <c r="AG55" s="542">
        <f t="shared" si="32"/>
        <v>0</v>
      </c>
      <c r="AH55" s="503">
        <v>47678.400000000001</v>
      </c>
      <c r="AI55" s="503">
        <v>47676.799999999996</v>
      </c>
      <c r="AJ55" s="503">
        <v>49560</v>
      </c>
      <c r="AK55" s="472">
        <v>1100122</v>
      </c>
    </row>
    <row r="56" spans="1:37" ht="16.5" thickTop="1" thickBot="1" x14ac:dyDescent="0.25">
      <c r="A56" s="491"/>
      <c r="B56" s="492"/>
      <c r="C56" s="493"/>
      <c r="D56" s="493">
        <v>3</v>
      </c>
      <c r="E56" s="494">
        <v>410203</v>
      </c>
      <c r="F56" s="495" t="s">
        <v>476</v>
      </c>
      <c r="G56" s="498">
        <v>63140</v>
      </c>
      <c r="H56" s="497">
        <v>65000</v>
      </c>
      <c r="I56" s="497">
        <v>65000</v>
      </c>
      <c r="J56" s="498">
        <v>65000</v>
      </c>
      <c r="K56" s="504">
        <v>5090</v>
      </c>
      <c r="L56" s="535">
        <v>5090</v>
      </c>
      <c r="M56" s="504">
        <v>5680</v>
      </c>
      <c r="N56" s="504">
        <v>5090</v>
      </c>
      <c r="O56" s="568">
        <v>5090</v>
      </c>
      <c r="P56" s="506">
        <v>5090</v>
      </c>
      <c r="Q56" s="504">
        <v>5680</v>
      </c>
      <c r="R56" s="504">
        <v>5680</v>
      </c>
      <c r="S56" s="504">
        <v>5680</v>
      </c>
      <c r="T56" s="504">
        <v>5680</v>
      </c>
      <c r="U56" s="504">
        <v>5680</v>
      </c>
      <c r="V56" s="504">
        <v>5680</v>
      </c>
      <c r="W56" s="508">
        <f t="shared" si="35"/>
        <v>65210</v>
      </c>
      <c r="X56" s="498">
        <f t="shared" si="36"/>
        <v>65210</v>
      </c>
      <c r="Y56" s="500">
        <v>56680</v>
      </c>
      <c r="Z56" s="501">
        <v>65210</v>
      </c>
      <c r="AA56" s="501">
        <v>5090</v>
      </c>
      <c r="AB56" s="512">
        <v>5090</v>
      </c>
      <c r="AC56" s="478">
        <f t="shared" si="31"/>
        <v>0</v>
      </c>
      <c r="AD56" s="509">
        <v>61080</v>
      </c>
      <c r="AE56" s="510">
        <v>20360</v>
      </c>
      <c r="AF56" s="502">
        <v>61080</v>
      </c>
      <c r="AG56" s="541">
        <f t="shared" si="32"/>
        <v>0</v>
      </c>
      <c r="AH56" s="503">
        <v>56680</v>
      </c>
      <c r="AI56" s="503">
        <v>61080</v>
      </c>
      <c r="AJ56" s="503">
        <v>63492</v>
      </c>
      <c r="AK56" s="472">
        <v>1100122</v>
      </c>
    </row>
    <row r="57" spans="1:37" ht="16.5" thickTop="1" thickBot="1" x14ac:dyDescent="0.25">
      <c r="A57" s="491"/>
      <c r="B57" s="492"/>
      <c r="C57" s="493"/>
      <c r="D57" s="493">
        <v>4</v>
      </c>
      <c r="E57" s="494">
        <v>410204</v>
      </c>
      <c r="F57" s="495" t="s">
        <v>477</v>
      </c>
      <c r="G57" s="498">
        <v>60000</v>
      </c>
      <c r="H57" s="497">
        <v>65000</v>
      </c>
      <c r="I57" s="497">
        <v>65000</v>
      </c>
      <c r="J57" s="498">
        <v>65000</v>
      </c>
      <c r="K57" s="504">
        <v>5000</v>
      </c>
      <c r="L57" s="535">
        <v>5590</v>
      </c>
      <c r="M57" s="504">
        <v>5000</v>
      </c>
      <c r="N57" s="575">
        <v>5000</v>
      </c>
      <c r="O57" s="568">
        <v>5000</v>
      </c>
      <c r="P57" s="506">
        <v>5000</v>
      </c>
      <c r="Q57" s="504">
        <v>5000</v>
      </c>
      <c r="R57" s="504">
        <v>5000</v>
      </c>
      <c r="S57" s="504">
        <v>5000</v>
      </c>
      <c r="T57" s="504">
        <v>5000</v>
      </c>
      <c r="U57" s="504">
        <v>5000</v>
      </c>
      <c r="V57" s="504">
        <v>5000</v>
      </c>
      <c r="W57" s="508">
        <f t="shared" si="35"/>
        <v>60590</v>
      </c>
      <c r="X57" s="498">
        <f t="shared" si="36"/>
        <v>60590</v>
      </c>
      <c r="Y57" s="500">
        <v>65680</v>
      </c>
      <c r="Z57" s="501">
        <v>60590</v>
      </c>
      <c r="AA57" s="501">
        <v>5000</v>
      </c>
      <c r="AB57" s="512">
        <v>5000</v>
      </c>
      <c r="AC57" s="478">
        <f t="shared" si="31"/>
        <v>0</v>
      </c>
      <c r="AD57" s="509">
        <v>60000</v>
      </c>
      <c r="AE57" s="510">
        <v>20000</v>
      </c>
      <c r="AF57" s="502">
        <v>60000</v>
      </c>
      <c r="AG57" s="541">
        <f t="shared" si="32"/>
        <v>0</v>
      </c>
      <c r="AH57" s="503">
        <v>65680</v>
      </c>
      <c r="AI57" s="503">
        <v>60000</v>
      </c>
      <c r="AJ57" s="503">
        <v>62370</v>
      </c>
      <c r="AK57" s="472">
        <v>1100122</v>
      </c>
    </row>
    <row r="58" spans="1:37" ht="16.5" thickTop="1" thickBot="1" x14ac:dyDescent="0.25">
      <c r="A58" s="491"/>
      <c r="B58" s="492"/>
      <c r="C58" s="493"/>
      <c r="D58" s="493">
        <v>5</v>
      </c>
      <c r="E58" s="494">
        <v>410205</v>
      </c>
      <c r="F58" s="495" t="s">
        <v>478</v>
      </c>
      <c r="G58" s="576">
        <v>11069</v>
      </c>
      <c r="H58" s="497">
        <v>10000</v>
      </c>
      <c r="I58" s="574">
        <v>10000</v>
      </c>
      <c r="J58" s="498">
        <v>10000</v>
      </c>
      <c r="K58" s="539">
        <v>900</v>
      </c>
      <c r="L58" s="535">
        <v>550</v>
      </c>
      <c r="M58" s="504">
        <v>1750</v>
      </c>
      <c r="N58" s="504">
        <v>0</v>
      </c>
      <c r="O58" s="568">
        <v>0</v>
      </c>
      <c r="P58" s="506">
        <v>0</v>
      </c>
      <c r="Q58" s="511">
        <v>0</v>
      </c>
      <c r="R58" s="511"/>
      <c r="S58" s="511">
        <v>1400</v>
      </c>
      <c r="T58" s="511">
        <v>2625</v>
      </c>
      <c r="U58" s="511">
        <v>700</v>
      </c>
      <c r="V58" s="511">
        <v>2625</v>
      </c>
      <c r="W58" s="508">
        <f t="shared" si="35"/>
        <v>10550</v>
      </c>
      <c r="X58" s="498">
        <f t="shared" si="36"/>
        <v>10550</v>
      </c>
      <c r="Y58" s="500">
        <v>9200</v>
      </c>
      <c r="Z58" s="501">
        <v>10550</v>
      </c>
      <c r="AA58" s="501">
        <v>475</v>
      </c>
      <c r="AB58" s="512">
        <v>375</v>
      </c>
      <c r="AC58" s="478">
        <f t="shared" si="31"/>
        <v>0</v>
      </c>
      <c r="AD58" s="509">
        <f>Z58</f>
        <v>10550</v>
      </c>
      <c r="AE58" s="510">
        <v>2114.88</v>
      </c>
      <c r="AF58" s="502">
        <v>10550</v>
      </c>
      <c r="AG58" s="541">
        <f t="shared" si="32"/>
        <v>0</v>
      </c>
      <c r="AH58" s="503">
        <v>9200</v>
      </c>
      <c r="AI58" s="503">
        <v>8006.4</v>
      </c>
      <c r="AJ58" s="503">
        <v>8322</v>
      </c>
      <c r="AK58" s="472">
        <v>1100122</v>
      </c>
    </row>
    <row r="59" spans="1:37" ht="16.5" thickTop="1" thickBot="1" x14ac:dyDescent="0.25">
      <c r="A59" s="491"/>
      <c r="B59" s="492"/>
      <c r="C59" s="493"/>
      <c r="D59" s="493">
        <v>6</v>
      </c>
      <c r="E59" s="494">
        <v>410206</v>
      </c>
      <c r="F59" s="495" t="s">
        <v>479</v>
      </c>
      <c r="G59" s="498">
        <v>3447</v>
      </c>
      <c r="H59" s="497">
        <v>5000</v>
      </c>
      <c r="I59" s="497">
        <v>5000</v>
      </c>
      <c r="J59" s="498">
        <v>5000</v>
      </c>
      <c r="K59" s="496"/>
      <c r="L59" s="535">
        <v>0</v>
      </c>
      <c r="M59" s="504">
        <v>0</v>
      </c>
      <c r="N59" s="504">
        <v>0</v>
      </c>
      <c r="O59" s="568">
        <v>0</v>
      </c>
      <c r="P59" s="506">
        <v>0</v>
      </c>
      <c r="Q59" s="504">
        <v>0</v>
      </c>
      <c r="R59" s="504">
        <v>0</v>
      </c>
      <c r="S59" s="504">
        <v>0</v>
      </c>
      <c r="T59" s="504">
        <v>0</v>
      </c>
      <c r="U59" s="504">
        <v>0</v>
      </c>
      <c r="V59" s="504">
        <v>5000</v>
      </c>
      <c r="W59" s="508">
        <f t="shared" si="35"/>
        <v>5000</v>
      </c>
      <c r="X59" s="498">
        <f t="shared" si="36"/>
        <v>5000</v>
      </c>
      <c r="Y59" s="500"/>
      <c r="Z59" s="501">
        <v>5000</v>
      </c>
      <c r="AA59" s="501">
        <v>0</v>
      </c>
      <c r="AB59" s="501">
        <v>0</v>
      </c>
      <c r="AC59" s="478">
        <f t="shared" si="31"/>
        <v>0</v>
      </c>
      <c r="AD59" s="509">
        <f>Z59</f>
        <v>5000</v>
      </c>
      <c r="AE59" s="510">
        <v>0</v>
      </c>
      <c r="AF59" s="502">
        <v>5000</v>
      </c>
      <c r="AG59" s="541">
        <f t="shared" si="32"/>
        <v>0</v>
      </c>
      <c r="AH59" s="503">
        <v>0</v>
      </c>
      <c r="AI59" s="503">
        <v>0</v>
      </c>
      <c r="AJ59" s="503">
        <v>5000</v>
      </c>
      <c r="AK59" s="472">
        <v>1100122</v>
      </c>
    </row>
    <row r="60" spans="1:37" ht="16.5" thickTop="1" thickBot="1" x14ac:dyDescent="0.25">
      <c r="A60" s="491"/>
      <c r="B60" s="492"/>
      <c r="C60" s="493"/>
      <c r="D60" s="493">
        <v>7</v>
      </c>
      <c r="E60" s="494">
        <v>410207</v>
      </c>
      <c r="F60" s="495" t="s">
        <v>480</v>
      </c>
      <c r="G60" s="498">
        <v>217265</v>
      </c>
      <c r="H60" s="497">
        <v>250000</v>
      </c>
      <c r="I60" s="497">
        <v>250000</v>
      </c>
      <c r="J60" s="498">
        <v>250000</v>
      </c>
      <c r="K60" s="504">
        <v>11795</v>
      </c>
      <c r="L60" s="535">
        <v>18090</v>
      </c>
      <c r="M60" s="504">
        <v>14830</v>
      </c>
      <c r="N60" s="504">
        <v>0</v>
      </c>
      <c r="O60" s="568">
        <v>0</v>
      </c>
      <c r="P60" s="506">
        <v>0</v>
      </c>
      <c r="Q60" s="511">
        <v>25000</v>
      </c>
      <c r="R60" s="511">
        <v>20000</v>
      </c>
      <c r="S60" s="511">
        <v>15000</v>
      </c>
      <c r="T60" s="511">
        <v>10000</v>
      </c>
      <c r="U60" s="511">
        <v>8000</v>
      </c>
      <c r="V60" s="511">
        <v>5000</v>
      </c>
      <c r="W60" s="508">
        <f t="shared" si="35"/>
        <v>127715</v>
      </c>
      <c r="X60" s="498">
        <f t="shared" si="36"/>
        <v>127715</v>
      </c>
      <c r="Y60" s="500">
        <v>44925</v>
      </c>
      <c r="Z60" s="501">
        <v>262406.96000000002</v>
      </c>
      <c r="AA60" s="501">
        <v>0</v>
      </c>
      <c r="AB60" s="501">
        <v>0</v>
      </c>
      <c r="AC60" s="478">
        <f t="shared" si="31"/>
        <v>0</v>
      </c>
      <c r="AD60" s="509">
        <v>150000</v>
      </c>
      <c r="AE60" s="510">
        <v>2600</v>
      </c>
      <c r="AF60" s="502">
        <v>150000</v>
      </c>
      <c r="AG60" s="541">
        <f t="shared" si="32"/>
        <v>0</v>
      </c>
      <c r="AH60" s="503">
        <v>44925</v>
      </c>
      <c r="AI60" s="503">
        <v>27615</v>
      </c>
      <c r="AJ60" s="503">
        <v>100000</v>
      </c>
      <c r="AK60" s="472">
        <v>1100122</v>
      </c>
    </row>
    <row r="61" spans="1:37" ht="16.5" thickTop="1" thickBot="1" x14ac:dyDescent="0.25">
      <c r="A61" s="491"/>
      <c r="B61" s="492"/>
      <c r="C61" s="493"/>
      <c r="D61" s="493">
        <v>8</v>
      </c>
      <c r="E61" s="494">
        <v>410208</v>
      </c>
      <c r="F61" s="495" t="s">
        <v>481</v>
      </c>
      <c r="G61" s="498">
        <v>13069</v>
      </c>
      <c r="H61" s="497">
        <v>15000</v>
      </c>
      <c r="I61" s="574">
        <v>15000</v>
      </c>
      <c r="J61" s="498">
        <v>15000</v>
      </c>
      <c r="K61" s="539">
        <v>1867</v>
      </c>
      <c r="L61" s="535">
        <v>0</v>
      </c>
      <c r="M61" s="504">
        <v>0</v>
      </c>
      <c r="N61" s="504">
        <v>0</v>
      </c>
      <c r="O61" s="568">
        <v>0</v>
      </c>
      <c r="P61" s="506">
        <v>0</v>
      </c>
      <c r="Q61" s="511">
        <v>0</v>
      </c>
      <c r="R61" s="511">
        <v>0</v>
      </c>
      <c r="S61" s="511">
        <v>1867</v>
      </c>
      <c r="T61" s="511">
        <v>0</v>
      </c>
      <c r="U61" s="511">
        <v>1867</v>
      </c>
      <c r="V61" s="511">
        <v>6235</v>
      </c>
      <c r="W61" s="508">
        <f t="shared" si="35"/>
        <v>11836</v>
      </c>
      <c r="X61" s="498">
        <f t="shared" si="36"/>
        <v>11836</v>
      </c>
      <c r="Y61" s="500">
        <v>1867</v>
      </c>
      <c r="Z61" s="501">
        <v>11836</v>
      </c>
      <c r="AA61" s="501">
        <v>0</v>
      </c>
      <c r="AB61" s="501">
        <v>0</v>
      </c>
      <c r="AC61" s="478">
        <f t="shared" si="31"/>
        <v>0</v>
      </c>
      <c r="AD61" s="509">
        <v>5000</v>
      </c>
      <c r="AE61" s="510">
        <v>0</v>
      </c>
      <c r="AF61" s="502">
        <v>5000</v>
      </c>
      <c r="AG61" s="541">
        <f t="shared" si="32"/>
        <v>0</v>
      </c>
      <c r="AH61" s="503">
        <v>1867</v>
      </c>
      <c r="AI61" s="503">
        <v>2254.4083333333333</v>
      </c>
      <c r="AJ61" s="503">
        <v>2343</v>
      </c>
      <c r="AK61" s="472">
        <v>1100122</v>
      </c>
    </row>
    <row r="62" spans="1:37" ht="16.5" thickTop="1" thickBot="1" x14ac:dyDescent="0.25">
      <c r="A62" s="491"/>
      <c r="B62" s="492"/>
      <c r="C62" s="493"/>
      <c r="D62" s="493">
        <v>9</v>
      </c>
      <c r="E62" s="494">
        <v>410209</v>
      </c>
      <c r="F62" s="495" t="s">
        <v>482</v>
      </c>
      <c r="G62" s="496">
        <v>0</v>
      </c>
      <c r="H62" s="497">
        <v>1000</v>
      </c>
      <c r="I62" s="497">
        <v>1000</v>
      </c>
      <c r="J62" s="498">
        <v>1000</v>
      </c>
      <c r="K62" s="496"/>
      <c r="L62" s="577">
        <v>0</v>
      </c>
      <c r="M62" s="504">
        <v>0</v>
      </c>
      <c r="N62" s="504">
        <v>0</v>
      </c>
      <c r="O62" s="568">
        <v>0</v>
      </c>
      <c r="P62" s="506">
        <v>0</v>
      </c>
      <c r="Q62" s="504">
        <v>0</v>
      </c>
      <c r="R62" s="504">
        <v>0</v>
      </c>
      <c r="S62" s="504">
        <v>0</v>
      </c>
      <c r="T62" s="504">
        <v>0</v>
      </c>
      <c r="U62" s="504">
        <v>0</v>
      </c>
      <c r="V62" s="504">
        <v>1000</v>
      </c>
      <c r="W62" s="508">
        <f t="shared" si="35"/>
        <v>1000</v>
      </c>
      <c r="X62" s="498">
        <f t="shared" si="36"/>
        <v>1000</v>
      </c>
      <c r="Y62" s="500"/>
      <c r="Z62" s="501">
        <v>1000</v>
      </c>
      <c r="AA62" s="501">
        <v>0</v>
      </c>
      <c r="AB62" s="501">
        <v>0</v>
      </c>
      <c r="AC62" s="478">
        <f t="shared" si="31"/>
        <v>0</v>
      </c>
      <c r="AD62" s="509">
        <v>1000</v>
      </c>
      <c r="AE62" s="510">
        <v>0</v>
      </c>
      <c r="AF62" s="502">
        <v>1000</v>
      </c>
      <c r="AG62" s="541">
        <f t="shared" si="32"/>
        <v>0</v>
      </c>
      <c r="AH62" s="503">
        <v>0</v>
      </c>
      <c r="AI62" s="503">
        <v>0</v>
      </c>
      <c r="AJ62" s="503">
        <v>1000</v>
      </c>
      <c r="AK62" s="472">
        <v>1100122</v>
      </c>
    </row>
    <row r="63" spans="1:37" ht="16.5" thickTop="1" thickBot="1" x14ac:dyDescent="0.25">
      <c r="A63" s="491"/>
      <c r="B63" s="492"/>
      <c r="C63" s="518">
        <v>3</v>
      </c>
      <c r="D63" s="493"/>
      <c r="E63" s="519"/>
      <c r="F63" s="567" t="s">
        <v>483</v>
      </c>
      <c r="G63" s="496"/>
      <c r="H63" s="497"/>
      <c r="I63" s="497"/>
      <c r="J63" s="498"/>
      <c r="K63" s="496"/>
      <c r="L63" s="577"/>
      <c r="M63" s="504"/>
      <c r="N63" s="504"/>
      <c r="O63" s="568"/>
      <c r="P63" s="506"/>
      <c r="Q63" s="504"/>
      <c r="R63" s="504"/>
      <c r="S63" s="504"/>
      <c r="T63" s="504"/>
      <c r="U63" s="504"/>
      <c r="V63" s="504"/>
      <c r="W63" s="508"/>
      <c r="X63" s="498"/>
      <c r="Y63" s="500"/>
      <c r="Z63" s="578"/>
      <c r="AA63" s="578"/>
      <c r="AB63" s="578"/>
      <c r="AC63" s="478"/>
      <c r="AD63" s="509"/>
      <c r="AE63" s="510"/>
      <c r="AF63" s="502"/>
      <c r="AG63" s="541"/>
      <c r="AH63" s="503"/>
      <c r="AI63" s="503"/>
      <c r="AJ63" s="579">
        <f>AJ64</f>
        <v>6145375</v>
      </c>
      <c r="AK63" s="472"/>
    </row>
    <row r="64" spans="1:37" ht="16.5" thickTop="1" thickBot="1" x14ac:dyDescent="0.25">
      <c r="A64" s="491"/>
      <c r="B64" s="492"/>
      <c r="C64" s="493"/>
      <c r="D64" s="493">
        <v>1</v>
      </c>
      <c r="E64" s="580">
        <v>410301</v>
      </c>
      <c r="F64" s="495" t="s">
        <v>469</v>
      </c>
      <c r="G64" s="496"/>
      <c r="H64" s="497"/>
      <c r="I64" s="497"/>
      <c r="J64" s="498"/>
      <c r="K64" s="496"/>
      <c r="L64" s="577"/>
      <c r="M64" s="504"/>
      <c r="N64" s="504"/>
      <c r="O64" s="568"/>
      <c r="P64" s="506"/>
      <c r="Q64" s="504"/>
      <c r="R64" s="504"/>
      <c r="S64" s="504"/>
      <c r="T64" s="504"/>
      <c r="U64" s="504"/>
      <c r="V64" s="504"/>
      <c r="W64" s="508"/>
      <c r="X64" s="498"/>
      <c r="Y64" s="500"/>
      <c r="Z64" s="578"/>
      <c r="AA64" s="578"/>
      <c r="AB64" s="578"/>
      <c r="AC64" s="478"/>
      <c r="AD64" s="509"/>
      <c r="AE64" s="510"/>
      <c r="AF64" s="502"/>
      <c r="AG64" s="541"/>
      <c r="AH64" s="503"/>
      <c r="AI64" s="503"/>
      <c r="AJ64" s="503">
        <f>5645375+500000</f>
        <v>6145375</v>
      </c>
      <c r="AK64" s="472">
        <v>1100122</v>
      </c>
    </row>
    <row r="65" spans="1:37" ht="15.75" thickTop="1" thickBot="1" x14ac:dyDescent="0.25">
      <c r="A65" s="565"/>
      <c r="B65" s="471" t="s">
        <v>461</v>
      </c>
      <c r="C65" s="566"/>
      <c r="D65" s="566"/>
      <c r="E65" s="519"/>
      <c r="F65" s="567" t="s">
        <v>484</v>
      </c>
      <c r="G65" s="474">
        <f>G66+G74+G82+G96+G91+G102+G105+G107+G109+G113+G123+G129+G135+G137+G140+G147+G157+G161+G164</f>
        <v>123666300.33</v>
      </c>
      <c r="H65" s="474">
        <f t="shared" ref="H65:AB65" si="37">H66+H74+H82+H96+H91+H102+H105+H107+H109+H113+H123+H129+H135+H137+H140+H147+H157+H160+H161+H164</f>
        <v>175209891.48000002</v>
      </c>
      <c r="I65" s="474">
        <f t="shared" si="37"/>
        <v>178709891.48000002</v>
      </c>
      <c r="J65" s="474">
        <f t="shared" si="37"/>
        <v>183660525.64000002</v>
      </c>
      <c r="K65" s="474">
        <f t="shared" si="37"/>
        <v>9052507.3099999987</v>
      </c>
      <c r="L65" s="474">
        <f t="shared" si="37"/>
        <v>12487804.91</v>
      </c>
      <c r="M65" s="474">
        <f t="shared" si="37"/>
        <v>13939036.75</v>
      </c>
      <c r="N65" s="474">
        <f t="shared" si="37"/>
        <v>10212400.540000001</v>
      </c>
      <c r="O65" s="474">
        <f t="shared" si="37"/>
        <v>12511210.779999999</v>
      </c>
      <c r="P65" s="474">
        <f t="shared" si="37"/>
        <v>12219530.710000001</v>
      </c>
      <c r="Q65" s="474">
        <f t="shared" si="37"/>
        <v>9330203.8741399981</v>
      </c>
      <c r="R65" s="474">
        <f t="shared" si="37"/>
        <v>9751057.8327799998</v>
      </c>
      <c r="S65" s="474">
        <f t="shared" si="37"/>
        <v>10792566.795179999</v>
      </c>
      <c r="T65" s="474">
        <f t="shared" si="37"/>
        <v>11724465.017859999</v>
      </c>
      <c r="U65" s="474">
        <f t="shared" si="37"/>
        <v>11305718.920539999</v>
      </c>
      <c r="V65" s="474">
        <f t="shared" si="37"/>
        <v>11576156.62606</v>
      </c>
      <c r="W65" s="522">
        <f t="shared" si="37"/>
        <v>127521121.10000001</v>
      </c>
      <c r="X65" s="524">
        <f t="shared" si="37"/>
        <v>127521121.10000001</v>
      </c>
      <c r="Y65" s="523">
        <f t="shared" si="37"/>
        <v>145451807.55000001</v>
      </c>
      <c r="Z65" s="524">
        <f t="shared" si="37"/>
        <v>154474242.91000003</v>
      </c>
      <c r="AA65" s="524">
        <f t="shared" si="37"/>
        <v>7232273.0499999998</v>
      </c>
      <c r="AB65" s="524">
        <f t="shared" si="37"/>
        <v>12344444.290000001</v>
      </c>
      <c r="AC65" s="478">
        <f t="shared" ref="AC65:AC79" si="38">W65-X65</f>
        <v>0</v>
      </c>
      <c r="AD65" s="524">
        <f>AD66+AD74+AD82+AD96+AD91+AD102+AD105+AD107+AD109+AD113+AD123+AD129+AD135+AD137+AD140+AD147+AD157+AD160+AD161+AD164</f>
        <v>156973639.83407</v>
      </c>
      <c r="AE65" s="524">
        <f>AE66+AE74+AE82+AE96+AE91+AE102+AE105+AE107+AE109+AE113+AE123+AE129+AE135+AE137+AE140+AE147+AE157+AE160+AE161+AE164</f>
        <v>45200656.049999997</v>
      </c>
      <c r="AF65" s="522">
        <f>AF66+AF74+AF82+AF96+AF91+AF102+AF105+AF107+AF109+AF113+AF123+AF129+AF135+AF137+AF140+AF147+AF157+AF160+AF161+AF164</f>
        <v>156618823.53</v>
      </c>
      <c r="AG65" s="524">
        <f>AG66+AG74+AG82+AG96+AG91+AG102+AG105+AG107+AG109+AG113+AG123+AG129+AG135+AG137+AG140+AG147+AG157+AG160+AG161+AG164</f>
        <v>-354816.30406998517</v>
      </c>
      <c r="AH65" s="523">
        <f>AH66+AH74+AH82+AH96+AH91+AH102+AH105+AH107+AH109+AH113+AH123+AH129+AH135+AH137+AH140+AH147+AH157+AH159+AH161+AH164</f>
        <v>145451807.55000001</v>
      </c>
      <c r="AI65" s="523">
        <f>AI66+AI74+AI82+AI96+AI91+AI102+AI105+AI107+AI109+AI113+AI123+AI129+AI135+AI137+AI140+AI147+AI157+AI159+AI161+AI164</f>
        <v>149083414.14888889</v>
      </c>
      <c r="AJ65" s="523">
        <f>AJ66+AJ74+AJ82+AJ96+AJ91+AJ102+AJ105+AJ107+AJ109+AJ113+AJ123+AJ129+AJ135+AJ137+AJ140+AJ147+AJ157+AJ159+AJ161+AJ164</f>
        <v>160638732</v>
      </c>
      <c r="AK65" s="525"/>
    </row>
    <row r="66" spans="1:37" ht="16.5" thickTop="1" thickBot="1" x14ac:dyDescent="0.25">
      <c r="A66" s="516"/>
      <c r="B66" s="517"/>
      <c r="C66" s="518">
        <v>1</v>
      </c>
      <c r="D66" s="518"/>
      <c r="E66" s="519"/>
      <c r="F66" s="520" t="s">
        <v>485</v>
      </c>
      <c r="G66" s="474">
        <f t="shared" ref="G66:AB66" si="39">G67+G68+G69+G70+G71+G72+G73</f>
        <v>4509237.0799999991</v>
      </c>
      <c r="H66" s="475">
        <f t="shared" si="39"/>
        <v>5299155.5299999993</v>
      </c>
      <c r="I66" s="475">
        <f t="shared" si="39"/>
        <v>5299155.5299999993</v>
      </c>
      <c r="J66" s="474">
        <f t="shared" si="39"/>
        <v>5843155.5299999993</v>
      </c>
      <c r="K66" s="474">
        <f t="shared" si="39"/>
        <v>641153.78</v>
      </c>
      <c r="L66" s="474">
        <f t="shared" si="39"/>
        <v>518727.06000000006</v>
      </c>
      <c r="M66" s="474">
        <f t="shared" si="39"/>
        <v>343470.5</v>
      </c>
      <c r="N66" s="474">
        <f t="shared" si="39"/>
        <v>274167.64</v>
      </c>
      <c r="O66" s="474">
        <f t="shared" si="39"/>
        <v>297375.62</v>
      </c>
      <c r="P66" s="474">
        <f t="shared" si="39"/>
        <v>301926.34999999998</v>
      </c>
      <c r="Q66" s="474">
        <f t="shared" si="39"/>
        <v>230392.785</v>
      </c>
      <c r="R66" s="474">
        <f t="shared" si="39"/>
        <v>260581.74500000002</v>
      </c>
      <c r="S66" s="474">
        <f t="shared" si="39"/>
        <v>225529.29100000006</v>
      </c>
      <c r="T66" s="474">
        <f t="shared" si="39"/>
        <v>225503.16500000004</v>
      </c>
      <c r="U66" s="474">
        <f t="shared" si="39"/>
        <v>225492.33500000002</v>
      </c>
      <c r="V66" s="474">
        <f t="shared" si="39"/>
        <v>220991.17500000005</v>
      </c>
      <c r="W66" s="541">
        <f t="shared" si="39"/>
        <v>3784324.09</v>
      </c>
      <c r="X66" s="541">
        <f t="shared" si="39"/>
        <v>3784324.09</v>
      </c>
      <c r="Y66" s="542">
        <f t="shared" si="39"/>
        <v>4170139.72</v>
      </c>
      <c r="Z66" s="541">
        <f t="shared" si="39"/>
        <v>4619706.7399999993</v>
      </c>
      <c r="AA66" s="541">
        <f t="shared" si="39"/>
        <v>456877.7</v>
      </c>
      <c r="AB66" s="541">
        <f t="shared" si="39"/>
        <v>276191.39</v>
      </c>
      <c r="AC66" s="478">
        <f t="shared" si="38"/>
        <v>0</v>
      </c>
      <c r="AD66" s="541">
        <f>AD67+AD68+AD69+AD70+AD71+AD72+AD73</f>
        <v>4860516.1399999997</v>
      </c>
      <c r="AE66" s="541">
        <f>AE67+AE68+AE69+AE70+AE71+AE72+AE73</f>
        <v>1620949.0899999999</v>
      </c>
      <c r="AF66" s="541">
        <f>AF67+AF68+AF69+AF70+AF71+AF72+AF73</f>
        <v>5010516.5</v>
      </c>
      <c r="AG66" s="541">
        <f t="shared" ref="AG66:AG79" si="40">AF66-AD66</f>
        <v>150000.36000000034</v>
      </c>
      <c r="AH66" s="542">
        <f>AH67+AH68+AH69+AH70+AH71+AH72+AH73</f>
        <v>4170139.72</v>
      </c>
      <c r="AI66" s="542">
        <f>AI67+AI68+AI69+AI70+AI71+AI72+AI73</f>
        <v>4903497.6577777788</v>
      </c>
      <c r="AJ66" s="542">
        <f>AJ67+AJ68+AJ69+AJ70+AJ71+AJ72+AJ73</f>
        <v>5157183</v>
      </c>
      <c r="AK66" s="525"/>
    </row>
    <row r="67" spans="1:37" ht="16.5" thickTop="1" thickBot="1" x14ac:dyDescent="0.25">
      <c r="A67" s="491"/>
      <c r="B67" s="492"/>
      <c r="C67" s="493"/>
      <c r="D67" s="493">
        <v>1</v>
      </c>
      <c r="E67" s="494">
        <v>430101</v>
      </c>
      <c r="F67" s="495" t="s">
        <v>486</v>
      </c>
      <c r="G67" s="498">
        <v>3039782.36</v>
      </c>
      <c r="H67" s="497">
        <v>3300000</v>
      </c>
      <c r="I67" s="497">
        <v>3300000</v>
      </c>
      <c r="J67" s="498">
        <v>3800000</v>
      </c>
      <c r="K67" s="526">
        <v>526333.66</v>
      </c>
      <c r="L67" s="526">
        <v>393113.63</v>
      </c>
      <c r="M67" s="526">
        <v>185222.8</v>
      </c>
      <c r="N67" s="526">
        <v>149462.97</v>
      </c>
      <c r="O67" s="581">
        <v>182586.94</v>
      </c>
      <c r="P67" s="506">
        <v>190390.01</v>
      </c>
      <c r="Q67" s="527">
        <v>144624.07999999999</v>
      </c>
      <c r="R67" s="527">
        <v>154624.07999999999</v>
      </c>
      <c r="S67" s="527">
        <v>119570.376</v>
      </c>
      <c r="T67" s="527">
        <v>119570.38</v>
      </c>
      <c r="U67" s="527">
        <v>119570.38</v>
      </c>
      <c r="V67" s="527">
        <v>119570.29</v>
      </c>
      <c r="W67" s="508">
        <v>2404639.59</v>
      </c>
      <c r="X67" s="498">
        <f t="shared" ref="X67:X73" si="41">W67</f>
        <v>2404639.59</v>
      </c>
      <c r="Y67" s="500">
        <v>2700094.08</v>
      </c>
      <c r="Z67" s="501">
        <v>3200656</v>
      </c>
      <c r="AA67" s="501">
        <v>382262.46</v>
      </c>
      <c r="AB67" s="512">
        <v>170895.3</v>
      </c>
      <c r="AC67" s="478">
        <f t="shared" si="38"/>
        <v>0</v>
      </c>
      <c r="AD67" s="509">
        <f>Z67</f>
        <v>3200656</v>
      </c>
      <c r="AE67" s="510">
        <v>1048946.92</v>
      </c>
      <c r="AF67" s="502">
        <v>3200656</v>
      </c>
      <c r="AG67" s="509">
        <f t="shared" si="40"/>
        <v>0</v>
      </c>
      <c r="AH67" s="503">
        <v>2700094.08</v>
      </c>
      <c r="AI67" s="503">
        <v>2940508.9577777782</v>
      </c>
      <c r="AJ67" s="503">
        <v>3056659</v>
      </c>
      <c r="AK67" s="472">
        <v>1100122</v>
      </c>
    </row>
    <row r="68" spans="1:37" ht="16.5" thickTop="1" thickBot="1" x14ac:dyDescent="0.25">
      <c r="A68" s="491"/>
      <c r="B68" s="492"/>
      <c r="C68" s="493"/>
      <c r="D68" s="493">
        <v>2</v>
      </c>
      <c r="E68" s="494">
        <v>430102</v>
      </c>
      <c r="F68" s="495" t="s">
        <v>487</v>
      </c>
      <c r="G68" s="498">
        <v>1009419.34</v>
      </c>
      <c r="H68" s="497">
        <v>1371312.69</v>
      </c>
      <c r="I68" s="574">
        <v>1371312.69</v>
      </c>
      <c r="J68" s="498">
        <v>1371312.69</v>
      </c>
      <c r="K68" s="526">
        <v>79491.399999999994</v>
      </c>
      <c r="L68" s="526">
        <v>68016.7</v>
      </c>
      <c r="M68" s="582">
        <v>106786.88</v>
      </c>
      <c r="N68" s="526">
        <v>82961.42</v>
      </c>
      <c r="O68" s="581">
        <v>91173.78</v>
      </c>
      <c r="P68" s="506">
        <v>67517.8</v>
      </c>
      <c r="Q68" s="527">
        <v>67451.28</v>
      </c>
      <c r="R68" s="527">
        <v>67451.28</v>
      </c>
      <c r="S68" s="527">
        <v>67451.28</v>
      </c>
      <c r="T68" s="527">
        <v>67451.28</v>
      </c>
      <c r="U68" s="527">
        <v>67451.28</v>
      </c>
      <c r="V68" s="527">
        <v>67451.28</v>
      </c>
      <c r="W68" s="508">
        <f>SUM(K68:V68)</f>
        <v>900655.66</v>
      </c>
      <c r="X68" s="498">
        <f t="shared" si="41"/>
        <v>900655.66</v>
      </c>
      <c r="Y68" s="500">
        <v>945623.2</v>
      </c>
      <c r="Z68" s="501">
        <v>850000</v>
      </c>
      <c r="AA68" s="501">
        <v>44361.16</v>
      </c>
      <c r="AB68" s="512">
        <v>69548.479999999996</v>
      </c>
      <c r="AC68" s="478">
        <f t="shared" si="38"/>
        <v>0</v>
      </c>
      <c r="AD68" s="509">
        <f>Y68</f>
        <v>945623.2</v>
      </c>
      <c r="AE68" s="510">
        <v>311989.68</v>
      </c>
      <c r="AF68" s="502">
        <v>945623</v>
      </c>
      <c r="AG68" s="509">
        <f t="shared" si="40"/>
        <v>-0.19999999995343387</v>
      </c>
      <c r="AH68" s="503">
        <v>945623.2</v>
      </c>
      <c r="AI68" s="503">
        <v>1059976.02</v>
      </c>
      <c r="AJ68" s="503">
        <v>1101845</v>
      </c>
      <c r="AK68" s="472">
        <v>1100122</v>
      </c>
    </row>
    <row r="69" spans="1:37" ht="16.5" thickTop="1" thickBot="1" x14ac:dyDescent="0.25">
      <c r="A69" s="491"/>
      <c r="B69" s="492"/>
      <c r="C69" s="493"/>
      <c r="D69" s="493">
        <v>3</v>
      </c>
      <c r="E69" s="494">
        <v>430103</v>
      </c>
      <c r="F69" s="495" t="s">
        <v>488</v>
      </c>
      <c r="G69" s="498">
        <v>17385.78</v>
      </c>
      <c r="H69" s="497">
        <v>29842.84</v>
      </c>
      <c r="I69" s="497">
        <v>29842.84</v>
      </c>
      <c r="J69" s="498">
        <v>29842.84</v>
      </c>
      <c r="K69" s="496"/>
      <c r="L69" s="526">
        <v>10688</v>
      </c>
      <c r="M69" s="526">
        <v>0</v>
      </c>
      <c r="N69" s="526">
        <v>0</v>
      </c>
      <c r="O69" s="581">
        <v>0</v>
      </c>
      <c r="P69" s="506">
        <v>0</v>
      </c>
      <c r="Q69" s="527">
        <v>38.71</v>
      </c>
      <c r="R69" s="527">
        <v>39.92</v>
      </c>
      <c r="S69" s="527">
        <v>41.17</v>
      </c>
      <c r="T69" s="527">
        <v>15.04</v>
      </c>
      <c r="U69" s="527">
        <v>4.21</v>
      </c>
      <c r="V69" s="527">
        <v>3.14</v>
      </c>
      <c r="W69" s="508">
        <f>I69</f>
        <v>29842.84</v>
      </c>
      <c r="X69" s="498">
        <f t="shared" si="41"/>
        <v>29842.84</v>
      </c>
      <c r="Y69" s="500">
        <v>10688</v>
      </c>
      <c r="Z69" s="501">
        <v>29842.84</v>
      </c>
      <c r="AA69" s="501">
        <v>0</v>
      </c>
      <c r="AB69" s="512">
        <v>0</v>
      </c>
      <c r="AC69" s="478">
        <f t="shared" si="38"/>
        <v>0</v>
      </c>
      <c r="AD69" s="502">
        <f>Z69</f>
        <v>29842.84</v>
      </c>
      <c r="AE69" s="510">
        <v>0</v>
      </c>
      <c r="AF69" s="502">
        <v>29843</v>
      </c>
      <c r="AG69" s="502">
        <f t="shared" si="40"/>
        <v>0.15999999999985448</v>
      </c>
      <c r="AH69" s="503">
        <v>10688</v>
      </c>
      <c r="AI69" s="503">
        <v>15611.33</v>
      </c>
      <c r="AJ69" s="503">
        <v>16227</v>
      </c>
      <c r="AK69" s="472">
        <v>1100122</v>
      </c>
    </row>
    <row r="70" spans="1:37" ht="16.5" thickTop="1" thickBot="1" x14ac:dyDescent="0.25">
      <c r="A70" s="491"/>
      <c r="B70" s="492"/>
      <c r="C70" s="493"/>
      <c r="D70" s="493">
        <v>4</v>
      </c>
      <c r="E70" s="494">
        <v>430104</v>
      </c>
      <c r="F70" s="495" t="s">
        <v>489</v>
      </c>
      <c r="G70" s="498">
        <v>0</v>
      </c>
      <c r="H70" s="497">
        <v>52000</v>
      </c>
      <c r="I70" s="497">
        <v>52000</v>
      </c>
      <c r="J70" s="498">
        <v>52000</v>
      </c>
      <c r="K70" s="496"/>
      <c r="L70" s="526">
        <v>0</v>
      </c>
      <c r="M70" s="526">
        <v>0</v>
      </c>
      <c r="N70" s="526">
        <v>0</v>
      </c>
      <c r="O70" s="581">
        <v>0</v>
      </c>
      <c r="P70" s="506">
        <v>0</v>
      </c>
      <c r="Q70" s="527">
        <v>0</v>
      </c>
      <c r="R70" s="527">
        <v>5000</v>
      </c>
      <c r="S70" s="527">
        <v>5000</v>
      </c>
      <c r="T70" s="527">
        <v>5000</v>
      </c>
      <c r="U70" s="527">
        <v>5000</v>
      </c>
      <c r="V70" s="527">
        <v>500</v>
      </c>
      <c r="W70" s="508">
        <f>SUM(K70:V70)</f>
        <v>20500</v>
      </c>
      <c r="X70" s="498">
        <f t="shared" si="41"/>
        <v>20500</v>
      </c>
      <c r="Y70" s="500"/>
      <c r="Z70" s="501">
        <v>60000</v>
      </c>
      <c r="AA70" s="501">
        <v>0</v>
      </c>
      <c r="AB70" s="512">
        <v>0</v>
      </c>
      <c r="AC70" s="478">
        <f t="shared" si="38"/>
        <v>0</v>
      </c>
      <c r="AD70" s="509">
        <f>Z70</f>
        <v>60000</v>
      </c>
      <c r="AE70" s="510">
        <v>0</v>
      </c>
      <c r="AF70" s="502">
        <v>60000</v>
      </c>
      <c r="AG70" s="509">
        <f t="shared" si="40"/>
        <v>0</v>
      </c>
      <c r="AH70" s="503">
        <v>0</v>
      </c>
      <c r="AI70" s="503">
        <v>0</v>
      </c>
      <c r="AJ70" s="503">
        <v>60000</v>
      </c>
      <c r="AK70" s="472">
        <v>1100122</v>
      </c>
    </row>
    <row r="71" spans="1:37" ht="16.5" thickTop="1" thickBot="1" x14ac:dyDescent="0.25">
      <c r="A71" s="491"/>
      <c r="B71" s="492"/>
      <c r="C71" s="493"/>
      <c r="D71" s="493">
        <v>5</v>
      </c>
      <c r="E71" s="494">
        <v>430105</v>
      </c>
      <c r="F71" s="495" t="s">
        <v>490</v>
      </c>
      <c r="G71" s="498">
        <v>147502.79999999999</v>
      </c>
      <c r="H71" s="497">
        <v>170000</v>
      </c>
      <c r="I71" s="497">
        <v>170000</v>
      </c>
      <c r="J71" s="498">
        <v>170000</v>
      </c>
      <c r="K71" s="526">
        <v>5743</v>
      </c>
      <c r="L71" s="526">
        <v>20451.400000000001</v>
      </c>
      <c r="M71" s="526">
        <v>12863.2</v>
      </c>
      <c r="N71" s="526">
        <v>10400.799999999999</v>
      </c>
      <c r="O71" s="581">
        <v>0</v>
      </c>
      <c r="P71" s="506">
        <v>20756</v>
      </c>
      <c r="Q71" s="527">
        <v>12310.074999999999</v>
      </c>
      <c r="R71" s="527">
        <v>12310.074999999999</v>
      </c>
      <c r="S71" s="527">
        <v>12310.074999999999</v>
      </c>
      <c r="T71" s="527">
        <v>12310.074999999999</v>
      </c>
      <c r="U71" s="527">
        <v>12310.074999999999</v>
      </c>
      <c r="V71" s="527">
        <v>12310.074999999999</v>
      </c>
      <c r="W71" s="508">
        <f>SUM(K71:V71)</f>
        <v>144074.85</v>
      </c>
      <c r="X71" s="498">
        <f t="shared" si="41"/>
        <v>144074.85</v>
      </c>
      <c r="Y71" s="500">
        <v>172364.79999999999</v>
      </c>
      <c r="Z71" s="501">
        <v>167268.18</v>
      </c>
      <c r="AA71" s="501">
        <v>5049</v>
      </c>
      <c r="AB71" s="512">
        <v>5159.6000000000004</v>
      </c>
      <c r="AC71" s="478">
        <f t="shared" si="38"/>
        <v>0</v>
      </c>
      <c r="AD71" s="509">
        <f>Y71</f>
        <v>172364.79999999999</v>
      </c>
      <c r="AE71" s="510">
        <v>37218.199999999997</v>
      </c>
      <c r="AF71" s="502">
        <v>172365</v>
      </c>
      <c r="AG71" s="509">
        <f t="shared" si="40"/>
        <v>0.20000000001164153</v>
      </c>
      <c r="AH71" s="503">
        <v>172364.79999999999</v>
      </c>
      <c r="AI71" s="503">
        <v>188045.2</v>
      </c>
      <c r="AJ71" s="503">
        <v>195472</v>
      </c>
      <c r="AK71" s="472">
        <v>1100122</v>
      </c>
    </row>
    <row r="72" spans="1:37" ht="16.5" thickTop="1" thickBot="1" x14ac:dyDescent="0.25">
      <c r="A72" s="491"/>
      <c r="B72" s="492"/>
      <c r="C72" s="493"/>
      <c r="D72" s="493">
        <v>6</v>
      </c>
      <c r="E72" s="494">
        <v>430106</v>
      </c>
      <c r="F72" s="495" t="s">
        <v>491</v>
      </c>
      <c r="G72" s="498">
        <v>229882</v>
      </c>
      <c r="H72" s="497">
        <v>300000</v>
      </c>
      <c r="I72" s="497">
        <v>300000</v>
      </c>
      <c r="J72" s="498">
        <v>300000</v>
      </c>
      <c r="K72" s="526">
        <v>20699</v>
      </c>
      <c r="L72" s="526">
        <v>15468</v>
      </c>
      <c r="M72" s="526">
        <v>23460</v>
      </c>
      <c r="N72" s="526">
        <v>27295</v>
      </c>
      <c r="O72" s="581">
        <v>21690</v>
      </c>
      <c r="P72" s="506">
        <v>20852</v>
      </c>
      <c r="Q72" s="527">
        <v>4612.5</v>
      </c>
      <c r="R72" s="527">
        <v>19800.25</v>
      </c>
      <c r="S72" s="527">
        <v>19800.25</v>
      </c>
      <c r="T72" s="527">
        <v>19800.25</v>
      </c>
      <c r="U72" s="527">
        <v>19800.25</v>
      </c>
      <c r="V72" s="527">
        <v>19800.25</v>
      </c>
      <c r="W72" s="508">
        <f>SUM(K72:V72)</f>
        <v>233077.75</v>
      </c>
      <c r="X72" s="498">
        <f t="shared" si="41"/>
        <v>233077.75</v>
      </c>
      <c r="Y72" s="500">
        <v>284270</v>
      </c>
      <c r="Z72" s="501">
        <v>243674.92</v>
      </c>
      <c r="AA72" s="501">
        <v>18790</v>
      </c>
      <c r="AB72" s="512">
        <v>23204</v>
      </c>
      <c r="AC72" s="478">
        <f t="shared" si="38"/>
        <v>0</v>
      </c>
      <c r="AD72" s="509">
        <f>Y72*1.35</f>
        <v>383764.5</v>
      </c>
      <c r="AE72" s="510">
        <v>201006</v>
      </c>
      <c r="AF72" s="502">
        <f>AD72+150000</f>
        <v>533764.5</v>
      </c>
      <c r="AG72" s="509">
        <f t="shared" si="40"/>
        <v>150000</v>
      </c>
      <c r="AH72" s="503">
        <v>284270</v>
      </c>
      <c r="AI72" s="503">
        <v>636816</v>
      </c>
      <c r="AJ72" s="503">
        <v>661970</v>
      </c>
      <c r="AK72" s="472">
        <v>1100122</v>
      </c>
    </row>
    <row r="73" spans="1:37" ht="16.5" thickTop="1" thickBot="1" x14ac:dyDescent="0.25">
      <c r="A73" s="491"/>
      <c r="B73" s="492"/>
      <c r="C73" s="493"/>
      <c r="D73" s="493">
        <v>7</v>
      </c>
      <c r="E73" s="494">
        <v>430107</v>
      </c>
      <c r="F73" s="495" t="s">
        <v>492</v>
      </c>
      <c r="G73" s="498">
        <v>65264.800000000003</v>
      </c>
      <c r="H73" s="497">
        <v>76000</v>
      </c>
      <c r="I73" s="497">
        <v>76000</v>
      </c>
      <c r="J73" s="498">
        <v>120000</v>
      </c>
      <c r="K73" s="526">
        <v>8886.7199999999993</v>
      </c>
      <c r="L73" s="531">
        <v>10989.33</v>
      </c>
      <c r="M73" s="526">
        <v>15137.62</v>
      </c>
      <c r="N73" s="526">
        <v>4047.45</v>
      </c>
      <c r="O73" s="581">
        <v>1924.9</v>
      </c>
      <c r="P73" s="506">
        <v>2410.54</v>
      </c>
      <c r="Q73" s="527">
        <v>1356.14</v>
      </c>
      <c r="R73" s="527">
        <v>1356.14</v>
      </c>
      <c r="S73" s="527">
        <v>1356.14</v>
      </c>
      <c r="T73" s="527">
        <v>1356.14</v>
      </c>
      <c r="U73" s="527">
        <v>1356.14</v>
      </c>
      <c r="V73" s="527">
        <v>1356.14</v>
      </c>
      <c r="W73" s="508">
        <f>SUM(K73:V73)</f>
        <v>51533.399999999994</v>
      </c>
      <c r="X73" s="498">
        <f t="shared" si="41"/>
        <v>51533.399999999994</v>
      </c>
      <c r="Y73" s="500">
        <v>57099.64</v>
      </c>
      <c r="Z73" s="501">
        <v>68264.800000000003</v>
      </c>
      <c r="AA73" s="501">
        <v>6415.08</v>
      </c>
      <c r="AB73" s="512">
        <v>7384.01</v>
      </c>
      <c r="AC73" s="478">
        <f t="shared" si="38"/>
        <v>0</v>
      </c>
      <c r="AD73" s="509">
        <f>Z73</f>
        <v>68264.800000000003</v>
      </c>
      <c r="AE73" s="510">
        <v>21788.29</v>
      </c>
      <c r="AF73" s="502">
        <v>68265</v>
      </c>
      <c r="AG73" s="509">
        <f t="shared" si="40"/>
        <v>0.19999999999708962</v>
      </c>
      <c r="AH73" s="503">
        <v>57099.64</v>
      </c>
      <c r="AI73" s="503">
        <v>62540.15</v>
      </c>
      <c r="AJ73" s="503">
        <v>65010</v>
      </c>
      <c r="AK73" s="472">
        <v>1100122</v>
      </c>
    </row>
    <row r="74" spans="1:37" ht="15.75" thickTop="1" thickBot="1" x14ac:dyDescent="0.25">
      <c r="A74" s="516"/>
      <c r="B74" s="517"/>
      <c r="C74" s="518">
        <v>2</v>
      </c>
      <c r="D74" s="518"/>
      <c r="E74" s="519"/>
      <c r="F74" s="520" t="s">
        <v>493</v>
      </c>
      <c r="G74" s="474">
        <f t="shared" ref="G74:AB74" si="42">G75+G76+G77+G78+G79</f>
        <v>5699237.4699999997</v>
      </c>
      <c r="H74" s="475">
        <f t="shared" si="42"/>
        <v>7053233.1799999997</v>
      </c>
      <c r="I74" s="475">
        <f t="shared" si="42"/>
        <v>7053233.1799999997</v>
      </c>
      <c r="J74" s="474">
        <f t="shared" si="42"/>
        <v>8605635.1400000006</v>
      </c>
      <c r="K74" s="474">
        <f t="shared" si="42"/>
        <v>766596.1</v>
      </c>
      <c r="L74" s="475">
        <f t="shared" si="42"/>
        <v>592792.86</v>
      </c>
      <c r="M74" s="475">
        <f t="shared" si="42"/>
        <v>595986.01</v>
      </c>
      <c r="N74" s="475">
        <f t="shared" si="42"/>
        <v>577340.5</v>
      </c>
      <c r="O74" s="475">
        <f t="shared" si="42"/>
        <v>585110.55000000005</v>
      </c>
      <c r="P74" s="475">
        <f t="shared" si="42"/>
        <v>626353.88</v>
      </c>
      <c r="Q74" s="475">
        <f t="shared" si="42"/>
        <v>351700.00299999997</v>
      </c>
      <c r="R74" s="475">
        <f t="shared" si="42"/>
        <v>328909.33960000001</v>
      </c>
      <c r="S74" s="475">
        <f t="shared" si="42"/>
        <v>443277.36939999997</v>
      </c>
      <c r="T74" s="475">
        <f t="shared" si="42"/>
        <v>426650.52579999994</v>
      </c>
      <c r="U74" s="475">
        <f t="shared" si="42"/>
        <v>366512.71299999999</v>
      </c>
      <c r="V74" s="475">
        <f t="shared" si="42"/>
        <v>576262.47119999991</v>
      </c>
      <c r="W74" s="522">
        <f t="shared" si="42"/>
        <v>6237492.3000000007</v>
      </c>
      <c r="X74" s="524">
        <f t="shared" si="42"/>
        <v>6237492.3000000007</v>
      </c>
      <c r="Y74" s="523">
        <f t="shared" si="42"/>
        <v>8332981.9200000009</v>
      </c>
      <c r="Z74" s="524">
        <f t="shared" si="42"/>
        <v>6865331.5300000003</v>
      </c>
      <c r="AA74" s="524">
        <f t="shared" si="42"/>
        <v>1440208.1600000001</v>
      </c>
      <c r="AB74" s="524">
        <f t="shared" si="42"/>
        <v>875735.09</v>
      </c>
      <c r="AC74" s="478">
        <f t="shared" si="38"/>
        <v>0</v>
      </c>
      <c r="AD74" s="522">
        <f>AD75+AD76+AD77+AD78+AD79</f>
        <v>8492448.8472000007</v>
      </c>
      <c r="AE74" s="522">
        <f>AE75+AE76+AE77+AE78+AE79</f>
        <v>3579816.63</v>
      </c>
      <c r="AF74" s="522">
        <f>AF75+AF76+AF77+AF78+AF79</f>
        <v>9598601.4399999995</v>
      </c>
      <c r="AG74" s="522">
        <f t="shared" si="40"/>
        <v>1106152.5927999988</v>
      </c>
      <c r="AH74" s="523">
        <f>AH75+AH76+AH77+AH78+AH79</f>
        <v>8332981.9200000009</v>
      </c>
      <c r="AI74" s="523">
        <f>AI75+AI76+AI77+AI78+AI79</f>
        <v>9607038.7700000014</v>
      </c>
      <c r="AJ74" s="523">
        <f>AJ75+AJ76+AJ77+AJ78+AJ79+AJ80+AJ81</f>
        <v>9986514</v>
      </c>
      <c r="AK74" s="525"/>
    </row>
    <row r="75" spans="1:37" ht="16.5" thickTop="1" thickBot="1" x14ac:dyDescent="0.25">
      <c r="A75" s="491"/>
      <c r="B75" s="492"/>
      <c r="C75" s="493"/>
      <c r="D75" s="493">
        <v>1</v>
      </c>
      <c r="E75" s="494">
        <v>430201</v>
      </c>
      <c r="F75" s="495" t="s">
        <v>494</v>
      </c>
      <c r="G75" s="498">
        <v>3903697.13</v>
      </c>
      <c r="H75" s="497">
        <v>5349635.1399999997</v>
      </c>
      <c r="I75" s="497">
        <v>5349635.1399999997</v>
      </c>
      <c r="J75" s="498">
        <v>5349635.1399999997</v>
      </c>
      <c r="K75" s="526">
        <v>453435.04</v>
      </c>
      <c r="L75" s="526">
        <v>389279.25</v>
      </c>
      <c r="M75" s="526">
        <v>349149.07</v>
      </c>
      <c r="N75" s="526">
        <v>307337.69</v>
      </c>
      <c r="O75" s="581">
        <v>348248.13</v>
      </c>
      <c r="P75" s="506">
        <v>302932.62</v>
      </c>
      <c r="Q75" s="527">
        <v>257642.97500000001</v>
      </c>
      <c r="R75" s="527">
        <v>235438.31</v>
      </c>
      <c r="S75" s="527">
        <v>350433.02299999999</v>
      </c>
      <c r="T75" s="527">
        <v>323903.39299999998</v>
      </c>
      <c r="U75" s="527">
        <v>240060.67300000001</v>
      </c>
      <c r="V75" s="527">
        <v>416508.092</v>
      </c>
      <c r="W75" s="508">
        <v>3974368.26</v>
      </c>
      <c r="X75" s="498">
        <f>W75</f>
        <v>3974368.26</v>
      </c>
      <c r="Y75" s="500">
        <v>4556197.92</v>
      </c>
      <c r="Z75" s="501">
        <v>4522998.1500000004</v>
      </c>
      <c r="AA75" s="501">
        <v>779917.26</v>
      </c>
      <c r="AB75" s="512">
        <v>475956.77</v>
      </c>
      <c r="AC75" s="478">
        <f t="shared" si="38"/>
        <v>0</v>
      </c>
      <c r="AD75" s="583">
        <f>Y75*1.035</f>
        <v>4715664.8471999997</v>
      </c>
      <c r="AE75" s="510">
        <v>1966289.23</v>
      </c>
      <c r="AF75" s="502">
        <v>5315664.84</v>
      </c>
      <c r="AG75" s="509">
        <f t="shared" si="40"/>
        <v>599999.99280000012</v>
      </c>
      <c r="AH75" s="503">
        <v>4556197.92</v>
      </c>
      <c r="AI75" s="503">
        <v>5222426.3900000006</v>
      </c>
      <c r="AJ75" s="503">
        <v>5428712</v>
      </c>
      <c r="AK75" s="472">
        <v>1100122</v>
      </c>
    </row>
    <row r="76" spans="1:37" ht="16.5" thickTop="1" thickBot="1" x14ac:dyDescent="0.25">
      <c r="A76" s="491"/>
      <c r="B76" s="492"/>
      <c r="C76" s="493"/>
      <c r="D76" s="493">
        <v>2</v>
      </c>
      <c r="E76" s="494">
        <v>430202</v>
      </c>
      <c r="F76" s="495" t="s">
        <v>495</v>
      </c>
      <c r="G76" s="498">
        <v>258493.91</v>
      </c>
      <c r="H76" s="497">
        <v>273598.03999999998</v>
      </c>
      <c r="I76" s="497">
        <v>273598.03999999998</v>
      </c>
      <c r="J76" s="498">
        <v>306000</v>
      </c>
      <c r="K76" s="526">
        <v>31631.34</v>
      </c>
      <c r="L76" s="526">
        <v>22762.720000000001</v>
      </c>
      <c r="M76" s="526">
        <v>30153.24</v>
      </c>
      <c r="N76" s="526">
        <v>18032.82</v>
      </c>
      <c r="O76" s="581">
        <v>23945.22</v>
      </c>
      <c r="P76" s="506">
        <v>22171.5</v>
      </c>
      <c r="Q76" s="527">
        <v>26747.6976</v>
      </c>
      <c r="R76" s="527">
        <v>23058.36</v>
      </c>
      <c r="S76" s="527">
        <v>23673.249600000003</v>
      </c>
      <c r="T76" s="527">
        <v>27362.587200000002</v>
      </c>
      <c r="U76" s="527">
        <v>24595.583999999999</v>
      </c>
      <c r="V76" s="527">
        <v>22750.915199999999</v>
      </c>
      <c r="W76" s="508">
        <v>296885.23</v>
      </c>
      <c r="X76" s="498">
        <f>W76</f>
        <v>296885.23</v>
      </c>
      <c r="Y76" s="500">
        <v>331094.40000000002</v>
      </c>
      <c r="Z76" s="501">
        <v>307276.21000000002</v>
      </c>
      <c r="AA76" s="501">
        <v>54462.66</v>
      </c>
      <c r="AB76" s="512">
        <v>30597</v>
      </c>
      <c r="AC76" s="478">
        <f t="shared" si="38"/>
        <v>0</v>
      </c>
      <c r="AD76" s="509">
        <f>Y76</f>
        <v>331094.40000000002</v>
      </c>
      <c r="AE76" s="510">
        <v>145749.85999999999</v>
      </c>
      <c r="AF76" s="502">
        <v>437247</v>
      </c>
      <c r="AG76" s="509">
        <f t="shared" si="40"/>
        <v>106152.59999999998</v>
      </c>
      <c r="AH76" s="503">
        <v>331094.40000000002</v>
      </c>
      <c r="AI76" s="503">
        <v>387026.36</v>
      </c>
      <c r="AJ76" s="503">
        <v>402313</v>
      </c>
      <c r="AK76" s="472">
        <v>1100122</v>
      </c>
    </row>
    <row r="77" spans="1:37" ht="16.5" thickTop="1" thickBot="1" x14ac:dyDescent="0.25">
      <c r="A77" s="491"/>
      <c r="B77" s="492"/>
      <c r="C77" s="493"/>
      <c r="D77" s="493">
        <v>3</v>
      </c>
      <c r="E77" s="570">
        <v>430203</v>
      </c>
      <c r="F77" s="495" t="s">
        <v>496</v>
      </c>
      <c r="G77" s="498">
        <v>56137.3</v>
      </c>
      <c r="H77" s="497">
        <v>50000</v>
      </c>
      <c r="I77" s="497">
        <v>50000</v>
      </c>
      <c r="J77" s="498">
        <v>50000</v>
      </c>
      <c r="K77" s="526">
        <v>17947.8</v>
      </c>
      <c r="L77" s="526">
        <v>0</v>
      </c>
      <c r="M77" s="526">
        <v>0</v>
      </c>
      <c r="N77" s="526">
        <v>0</v>
      </c>
      <c r="O77" s="581">
        <v>33380.32</v>
      </c>
      <c r="P77" s="506">
        <v>22435.85</v>
      </c>
      <c r="Q77" s="527">
        <v>7753.5328</v>
      </c>
      <c r="R77" s="527">
        <v>15507.0656</v>
      </c>
      <c r="S77" s="527">
        <v>7753.5328</v>
      </c>
      <c r="T77" s="527">
        <v>15507.0656</v>
      </c>
      <c r="U77" s="527">
        <v>31014.1312</v>
      </c>
      <c r="V77" s="527">
        <v>69781.795200000008</v>
      </c>
      <c r="W77" s="508">
        <v>221081.09</v>
      </c>
      <c r="X77" s="498">
        <f>W77</f>
        <v>221081.09</v>
      </c>
      <c r="Y77" s="500">
        <v>143064.62</v>
      </c>
      <c r="Z77" s="501">
        <v>228818.93</v>
      </c>
      <c r="AA77" s="501">
        <v>10156.52</v>
      </c>
      <c r="AB77" s="512">
        <v>10156.52</v>
      </c>
      <c r="AC77" s="478">
        <f t="shared" si="38"/>
        <v>0</v>
      </c>
      <c r="AD77" s="509">
        <f>Y77</f>
        <v>143064.62</v>
      </c>
      <c r="AE77" s="510">
        <v>76173.899999999994</v>
      </c>
      <c r="AF77" s="502">
        <v>143064.62</v>
      </c>
      <c r="AG77" s="509">
        <f t="shared" si="40"/>
        <v>0</v>
      </c>
      <c r="AH77" s="503">
        <v>143064.62</v>
      </c>
      <c r="AI77" s="503">
        <v>282408.40999999997</v>
      </c>
      <c r="AJ77" s="503">
        <v>0</v>
      </c>
      <c r="AK77" s="472">
        <v>1100122</v>
      </c>
    </row>
    <row r="78" spans="1:37" ht="16.5" thickTop="1" thickBot="1" x14ac:dyDescent="0.25">
      <c r="A78" s="491"/>
      <c r="B78" s="492"/>
      <c r="C78" s="493"/>
      <c r="D78" s="493">
        <v>4</v>
      </c>
      <c r="E78" s="494">
        <v>430204</v>
      </c>
      <c r="F78" s="495" t="s">
        <v>497</v>
      </c>
      <c r="G78" s="498">
        <v>678387.27</v>
      </c>
      <c r="H78" s="497">
        <v>700000</v>
      </c>
      <c r="I78" s="497">
        <v>700000</v>
      </c>
      <c r="J78" s="498">
        <v>1000000</v>
      </c>
      <c r="K78" s="526">
        <v>75620.789999999994</v>
      </c>
      <c r="L78" s="526">
        <v>75220.679999999993</v>
      </c>
      <c r="M78" s="526">
        <v>62417.16</v>
      </c>
      <c r="N78" s="526">
        <v>74020.13</v>
      </c>
      <c r="O78" s="581">
        <v>72420.13</v>
      </c>
      <c r="P78" s="506">
        <v>92825.52</v>
      </c>
      <c r="Q78" s="527">
        <v>57839.901599999997</v>
      </c>
      <c r="R78" s="527">
        <v>52846.5288</v>
      </c>
      <c r="S78" s="527">
        <v>58672.130400000002</v>
      </c>
      <c r="T78" s="527">
        <v>55759.329600000005</v>
      </c>
      <c r="U78" s="527">
        <v>67410.532800000001</v>
      </c>
      <c r="V78" s="527">
        <v>62417.16</v>
      </c>
      <c r="W78" s="508">
        <v>807469.99</v>
      </c>
      <c r="X78" s="498">
        <f>W78</f>
        <v>807469.99</v>
      </c>
      <c r="Y78" s="500">
        <v>1313161.07</v>
      </c>
      <c r="Z78" s="501">
        <v>835731.44</v>
      </c>
      <c r="AA78" s="501">
        <v>322177.96999999997</v>
      </c>
      <c r="AB78" s="512">
        <v>218650.08</v>
      </c>
      <c r="AC78" s="478">
        <f t="shared" si="38"/>
        <v>0</v>
      </c>
      <c r="AD78" s="509">
        <f>Y78</f>
        <v>1313161.07</v>
      </c>
      <c r="AE78" s="510">
        <v>740843.29</v>
      </c>
      <c r="AF78" s="502">
        <f>AD78+400000</f>
        <v>1713161.07</v>
      </c>
      <c r="AG78" s="509">
        <f t="shared" si="40"/>
        <v>400000</v>
      </c>
      <c r="AH78" s="503">
        <v>1313161.07</v>
      </c>
      <c r="AI78" s="503">
        <v>1636478.5199999998</v>
      </c>
      <c r="AJ78" s="503">
        <v>1701119</v>
      </c>
      <c r="AK78" s="472">
        <v>1100122</v>
      </c>
    </row>
    <row r="79" spans="1:37" ht="16.5" thickTop="1" thickBot="1" x14ac:dyDescent="0.25">
      <c r="A79" s="491"/>
      <c r="B79" s="492"/>
      <c r="C79" s="493"/>
      <c r="D79" s="493">
        <v>5</v>
      </c>
      <c r="E79" s="584">
        <v>430205</v>
      </c>
      <c r="F79" s="495" t="s">
        <v>498</v>
      </c>
      <c r="G79" s="498">
        <v>802521.86</v>
      </c>
      <c r="H79" s="497">
        <v>680000</v>
      </c>
      <c r="I79" s="497">
        <v>680000</v>
      </c>
      <c r="J79" s="498">
        <v>1900000</v>
      </c>
      <c r="K79" s="526">
        <v>187961.13</v>
      </c>
      <c r="L79" s="531">
        <v>105530.21</v>
      </c>
      <c r="M79" s="526">
        <v>154266.54</v>
      </c>
      <c r="N79" s="526">
        <v>177949.86</v>
      </c>
      <c r="O79" s="581">
        <v>107116.75</v>
      </c>
      <c r="P79" s="506">
        <v>185988.39</v>
      </c>
      <c r="Q79" s="527">
        <v>1715.8960000000002</v>
      </c>
      <c r="R79" s="527">
        <v>2059.0752000000002</v>
      </c>
      <c r="S79" s="527">
        <v>2745.4336000000003</v>
      </c>
      <c r="T79" s="527">
        <v>4118.1504000000004</v>
      </c>
      <c r="U79" s="527">
        <v>3431.7920000000004</v>
      </c>
      <c r="V79" s="527">
        <v>4804.5088000000005</v>
      </c>
      <c r="W79" s="508">
        <v>937687.73</v>
      </c>
      <c r="X79" s="498">
        <f>W79</f>
        <v>937687.73</v>
      </c>
      <c r="Y79" s="500">
        <v>1989463.91</v>
      </c>
      <c r="Z79" s="501">
        <v>970506.8</v>
      </c>
      <c r="AA79" s="501">
        <v>273493.75</v>
      </c>
      <c r="AB79" s="512">
        <v>140374.72</v>
      </c>
      <c r="AC79" s="478">
        <f t="shared" si="38"/>
        <v>0</v>
      </c>
      <c r="AD79" s="509">
        <f>Y79</f>
        <v>1989463.91</v>
      </c>
      <c r="AE79" s="510">
        <v>650760.35</v>
      </c>
      <c r="AF79" s="502">
        <v>1989463.91</v>
      </c>
      <c r="AG79" s="509">
        <f t="shared" si="40"/>
        <v>0</v>
      </c>
      <c r="AH79" s="503">
        <v>1989463.91</v>
      </c>
      <c r="AI79" s="503">
        <v>2078699.09</v>
      </c>
      <c r="AJ79" s="503">
        <v>0</v>
      </c>
      <c r="AK79" s="472">
        <v>1100122</v>
      </c>
    </row>
    <row r="80" spans="1:37" ht="16.5" thickTop="1" thickBot="1" x14ac:dyDescent="0.25">
      <c r="A80" s="491"/>
      <c r="B80" s="492"/>
      <c r="C80" s="493"/>
      <c r="D80" s="493">
        <v>6</v>
      </c>
      <c r="E80" s="585">
        <v>430206</v>
      </c>
      <c r="F80" s="586" t="s">
        <v>499</v>
      </c>
      <c r="G80" s="498"/>
      <c r="H80" s="497"/>
      <c r="I80" s="497"/>
      <c r="J80" s="498"/>
      <c r="K80" s="526"/>
      <c r="L80" s="531"/>
      <c r="M80" s="526"/>
      <c r="N80" s="526"/>
      <c r="O80" s="581"/>
      <c r="P80" s="506"/>
      <c r="Q80" s="527"/>
      <c r="R80" s="527"/>
      <c r="S80" s="527"/>
      <c r="T80" s="527"/>
      <c r="U80" s="527"/>
      <c r="V80" s="527"/>
      <c r="W80" s="508"/>
      <c r="X80" s="498"/>
      <c r="Y80" s="500"/>
      <c r="Z80" s="578"/>
      <c r="AA80" s="578"/>
      <c r="AB80" s="575"/>
      <c r="AC80" s="478"/>
      <c r="AD80" s="509"/>
      <c r="AE80" s="510"/>
      <c r="AF80" s="502"/>
      <c r="AG80" s="509"/>
      <c r="AH80" s="503"/>
      <c r="AI80" s="503"/>
      <c r="AJ80" s="503">
        <v>293563</v>
      </c>
      <c r="AK80" s="472">
        <v>1100122</v>
      </c>
    </row>
    <row r="81" spans="1:37" ht="16.5" thickTop="1" thickBot="1" x14ac:dyDescent="0.25">
      <c r="A81" s="491"/>
      <c r="B81" s="492"/>
      <c r="C81" s="493"/>
      <c r="D81" s="493">
        <v>7</v>
      </c>
      <c r="E81" s="587">
        <v>430207</v>
      </c>
      <c r="F81" s="588" t="s">
        <v>500</v>
      </c>
      <c r="G81" s="498"/>
      <c r="H81" s="497"/>
      <c r="I81" s="497"/>
      <c r="J81" s="498"/>
      <c r="K81" s="526"/>
      <c r="L81" s="531"/>
      <c r="M81" s="526"/>
      <c r="N81" s="526"/>
      <c r="O81" s="581"/>
      <c r="P81" s="506"/>
      <c r="Q81" s="527"/>
      <c r="R81" s="527"/>
      <c r="S81" s="527"/>
      <c r="T81" s="527"/>
      <c r="U81" s="527"/>
      <c r="V81" s="527"/>
      <c r="W81" s="508"/>
      <c r="X81" s="498"/>
      <c r="Y81" s="500"/>
      <c r="Z81" s="578"/>
      <c r="AA81" s="578"/>
      <c r="AB81" s="575"/>
      <c r="AC81" s="478"/>
      <c r="AD81" s="509"/>
      <c r="AE81" s="510"/>
      <c r="AF81" s="502"/>
      <c r="AG81" s="509"/>
      <c r="AH81" s="503"/>
      <c r="AI81" s="503"/>
      <c r="AJ81" s="503">
        <v>2160807</v>
      </c>
      <c r="AK81" s="472">
        <v>1100122</v>
      </c>
    </row>
    <row r="82" spans="1:37" ht="15.75" thickTop="1" thickBot="1" x14ac:dyDescent="0.25">
      <c r="A82" s="516"/>
      <c r="B82" s="517"/>
      <c r="C82" s="518">
        <v>3</v>
      </c>
      <c r="D82" s="518"/>
      <c r="E82" s="519"/>
      <c r="F82" s="520" t="s">
        <v>501</v>
      </c>
      <c r="G82" s="474">
        <f t="shared" ref="G82:AB82" si="43">G83+G84+G85+G86+G87+G88+G89+G90</f>
        <v>8648811.5800000001</v>
      </c>
      <c r="H82" s="475">
        <f t="shared" si="43"/>
        <v>9361046.8200000003</v>
      </c>
      <c r="I82" s="475">
        <f t="shared" si="43"/>
        <v>9361046.8200000003</v>
      </c>
      <c r="J82" s="474">
        <f t="shared" si="43"/>
        <v>9361046.8200000003</v>
      </c>
      <c r="K82" s="474">
        <f t="shared" si="43"/>
        <v>765470.29</v>
      </c>
      <c r="L82" s="475">
        <f t="shared" si="43"/>
        <v>666991.25</v>
      </c>
      <c r="M82" s="475">
        <f t="shared" si="43"/>
        <v>668536.8899999999</v>
      </c>
      <c r="N82" s="475">
        <f t="shared" si="43"/>
        <v>611938.32000000007</v>
      </c>
      <c r="O82" s="475">
        <f t="shared" si="43"/>
        <v>716149.75999999989</v>
      </c>
      <c r="P82" s="475">
        <f t="shared" si="43"/>
        <v>752407.69000000006</v>
      </c>
      <c r="Q82" s="475">
        <f t="shared" si="43"/>
        <v>656980.19999999995</v>
      </c>
      <c r="R82" s="475">
        <f t="shared" si="43"/>
        <v>656275</v>
      </c>
      <c r="S82" s="475">
        <f t="shared" si="43"/>
        <v>625620.73</v>
      </c>
      <c r="T82" s="475">
        <f t="shared" si="43"/>
        <v>612642.39999999991</v>
      </c>
      <c r="U82" s="475">
        <f t="shared" si="43"/>
        <v>579091.37</v>
      </c>
      <c r="V82" s="475">
        <f t="shared" si="43"/>
        <v>746197.30999999994</v>
      </c>
      <c r="W82" s="522">
        <f t="shared" si="43"/>
        <v>8058301.21</v>
      </c>
      <c r="X82" s="524">
        <f t="shared" si="43"/>
        <v>8058301.21</v>
      </c>
      <c r="Y82" s="523">
        <f t="shared" si="43"/>
        <v>8956229.2799999993</v>
      </c>
      <c r="Z82" s="524">
        <f t="shared" si="43"/>
        <v>8791837.5399999991</v>
      </c>
      <c r="AA82" s="524">
        <f t="shared" si="43"/>
        <v>748857.9</v>
      </c>
      <c r="AB82" s="524">
        <f t="shared" si="43"/>
        <v>695599.82</v>
      </c>
      <c r="AC82" s="478">
        <f t="shared" ref="AC82:AC120" si="44">W82-X82</f>
        <v>0</v>
      </c>
      <c r="AD82" s="522">
        <f>AD83+AD84+AD85+AD86+AD87+AD88+AD89+AD90</f>
        <v>9116870.0299999993</v>
      </c>
      <c r="AE82" s="522">
        <f>AE83+AE84+AE85+AE86+AE87+AE88+AE89+AE90</f>
        <v>2969895.2199999993</v>
      </c>
      <c r="AF82" s="522">
        <f>AF83+AF84+AF85+AF86+AF87+AF88+AF89+AF90</f>
        <v>9116870.0299999993</v>
      </c>
      <c r="AG82" s="522">
        <f t="shared" ref="AG82:AG120" si="45">AF82-AD82</f>
        <v>0</v>
      </c>
      <c r="AH82" s="523">
        <f>AH83+AH84+AH85+AH86+AH87+AH88+AH89+AH90</f>
        <v>8956229.2799999993</v>
      </c>
      <c r="AI82" s="523">
        <f>AI83+AI84+AI85+AI86+AI87+AI88+AI89+AI90</f>
        <v>8883518.4900000002</v>
      </c>
      <c r="AJ82" s="523">
        <f>AJ83+AJ84+AJ85+AJ86+AJ87+AJ88+AJ89+AJ90</f>
        <v>9237105</v>
      </c>
      <c r="AK82" s="525"/>
    </row>
    <row r="83" spans="1:37" ht="16.5" thickTop="1" thickBot="1" x14ac:dyDescent="0.25">
      <c r="A83" s="491"/>
      <c r="B83" s="492"/>
      <c r="C83" s="493"/>
      <c r="D83" s="493">
        <v>1</v>
      </c>
      <c r="E83" s="494">
        <v>430301</v>
      </c>
      <c r="F83" s="495" t="s">
        <v>502</v>
      </c>
      <c r="G83" s="498">
        <v>2629296.3199999998</v>
      </c>
      <c r="H83" s="497">
        <v>2971287.57</v>
      </c>
      <c r="I83" s="497">
        <v>2971287.57</v>
      </c>
      <c r="J83" s="498">
        <v>2971287.57</v>
      </c>
      <c r="K83" s="526">
        <v>238601.16</v>
      </c>
      <c r="L83" s="526">
        <v>208891.17</v>
      </c>
      <c r="M83" s="526">
        <v>216261.09</v>
      </c>
      <c r="N83" s="526">
        <v>213267.06</v>
      </c>
      <c r="O83" s="581">
        <v>244358.91</v>
      </c>
      <c r="P83" s="506">
        <v>256335.03</v>
      </c>
      <c r="Q83" s="527">
        <v>183356.48</v>
      </c>
      <c r="R83" s="527">
        <v>180864.26</v>
      </c>
      <c r="S83" s="527">
        <v>163952.74</v>
      </c>
      <c r="T83" s="527">
        <v>180330.21</v>
      </c>
      <c r="U83" s="527">
        <v>173565.6</v>
      </c>
      <c r="V83" s="527">
        <v>205430.46</v>
      </c>
      <c r="W83" s="508">
        <f t="shared" ref="W83:W90" si="46">SUM(K83:V83)</f>
        <v>2465214.17</v>
      </c>
      <c r="X83" s="498">
        <f t="shared" ref="X83:X90" si="47">W83</f>
        <v>2465214.17</v>
      </c>
      <c r="Y83" s="500">
        <v>2974683.96</v>
      </c>
      <c r="Z83" s="501">
        <v>3135324.71</v>
      </c>
      <c r="AA83" s="501">
        <v>254817.53</v>
      </c>
      <c r="AB83" s="512">
        <v>240753.7</v>
      </c>
      <c r="AC83" s="478">
        <f t="shared" si="44"/>
        <v>0</v>
      </c>
      <c r="AD83" s="509">
        <f>Z83</f>
        <v>3135324.71</v>
      </c>
      <c r="AE83" s="510">
        <v>1007589.99</v>
      </c>
      <c r="AF83" s="502">
        <v>3135324.71</v>
      </c>
      <c r="AG83" s="509">
        <f t="shared" si="45"/>
        <v>0</v>
      </c>
      <c r="AH83" s="503">
        <v>2974683.96</v>
      </c>
      <c r="AI83" s="503">
        <v>3164202.5900000003</v>
      </c>
      <c r="AJ83" s="503">
        <v>3289188</v>
      </c>
      <c r="AK83" s="472">
        <v>1100122</v>
      </c>
    </row>
    <row r="84" spans="1:37" ht="16.5" thickTop="1" thickBot="1" x14ac:dyDescent="0.25">
      <c r="A84" s="491"/>
      <c r="B84" s="492"/>
      <c r="C84" s="493"/>
      <c r="D84" s="493">
        <v>2</v>
      </c>
      <c r="E84" s="494">
        <v>430302</v>
      </c>
      <c r="F84" s="495" t="s">
        <v>503</v>
      </c>
      <c r="G84" s="498">
        <v>4894932.03</v>
      </c>
      <c r="H84" s="497">
        <v>5240540.3600000003</v>
      </c>
      <c r="I84" s="497">
        <v>5240540.3600000003</v>
      </c>
      <c r="J84" s="498">
        <v>5240540.3600000003</v>
      </c>
      <c r="K84" s="526">
        <v>417159.6</v>
      </c>
      <c r="L84" s="526">
        <v>363924.6</v>
      </c>
      <c r="M84" s="526">
        <v>357435</v>
      </c>
      <c r="N84" s="526">
        <v>321235.20000000001</v>
      </c>
      <c r="O84" s="581">
        <v>373659</v>
      </c>
      <c r="P84" s="506">
        <v>392012.4</v>
      </c>
      <c r="Q84" s="527">
        <f>60000+334665.52</f>
        <v>394665.52</v>
      </c>
      <c r="R84" s="527">
        <f>60000+337408.68</f>
        <v>397408.68</v>
      </c>
      <c r="S84" s="527">
        <f>60000+321184.85</f>
        <v>381184.85</v>
      </c>
      <c r="T84" s="527">
        <f>297907.18+60000</f>
        <v>357907.18</v>
      </c>
      <c r="U84" s="527">
        <f>60000+275726.77</f>
        <v>335726.77</v>
      </c>
      <c r="V84" s="527">
        <f>367269.94+80000</f>
        <v>447269.94</v>
      </c>
      <c r="W84" s="508">
        <f t="shared" si="46"/>
        <v>4539588.74</v>
      </c>
      <c r="X84" s="498">
        <f t="shared" si="47"/>
        <v>4539588.74</v>
      </c>
      <c r="Y84" s="500">
        <v>4748845.6399999997</v>
      </c>
      <c r="Z84" s="501">
        <v>4542475.83</v>
      </c>
      <c r="AA84" s="501">
        <v>391568.45</v>
      </c>
      <c r="AB84" s="512">
        <v>363127</v>
      </c>
      <c r="AC84" s="478">
        <f t="shared" si="44"/>
        <v>0</v>
      </c>
      <c r="AD84" s="509">
        <f t="shared" ref="AD84:AD90" si="48">Y84</f>
        <v>4748845.6399999997</v>
      </c>
      <c r="AE84" s="510">
        <v>1565749.05</v>
      </c>
      <c r="AF84" s="502">
        <v>4748845.6399999997</v>
      </c>
      <c r="AG84" s="509">
        <f t="shared" si="45"/>
        <v>0</v>
      </c>
      <c r="AH84" s="503">
        <v>4748845.6399999997</v>
      </c>
      <c r="AI84" s="503">
        <v>4441435.9000000004</v>
      </c>
      <c r="AJ84" s="503">
        <v>4616872</v>
      </c>
      <c r="AK84" s="472">
        <v>1100122</v>
      </c>
    </row>
    <row r="85" spans="1:37" ht="16.5" thickTop="1" thickBot="1" x14ac:dyDescent="0.25">
      <c r="A85" s="491"/>
      <c r="B85" s="492"/>
      <c r="C85" s="493"/>
      <c r="D85" s="493">
        <v>3</v>
      </c>
      <c r="E85" s="494">
        <v>430303</v>
      </c>
      <c r="F85" s="495" t="s">
        <v>504</v>
      </c>
      <c r="G85" s="498">
        <v>2982.06</v>
      </c>
      <c r="H85" s="497">
        <v>3993.31</v>
      </c>
      <c r="I85" s="497">
        <v>3993.31</v>
      </c>
      <c r="J85" s="498">
        <v>3993.31</v>
      </c>
      <c r="K85" s="526">
        <v>256.55</v>
      </c>
      <c r="L85" s="526">
        <v>403.15</v>
      </c>
      <c r="M85" s="526">
        <v>146.6</v>
      </c>
      <c r="N85" s="526">
        <v>146.6</v>
      </c>
      <c r="O85" s="581">
        <v>293.2</v>
      </c>
      <c r="P85" s="506">
        <v>329.85</v>
      </c>
      <c r="Q85" s="527">
        <v>226.62</v>
      </c>
      <c r="R85" s="527">
        <v>141.63999999999999</v>
      </c>
      <c r="S85" s="527">
        <v>169.97</v>
      </c>
      <c r="T85" s="527">
        <v>113.31</v>
      </c>
      <c r="U85" s="527">
        <v>254.95</v>
      </c>
      <c r="V85" s="527">
        <v>339.94</v>
      </c>
      <c r="W85" s="508">
        <f t="shared" si="46"/>
        <v>2822.3799999999997</v>
      </c>
      <c r="X85" s="498">
        <f t="shared" si="47"/>
        <v>2822.3799999999997</v>
      </c>
      <c r="Y85" s="500">
        <v>3628.35</v>
      </c>
      <c r="Z85" s="501">
        <v>2998.54</v>
      </c>
      <c r="AA85" s="501">
        <v>0</v>
      </c>
      <c r="AB85" s="512">
        <v>0</v>
      </c>
      <c r="AC85" s="478">
        <f t="shared" si="44"/>
        <v>0</v>
      </c>
      <c r="AD85" s="509">
        <f t="shared" si="48"/>
        <v>3628.35</v>
      </c>
      <c r="AE85" s="510">
        <v>0</v>
      </c>
      <c r="AF85" s="502">
        <v>3628.35</v>
      </c>
      <c r="AG85" s="509">
        <f t="shared" si="45"/>
        <v>0</v>
      </c>
      <c r="AH85" s="503">
        <v>3628.35</v>
      </c>
      <c r="AI85" s="503">
        <v>297.04000000000002</v>
      </c>
      <c r="AJ85" s="503">
        <v>3000</v>
      </c>
      <c r="AK85" s="472">
        <v>1100122</v>
      </c>
    </row>
    <row r="86" spans="1:37" ht="16.5" thickTop="1" thickBot="1" x14ac:dyDescent="0.25">
      <c r="A86" s="491"/>
      <c r="B86" s="492"/>
      <c r="C86" s="493"/>
      <c r="D86" s="493">
        <v>4</v>
      </c>
      <c r="E86" s="494">
        <v>430304</v>
      </c>
      <c r="F86" s="495" t="s">
        <v>505</v>
      </c>
      <c r="G86" s="498">
        <v>209406.12</v>
      </c>
      <c r="H86" s="497">
        <v>238762.37</v>
      </c>
      <c r="I86" s="497">
        <v>238762.37</v>
      </c>
      <c r="J86" s="498">
        <v>238762.37</v>
      </c>
      <c r="K86" s="526">
        <v>21924</v>
      </c>
      <c r="L86" s="526">
        <v>23176.799999999999</v>
      </c>
      <c r="M86" s="526">
        <v>21402</v>
      </c>
      <c r="N86" s="526">
        <v>18270</v>
      </c>
      <c r="O86" s="581">
        <v>20358</v>
      </c>
      <c r="P86" s="506">
        <v>19209.599999999999</v>
      </c>
      <c r="Q86" s="527">
        <v>14041.1</v>
      </c>
      <c r="R86" s="527">
        <v>14605.98</v>
      </c>
      <c r="S86" s="527">
        <v>13960.41</v>
      </c>
      <c r="T86" s="527">
        <v>15412.94</v>
      </c>
      <c r="U86" s="527">
        <v>15574.33</v>
      </c>
      <c r="V86" s="527">
        <v>15574.33</v>
      </c>
      <c r="W86" s="508">
        <f t="shared" si="46"/>
        <v>213509.49</v>
      </c>
      <c r="X86" s="498">
        <f t="shared" si="47"/>
        <v>213509.49</v>
      </c>
      <c r="Y86" s="500">
        <v>229496.2</v>
      </c>
      <c r="Z86" s="501">
        <v>224921.06</v>
      </c>
      <c r="AA86" s="501">
        <v>14046.5</v>
      </c>
      <c r="AB86" s="512">
        <v>14046.5</v>
      </c>
      <c r="AC86" s="478">
        <f t="shared" si="44"/>
        <v>0</v>
      </c>
      <c r="AD86" s="509">
        <f t="shared" si="48"/>
        <v>229496.2</v>
      </c>
      <c r="AE86" s="510">
        <v>56834.3</v>
      </c>
      <c r="AF86" s="502">
        <v>229496.2</v>
      </c>
      <c r="AG86" s="509">
        <f t="shared" si="45"/>
        <v>0</v>
      </c>
      <c r="AH86" s="503">
        <v>229496.2</v>
      </c>
      <c r="AI86" s="503">
        <v>183338.5</v>
      </c>
      <c r="AJ86" s="503">
        <v>190580</v>
      </c>
      <c r="AK86" s="472">
        <v>1100122</v>
      </c>
    </row>
    <row r="87" spans="1:37" ht="16.5" thickTop="1" thickBot="1" x14ac:dyDescent="0.25">
      <c r="A87" s="491"/>
      <c r="B87" s="492"/>
      <c r="C87" s="493"/>
      <c r="D87" s="493">
        <v>5</v>
      </c>
      <c r="E87" s="494">
        <v>430305</v>
      </c>
      <c r="F87" s="495" t="s">
        <v>506</v>
      </c>
      <c r="G87" s="498">
        <v>812901.9</v>
      </c>
      <c r="H87" s="497">
        <v>805000</v>
      </c>
      <c r="I87" s="497">
        <v>805000</v>
      </c>
      <c r="J87" s="498">
        <v>805000</v>
      </c>
      <c r="K87" s="526">
        <v>77341.08</v>
      </c>
      <c r="L87" s="526">
        <v>63631.56</v>
      </c>
      <c r="M87" s="526">
        <v>66124.2</v>
      </c>
      <c r="N87" s="526">
        <v>52345.440000000002</v>
      </c>
      <c r="O87" s="581">
        <v>68755.320000000007</v>
      </c>
      <c r="P87" s="506">
        <v>73325.16</v>
      </c>
      <c r="Q87" s="527">
        <v>58818.48</v>
      </c>
      <c r="R87" s="527">
        <v>56303.040000000001</v>
      </c>
      <c r="S87" s="527">
        <v>59888.88</v>
      </c>
      <c r="T87" s="527">
        <v>52342.559999999998</v>
      </c>
      <c r="U87" s="527">
        <v>46722.96</v>
      </c>
      <c r="V87" s="527">
        <v>68666.16</v>
      </c>
      <c r="W87" s="508">
        <f t="shared" si="46"/>
        <v>744264.84</v>
      </c>
      <c r="X87" s="498">
        <f t="shared" si="47"/>
        <v>744264.84</v>
      </c>
      <c r="Y87" s="500">
        <v>888141.48</v>
      </c>
      <c r="Z87" s="501">
        <v>787912.82</v>
      </c>
      <c r="AA87" s="501">
        <v>80904.14</v>
      </c>
      <c r="AB87" s="512">
        <v>70298.460000000006</v>
      </c>
      <c r="AC87" s="478">
        <f t="shared" si="44"/>
        <v>0</v>
      </c>
      <c r="AD87" s="509">
        <f t="shared" si="48"/>
        <v>888141.48</v>
      </c>
      <c r="AE87" s="510">
        <v>310717.76</v>
      </c>
      <c r="AF87" s="502">
        <v>888141.48</v>
      </c>
      <c r="AG87" s="509">
        <f t="shared" si="45"/>
        <v>0</v>
      </c>
      <c r="AH87" s="503">
        <v>888141.48</v>
      </c>
      <c r="AI87" s="503">
        <v>1000978.8400000001</v>
      </c>
      <c r="AJ87" s="503">
        <v>1040517</v>
      </c>
      <c r="AK87" s="472">
        <v>1100122</v>
      </c>
    </row>
    <row r="88" spans="1:37" ht="16.5" thickTop="1" thickBot="1" x14ac:dyDescent="0.25">
      <c r="A88" s="491"/>
      <c r="B88" s="492"/>
      <c r="C88" s="493"/>
      <c r="D88" s="493">
        <v>6</v>
      </c>
      <c r="E88" s="494">
        <v>430306</v>
      </c>
      <c r="F88" s="495" t="s">
        <v>507</v>
      </c>
      <c r="G88" s="498">
        <v>12243.15</v>
      </c>
      <c r="H88" s="497">
        <v>15463.21</v>
      </c>
      <c r="I88" s="497">
        <v>15463.21</v>
      </c>
      <c r="J88" s="498">
        <v>15463.21</v>
      </c>
      <c r="K88" s="526">
        <v>1507.9</v>
      </c>
      <c r="L88" s="526">
        <v>703.97</v>
      </c>
      <c r="M88" s="526">
        <v>593</v>
      </c>
      <c r="N88" s="526">
        <v>909.02</v>
      </c>
      <c r="O88" s="581">
        <v>685.33</v>
      </c>
      <c r="P88" s="506">
        <v>2315.65</v>
      </c>
      <c r="Q88" s="527">
        <v>228</v>
      </c>
      <c r="R88" s="527">
        <v>1487.4</v>
      </c>
      <c r="S88" s="527">
        <v>1475.88</v>
      </c>
      <c r="T88" s="527">
        <v>1156.2</v>
      </c>
      <c r="U88" s="527">
        <v>1394.76</v>
      </c>
      <c r="V88" s="527">
        <v>1008.48</v>
      </c>
      <c r="W88" s="508">
        <f t="shared" si="46"/>
        <v>13465.590000000002</v>
      </c>
      <c r="X88" s="498">
        <f t="shared" si="47"/>
        <v>13465.590000000002</v>
      </c>
      <c r="Y88" s="500">
        <v>14238.65</v>
      </c>
      <c r="Z88" s="501">
        <v>12567.68</v>
      </c>
      <c r="AA88" s="501">
        <v>556.28</v>
      </c>
      <c r="AB88" s="512">
        <v>699.16</v>
      </c>
      <c r="AC88" s="478">
        <f t="shared" si="44"/>
        <v>0</v>
      </c>
      <c r="AD88" s="509">
        <f t="shared" si="48"/>
        <v>14238.65</v>
      </c>
      <c r="AE88" s="510">
        <v>2848.84</v>
      </c>
      <c r="AF88" s="502">
        <v>14238.65</v>
      </c>
      <c r="AG88" s="509">
        <f t="shared" si="45"/>
        <v>0</v>
      </c>
      <c r="AH88" s="503">
        <v>14238.65</v>
      </c>
      <c r="AI88" s="503">
        <v>10351.239999999998</v>
      </c>
      <c r="AJ88" s="503">
        <v>10760</v>
      </c>
      <c r="AK88" s="472">
        <v>1100122</v>
      </c>
    </row>
    <row r="89" spans="1:37" ht="16.5" thickTop="1" thickBot="1" x14ac:dyDescent="0.25">
      <c r="A89" s="491"/>
      <c r="B89" s="492"/>
      <c r="C89" s="493"/>
      <c r="D89" s="493">
        <v>7</v>
      </c>
      <c r="E89" s="494">
        <v>430307</v>
      </c>
      <c r="F89" s="495" t="s">
        <v>508</v>
      </c>
      <c r="G89" s="498">
        <v>59605</v>
      </c>
      <c r="H89" s="497">
        <v>60000</v>
      </c>
      <c r="I89" s="497">
        <v>60000</v>
      </c>
      <c r="J89" s="498">
        <v>60000</v>
      </c>
      <c r="K89" s="526">
        <v>5230</v>
      </c>
      <c r="L89" s="526">
        <v>4485</v>
      </c>
      <c r="M89" s="526">
        <v>4795</v>
      </c>
      <c r="N89" s="526">
        <v>4520</v>
      </c>
      <c r="O89" s="581">
        <v>5315</v>
      </c>
      <c r="P89" s="506">
        <v>5565</v>
      </c>
      <c r="Q89" s="527">
        <v>4092</v>
      </c>
      <c r="R89" s="527">
        <v>4096</v>
      </c>
      <c r="S89" s="527">
        <v>3724</v>
      </c>
      <c r="T89" s="527">
        <v>4112</v>
      </c>
      <c r="U89" s="527">
        <v>3900</v>
      </c>
      <c r="V89" s="527">
        <v>4616</v>
      </c>
      <c r="W89" s="508">
        <f t="shared" si="46"/>
        <v>54450</v>
      </c>
      <c r="X89" s="498">
        <f t="shared" si="47"/>
        <v>54450</v>
      </c>
      <c r="Y89" s="500">
        <v>64550</v>
      </c>
      <c r="Z89" s="501">
        <v>58265</v>
      </c>
      <c r="AA89" s="501">
        <v>5365</v>
      </c>
      <c r="AB89" s="512">
        <v>5050</v>
      </c>
      <c r="AC89" s="478">
        <f t="shared" si="44"/>
        <v>0</v>
      </c>
      <c r="AD89" s="509">
        <f t="shared" si="48"/>
        <v>64550</v>
      </c>
      <c r="AE89" s="510">
        <v>21370.28</v>
      </c>
      <c r="AF89" s="502">
        <v>64550</v>
      </c>
      <c r="AG89" s="509">
        <f t="shared" si="45"/>
        <v>0</v>
      </c>
      <c r="AH89" s="503">
        <v>64550</v>
      </c>
      <c r="AI89" s="503">
        <v>68193.86</v>
      </c>
      <c r="AJ89" s="503">
        <v>70887</v>
      </c>
      <c r="AK89" s="472">
        <v>1100122</v>
      </c>
    </row>
    <row r="90" spans="1:37" ht="16.5" thickTop="1" thickBot="1" x14ac:dyDescent="0.25">
      <c r="A90" s="491"/>
      <c r="B90" s="492"/>
      <c r="C90" s="493"/>
      <c r="D90" s="493">
        <v>8</v>
      </c>
      <c r="E90" s="494">
        <v>430308</v>
      </c>
      <c r="F90" s="495" t="s">
        <v>509</v>
      </c>
      <c r="G90" s="498">
        <v>27445</v>
      </c>
      <c r="H90" s="497">
        <v>26000</v>
      </c>
      <c r="I90" s="497">
        <v>26000</v>
      </c>
      <c r="J90" s="498">
        <v>26000</v>
      </c>
      <c r="K90" s="526">
        <v>3450</v>
      </c>
      <c r="L90" s="531">
        <v>1775</v>
      </c>
      <c r="M90" s="526">
        <v>1780</v>
      </c>
      <c r="N90" s="526">
        <v>1245</v>
      </c>
      <c r="O90" s="581">
        <v>2725</v>
      </c>
      <c r="P90" s="506">
        <v>3315</v>
      </c>
      <c r="Q90" s="527">
        <v>1552</v>
      </c>
      <c r="R90" s="527">
        <v>1368</v>
      </c>
      <c r="S90" s="527">
        <v>1264</v>
      </c>
      <c r="T90" s="527">
        <v>1268</v>
      </c>
      <c r="U90" s="527">
        <v>1952</v>
      </c>
      <c r="V90" s="527">
        <v>3292</v>
      </c>
      <c r="W90" s="508">
        <f t="shared" si="46"/>
        <v>24986</v>
      </c>
      <c r="X90" s="498">
        <f t="shared" si="47"/>
        <v>24986</v>
      </c>
      <c r="Y90" s="500">
        <v>32645</v>
      </c>
      <c r="Z90" s="501">
        <v>27371.9</v>
      </c>
      <c r="AA90" s="501">
        <v>1600</v>
      </c>
      <c r="AB90" s="512">
        <v>1625</v>
      </c>
      <c r="AC90" s="478">
        <f t="shared" si="44"/>
        <v>0</v>
      </c>
      <c r="AD90" s="509">
        <f t="shared" si="48"/>
        <v>32645</v>
      </c>
      <c r="AE90" s="510">
        <v>4785</v>
      </c>
      <c r="AF90" s="502">
        <v>32645</v>
      </c>
      <c r="AG90" s="509">
        <f t="shared" si="45"/>
        <v>0</v>
      </c>
      <c r="AH90" s="503">
        <v>32645</v>
      </c>
      <c r="AI90" s="503">
        <v>14720.52</v>
      </c>
      <c r="AJ90" s="503">
        <v>15301</v>
      </c>
      <c r="AK90" s="472">
        <v>1100122</v>
      </c>
    </row>
    <row r="91" spans="1:37" ht="15.75" thickTop="1" thickBot="1" x14ac:dyDescent="0.25">
      <c r="A91" s="516"/>
      <c r="B91" s="517"/>
      <c r="C91" s="518">
        <v>4</v>
      </c>
      <c r="D91" s="518"/>
      <c r="E91" s="519"/>
      <c r="F91" s="520" t="s">
        <v>510</v>
      </c>
      <c r="G91" s="474">
        <f t="shared" ref="G91:AB91" si="49">G92+G93+G94+G95</f>
        <v>7628476.2000000002</v>
      </c>
      <c r="H91" s="475">
        <f t="shared" si="49"/>
        <v>8503062.8699999992</v>
      </c>
      <c r="I91" s="475">
        <f t="shared" si="49"/>
        <v>8503062.8699999992</v>
      </c>
      <c r="J91" s="474">
        <f t="shared" si="49"/>
        <v>8985062.8699999992</v>
      </c>
      <c r="K91" s="474">
        <f t="shared" si="49"/>
        <v>666856.02</v>
      </c>
      <c r="L91" s="475">
        <f t="shared" si="49"/>
        <v>807337.92999999993</v>
      </c>
      <c r="M91" s="475">
        <f t="shared" si="49"/>
        <v>712438.53</v>
      </c>
      <c r="N91" s="475">
        <f t="shared" si="49"/>
        <v>510471.2</v>
      </c>
      <c r="O91" s="475">
        <f t="shared" si="49"/>
        <v>394899.14</v>
      </c>
      <c r="P91" s="475">
        <f t="shared" si="49"/>
        <v>518185.10000000003</v>
      </c>
      <c r="Q91" s="475">
        <f t="shared" si="49"/>
        <v>583056.41</v>
      </c>
      <c r="R91" s="475">
        <f t="shared" si="49"/>
        <v>583056.41</v>
      </c>
      <c r="S91" s="475">
        <f t="shared" si="49"/>
        <v>779855.77999999991</v>
      </c>
      <c r="T91" s="475">
        <f t="shared" si="49"/>
        <v>764095.15</v>
      </c>
      <c r="U91" s="475">
        <f t="shared" si="49"/>
        <v>783274.09000000008</v>
      </c>
      <c r="V91" s="475">
        <f t="shared" si="49"/>
        <v>723052.63</v>
      </c>
      <c r="W91" s="522">
        <f t="shared" si="49"/>
        <v>7826578.3899999997</v>
      </c>
      <c r="X91" s="524">
        <f t="shared" si="49"/>
        <v>7826578.3899999997</v>
      </c>
      <c r="Y91" s="523">
        <f t="shared" si="49"/>
        <v>7213071.8700000001</v>
      </c>
      <c r="Z91" s="524">
        <f t="shared" si="49"/>
        <v>8631724.7799999993</v>
      </c>
      <c r="AA91" s="524">
        <f t="shared" si="49"/>
        <v>483123.06</v>
      </c>
      <c r="AB91" s="524">
        <f t="shared" si="49"/>
        <v>374260.69</v>
      </c>
      <c r="AC91" s="478">
        <f t="shared" si="44"/>
        <v>0</v>
      </c>
      <c r="AD91" s="522">
        <f>AD92+AD93+AD94+AD95</f>
        <v>7748678.7267000005</v>
      </c>
      <c r="AE91" s="522">
        <f>AE92+AE93+AE94+AE95</f>
        <v>1949065.04</v>
      </c>
      <c r="AF91" s="522">
        <f>AF92+AF93+AF94+AF95</f>
        <v>7748678.7199999997</v>
      </c>
      <c r="AG91" s="522">
        <f t="shared" si="45"/>
        <v>-6.7000007256865501E-3</v>
      </c>
      <c r="AH91" s="523">
        <f>AH92+AH93+AH94+AH95</f>
        <v>7213071.8700000001</v>
      </c>
      <c r="AI91" s="523">
        <f>AI92+AI93+AI94+AI95</f>
        <v>5284504.1411111113</v>
      </c>
      <c r="AJ91" s="523">
        <f>AJ92+AJ93+AJ94+AJ95</f>
        <v>7796619</v>
      </c>
      <c r="AK91" s="525"/>
    </row>
    <row r="92" spans="1:37" ht="16.5" thickTop="1" thickBot="1" x14ac:dyDescent="0.25">
      <c r="A92" s="491"/>
      <c r="B92" s="492"/>
      <c r="C92" s="493"/>
      <c r="D92" s="493">
        <v>1</v>
      </c>
      <c r="E92" s="494">
        <v>430401</v>
      </c>
      <c r="F92" s="495" t="s">
        <v>511</v>
      </c>
      <c r="G92" s="498">
        <v>5058005.26</v>
      </c>
      <c r="H92" s="497">
        <v>5300000</v>
      </c>
      <c r="I92" s="497">
        <v>5300000</v>
      </c>
      <c r="J92" s="498">
        <v>5700000</v>
      </c>
      <c r="K92" s="526">
        <v>451278.1</v>
      </c>
      <c r="L92" s="526">
        <v>543586.68999999994</v>
      </c>
      <c r="M92" s="526">
        <v>533056.41</v>
      </c>
      <c r="N92" s="526">
        <v>345766.32</v>
      </c>
      <c r="O92" s="581">
        <v>345766.32</v>
      </c>
      <c r="P92" s="506">
        <v>432207.9</v>
      </c>
      <c r="Q92" s="527">
        <v>533056.41</v>
      </c>
      <c r="R92" s="527">
        <v>533056.41</v>
      </c>
      <c r="S92" s="527">
        <v>533056.41</v>
      </c>
      <c r="T92" s="527">
        <v>533056.41</v>
      </c>
      <c r="U92" s="527">
        <v>533056.41</v>
      </c>
      <c r="V92" s="527">
        <v>533056.41</v>
      </c>
      <c r="W92" s="508">
        <f>SUM(K92:V92)</f>
        <v>5850000.2000000002</v>
      </c>
      <c r="X92" s="498">
        <f>W92</f>
        <v>5850000.2000000002</v>
      </c>
      <c r="Y92" s="500">
        <v>5633896.25</v>
      </c>
      <c r="Z92" s="501">
        <v>6160000.2000000002</v>
      </c>
      <c r="AA92" s="501">
        <v>321662.37</v>
      </c>
      <c r="AB92" s="512">
        <v>304000</v>
      </c>
      <c r="AC92" s="478">
        <f t="shared" si="44"/>
        <v>0</v>
      </c>
      <c r="AD92" s="509">
        <f>Z92</f>
        <v>6160000.2000000002</v>
      </c>
      <c r="AE92" s="510">
        <v>1409662.37</v>
      </c>
      <c r="AF92" s="502">
        <v>6160000.2000000002</v>
      </c>
      <c r="AG92" s="509">
        <f t="shared" si="45"/>
        <v>0</v>
      </c>
      <c r="AH92" s="503">
        <v>5633896.25</v>
      </c>
      <c r="AI92" s="503">
        <v>3655111.151111111</v>
      </c>
      <c r="AJ92" s="503">
        <f>3655111+2000000</f>
        <v>5655111</v>
      </c>
      <c r="AK92" s="472">
        <v>1100122</v>
      </c>
    </row>
    <row r="93" spans="1:37" ht="16.5" thickTop="1" thickBot="1" x14ac:dyDescent="0.25">
      <c r="A93" s="491"/>
      <c r="B93" s="492"/>
      <c r="C93" s="493"/>
      <c r="D93" s="493">
        <v>2</v>
      </c>
      <c r="E93" s="494">
        <v>430402</v>
      </c>
      <c r="F93" s="495" t="s">
        <v>512</v>
      </c>
      <c r="G93" s="498">
        <v>2324030.92</v>
      </c>
      <c r="H93" s="497">
        <v>2825024.83</v>
      </c>
      <c r="I93" s="497">
        <v>2825024.83</v>
      </c>
      <c r="J93" s="498">
        <v>2825024.83</v>
      </c>
      <c r="K93" s="526">
        <v>191889.7</v>
      </c>
      <c r="L93" s="526">
        <v>244262.64</v>
      </c>
      <c r="M93" s="526">
        <v>154440.48000000001</v>
      </c>
      <c r="N93" s="526">
        <v>125654.88</v>
      </c>
      <c r="O93" s="581">
        <v>42032.82</v>
      </c>
      <c r="P93" s="506">
        <v>64677.2</v>
      </c>
      <c r="Q93" s="527">
        <v>35000</v>
      </c>
      <c r="R93" s="527">
        <v>35000</v>
      </c>
      <c r="S93" s="527">
        <v>215284.05</v>
      </c>
      <c r="T93" s="527">
        <v>166939.14000000001</v>
      </c>
      <c r="U93" s="527">
        <v>220934.16</v>
      </c>
      <c r="V93" s="527">
        <v>168300.82</v>
      </c>
      <c r="W93" s="508">
        <f>SUM(K93:V93)</f>
        <v>1664415.8900000001</v>
      </c>
      <c r="X93" s="498">
        <f>W93</f>
        <v>1664415.8900000001</v>
      </c>
      <c r="Y93" s="500">
        <v>1307664</v>
      </c>
      <c r="Z93" s="501">
        <v>2064415.89</v>
      </c>
      <c r="AA93" s="501">
        <v>140400</v>
      </c>
      <c r="AB93" s="512">
        <v>49200</v>
      </c>
      <c r="AC93" s="478">
        <f t="shared" si="44"/>
        <v>0</v>
      </c>
      <c r="AD93" s="509">
        <f>Y93</f>
        <v>1307664</v>
      </c>
      <c r="AE93" s="510">
        <v>454800</v>
      </c>
      <c r="AF93" s="502">
        <v>1307664</v>
      </c>
      <c r="AG93" s="509">
        <f t="shared" si="45"/>
        <v>0</v>
      </c>
      <c r="AH93" s="503">
        <v>1307664</v>
      </c>
      <c r="AI93" s="503">
        <v>1322660.06</v>
      </c>
      <c r="AJ93" s="503">
        <f>1322660+500000</f>
        <v>1822660</v>
      </c>
      <c r="AK93" s="472">
        <v>1100122</v>
      </c>
    </row>
    <row r="94" spans="1:37" ht="16.5" thickTop="1" thickBot="1" x14ac:dyDescent="0.25">
      <c r="A94" s="491"/>
      <c r="B94" s="492"/>
      <c r="C94" s="493"/>
      <c r="D94" s="493">
        <v>3</v>
      </c>
      <c r="E94" s="494">
        <v>430403</v>
      </c>
      <c r="F94" s="495" t="s">
        <v>513</v>
      </c>
      <c r="G94" s="498">
        <v>18088.580000000002</v>
      </c>
      <c r="H94" s="497">
        <v>18000</v>
      </c>
      <c r="I94" s="497">
        <v>18000</v>
      </c>
      <c r="J94" s="498">
        <v>100000</v>
      </c>
      <c r="K94" s="526">
        <v>3550</v>
      </c>
      <c r="L94" s="526">
        <v>0</v>
      </c>
      <c r="M94" s="526">
        <v>10650</v>
      </c>
      <c r="N94" s="526">
        <v>39050</v>
      </c>
      <c r="O94" s="581">
        <v>7100</v>
      </c>
      <c r="P94" s="506">
        <v>21300</v>
      </c>
      <c r="Q94" s="527">
        <v>15000</v>
      </c>
      <c r="R94" s="527">
        <v>15000</v>
      </c>
      <c r="S94" s="527">
        <v>15000</v>
      </c>
      <c r="T94" s="527">
        <v>15000</v>
      </c>
      <c r="U94" s="527">
        <v>15000</v>
      </c>
      <c r="V94" s="527">
        <v>15000</v>
      </c>
      <c r="W94" s="508">
        <f>SUM(K94:V94)</f>
        <v>171650</v>
      </c>
      <c r="X94" s="498">
        <f>W94</f>
        <v>171650</v>
      </c>
      <c r="Y94" s="500">
        <v>205900</v>
      </c>
      <c r="Z94" s="501">
        <v>171650</v>
      </c>
      <c r="AA94" s="501">
        <v>18371.25</v>
      </c>
      <c r="AB94" s="512">
        <v>18371.25</v>
      </c>
      <c r="AC94" s="478">
        <f t="shared" si="44"/>
        <v>0</v>
      </c>
      <c r="AD94" s="509">
        <f>Y94*1.035</f>
        <v>213106.49999999997</v>
      </c>
      <c r="AE94" s="510">
        <v>69810.75</v>
      </c>
      <c r="AF94" s="502">
        <v>213106.49999999997</v>
      </c>
      <c r="AG94" s="509">
        <f t="shared" si="45"/>
        <v>0</v>
      </c>
      <c r="AH94" s="503">
        <v>205900</v>
      </c>
      <c r="AI94" s="503">
        <v>262930.75</v>
      </c>
      <c r="AJ94" s="503">
        <v>273316</v>
      </c>
      <c r="AK94" s="472">
        <v>1100122</v>
      </c>
    </row>
    <row r="95" spans="1:37" ht="16.5" thickTop="1" thickBot="1" x14ac:dyDescent="0.25">
      <c r="A95" s="491"/>
      <c r="B95" s="492"/>
      <c r="C95" s="493"/>
      <c r="D95" s="493">
        <v>4</v>
      </c>
      <c r="E95" s="494">
        <v>430404</v>
      </c>
      <c r="F95" s="495" t="s">
        <v>514</v>
      </c>
      <c r="G95" s="498">
        <v>228351.44</v>
      </c>
      <c r="H95" s="497">
        <v>360038.04</v>
      </c>
      <c r="I95" s="497">
        <v>360038.04</v>
      </c>
      <c r="J95" s="498">
        <v>360038.04</v>
      </c>
      <c r="K95" s="526">
        <v>20138.22</v>
      </c>
      <c r="L95" s="531">
        <v>19488.599999999999</v>
      </c>
      <c r="M95" s="526">
        <v>14291.64</v>
      </c>
      <c r="N95" s="526">
        <v>0</v>
      </c>
      <c r="O95" s="581">
        <v>0</v>
      </c>
      <c r="P95" s="506">
        <v>0</v>
      </c>
      <c r="Q95" s="526">
        <v>0</v>
      </c>
      <c r="R95" s="526">
        <v>0</v>
      </c>
      <c r="S95" s="527">
        <v>16515.32</v>
      </c>
      <c r="T95" s="527">
        <v>49099.6</v>
      </c>
      <c r="U95" s="527">
        <v>14283.52</v>
      </c>
      <c r="V95" s="527">
        <v>6695.4</v>
      </c>
      <c r="W95" s="508">
        <f>SUM(K95:V95)</f>
        <v>140512.29999999999</v>
      </c>
      <c r="X95" s="498">
        <f>W95</f>
        <v>140512.29999999999</v>
      </c>
      <c r="Y95" s="500">
        <v>65611.62</v>
      </c>
      <c r="Z95" s="501">
        <v>235658.69</v>
      </c>
      <c r="AA95" s="501">
        <v>2689.44</v>
      </c>
      <c r="AB95" s="512">
        <v>2689.44</v>
      </c>
      <c r="AC95" s="478">
        <f t="shared" si="44"/>
        <v>0</v>
      </c>
      <c r="AD95" s="509">
        <f>Y95*1.035</f>
        <v>67908.026699999988</v>
      </c>
      <c r="AE95" s="510">
        <v>14791.92</v>
      </c>
      <c r="AF95" s="502">
        <v>67908.02</v>
      </c>
      <c r="AG95" s="509">
        <f t="shared" si="45"/>
        <v>-6.6999999835388735E-3</v>
      </c>
      <c r="AH95" s="503">
        <v>65611.62</v>
      </c>
      <c r="AI95" s="503">
        <v>43802.179999999993</v>
      </c>
      <c r="AJ95" s="503">
        <v>45532</v>
      </c>
      <c r="AK95" s="472">
        <v>1100122</v>
      </c>
    </row>
    <row r="96" spans="1:37" ht="15.75" thickTop="1" thickBot="1" x14ac:dyDescent="0.25">
      <c r="A96" s="516"/>
      <c r="B96" s="517"/>
      <c r="C96" s="518">
        <v>5</v>
      </c>
      <c r="D96" s="518"/>
      <c r="E96" s="519"/>
      <c r="F96" s="520" t="s">
        <v>515</v>
      </c>
      <c r="G96" s="474">
        <f>G97+G98+G99+G100</f>
        <v>1299095.8199999998</v>
      </c>
      <c r="H96" s="475">
        <f>H97+H98+H99+H100</f>
        <v>2505107.84</v>
      </c>
      <c r="I96" s="475">
        <f>I97+I98+I99+I100</f>
        <v>2505107.84</v>
      </c>
      <c r="J96" s="474">
        <f>J97+J98+J99+J100</f>
        <v>2505107.84</v>
      </c>
      <c r="K96" s="474">
        <f t="shared" ref="K96:AB96" si="50">K97+K98+K99+K100+K101</f>
        <v>90951.61</v>
      </c>
      <c r="L96" s="474">
        <f t="shared" si="50"/>
        <v>165954.63</v>
      </c>
      <c r="M96" s="475">
        <f t="shared" si="50"/>
        <v>90971.62</v>
      </c>
      <c r="N96" s="475">
        <f t="shared" si="50"/>
        <v>67945.239999999991</v>
      </c>
      <c r="O96" s="475">
        <f t="shared" si="50"/>
        <v>57960</v>
      </c>
      <c r="P96" s="475">
        <f t="shared" si="50"/>
        <v>59798.93</v>
      </c>
      <c r="Q96" s="475">
        <f t="shared" si="50"/>
        <v>133372.48749999999</v>
      </c>
      <c r="R96" s="475">
        <f t="shared" si="50"/>
        <v>133372.48749999999</v>
      </c>
      <c r="S96" s="475">
        <f t="shared" si="50"/>
        <v>141431.5675</v>
      </c>
      <c r="T96" s="475">
        <f t="shared" si="50"/>
        <v>280896.56749999995</v>
      </c>
      <c r="U96" s="475">
        <f t="shared" si="50"/>
        <v>219416.0675</v>
      </c>
      <c r="V96" s="475">
        <f t="shared" si="50"/>
        <v>219415.5675</v>
      </c>
      <c r="W96" s="522">
        <f t="shared" si="50"/>
        <v>1671486.7699999998</v>
      </c>
      <c r="X96" s="524">
        <f t="shared" si="50"/>
        <v>1671486.7699999998</v>
      </c>
      <c r="Y96" s="523">
        <f t="shared" si="50"/>
        <v>1156798.2500000002</v>
      </c>
      <c r="Z96" s="524">
        <f t="shared" si="50"/>
        <v>1405992.75</v>
      </c>
      <c r="AA96" s="524">
        <f t="shared" si="50"/>
        <v>43057.38</v>
      </c>
      <c r="AB96" s="524">
        <f t="shared" si="50"/>
        <v>51348.69</v>
      </c>
      <c r="AC96" s="478">
        <f t="shared" si="44"/>
        <v>0</v>
      </c>
      <c r="AD96" s="522">
        <f>AD97+AD98+AD99+AD100+AD101</f>
        <v>1418565.51975</v>
      </c>
      <c r="AE96" s="522">
        <f>AE97+AE98+AE99+AE100+AE101</f>
        <v>589814.63</v>
      </c>
      <c r="AF96" s="522">
        <f>AF97+AF98+AF99+AF100+AF101</f>
        <v>1418565.51</v>
      </c>
      <c r="AG96" s="522">
        <f t="shared" si="45"/>
        <v>-9.7499999683350325E-3</v>
      </c>
      <c r="AH96" s="523">
        <f>AH97+AH98+AH99+AH100+AH101</f>
        <v>1156798.2500000002</v>
      </c>
      <c r="AI96" s="523">
        <f>AI97+AI98+AI99+AI100+AI101</f>
        <v>1117425.73</v>
      </c>
      <c r="AJ96" s="523">
        <f>AJ97+AJ98+AJ99+AJ100+AJ101</f>
        <v>1171483</v>
      </c>
      <c r="AK96" s="525"/>
    </row>
    <row r="97" spans="1:37" ht="16.5" thickTop="1" thickBot="1" x14ac:dyDescent="0.25">
      <c r="A97" s="491"/>
      <c r="B97" s="492"/>
      <c r="C97" s="493"/>
      <c r="D97" s="493">
        <v>1</v>
      </c>
      <c r="E97" s="494">
        <v>430501</v>
      </c>
      <c r="F97" s="495" t="s">
        <v>516</v>
      </c>
      <c r="G97" s="498">
        <v>299758.18</v>
      </c>
      <c r="H97" s="497">
        <v>923663.4</v>
      </c>
      <c r="I97" s="497">
        <v>923663.4</v>
      </c>
      <c r="J97" s="498">
        <v>923663.4</v>
      </c>
      <c r="K97" s="526">
        <v>14051.16</v>
      </c>
      <c r="L97" s="526">
        <v>104224.26</v>
      </c>
      <c r="M97" s="526">
        <v>32852.339999999997</v>
      </c>
      <c r="N97" s="526">
        <v>37165.24</v>
      </c>
      <c r="O97" s="526"/>
      <c r="P97" s="506">
        <v>0</v>
      </c>
      <c r="Q97" s="527">
        <v>0</v>
      </c>
      <c r="R97" s="527">
        <v>0</v>
      </c>
      <c r="S97" s="527">
        <v>0</v>
      </c>
      <c r="T97" s="527">
        <v>0</v>
      </c>
      <c r="U97" s="527">
        <v>77984.5</v>
      </c>
      <c r="V97" s="527">
        <v>77984</v>
      </c>
      <c r="W97" s="508">
        <f>SUM(K97:V97)</f>
        <v>344261.5</v>
      </c>
      <c r="X97" s="498">
        <f>W97</f>
        <v>344261.5</v>
      </c>
      <c r="Y97" s="500">
        <v>354728.64</v>
      </c>
      <c r="Z97" s="501">
        <v>444261.5</v>
      </c>
      <c r="AA97" s="501">
        <v>0</v>
      </c>
      <c r="AB97" s="501">
        <v>0</v>
      </c>
      <c r="AC97" s="478">
        <f t="shared" si="44"/>
        <v>0</v>
      </c>
      <c r="AD97" s="509">
        <f>Z97</f>
        <v>444261.5</v>
      </c>
      <c r="AE97" s="510">
        <v>199020.36</v>
      </c>
      <c r="AF97" s="502">
        <v>444261.5</v>
      </c>
      <c r="AG97" s="509">
        <f t="shared" si="45"/>
        <v>0</v>
      </c>
      <c r="AH97" s="503">
        <v>354728.64</v>
      </c>
      <c r="AI97" s="503">
        <v>229649.42</v>
      </c>
      <c r="AJ97" s="503">
        <v>238720</v>
      </c>
      <c r="AK97" s="472">
        <v>1100122</v>
      </c>
    </row>
    <row r="98" spans="1:37" ht="16.5" thickTop="1" thickBot="1" x14ac:dyDescent="0.25">
      <c r="A98" s="491"/>
      <c r="B98" s="492"/>
      <c r="C98" s="493"/>
      <c r="D98" s="493">
        <v>2</v>
      </c>
      <c r="E98" s="494">
        <v>430502</v>
      </c>
      <c r="F98" s="495" t="s">
        <v>517</v>
      </c>
      <c r="G98" s="498">
        <v>293471.5</v>
      </c>
      <c r="H98" s="497">
        <v>336327.26</v>
      </c>
      <c r="I98" s="497">
        <v>336327.26</v>
      </c>
      <c r="J98" s="498">
        <v>336327.26</v>
      </c>
      <c r="K98" s="526">
        <v>278.93</v>
      </c>
      <c r="L98" s="526">
        <v>2510.37</v>
      </c>
      <c r="M98" s="526">
        <v>2231.44</v>
      </c>
      <c r="N98" s="526">
        <v>0</v>
      </c>
      <c r="O98" s="526"/>
      <c r="P98" s="506">
        <v>278.93</v>
      </c>
      <c r="Q98" s="527">
        <v>0</v>
      </c>
      <c r="R98" s="527">
        <v>0</v>
      </c>
      <c r="S98" s="527">
        <v>0</v>
      </c>
      <c r="T98" s="527">
        <v>139465</v>
      </c>
      <c r="U98" s="527">
        <v>0</v>
      </c>
      <c r="V98" s="527">
        <v>0</v>
      </c>
      <c r="W98" s="508">
        <f>SUM(K98:V98)</f>
        <v>144764.67000000001</v>
      </c>
      <c r="X98" s="498">
        <f>W98</f>
        <v>144764.67000000001</v>
      </c>
      <c r="Y98" s="500">
        <v>152016.85</v>
      </c>
      <c r="Z98" s="501">
        <v>144764.67000000001</v>
      </c>
      <c r="AA98" s="501">
        <v>577.38</v>
      </c>
      <c r="AB98" s="512">
        <v>288.69</v>
      </c>
      <c r="AC98" s="478">
        <f t="shared" si="44"/>
        <v>0</v>
      </c>
      <c r="AD98" s="509">
        <f>Y98*1.035</f>
        <v>157337.43974999999</v>
      </c>
      <c r="AE98" s="510">
        <v>113166.48</v>
      </c>
      <c r="AF98" s="502">
        <v>157337.43</v>
      </c>
      <c r="AG98" s="509">
        <f t="shared" si="45"/>
        <v>-9.7499999974388629E-3</v>
      </c>
      <c r="AH98" s="503">
        <v>152016.85</v>
      </c>
      <c r="AI98" s="503">
        <v>187582.42</v>
      </c>
      <c r="AJ98" s="503">
        <v>194991</v>
      </c>
      <c r="AK98" s="472">
        <v>1100122</v>
      </c>
    </row>
    <row r="99" spans="1:37" ht="16.5" thickTop="1" thickBot="1" x14ac:dyDescent="0.25">
      <c r="A99" s="491"/>
      <c r="B99" s="492"/>
      <c r="C99" s="493"/>
      <c r="D99" s="493">
        <v>3</v>
      </c>
      <c r="E99" s="494">
        <v>430503</v>
      </c>
      <c r="F99" s="495" t="s">
        <v>518</v>
      </c>
      <c r="G99" s="498">
        <v>705866.14</v>
      </c>
      <c r="H99" s="497">
        <v>1235117.18</v>
      </c>
      <c r="I99" s="497">
        <v>1235117.18</v>
      </c>
      <c r="J99" s="498">
        <v>1235117.18</v>
      </c>
      <c r="K99" s="526">
        <v>58680</v>
      </c>
      <c r="L99" s="526">
        <v>59220</v>
      </c>
      <c r="M99" s="526">
        <v>51840</v>
      </c>
      <c r="N99" s="526">
        <v>30780</v>
      </c>
      <c r="O99" s="581">
        <v>57960</v>
      </c>
      <c r="P99" s="506">
        <v>59520</v>
      </c>
      <c r="Q99" s="527">
        <v>129324.64749999999</v>
      </c>
      <c r="R99" s="527">
        <v>129324.64749999999</v>
      </c>
      <c r="S99" s="527">
        <v>129324.64749999999</v>
      </c>
      <c r="T99" s="527">
        <v>129324.64749999999</v>
      </c>
      <c r="U99" s="527">
        <v>129324.64749999999</v>
      </c>
      <c r="V99" s="527">
        <v>129324.64749999999</v>
      </c>
      <c r="W99" s="508">
        <v>1093947.8799999999</v>
      </c>
      <c r="X99" s="498">
        <f>W99</f>
        <v>1093947.8799999999</v>
      </c>
      <c r="Y99" s="500">
        <v>628063.4</v>
      </c>
      <c r="Z99" s="501">
        <v>728453.86</v>
      </c>
      <c r="AA99" s="501">
        <v>42480</v>
      </c>
      <c r="AB99" s="512">
        <v>51060</v>
      </c>
      <c r="AC99" s="478">
        <f t="shared" si="44"/>
        <v>0</v>
      </c>
      <c r="AD99" s="509">
        <f>Z99</f>
        <v>728453.86</v>
      </c>
      <c r="AE99" s="510">
        <v>200181.54</v>
      </c>
      <c r="AF99" s="502">
        <v>728453.86</v>
      </c>
      <c r="AG99" s="509">
        <f t="shared" si="45"/>
        <v>0</v>
      </c>
      <c r="AH99" s="503">
        <v>628063.4</v>
      </c>
      <c r="AI99" s="503">
        <v>586038.64</v>
      </c>
      <c r="AJ99" s="503">
        <v>609187</v>
      </c>
      <c r="AK99" s="472">
        <v>1100122</v>
      </c>
    </row>
    <row r="100" spans="1:37" ht="15.75" thickTop="1" thickBot="1" x14ac:dyDescent="0.25">
      <c r="A100" s="491"/>
      <c r="B100" s="492"/>
      <c r="C100" s="493"/>
      <c r="D100" s="493">
        <v>4</v>
      </c>
      <c r="E100" s="494">
        <v>430504</v>
      </c>
      <c r="F100" s="495" t="s">
        <v>519</v>
      </c>
      <c r="G100" s="498">
        <v>0</v>
      </c>
      <c r="H100" s="497">
        <v>10000</v>
      </c>
      <c r="I100" s="497">
        <v>10000</v>
      </c>
      <c r="J100" s="498">
        <v>10000</v>
      </c>
      <c r="K100" s="498">
        <v>0</v>
      </c>
      <c r="L100" s="526">
        <v>0</v>
      </c>
      <c r="M100" s="526">
        <v>0</v>
      </c>
      <c r="N100" s="526">
        <v>0</v>
      </c>
      <c r="O100" s="526"/>
      <c r="P100" s="506">
        <v>0</v>
      </c>
      <c r="Q100" s="526">
        <v>0</v>
      </c>
      <c r="R100" s="526">
        <v>0</v>
      </c>
      <c r="S100" s="526">
        <v>0</v>
      </c>
      <c r="T100" s="526">
        <v>0</v>
      </c>
      <c r="U100" s="526">
        <v>0</v>
      </c>
      <c r="V100" s="526">
        <v>0</v>
      </c>
      <c r="W100" s="497">
        <f>I100</f>
        <v>10000</v>
      </c>
      <c r="X100" s="498">
        <f>W100</f>
        <v>10000</v>
      </c>
      <c r="Y100" s="500"/>
      <c r="Z100" s="501">
        <v>10000</v>
      </c>
      <c r="AA100" s="501">
        <v>0</v>
      </c>
      <c r="AB100" s="501">
        <v>0</v>
      </c>
      <c r="AC100" s="478">
        <f t="shared" si="44"/>
        <v>0</v>
      </c>
      <c r="AD100" s="509">
        <f>Z100</f>
        <v>10000</v>
      </c>
      <c r="AE100" s="510">
        <v>0</v>
      </c>
      <c r="AF100" s="502">
        <v>10000</v>
      </c>
      <c r="AG100" s="509">
        <f t="shared" si="45"/>
        <v>0</v>
      </c>
      <c r="AH100" s="503">
        <v>0</v>
      </c>
      <c r="AI100" s="503">
        <v>75.56</v>
      </c>
      <c r="AJ100" s="503">
        <v>10000</v>
      </c>
      <c r="AK100" s="472">
        <v>1100122</v>
      </c>
    </row>
    <row r="101" spans="1:37" ht="16.5" thickTop="1" thickBot="1" x14ac:dyDescent="0.25">
      <c r="A101" s="491"/>
      <c r="B101" s="492"/>
      <c r="C101" s="493"/>
      <c r="D101" s="493">
        <v>5</v>
      </c>
      <c r="E101" s="580">
        <v>430505</v>
      </c>
      <c r="F101" s="495" t="s">
        <v>520</v>
      </c>
      <c r="G101" s="498"/>
      <c r="H101" s="497"/>
      <c r="I101" s="497">
        <v>0</v>
      </c>
      <c r="J101" s="498">
        <v>50000</v>
      </c>
      <c r="K101" s="526">
        <v>17941.52</v>
      </c>
      <c r="L101" s="531">
        <v>0</v>
      </c>
      <c r="M101" s="526">
        <v>4047.84</v>
      </c>
      <c r="N101" s="526">
        <v>0</v>
      </c>
      <c r="O101" s="526"/>
      <c r="P101" s="506">
        <v>0</v>
      </c>
      <c r="Q101" s="527">
        <v>4047.84</v>
      </c>
      <c r="R101" s="527">
        <v>4047.84</v>
      </c>
      <c r="S101" s="527">
        <v>12106.92</v>
      </c>
      <c r="T101" s="527">
        <v>12106.92</v>
      </c>
      <c r="U101" s="527">
        <v>12106.92</v>
      </c>
      <c r="V101" s="527">
        <v>12106.92</v>
      </c>
      <c r="W101" s="508">
        <f>SUM(K101:V101)</f>
        <v>78512.72</v>
      </c>
      <c r="X101" s="498">
        <f>W101</f>
        <v>78512.72</v>
      </c>
      <c r="Y101" s="500">
        <v>21989.360000000001</v>
      </c>
      <c r="Z101" s="501">
        <v>78512.72</v>
      </c>
      <c r="AA101" s="501">
        <v>0</v>
      </c>
      <c r="AB101" s="501">
        <v>0</v>
      </c>
      <c r="AC101" s="478">
        <f t="shared" si="44"/>
        <v>0</v>
      </c>
      <c r="AD101" s="509">
        <f>Z101</f>
        <v>78512.72</v>
      </c>
      <c r="AE101" s="510">
        <v>77446.25</v>
      </c>
      <c r="AF101" s="502">
        <v>78512.72</v>
      </c>
      <c r="AG101" s="509">
        <f t="shared" si="45"/>
        <v>0</v>
      </c>
      <c r="AH101" s="503">
        <v>21989.360000000001</v>
      </c>
      <c r="AI101" s="503">
        <v>114079.69</v>
      </c>
      <c r="AJ101" s="503">
        <v>118585</v>
      </c>
      <c r="AK101" s="472">
        <v>1100122</v>
      </c>
    </row>
    <row r="102" spans="1:37" ht="15.75" thickTop="1" thickBot="1" x14ac:dyDescent="0.25">
      <c r="A102" s="516"/>
      <c r="B102" s="517"/>
      <c r="C102" s="518">
        <v>6</v>
      </c>
      <c r="D102" s="518"/>
      <c r="E102" s="519"/>
      <c r="F102" s="520" t="s">
        <v>521</v>
      </c>
      <c r="G102" s="474">
        <f t="shared" ref="G102:AB102" si="51">SUM(G103:G104)</f>
        <v>1559167.8900000001</v>
      </c>
      <c r="H102" s="497">
        <f t="shared" si="51"/>
        <v>1598513.6</v>
      </c>
      <c r="I102" s="497">
        <f t="shared" si="51"/>
        <v>1598513.6</v>
      </c>
      <c r="J102" s="475">
        <f t="shared" si="51"/>
        <v>1698513.6</v>
      </c>
      <c r="K102" s="498">
        <f t="shared" si="51"/>
        <v>225581.64</v>
      </c>
      <c r="L102" s="475">
        <f t="shared" si="51"/>
        <v>116773.22</v>
      </c>
      <c r="M102" s="475">
        <f t="shared" si="51"/>
        <v>115038.74</v>
      </c>
      <c r="N102" s="475">
        <f t="shared" si="51"/>
        <v>72226.52</v>
      </c>
      <c r="O102" s="475">
        <f t="shared" si="51"/>
        <v>49167.75</v>
      </c>
      <c r="P102" s="475">
        <f t="shared" si="51"/>
        <v>100508.01999999999</v>
      </c>
      <c r="Q102" s="475">
        <f t="shared" si="51"/>
        <v>51875.259999999995</v>
      </c>
      <c r="R102" s="475">
        <f t="shared" si="51"/>
        <v>96474.377999999997</v>
      </c>
      <c r="S102" s="475">
        <f t="shared" si="51"/>
        <v>109255.81399999998</v>
      </c>
      <c r="T102" s="475">
        <f t="shared" si="51"/>
        <v>133848.24600000001</v>
      </c>
      <c r="U102" s="475">
        <f t="shared" si="51"/>
        <v>143625.24799999999</v>
      </c>
      <c r="V102" s="475">
        <f t="shared" si="51"/>
        <v>141528.25200000001</v>
      </c>
      <c r="W102" s="522">
        <f t="shared" si="51"/>
        <v>1355903.08</v>
      </c>
      <c r="X102" s="524">
        <f t="shared" si="51"/>
        <v>1355903.08</v>
      </c>
      <c r="Y102" s="523">
        <f t="shared" si="51"/>
        <v>1710715.62</v>
      </c>
      <c r="Z102" s="524">
        <f t="shared" si="51"/>
        <v>1609061.26</v>
      </c>
      <c r="AA102" s="524">
        <f t="shared" si="51"/>
        <v>238132.12</v>
      </c>
      <c r="AB102" s="524">
        <f t="shared" si="51"/>
        <v>139051.72</v>
      </c>
      <c r="AC102" s="478">
        <f t="shared" si="44"/>
        <v>0</v>
      </c>
      <c r="AD102" s="522">
        <f>SUM(AD103:AD104)</f>
        <v>1749483.6400000001</v>
      </c>
      <c r="AE102" s="522">
        <f>SUM(AE103:AE104)</f>
        <v>661590.33000000007</v>
      </c>
      <c r="AF102" s="522">
        <f>SUM(AF103:AF104)</f>
        <v>1749483.6400000001</v>
      </c>
      <c r="AG102" s="522">
        <f t="shared" si="45"/>
        <v>0</v>
      </c>
      <c r="AH102" s="523">
        <f>SUM(AH103:AH104)</f>
        <v>1710715.62</v>
      </c>
      <c r="AI102" s="523">
        <f>SUM(AI103:AI104)</f>
        <v>1860927.02</v>
      </c>
      <c r="AJ102" s="523">
        <f>SUM(AJ103:AJ104)</f>
        <v>1934433</v>
      </c>
      <c r="AK102" s="525"/>
    </row>
    <row r="103" spans="1:37" ht="16.5" thickTop="1" thickBot="1" x14ac:dyDescent="0.25">
      <c r="A103" s="491"/>
      <c r="B103" s="492"/>
      <c r="C103" s="493"/>
      <c r="D103" s="493">
        <v>1</v>
      </c>
      <c r="E103" s="494">
        <v>430601</v>
      </c>
      <c r="F103" s="495" t="s">
        <v>522</v>
      </c>
      <c r="G103" s="498">
        <v>922635.89</v>
      </c>
      <c r="H103" s="497">
        <f>1000+97513.6+800000</f>
        <v>898513.6</v>
      </c>
      <c r="I103" s="497">
        <f>1000+97513.6+800000</f>
        <v>898513.6</v>
      </c>
      <c r="J103" s="498">
        <v>898513.6</v>
      </c>
      <c r="K103" s="526">
        <v>99368.639999999999</v>
      </c>
      <c r="L103" s="526">
        <v>76730.22</v>
      </c>
      <c r="M103" s="526">
        <v>68983.740000000005</v>
      </c>
      <c r="N103" s="526">
        <v>15626.52</v>
      </c>
      <c r="O103" s="581">
        <v>23773.75</v>
      </c>
      <c r="P103" s="506">
        <v>54020.02</v>
      </c>
      <c r="Q103" s="527">
        <v>30679.26</v>
      </c>
      <c r="R103" s="527">
        <v>61106.87799999999</v>
      </c>
      <c r="S103" s="527">
        <v>67791.16399999999</v>
      </c>
      <c r="T103" s="527">
        <v>81362.946000000011</v>
      </c>
      <c r="U103" s="527">
        <v>94676.648000000001</v>
      </c>
      <c r="V103" s="527">
        <v>113039.05200000001</v>
      </c>
      <c r="W103" s="508">
        <v>787158.83</v>
      </c>
      <c r="X103" s="498">
        <f>W103</f>
        <v>787158.83</v>
      </c>
      <c r="Y103" s="500">
        <v>1092582.6200000001</v>
      </c>
      <c r="Z103" s="501">
        <v>952160.24</v>
      </c>
      <c r="AA103" s="501">
        <v>98565.119999999995</v>
      </c>
      <c r="AB103" s="512">
        <v>72990.720000000001</v>
      </c>
      <c r="AC103" s="478">
        <f t="shared" si="44"/>
        <v>0</v>
      </c>
      <c r="AD103" s="509">
        <f>Y103</f>
        <v>1092582.6200000001</v>
      </c>
      <c r="AE103" s="510">
        <v>315809.28000000003</v>
      </c>
      <c r="AF103" s="502">
        <v>1092582.6200000001</v>
      </c>
      <c r="AG103" s="509">
        <f t="shared" si="45"/>
        <v>0</v>
      </c>
      <c r="AH103" s="503">
        <v>1092582.6200000001</v>
      </c>
      <c r="AI103" s="503">
        <v>1145023.1000000001</v>
      </c>
      <c r="AJ103" s="503">
        <v>1190251</v>
      </c>
      <c r="AK103" s="472">
        <v>1100122</v>
      </c>
    </row>
    <row r="104" spans="1:37" ht="16.5" thickTop="1" thickBot="1" x14ac:dyDescent="0.25">
      <c r="A104" s="491"/>
      <c r="B104" s="492"/>
      <c r="C104" s="493"/>
      <c r="D104" s="493">
        <v>2</v>
      </c>
      <c r="E104" s="494">
        <v>430602</v>
      </c>
      <c r="F104" s="495" t="s">
        <v>523</v>
      </c>
      <c r="G104" s="498">
        <v>636532</v>
      </c>
      <c r="H104" s="497">
        <v>700000</v>
      </c>
      <c r="I104" s="497">
        <v>700000</v>
      </c>
      <c r="J104" s="498">
        <v>800000</v>
      </c>
      <c r="K104" s="526">
        <v>126213</v>
      </c>
      <c r="L104" s="531">
        <v>40043</v>
      </c>
      <c r="M104" s="526">
        <v>46055</v>
      </c>
      <c r="N104" s="526">
        <v>56600</v>
      </c>
      <c r="O104" s="581">
        <v>25394</v>
      </c>
      <c r="P104" s="506">
        <v>46488</v>
      </c>
      <c r="Q104" s="527">
        <v>21196</v>
      </c>
      <c r="R104" s="527">
        <v>35367.5</v>
      </c>
      <c r="S104" s="527">
        <v>41464.65</v>
      </c>
      <c r="T104" s="527">
        <v>52485.3</v>
      </c>
      <c r="U104" s="527">
        <v>48948.6</v>
      </c>
      <c r="V104" s="527">
        <v>28489.200000000001</v>
      </c>
      <c r="W104" s="508">
        <f>SUM(K104:V104)</f>
        <v>568744.25</v>
      </c>
      <c r="X104" s="498">
        <f>W104</f>
        <v>568744.25</v>
      </c>
      <c r="Y104" s="500">
        <v>618133</v>
      </c>
      <c r="Z104" s="501">
        <v>656901.02</v>
      </c>
      <c r="AA104" s="501">
        <v>139567</v>
      </c>
      <c r="AB104" s="512">
        <v>66061</v>
      </c>
      <c r="AC104" s="478">
        <f t="shared" si="44"/>
        <v>0</v>
      </c>
      <c r="AD104" s="509">
        <f>Z104</f>
        <v>656901.02</v>
      </c>
      <c r="AE104" s="510">
        <v>345781.05</v>
      </c>
      <c r="AF104" s="502">
        <v>656901.02</v>
      </c>
      <c r="AG104" s="509">
        <f t="shared" si="45"/>
        <v>0</v>
      </c>
      <c r="AH104" s="503">
        <v>618133</v>
      </c>
      <c r="AI104" s="503">
        <v>715903.92</v>
      </c>
      <c r="AJ104" s="503">
        <v>744182</v>
      </c>
      <c r="AK104" s="472">
        <v>1100122</v>
      </c>
    </row>
    <row r="105" spans="1:37" ht="15.75" thickTop="1" thickBot="1" x14ac:dyDescent="0.25">
      <c r="A105" s="516"/>
      <c r="B105" s="517"/>
      <c r="C105" s="518">
        <v>7</v>
      </c>
      <c r="D105" s="518"/>
      <c r="E105" s="518"/>
      <c r="F105" s="520" t="s">
        <v>524</v>
      </c>
      <c r="G105" s="474">
        <f t="shared" ref="G105:AB105" si="52">G106</f>
        <v>28865.09</v>
      </c>
      <c r="H105" s="475">
        <f t="shared" si="52"/>
        <v>40000</v>
      </c>
      <c r="I105" s="475">
        <f t="shared" si="52"/>
        <v>40000</v>
      </c>
      <c r="J105" s="474">
        <f t="shared" si="52"/>
        <v>40000</v>
      </c>
      <c r="K105" s="474">
        <f t="shared" si="52"/>
        <v>0</v>
      </c>
      <c r="L105" s="474">
        <f t="shared" si="52"/>
        <v>0</v>
      </c>
      <c r="M105" s="474">
        <f t="shared" si="52"/>
        <v>36895.69</v>
      </c>
      <c r="N105" s="474">
        <f t="shared" si="52"/>
        <v>0</v>
      </c>
      <c r="O105" s="474">
        <f t="shared" si="52"/>
        <v>0</v>
      </c>
      <c r="P105" s="474">
        <f t="shared" si="52"/>
        <v>0</v>
      </c>
      <c r="Q105" s="474">
        <f t="shared" si="52"/>
        <v>0</v>
      </c>
      <c r="R105" s="474">
        <f t="shared" si="52"/>
        <v>0</v>
      </c>
      <c r="S105" s="474">
        <f t="shared" si="52"/>
        <v>0</v>
      </c>
      <c r="T105" s="474">
        <f t="shared" si="52"/>
        <v>0</v>
      </c>
      <c r="U105" s="474">
        <f t="shared" si="52"/>
        <v>0</v>
      </c>
      <c r="V105" s="474">
        <f t="shared" si="52"/>
        <v>0</v>
      </c>
      <c r="W105" s="522">
        <f t="shared" si="52"/>
        <v>36895.69</v>
      </c>
      <c r="X105" s="524">
        <f t="shared" si="52"/>
        <v>36895.69</v>
      </c>
      <c r="Y105" s="523">
        <f t="shared" si="52"/>
        <v>36895.69</v>
      </c>
      <c r="Z105" s="524">
        <f t="shared" si="52"/>
        <v>36895.69</v>
      </c>
      <c r="AA105" s="524">
        <f t="shared" si="52"/>
        <v>0</v>
      </c>
      <c r="AB105" s="524">
        <f t="shared" si="52"/>
        <v>0</v>
      </c>
      <c r="AC105" s="478">
        <f t="shared" si="44"/>
        <v>0</v>
      </c>
      <c r="AD105" s="522">
        <f>AD106</f>
        <v>36895.69</v>
      </c>
      <c r="AE105" s="522">
        <f>AE106</f>
        <v>0</v>
      </c>
      <c r="AF105" s="522">
        <f>AF106</f>
        <v>36895.69</v>
      </c>
      <c r="AG105" s="522">
        <f t="shared" si="45"/>
        <v>0</v>
      </c>
      <c r="AH105" s="523">
        <f>AH106</f>
        <v>36895.69</v>
      </c>
      <c r="AI105" s="523">
        <f>AI106</f>
        <v>0</v>
      </c>
      <c r="AJ105" s="523">
        <f>AJ106</f>
        <v>0</v>
      </c>
      <c r="AK105" s="525"/>
    </row>
    <row r="106" spans="1:37" ht="16.5" thickTop="1" thickBot="1" x14ac:dyDescent="0.25">
      <c r="A106" s="491"/>
      <c r="B106" s="492"/>
      <c r="C106" s="493"/>
      <c r="D106" s="493">
        <v>1</v>
      </c>
      <c r="E106" s="570">
        <v>430701</v>
      </c>
      <c r="F106" s="495" t="s">
        <v>525</v>
      </c>
      <c r="G106" s="498">
        <v>28865.09</v>
      </c>
      <c r="H106" s="497">
        <v>40000</v>
      </c>
      <c r="I106" s="497">
        <v>40000</v>
      </c>
      <c r="J106" s="498">
        <v>40000</v>
      </c>
      <c r="K106" s="498">
        <v>0</v>
      </c>
      <c r="L106" s="531">
        <v>0</v>
      </c>
      <c r="M106" s="526">
        <v>36895.69</v>
      </c>
      <c r="N106" s="526">
        <v>0</v>
      </c>
      <c r="O106" s="526"/>
      <c r="P106" s="506">
        <v>0</v>
      </c>
      <c r="Q106" s="526">
        <v>0</v>
      </c>
      <c r="R106" s="526">
        <v>0</v>
      </c>
      <c r="S106" s="526">
        <v>0</v>
      </c>
      <c r="T106" s="526">
        <v>0</v>
      </c>
      <c r="U106" s="526">
        <v>0</v>
      </c>
      <c r="V106" s="526">
        <v>0</v>
      </c>
      <c r="W106" s="508">
        <f>SUM(K106:V106)</f>
        <v>36895.69</v>
      </c>
      <c r="X106" s="498">
        <f>W106</f>
        <v>36895.69</v>
      </c>
      <c r="Y106" s="500">
        <v>36895.69</v>
      </c>
      <c r="Z106" s="501">
        <v>36895.69</v>
      </c>
      <c r="AA106" s="501">
        <v>0</v>
      </c>
      <c r="AB106" s="501">
        <v>0</v>
      </c>
      <c r="AC106" s="478">
        <f t="shared" si="44"/>
        <v>0</v>
      </c>
      <c r="AD106" s="509">
        <f>Z106</f>
        <v>36895.69</v>
      </c>
      <c r="AE106" s="510">
        <v>0</v>
      </c>
      <c r="AF106" s="502">
        <v>36895.69</v>
      </c>
      <c r="AG106" s="509">
        <f t="shared" si="45"/>
        <v>0</v>
      </c>
      <c r="AH106" s="503">
        <v>36895.69</v>
      </c>
      <c r="AI106" s="503">
        <v>0</v>
      </c>
      <c r="AJ106" s="503">
        <v>0</v>
      </c>
      <c r="AK106" s="472">
        <v>1100122</v>
      </c>
    </row>
    <row r="107" spans="1:37" ht="15.75" thickTop="1" thickBot="1" x14ac:dyDescent="0.25">
      <c r="A107" s="516"/>
      <c r="B107" s="517"/>
      <c r="C107" s="518">
        <v>8</v>
      </c>
      <c r="D107" s="518"/>
      <c r="E107" s="519"/>
      <c r="F107" s="520" t="s">
        <v>526</v>
      </c>
      <c r="G107" s="474">
        <f t="shared" ref="G107:AB107" si="53">G108</f>
        <v>501659.57</v>
      </c>
      <c r="H107" s="475">
        <f t="shared" si="53"/>
        <v>601035.6</v>
      </c>
      <c r="I107" s="475">
        <f t="shared" si="53"/>
        <v>601035.6</v>
      </c>
      <c r="J107" s="474">
        <f t="shared" si="53"/>
        <v>601035.6</v>
      </c>
      <c r="K107" s="474">
        <f t="shared" si="53"/>
        <v>59630.879999999997</v>
      </c>
      <c r="L107" s="475">
        <f t="shared" si="53"/>
        <v>35274.639999999999</v>
      </c>
      <c r="M107" s="475">
        <f t="shared" si="53"/>
        <v>51480.85</v>
      </c>
      <c r="N107" s="475">
        <f t="shared" si="53"/>
        <v>8160.09</v>
      </c>
      <c r="O107" s="475">
        <f t="shared" si="53"/>
        <v>4560.9799999999996</v>
      </c>
      <c r="P107" s="475">
        <f t="shared" si="53"/>
        <v>7887.76</v>
      </c>
      <c r="Q107" s="475">
        <f t="shared" si="53"/>
        <v>25000</v>
      </c>
      <c r="R107" s="475">
        <f t="shared" si="53"/>
        <v>30000</v>
      </c>
      <c r="S107" s="475">
        <f t="shared" si="53"/>
        <v>30000</v>
      </c>
      <c r="T107" s="475">
        <f t="shared" si="53"/>
        <v>30000</v>
      </c>
      <c r="U107" s="475">
        <f t="shared" si="53"/>
        <v>20000</v>
      </c>
      <c r="V107" s="475">
        <f t="shared" si="53"/>
        <v>20000</v>
      </c>
      <c r="W107" s="522">
        <f t="shared" si="53"/>
        <v>321995.2</v>
      </c>
      <c r="X107" s="524">
        <f t="shared" si="53"/>
        <v>321995.2</v>
      </c>
      <c r="Y107" s="523">
        <f t="shared" si="53"/>
        <v>346197.2</v>
      </c>
      <c r="Z107" s="524">
        <f t="shared" si="53"/>
        <v>321995.2</v>
      </c>
      <c r="AA107" s="524">
        <f t="shared" si="53"/>
        <v>27031.07</v>
      </c>
      <c r="AB107" s="524">
        <f t="shared" si="53"/>
        <v>52439.87</v>
      </c>
      <c r="AC107" s="478">
        <f t="shared" si="44"/>
        <v>0</v>
      </c>
      <c r="AD107" s="522">
        <f>AD108</f>
        <v>358314.10199999996</v>
      </c>
      <c r="AE107" s="522">
        <f>AE108</f>
        <v>185485.07</v>
      </c>
      <c r="AF107" s="522">
        <f>AF108</f>
        <v>358314.1</v>
      </c>
      <c r="AG107" s="522">
        <f t="shared" si="45"/>
        <v>-1.9999999785795808E-3</v>
      </c>
      <c r="AH107" s="523">
        <f>AH108</f>
        <v>346197.2</v>
      </c>
      <c r="AI107" s="523">
        <f>AI108</f>
        <v>528543.27</v>
      </c>
      <c r="AJ107" s="523">
        <f>AJ108</f>
        <v>549420</v>
      </c>
      <c r="AK107" s="525"/>
    </row>
    <row r="108" spans="1:37" ht="16.5" thickTop="1" thickBot="1" x14ac:dyDescent="0.25">
      <c r="A108" s="491"/>
      <c r="B108" s="492"/>
      <c r="C108" s="493"/>
      <c r="D108" s="493">
        <v>1</v>
      </c>
      <c r="E108" s="494">
        <v>430801</v>
      </c>
      <c r="F108" s="495" t="s">
        <v>527</v>
      </c>
      <c r="G108" s="498">
        <v>501659.57</v>
      </c>
      <c r="H108" s="497">
        <v>601035.6</v>
      </c>
      <c r="I108" s="497">
        <v>601035.6</v>
      </c>
      <c r="J108" s="498">
        <v>601035.6</v>
      </c>
      <c r="K108" s="526">
        <v>59630.879999999997</v>
      </c>
      <c r="L108" s="531">
        <v>35274.639999999999</v>
      </c>
      <c r="M108" s="526">
        <v>51480.85</v>
      </c>
      <c r="N108" s="526">
        <v>8160.09</v>
      </c>
      <c r="O108" s="581">
        <v>4560.9799999999996</v>
      </c>
      <c r="P108" s="506">
        <v>7887.76</v>
      </c>
      <c r="Q108" s="527">
        <v>25000</v>
      </c>
      <c r="R108" s="527">
        <v>30000</v>
      </c>
      <c r="S108" s="527">
        <v>30000</v>
      </c>
      <c r="T108" s="527">
        <v>30000</v>
      </c>
      <c r="U108" s="527">
        <v>20000</v>
      </c>
      <c r="V108" s="527">
        <v>20000</v>
      </c>
      <c r="W108" s="508">
        <f>SUM(K108:V108)</f>
        <v>321995.2</v>
      </c>
      <c r="X108" s="498">
        <f>W108</f>
        <v>321995.2</v>
      </c>
      <c r="Y108" s="500">
        <v>346197.2</v>
      </c>
      <c r="Z108" s="501">
        <v>321995.2</v>
      </c>
      <c r="AA108" s="501">
        <v>27031.07</v>
      </c>
      <c r="AB108" s="512">
        <v>52439.87</v>
      </c>
      <c r="AC108" s="478">
        <f t="shared" si="44"/>
        <v>0</v>
      </c>
      <c r="AD108" s="509">
        <f>Y108*1.035</f>
        <v>358314.10199999996</v>
      </c>
      <c r="AE108" s="510">
        <v>185485.07</v>
      </c>
      <c r="AF108" s="502">
        <v>358314.1</v>
      </c>
      <c r="AG108" s="509">
        <f t="shared" si="45"/>
        <v>-1.9999999785795808E-3</v>
      </c>
      <c r="AH108" s="503">
        <v>346197.2</v>
      </c>
      <c r="AI108" s="503">
        <v>528543.27</v>
      </c>
      <c r="AJ108" s="503">
        <v>549420</v>
      </c>
      <c r="AK108" s="472">
        <v>1100122</v>
      </c>
    </row>
    <row r="109" spans="1:37" ht="15.75" thickTop="1" thickBot="1" x14ac:dyDescent="0.25">
      <c r="A109" s="516"/>
      <c r="B109" s="517"/>
      <c r="C109" s="518">
        <v>9</v>
      </c>
      <c r="D109" s="518"/>
      <c r="E109" s="519"/>
      <c r="F109" s="520" t="s">
        <v>528</v>
      </c>
      <c r="G109" s="474">
        <f t="shared" ref="G109:AB109" si="54">G110+G111+G112</f>
        <v>1814275.07</v>
      </c>
      <c r="H109" s="497">
        <f t="shared" si="54"/>
        <v>1900000</v>
      </c>
      <c r="I109" s="497">
        <f t="shared" si="54"/>
        <v>1900000</v>
      </c>
      <c r="J109" s="475">
        <f t="shared" si="54"/>
        <v>1900000</v>
      </c>
      <c r="K109" s="498">
        <f t="shared" si="54"/>
        <v>129753.62000000001</v>
      </c>
      <c r="L109" s="475">
        <f t="shared" si="54"/>
        <v>147088.09</v>
      </c>
      <c r="M109" s="475">
        <f t="shared" si="54"/>
        <v>149617.44999999998</v>
      </c>
      <c r="N109" s="475">
        <f t="shared" si="54"/>
        <v>0</v>
      </c>
      <c r="O109" s="475">
        <f t="shared" si="54"/>
        <v>4851.87</v>
      </c>
      <c r="P109" s="475">
        <f t="shared" si="54"/>
        <v>125099.32999999999</v>
      </c>
      <c r="Q109" s="475">
        <f t="shared" si="54"/>
        <v>0</v>
      </c>
      <c r="R109" s="475">
        <f t="shared" si="54"/>
        <v>0</v>
      </c>
      <c r="S109" s="475">
        <f t="shared" si="54"/>
        <v>164275.81</v>
      </c>
      <c r="T109" s="475">
        <f t="shared" si="54"/>
        <v>201580.96000000002</v>
      </c>
      <c r="U109" s="475">
        <f t="shared" si="54"/>
        <v>142623.53</v>
      </c>
      <c r="V109" s="475">
        <f t="shared" si="54"/>
        <v>90216.01</v>
      </c>
      <c r="W109" s="522">
        <f t="shared" si="54"/>
        <v>1155106.6700000002</v>
      </c>
      <c r="X109" s="524">
        <f t="shared" si="54"/>
        <v>1155106.6700000002</v>
      </c>
      <c r="Y109" s="523">
        <f t="shared" si="54"/>
        <v>1476282</v>
      </c>
      <c r="Z109" s="524">
        <f t="shared" si="54"/>
        <v>1930000</v>
      </c>
      <c r="AA109" s="524">
        <f t="shared" si="54"/>
        <v>128213.34999999999</v>
      </c>
      <c r="AB109" s="524">
        <f t="shared" si="54"/>
        <v>162148.06000000003</v>
      </c>
      <c r="AC109" s="478">
        <f t="shared" si="44"/>
        <v>0</v>
      </c>
      <c r="AD109" s="522">
        <f>AD110+AD111+AD112</f>
        <v>1930000</v>
      </c>
      <c r="AE109" s="522">
        <f>AE110+AE111+AE112</f>
        <v>678033.31</v>
      </c>
      <c r="AF109" s="522">
        <f>AF110+AF111+AF112</f>
        <v>1930000</v>
      </c>
      <c r="AG109" s="522">
        <f t="shared" si="45"/>
        <v>0</v>
      </c>
      <c r="AH109" s="523">
        <f>AH110+AH111+AH112</f>
        <v>1476282</v>
      </c>
      <c r="AI109" s="523">
        <f>AI110+AI111+AI112</f>
        <v>2012065.3499999999</v>
      </c>
      <c r="AJ109" s="523">
        <f>AJ110+AJ111+AJ112</f>
        <v>2091540</v>
      </c>
      <c r="AK109" s="525"/>
    </row>
    <row r="110" spans="1:37" ht="16.5" thickTop="1" thickBot="1" x14ac:dyDescent="0.25">
      <c r="A110" s="491"/>
      <c r="B110" s="492"/>
      <c r="C110" s="493"/>
      <c r="D110" s="493">
        <v>1</v>
      </c>
      <c r="E110" s="494">
        <v>430901</v>
      </c>
      <c r="F110" s="495" t="s">
        <v>529</v>
      </c>
      <c r="G110" s="498">
        <v>1626407.15</v>
      </c>
      <c r="H110" s="497">
        <v>1700000</v>
      </c>
      <c r="I110" s="497">
        <v>1700000</v>
      </c>
      <c r="J110" s="498">
        <v>1700000</v>
      </c>
      <c r="K110" s="526">
        <v>117237.11</v>
      </c>
      <c r="L110" s="526">
        <v>122902.43</v>
      </c>
      <c r="M110" s="526">
        <v>129126.9</v>
      </c>
      <c r="N110" s="526">
        <v>0</v>
      </c>
      <c r="O110" s="581">
        <v>3592.77</v>
      </c>
      <c r="P110" s="506">
        <v>120062.93</v>
      </c>
      <c r="Q110" s="527">
        <v>0</v>
      </c>
      <c r="R110" s="527">
        <v>0</v>
      </c>
      <c r="S110" s="527">
        <v>152131.72</v>
      </c>
      <c r="T110" s="527">
        <v>169669.14</v>
      </c>
      <c r="U110" s="527">
        <v>127915.67</v>
      </c>
      <c r="V110" s="527">
        <v>87399.19</v>
      </c>
      <c r="W110" s="508">
        <f>SUM(K110:V110)</f>
        <v>1030037.8600000001</v>
      </c>
      <c r="X110" s="498">
        <f>W110</f>
        <v>1030037.8600000001</v>
      </c>
      <c r="Y110" s="500">
        <v>1369578.98</v>
      </c>
      <c r="Z110" s="501">
        <v>1780000</v>
      </c>
      <c r="AA110" s="501">
        <v>119929.19</v>
      </c>
      <c r="AB110" s="512">
        <v>144741.38</v>
      </c>
      <c r="AC110" s="478">
        <f t="shared" si="44"/>
        <v>0</v>
      </c>
      <c r="AD110" s="509">
        <f>Z110</f>
        <v>1780000</v>
      </c>
      <c r="AE110" s="510">
        <v>617737.12</v>
      </c>
      <c r="AF110" s="502">
        <v>1780000</v>
      </c>
      <c r="AG110" s="509">
        <f t="shared" si="45"/>
        <v>0</v>
      </c>
      <c r="AH110" s="503">
        <v>1369578.98</v>
      </c>
      <c r="AI110" s="503">
        <v>1911216.27</v>
      </c>
      <c r="AJ110" s="503">
        <v>1986709</v>
      </c>
      <c r="AK110" s="472">
        <v>1100122</v>
      </c>
    </row>
    <row r="111" spans="1:37" ht="16.5" thickTop="1" thickBot="1" x14ac:dyDescent="0.25">
      <c r="A111" s="491"/>
      <c r="B111" s="492"/>
      <c r="C111" s="493"/>
      <c r="D111" s="493">
        <v>2</v>
      </c>
      <c r="E111" s="494">
        <v>430902</v>
      </c>
      <c r="F111" s="495" t="s">
        <v>530</v>
      </c>
      <c r="G111" s="498">
        <v>137987.87</v>
      </c>
      <c r="H111" s="497">
        <v>150000</v>
      </c>
      <c r="I111" s="497">
        <v>150000</v>
      </c>
      <c r="J111" s="498">
        <v>150000</v>
      </c>
      <c r="K111" s="526">
        <v>11886.96</v>
      </c>
      <c r="L111" s="526">
        <v>5299.16</v>
      </c>
      <c r="M111" s="526">
        <v>7270</v>
      </c>
      <c r="N111" s="526">
        <v>0</v>
      </c>
      <c r="O111" s="526"/>
      <c r="P111" s="506">
        <v>0</v>
      </c>
      <c r="Q111" s="527">
        <v>0</v>
      </c>
      <c r="R111" s="527">
        <v>0</v>
      </c>
      <c r="S111" s="527">
        <v>12144.09</v>
      </c>
      <c r="T111" s="527">
        <v>13055.76</v>
      </c>
      <c r="U111" s="527">
        <v>12883.08</v>
      </c>
      <c r="V111" s="527">
        <v>992.04</v>
      </c>
      <c r="W111" s="508">
        <f>SUM(K111:V111)</f>
        <v>63531.090000000004</v>
      </c>
      <c r="X111" s="498">
        <f>W111</f>
        <v>63531.090000000004</v>
      </c>
      <c r="Y111" s="500">
        <v>37452.519999999997</v>
      </c>
      <c r="Z111" s="501">
        <v>75000</v>
      </c>
      <c r="AA111" s="501">
        <v>1768.76</v>
      </c>
      <c r="AB111" s="512">
        <v>1768.76</v>
      </c>
      <c r="AC111" s="478">
        <f t="shared" si="44"/>
        <v>0</v>
      </c>
      <c r="AD111" s="509">
        <f>Z111</f>
        <v>75000</v>
      </c>
      <c r="AE111" s="510">
        <v>12731.25</v>
      </c>
      <c r="AF111" s="502">
        <v>75000</v>
      </c>
      <c r="AG111" s="509">
        <f t="shared" si="45"/>
        <v>0</v>
      </c>
      <c r="AH111" s="503">
        <v>37452.519999999997</v>
      </c>
      <c r="AI111" s="503">
        <v>31892.149999999998</v>
      </c>
      <c r="AJ111" s="503">
        <v>33151</v>
      </c>
      <c r="AK111" s="472">
        <v>1100122</v>
      </c>
    </row>
    <row r="112" spans="1:37" ht="16.5" thickTop="1" thickBot="1" x14ac:dyDescent="0.25">
      <c r="A112" s="491"/>
      <c r="B112" s="492"/>
      <c r="C112" s="493"/>
      <c r="D112" s="493">
        <v>3</v>
      </c>
      <c r="E112" s="494">
        <v>430903</v>
      </c>
      <c r="F112" s="495" t="s">
        <v>531</v>
      </c>
      <c r="G112" s="498">
        <v>49880.05</v>
      </c>
      <c r="H112" s="497">
        <v>50000</v>
      </c>
      <c r="I112" s="497">
        <v>50000</v>
      </c>
      <c r="J112" s="498">
        <v>50000</v>
      </c>
      <c r="K112" s="526">
        <v>629.54999999999995</v>
      </c>
      <c r="L112" s="531">
        <v>18886.5</v>
      </c>
      <c r="M112" s="526">
        <v>13220.55</v>
      </c>
      <c r="N112" s="526">
        <v>0</v>
      </c>
      <c r="O112" s="581">
        <v>1259.0999999999999</v>
      </c>
      <c r="P112" s="506">
        <v>5036.3999999999996</v>
      </c>
      <c r="Q112" s="527">
        <v>0</v>
      </c>
      <c r="R112" s="527">
        <v>0</v>
      </c>
      <c r="S112" s="527">
        <v>0</v>
      </c>
      <c r="T112" s="527">
        <v>18856.060000000001</v>
      </c>
      <c r="U112" s="527">
        <v>1824.78</v>
      </c>
      <c r="V112" s="527">
        <v>1824.78</v>
      </c>
      <c r="W112" s="508">
        <f>SUM(K112:V112)</f>
        <v>61537.72</v>
      </c>
      <c r="X112" s="498">
        <f>W112</f>
        <v>61537.72</v>
      </c>
      <c r="Y112" s="500">
        <v>69250.5</v>
      </c>
      <c r="Z112" s="501">
        <v>75000</v>
      </c>
      <c r="AA112" s="501">
        <v>6515.4</v>
      </c>
      <c r="AB112" s="512">
        <v>15637.92</v>
      </c>
      <c r="AC112" s="478">
        <f t="shared" si="44"/>
        <v>0</v>
      </c>
      <c r="AD112" s="509">
        <f>Z112</f>
        <v>75000</v>
      </c>
      <c r="AE112" s="510">
        <v>47564.94</v>
      </c>
      <c r="AF112" s="502">
        <v>75000</v>
      </c>
      <c r="AG112" s="509">
        <f t="shared" si="45"/>
        <v>0</v>
      </c>
      <c r="AH112" s="503">
        <v>69250.5</v>
      </c>
      <c r="AI112" s="503">
        <v>68956.929999999993</v>
      </c>
      <c r="AJ112" s="503">
        <v>71680</v>
      </c>
      <c r="AK112" s="472">
        <v>1100122</v>
      </c>
    </row>
    <row r="113" spans="1:37" ht="27" thickTop="1" thickBot="1" x14ac:dyDescent="0.25">
      <c r="A113" s="516"/>
      <c r="B113" s="517"/>
      <c r="C113" s="518">
        <v>10</v>
      </c>
      <c r="D113" s="518"/>
      <c r="E113" s="519"/>
      <c r="F113" s="520" t="s">
        <v>532</v>
      </c>
      <c r="G113" s="474">
        <f>G114+G115+G116+G117+G118+G119+G120</f>
        <v>9810732.6699999999</v>
      </c>
      <c r="H113" s="475">
        <f>H114+H115+H116+H117+H118+H119+H120</f>
        <v>22131281</v>
      </c>
      <c r="I113" s="474">
        <f>I115+I116+I117+I118+I119+I120+I114</f>
        <v>22131281</v>
      </c>
      <c r="J113" s="474">
        <f t="shared" ref="J113:AB113" si="55">J114+J115+J116+J117+J118+J119+J120</f>
        <v>22531281</v>
      </c>
      <c r="K113" s="475">
        <f t="shared" si="55"/>
        <v>769558.34</v>
      </c>
      <c r="L113" s="475">
        <f t="shared" si="55"/>
        <v>1839989.18</v>
      </c>
      <c r="M113" s="475">
        <f t="shared" si="55"/>
        <v>3637334.7200000007</v>
      </c>
      <c r="N113" s="475">
        <f t="shared" si="55"/>
        <v>209855.76</v>
      </c>
      <c r="O113" s="475">
        <f t="shared" si="55"/>
        <v>3098314.5599999996</v>
      </c>
      <c r="P113" s="475">
        <f t="shared" si="55"/>
        <v>1117091.19</v>
      </c>
      <c r="Q113" s="475">
        <f t="shared" si="55"/>
        <v>289094.39607999998</v>
      </c>
      <c r="R113" s="475">
        <f t="shared" si="55"/>
        <v>469377.73839999997</v>
      </c>
      <c r="S113" s="475">
        <f t="shared" si="55"/>
        <v>383783.68624000001</v>
      </c>
      <c r="T113" s="475">
        <f t="shared" si="55"/>
        <v>993700.55960000004</v>
      </c>
      <c r="U113" s="475">
        <f t="shared" si="55"/>
        <v>1155924.3216799998</v>
      </c>
      <c r="V113" s="475">
        <f t="shared" si="55"/>
        <v>1252440.9146400001</v>
      </c>
      <c r="W113" s="522">
        <f t="shared" si="55"/>
        <v>7774065.0599999996</v>
      </c>
      <c r="X113" s="524">
        <f t="shared" si="55"/>
        <v>7774065.0599999996</v>
      </c>
      <c r="Y113" s="523">
        <f t="shared" si="55"/>
        <v>10445471.890000001</v>
      </c>
      <c r="Z113" s="524">
        <f t="shared" si="55"/>
        <v>8046157.3399999999</v>
      </c>
      <c r="AA113" s="524">
        <f t="shared" si="55"/>
        <v>310830.88</v>
      </c>
      <c r="AB113" s="524">
        <f t="shared" si="55"/>
        <v>694405.2</v>
      </c>
      <c r="AC113" s="478">
        <f t="shared" si="44"/>
        <v>0</v>
      </c>
      <c r="AD113" s="522">
        <f>AD114+AD115+AD116+AD117+AD118+AD119+AD120</f>
        <v>10762989.6645</v>
      </c>
      <c r="AE113" s="522">
        <f>AE114+AE115+AE116+AE117+AE118+AE119+AE120</f>
        <v>2468637.33</v>
      </c>
      <c r="AF113" s="522">
        <f>AF114+AF115+AF116+AF117+AF118+AF119+AF120</f>
        <v>11262989.27</v>
      </c>
      <c r="AG113" s="522">
        <f t="shared" si="45"/>
        <v>499999.6054999996</v>
      </c>
      <c r="AH113" s="523">
        <f>AH114+AH115+AH116+AH117+AH118+AH119+AH120</f>
        <v>10445471.890000001</v>
      </c>
      <c r="AI113" s="523">
        <f>AI114+AI115+AI116+AI117+AI118+AI119+AI120</f>
        <v>8296732.8133333344</v>
      </c>
      <c r="AJ113" s="523">
        <f>AJ114+AJ115+AJ116+AJ117+AJ118+AJ119+AJ120+AJ121+AJ122</f>
        <v>9527775</v>
      </c>
      <c r="AK113" s="525"/>
    </row>
    <row r="114" spans="1:37" ht="16.5" thickTop="1" thickBot="1" x14ac:dyDescent="0.25">
      <c r="A114" s="491"/>
      <c r="B114" s="492"/>
      <c r="C114" s="493"/>
      <c r="D114" s="493">
        <v>1</v>
      </c>
      <c r="E114" s="570">
        <v>431001</v>
      </c>
      <c r="F114" s="589" t="s">
        <v>443</v>
      </c>
      <c r="G114" s="498"/>
      <c r="H114" s="497">
        <f>11179281-800000</f>
        <v>10379281</v>
      </c>
      <c r="I114" s="497">
        <f>11179281-800000</f>
        <v>10379281</v>
      </c>
      <c r="J114" s="498">
        <f>11179281-800000</f>
        <v>10379281</v>
      </c>
      <c r="K114" s="496">
        <v>0</v>
      </c>
      <c r="L114" s="526">
        <v>376896.34</v>
      </c>
      <c r="M114" s="526">
        <v>3321198.18</v>
      </c>
      <c r="N114" s="526">
        <v>0</v>
      </c>
      <c r="O114" s="581">
        <v>2636458.62</v>
      </c>
      <c r="P114" s="506">
        <v>107847.16</v>
      </c>
      <c r="Q114" s="527">
        <v>0</v>
      </c>
      <c r="R114" s="527">
        <v>0</v>
      </c>
      <c r="S114" s="527">
        <v>0</v>
      </c>
      <c r="T114" s="527">
        <v>300000</v>
      </c>
      <c r="U114" s="527">
        <v>300000</v>
      </c>
      <c r="V114" s="527">
        <v>400000</v>
      </c>
      <c r="W114" s="560">
        <v>0</v>
      </c>
      <c r="X114" s="498">
        <f t="shared" ref="X114:X120" si="56">W114</f>
        <v>0</v>
      </c>
      <c r="Y114" s="500"/>
      <c r="Z114" s="498"/>
      <c r="AA114" s="498"/>
      <c r="AB114" s="498"/>
      <c r="AC114" s="478">
        <f t="shared" si="44"/>
        <v>0</v>
      </c>
      <c r="AD114" s="498"/>
      <c r="AE114" s="569"/>
      <c r="AF114" s="498"/>
      <c r="AG114" s="498">
        <f t="shared" si="45"/>
        <v>0</v>
      </c>
      <c r="AH114" s="500"/>
      <c r="AI114" s="500"/>
      <c r="AJ114" s="523"/>
      <c r="AK114" s="472"/>
    </row>
    <row r="115" spans="1:37" ht="16.5" thickTop="1" thickBot="1" x14ac:dyDescent="0.25">
      <c r="A115" s="491"/>
      <c r="B115" s="492"/>
      <c r="C115" s="493"/>
      <c r="D115" s="493">
        <v>2</v>
      </c>
      <c r="E115" s="570">
        <v>431002</v>
      </c>
      <c r="F115" s="495" t="s">
        <v>533</v>
      </c>
      <c r="G115" s="498">
        <v>2905810.49</v>
      </c>
      <c r="H115" s="497">
        <v>3800000</v>
      </c>
      <c r="I115" s="497">
        <v>3800000</v>
      </c>
      <c r="J115" s="498">
        <v>3800000</v>
      </c>
      <c r="K115" s="526">
        <v>142518.21</v>
      </c>
      <c r="L115" s="526">
        <v>72334.789999999994</v>
      </c>
      <c r="M115" s="526">
        <v>41665.449999999997</v>
      </c>
      <c r="N115" s="526">
        <v>17572.7</v>
      </c>
      <c r="O115" s="581">
        <v>105169.58</v>
      </c>
      <c r="P115" s="506">
        <v>413323.45</v>
      </c>
      <c r="Q115" s="527">
        <v>64880.08</v>
      </c>
      <c r="R115" s="527">
        <v>145313.34</v>
      </c>
      <c r="S115" s="527">
        <v>124982.68</v>
      </c>
      <c r="T115" s="527">
        <v>240280.66</v>
      </c>
      <c r="U115" s="527">
        <v>306452.68</v>
      </c>
      <c r="V115" s="527">
        <v>365874.84</v>
      </c>
      <c r="W115" s="508">
        <f>SUM(K115:V115)</f>
        <v>2040368.46</v>
      </c>
      <c r="X115" s="498">
        <f t="shared" si="56"/>
        <v>2040368.46</v>
      </c>
      <c r="Y115" s="500">
        <v>1711970.77</v>
      </c>
      <c r="Z115" s="501">
        <v>2111781.36</v>
      </c>
      <c r="AA115" s="501">
        <v>55591.32</v>
      </c>
      <c r="AB115" s="512">
        <v>301333.31</v>
      </c>
      <c r="AC115" s="478">
        <f t="shared" si="44"/>
        <v>0</v>
      </c>
      <c r="AD115" s="502">
        <f>Y115</f>
        <v>1711970.77</v>
      </c>
      <c r="AE115" s="510">
        <v>974209.11</v>
      </c>
      <c r="AF115" s="502">
        <f>AD115+500000</f>
        <v>2211970.77</v>
      </c>
      <c r="AG115" s="502">
        <f t="shared" si="45"/>
        <v>500000</v>
      </c>
      <c r="AH115" s="503">
        <v>1711970.77</v>
      </c>
      <c r="AI115" s="503">
        <v>2311934.04</v>
      </c>
      <c r="AJ115" s="503"/>
      <c r="AK115" s="472">
        <v>1100122</v>
      </c>
    </row>
    <row r="116" spans="1:37" ht="16.5" thickTop="1" thickBot="1" x14ac:dyDescent="0.25">
      <c r="A116" s="491"/>
      <c r="B116" s="492"/>
      <c r="C116" s="493"/>
      <c r="D116" s="493">
        <v>3</v>
      </c>
      <c r="E116" s="570">
        <v>431003</v>
      </c>
      <c r="F116" s="495" t="s">
        <v>534</v>
      </c>
      <c r="G116" s="498">
        <v>1547319.28</v>
      </c>
      <c r="H116" s="497">
        <v>1700000</v>
      </c>
      <c r="I116" s="497">
        <v>1700000</v>
      </c>
      <c r="J116" s="498">
        <v>1700000</v>
      </c>
      <c r="K116" s="526">
        <v>202688.25</v>
      </c>
      <c r="L116" s="526">
        <v>56979.97</v>
      </c>
      <c r="M116" s="526">
        <v>26397.89</v>
      </c>
      <c r="N116" s="526">
        <v>133643.85</v>
      </c>
      <c r="O116" s="581">
        <v>294406.23</v>
      </c>
      <c r="P116" s="506">
        <v>323505.08</v>
      </c>
      <c r="Q116" s="527">
        <v>103604.58</v>
      </c>
      <c r="R116" s="527">
        <v>118060.27</v>
      </c>
      <c r="S116" s="527">
        <v>106820.81</v>
      </c>
      <c r="T116" s="527">
        <v>147667.5</v>
      </c>
      <c r="U116" s="527">
        <v>254670.7</v>
      </c>
      <c r="V116" s="527">
        <v>79986.39</v>
      </c>
      <c r="W116" s="508">
        <f>SUM(K116:V116)</f>
        <v>1848431.52</v>
      </c>
      <c r="X116" s="498">
        <f t="shared" si="56"/>
        <v>1848431.52</v>
      </c>
      <c r="Y116" s="500">
        <v>1894678.83</v>
      </c>
      <c r="Z116" s="501">
        <v>1913126.62</v>
      </c>
      <c r="AA116" s="501">
        <v>79326.720000000001</v>
      </c>
      <c r="AB116" s="512">
        <v>180794.84</v>
      </c>
      <c r="AC116" s="478">
        <f t="shared" si="44"/>
        <v>0</v>
      </c>
      <c r="AD116" s="502">
        <f>Z116</f>
        <v>1913126.62</v>
      </c>
      <c r="AE116" s="510">
        <v>358675.81</v>
      </c>
      <c r="AF116" s="502">
        <v>1913127</v>
      </c>
      <c r="AG116" s="502">
        <f t="shared" si="45"/>
        <v>0.37999999988824129</v>
      </c>
      <c r="AH116" s="503">
        <v>1894678.83</v>
      </c>
      <c r="AI116" s="503">
        <v>1271867.48</v>
      </c>
      <c r="AJ116" s="503"/>
      <c r="AK116" s="472">
        <v>1100122</v>
      </c>
    </row>
    <row r="117" spans="1:37" ht="16.5" thickTop="1" thickBot="1" x14ac:dyDescent="0.25">
      <c r="A117" s="491"/>
      <c r="B117" s="492"/>
      <c r="C117" s="493"/>
      <c r="D117" s="493">
        <v>4</v>
      </c>
      <c r="E117" s="494">
        <v>431004</v>
      </c>
      <c r="F117" s="495" t="s">
        <v>535</v>
      </c>
      <c r="G117" s="498">
        <v>1505419.87</v>
      </c>
      <c r="H117" s="497">
        <v>1600000</v>
      </c>
      <c r="I117" s="497">
        <v>1600000</v>
      </c>
      <c r="J117" s="498">
        <v>1600000</v>
      </c>
      <c r="K117" s="526">
        <v>102711.31</v>
      </c>
      <c r="L117" s="526">
        <v>89865.1</v>
      </c>
      <c r="M117" s="526">
        <v>88555.79</v>
      </c>
      <c r="N117" s="526">
        <v>30342.92</v>
      </c>
      <c r="O117" s="581">
        <v>44290.94</v>
      </c>
      <c r="P117" s="506">
        <v>192159.84</v>
      </c>
      <c r="Q117" s="527">
        <v>61699.59</v>
      </c>
      <c r="R117" s="527">
        <v>63473.62</v>
      </c>
      <c r="S117" s="527">
        <v>60671.76</v>
      </c>
      <c r="T117" s="527">
        <v>130690.92</v>
      </c>
      <c r="U117" s="527">
        <v>111960.66</v>
      </c>
      <c r="V117" s="527">
        <v>94438.37</v>
      </c>
      <c r="W117" s="508">
        <f>SUM(K117:V117)</f>
        <v>1070860.82</v>
      </c>
      <c r="X117" s="498">
        <f t="shared" si="56"/>
        <v>1070860.82</v>
      </c>
      <c r="Y117" s="500">
        <v>1157300.28</v>
      </c>
      <c r="Z117" s="501">
        <v>1108340.95</v>
      </c>
      <c r="AA117" s="501">
        <v>77379.929999999993</v>
      </c>
      <c r="AB117" s="512">
        <v>99080.6</v>
      </c>
      <c r="AC117" s="478">
        <f t="shared" si="44"/>
        <v>0</v>
      </c>
      <c r="AD117" s="502">
        <f>Y117</f>
        <v>1157300.28</v>
      </c>
      <c r="AE117" s="510">
        <v>502626.7</v>
      </c>
      <c r="AF117" s="502">
        <v>1157300</v>
      </c>
      <c r="AG117" s="502">
        <f t="shared" si="45"/>
        <v>-0.28000000002793968</v>
      </c>
      <c r="AH117" s="503">
        <v>1157300.28</v>
      </c>
      <c r="AI117" s="503">
        <v>1534560.38</v>
      </c>
      <c r="AJ117" s="503">
        <v>1595175</v>
      </c>
      <c r="AK117" s="472">
        <v>1100122</v>
      </c>
    </row>
    <row r="118" spans="1:37" ht="16.5" thickTop="1" thickBot="1" x14ac:dyDescent="0.25">
      <c r="A118" s="491"/>
      <c r="B118" s="492"/>
      <c r="C118" s="493"/>
      <c r="D118" s="493">
        <v>5</v>
      </c>
      <c r="E118" s="494">
        <v>431005</v>
      </c>
      <c r="F118" s="495" t="s">
        <v>536</v>
      </c>
      <c r="G118" s="498">
        <v>1069363.94</v>
      </c>
      <c r="H118" s="497">
        <v>1252000</v>
      </c>
      <c r="I118" s="497">
        <v>1252000</v>
      </c>
      <c r="J118" s="498">
        <v>1252000</v>
      </c>
      <c r="K118" s="526">
        <v>59327.63</v>
      </c>
      <c r="L118" s="526">
        <v>92493.85</v>
      </c>
      <c r="M118" s="526">
        <v>33254.43</v>
      </c>
      <c r="N118" s="526">
        <v>5310.08</v>
      </c>
      <c r="O118" s="581">
        <v>6132.28</v>
      </c>
      <c r="P118" s="506">
        <v>40110.550000000003</v>
      </c>
      <c r="Q118" s="527">
        <v>20900.986079999999</v>
      </c>
      <c r="R118" s="527">
        <v>63432.678399999997</v>
      </c>
      <c r="S118" s="527">
        <v>65367.516240000004</v>
      </c>
      <c r="T118" s="527">
        <v>91506.729600000006</v>
      </c>
      <c r="U118" s="527">
        <v>111223.83168</v>
      </c>
      <c r="V118" s="527">
        <v>156852.86464000001</v>
      </c>
      <c r="W118" s="508">
        <v>745913.42</v>
      </c>
      <c r="X118" s="498">
        <f t="shared" si="56"/>
        <v>745913.42</v>
      </c>
      <c r="Y118" s="500">
        <v>572849.81000000006</v>
      </c>
      <c r="Z118" s="501">
        <v>772020.39</v>
      </c>
      <c r="AA118" s="501">
        <v>52456.1</v>
      </c>
      <c r="AB118" s="512">
        <v>54822.55</v>
      </c>
      <c r="AC118" s="478">
        <f t="shared" si="44"/>
        <v>0</v>
      </c>
      <c r="AD118" s="502">
        <f>Z118</f>
        <v>772020.39</v>
      </c>
      <c r="AE118" s="510">
        <v>201413.84</v>
      </c>
      <c r="AF118" s="502">
        <v>772020</v>
      </c>
      <c r="AG118" s="502">
        <f t="shared" si="45"/>
        <v>-0.39000000001396984</v>
      </c>
      <c r="AH118" s="503">
        <v>572849.81000000006</v>
      </c>
      <c r="AI118" s="503">
        <v>730864.40999999992</v>
      </c>
      <c r="AJ118" s="503">
        <v>759733</v>
      </c>
      <c r="AK118" s="472">
        <v>1100122</v>
      </c>
    </row>
    <row r="119" spans="1:37" ht="16.5" thickTop="1" thickBot="1" x14ac:dyDescent="0.25">
      <c r="A119" s="491"/>
      <c r="B119" s="492"/>
      <c r="C119" s="493"/>
      <c r="D119" s="493">
        <v>6</v>
      </c>
      <c r="E119" s="494">
        <v>431006</v>
      </c>
      <c r="F119" s="495" t="s">
        <v>537</v>
      </c>
      <c r="G119" s="498">
        <v>1953375.62</v>
      </c>
      <c r="H119" s="497">
        <v>2500000</v>
      </c>
      <c r="I119" s="497">
        <v>2500000</v>
      </c>
      <c r="J119" s="498">
        <v>2500000</v>
      </c>
      <c r="K119" s="526">
        <v>9960.6</v>
      </c>
      <c r="L119" s="526">
        <v>344433.87</v>
      </c>
      <c r="M119" s="526">
        <v>114163.88</v>
      </c>
      <c r="N119" s="526">
        <v>1751.9</v>
      </c>
      <c r="O119" s="581">
        <v>3757.05</v>
      </c>
      <c r="P119" s="506">
        <v>3339.6</v>
      </c>
      <c r="Q119" s="527">
        <v>1974.24</v>
      </c>
      <c r="R119" s="527">
        <v>43499.32</v>
      </c>
      <c r="S119" s="527">
        <v>14826.88</v>
      </c>
      <c r="T119" s="527">
        <v>60376.02</v>
      </c>
      <c r="U119" s="527">
        <v>34931.69</v>
      </c>
      <c r="V119" s="527">
        <v>124061.71</v>
      </c>
      <c r="W119" s="508">
        <f>SUM(K119:V119)</f>
        <v>757076.76</v>
      </c>
      <c r="X119" s="498">
        <f t="shared" si="56"/>
        <v>757076.76</v>
      </c>
      <c r="Y119" s="500">
        <v>2854268.7</v>
      </c>
      <c r="Z119" s="501">
        <v>783574.45</v>
      </c>
      <c r="AA119" s="501">
        <v>13264.18</v>
      </c>
      <c r="AB119" s="512">
        <v>26560.45</v>
      </c>
      <c r="AC119" s="478">
        <f t="shared" si="44"/>
        <v>0</v>
      </c>
      <c r="AD119" s="502">
        <f>Y119*1.035</f>
        <v>2954168.1044999999</v>
      </c>
      <c r="AE119" s="510">
        <v>259351.23</v>
      </c>
      <c r="AF119" s="502">
        <v>2954168</v>
      </c>
      <c r="AG119" s="502">
        <f t="shared" si="45"/>
        <v>-0.10449999989941716</v>
      </c>
      <c r="AH119" s="503">
        <v>2854268.7</v>
      </c>
      <c r="AI119" s="503">
        <v>920781.29</v>
      </c>
      <c r="AJ119" s="503">
        <v>920781</v>
      </c>
      <c r="AK119" s="472">
        <v>1100122</v>
      </c>
    </row>
    <row r="120" spans="1:37" ht="16.5" thickTop="1" thickBot="1" x14ac:dyDescent="0.25">
      <c r="A120" s="491"/>
      <c r="B120" s="492"/>
      <c r="C120" s="493"/>
      <c r="D120" s="493">
        <v>7</v>
      </c>
      <c r="E120" s="494">
        <v>431007</v>
      </c>
      <c r="F120" s="495" t="s">
        <v>538</v>
      </c>
      <c r="G120" s="498">
        <v>829443.47</v>
      </c>
      <c r="H120" s="497">
        <v>900000</v>
      </c>
      <c r="I120" s="497">
        <v>900000</v>
      </c>
      <c r="J120" s="498">
        <v>1300000</v>
      </c>
      <c r="K120" s="526">
        <v>252352.34</v>
      </c>
      <c r="L120" s="531">
        <v>806985.26</v>
      </c>
      <c r="M120" s="526">
        <v>12099.1</v>
      </c>
      <c r="N120" s="526">
        <v>21234.31</v>
      </c>
      <c r="O120" s="581">
        <v>8099.86</v>
      </c>
      <c r="P120" s="506">
        <v>36805.51</v>
      </c>
      <c r="Q120" s="527">
        <v>36034.92</v>
      </c>
      <c r="R120" s="527">
        <v>35598.51</v>
      </c>
      <c r="S120" s="527">
        <v>11114.04</v>
      </c>
      <c r="T120" s="527">
        <v>23178.73</v>
      </c>
      <c r="U120" s="527">
        <v>36684.76</v>
      </c>
      <c r="V120" s="527">
        <v>31226.74</v>
      </c>
      <c r="W120" s="508">
        <f>SUM(K120:V120)</f>
        <v>1311414.0800000003</v>
      </c>
      <c r="X120" s="498">
        <f t="shared" si="56"/>
        <v>1311414.0800000003</v>
      </c>
      <c r="Y120" s="500">
        <v>2254403.5</v>
      </c>
      <c r="Z120" s="501">
        <v>1357313.57</v>
      </c>
      <c r="AA120" s="501">
        <v>32812.629999999997</v>
      </c>
      <c r="AB120" s="512">
        <v>31813.45</v>
      </c>
      <c r="AC120" s="478">
        <f t="shared" si="44"/>
        <v>0</v>
      </c>
      <c r="AD120" s="502">
        <f>Y120</f>
        <v>2254403.5</v>
      </c>
      <c r="AE120" s="510">
        <v>172360.64</v>
      </c>
      <c r="AF120" s="502">
        <f>AD120</f>
        <v>2254403.5</v>
      </c>
      <c r="AG120" s="502">
        <f t="shared" si="45"/>
        <v>0</v>
      </c>
      <c r="AH120" s="503">
        <v>2254403.5</v>
      </c>
      <c r="AI120" s="503">
        <v>1526725.2133333334</v>
      </c>
      <c r="AJ120" s="503">
        <v>1526725</v>
      </c>
      <c r="AK120" s="472">
        <v>1100122</v>
      </c>
    </row>
    <row r="121" spans="1:37" ht="16.5" thickTop="1" thickBot="1" x14ac:dyDescent="0.25">
      <c r="A121" s="491"/>
      <c r="B121" s="492"/>
      <c r="C121" s="493"/>
      <c r="D121" s="493">
        <v>8</v>
      </c>
      <c r="E121" s="494">
        <v>431008</v>
      </c>
      <c r="F121" s="586" t="s">
        <v>539</v>
      </c>
      <c r="G121" s="498"/>
      <c r="H121" s="497"/>
      <c r="I121" s="497"/>
      <c r="J121" s="498"/>
      <c r="K121" s="526"/>
      <c r="L121" s="531"/>
      <c r="M121" s="526"/>
      <c r="N121" s="526"/>
      <c r="O121" s="581"/>
      <c r="P121" s="506"/>
      <c r="Q121" s="527"/>
      <c r="R121" s="527"/>
      <c r="S121" s="527"/>
      <c r="T121" s="527"/>
      <c r="U121" s="527"/>
      <c r="V121" s="527"/>
      <c r="W121" s="508"/>
      <c r="X121" s="498"/>
      <c r="Y121" s="500"/>
      <c r="Z121" s="578"/>
      <c r="AA121" s="578"/>
      <c r="AB121" s="575"/>
      <c r="AC121" s="478"/>
      <c r="AD121" s="502"/>
      <c r="AE121" s="510"/>
      <c r="AF121" s="502"/>
      <c r="AG121" s="502"/>
      <c r="AH121" s="503"/>
      <c r="AI121" s="503"/>
      <c r="AJ121" s="503">
        <f>2403255+500000</f>
        <v>2903255</v>
      </c>
      <c r="AK121" s="472">
        <v>1100122</v>
      </c>
    </row>
    <row r="122" spans="1:37" ht="16.5" thickTop="1" thickBot="1" x14ac:dyDescent="0.25">
      <c r="A122" s="491"/>
      <c r="B122" s="492"/>
      <c r="C122" s="493"/>
      <c r="D122" s="493">
        <v>9</v>
      </c>
      <c r="E122" s="494">
        <v>431009</v>
      </c>
      <c r="F122" s="588" t="s">
        <v>540</v>
      </c>
      <c r="G122" s="498"/>
      <c r="H122" s="497"/>
      <c r="I122" s="497"/>
      <c r="J122" s="498"/>
      <c r="K122" s="526"/>
      <c r="L122" s="531"/>
      <c r="M122" s="526"/>
      <c r="N122" s="526"/>
      <c r="O122" s="581"/>
      <c r="P122" s="506"/>
      <c r="Q122" s="527"/>
      <c r="R122" s="527"/>
      <c r="S122" s="527"/>
      <c r="T122" s="527"/>
      <c r="U122" s="527"/>
      <c r="V122" s="527"/>
      <c r="W122" s="508"/>
      <c r="X122" s="498"/>
      <c r="Y122" s="500"/>
      <c r="Z122" s="578"/>
      <c r="AA122" s="578"/>
      <c r="AB122" s="575"/>
      <c r="AC122" s="478"/>
      <c r="AD122" s="502"/>
      <c r="AE122" s="510"/>
      <c r="AF122" s="502"/>
      <c r="AG122" s="502"/>
      <c r="AH122" s="503"/>
      <c r="AI122" s="503"/>
      <c r="AJ122" s="503">
        <f>1322106+500000</f>
        <v>1822106</v>
      </c>
      <c r="AK122" s="472">
        <v>1100122</v>
      </c>
    </row>
    <row r="123" spans="1:37" ht="27" thickTop="1" thickBot="1" x14ac:dyDescent="0.25">
      <c r="A123" s="516"/>
      <c r="B123" s="517"/>
      <c r="C123" s="518">
        <v>11</v>
      </c>
      <c r="D123" s="518"/>
      <c r="E123" s="519"/>
      <c r="F123" s="520" t="s">
        <v>541</v>
      </c>
      <c r="G123" s="474">
        <f t="shared" ref="G123:Y123" si="57">G124+G125+G126</f>
        <v>5260884.16</v>
      </c>
      <c r="H123" s="475">
        <f t="shared" si="57"/>
        <v>5661856.2199999997</v>
      </c>
      <c r="I123" s="475">
        <f t="shared" si="57"/>
        <v>5661856.2199999997</v>
      </c>
      <c r="J123" s="474">
        <f t="shared" si="57"/>
        <v>7032988.4199999999</v>
      </c>
      <c r="K123" s="474">
        <f t="shared" si="57"/>
        <v>3236719.03</v>
      </c>
      <c r="L123" s="475">
        <f t="shared" si="57"/>
        <v>741928.09000000008</v>
      </c>
      <c r="M123" s="475">
        <f t="shared" si="57"/>
        <v>315360.32</v>
      </c>
      <c r="N123" s="475">
        <f t="shared" si="57"/>
        <v>135856.87</v>
      </c>
      <c r="O123" s="475">
        <f t="shared" si="57"/>
        <v>142612.99</v>
      </c>
      <c r="P123" s="475">
        <f t="shared" si="57"/>
        <v>179813.01</v>
      </c>
      <c r="Q123" s="475">
        <f t="shared" si="57"/>
        <v>136893.41999999998</v>
      </c>
      <c r="R123" s="475">
        <f t="shared" si="57"/>
        <v>181997.16999999998</v>
      </c>
      <c r="S123" s="475">
        <f t="shared" si="57"/>
        <v>266006.45999999996</v>
      </c>
      <c r="T123" s="475">
        <f t="shared" si="57"/>
        <v>326757.69</v>
      </c>
      <c r="U123" s="475">
        <f t="shared" si="57"/>
        <v>321310.04000000004</v>
      </c>
      <c r="V123" s="475">
        <f t="shared" si="57"/>
        <v>521969.11</v>
      </c>
      <c r="W123" s="522">
        <f t="shared" si="57"/>
        <v>6507224.2000000002</v>
      </c>
      <c r="X123" s="524">
        <f t="shared" si="57"/>
        <v>6507224.2000000002</v>
      </c>
      <c r="Y123" s="523">
        <f t="shared" si="57"/>
        <v>6127382.9399999995</v>
      </c>
      <c r="Z123" s="524">
        <f>Z124+Z125+Z126+Z127+Z128</f>
        <v>6716997.9899999993</v>
      </c>
      <c r="AA123" s="524">
        <f>AA124+AA125+AA126+AA127+AA128</f>
        <v>1559812.56</v>
      </c>
      <c r="AB123" s="524">
        <f>AB124+AB125+AB126+AB127+AB128</f>
        <v>760015.10000000009</v>
      </c>
      <c r="AC123" s="478">
        <f>W123-X123</f>
        <v>0</v>
      </c>
      <c r="AD123" s="522">
        <f>AD124+AD125+AD126+AD127+AD128</f>
        <v>6736455.3599999994</v>
      </c>
      <c r="AE123" s="522">
        <f>AE124+AE125+AE126+AE127+AE128</f>
        <v>3096397.32</v>
      </c>
      <c r="AF123" s="522">
        <f>AF124+AF125+AF126+AF127+AF128</f>
        <v>7763455.3599999994</v>
      </c>
      <c r="AG123" s="522">
        <f t="shared" ref="AG123:AG158" si="58">AF123-AD123</f>
        <v>1027000</v>
      </c>
      <c r="AH123" s="523">
        <f>AH124+AH125+AH126+AH127+AH128</f>
        <v>6128015.4199999999</v>
      </c>
      <c r="AI123" s="523">
        <f>AI124+AI125+AI126+AI127+AI128</f>
        <v>5288702.29</v>
      </c>
      <c r="AJ123" s="523">
        <f>AJ124+AJ125+AJ126+AJ127+AJ128</f>
        <v>5997976</v>
      </c>
      <c r="AK123" s="525"/>
    </row>
    <row r="124" spans="1:37" ht="16.5" thickTop="1" thickBot="1" x14ac:dyDescent="0.25">
      <c r="A124" s="491"/>
      <c r="B124" s="492"/>
      <c r="C124" s="493"/>
      <c r="D124" s="493">
        <v>1</v>
      </c>
      <c r="E124" s="494">
        <v>431101</v>
      </c>
      <c r="F124" s="495" t="s">
        <v>542</v>
      </c>
      <c r="G124" s="498">
        <v>108373.84</v>
      </c>
      <c r="H124" s="497">
        <v>132988.42000000001</v>
      </c>
      <c r="I124" s="497">
        <v>132988.42000000001</v>
      </c>
      <c r="J124" s="498">
        <v>132988.42000000001</v>
      </c>
      <c r="K124" s="526">
        <v>2276.44</v>
      </c>
      <c r="L124" s="526">
        <v>12629.44</v>
      </c>
      <c r="M124" s="526">
        <v>11475.34</v>
      </c>
      <c r="N124" s="526">
        <v>8810.0300000000007</v>
      </c>
      <c r="O124" s="581">
        <v>7293.7</v>
      </c>
      <c r="P124" s="506">
        <v>7884.2</v>
      </c>
      <c r="Q124" s="527">
        <v>6202.48</v>
      </c>
      <c r="R124" s="527">
        <v>7801.12</v>
      </c>
      <c r="S124" s="527">
        <v>11198.48</v>
      </c>
      <c r="T124" s="527">
        <v>7201.88</v>
      </c>
      <c r="U124" s="527">
        <v>8202.2800000000007</v>
      </c>
      <c r="V124" s="527">
        <v>9142.6</v>
      </c>
      <c r="W124" s="508">
        <f>SUM(K124:V124)</f>
        <v>100117.99</v>
      </c>
      <c r="X124" s="498">
        <f>W124</f>
        <v>100117.99</v>
      </c>
      <c r="Y124" s="500">
        <v>94013.35</v>
      </c>
      <c r="Z124" s="501">
        <v>104321.76</v>
      </c>
      <c r="AA124" s="501">
        <v>224.06</v>
      </c>
      <c r="AB124" s="512">
        <v>10089.82</v>
      </c>
      <c r="AC124" s="478">
        <f>W124-X124</f>
        <v>0</v>
      </c>
      <c r="AD124" s="509">
        <f>Z124</f>
        <v>104321.76</v>
      </c>
      <c r="AE124" s="510">
        <v>28953.72</v>
      </c>
      <c r="AF124" s="502">
        <v>104321.76</v>
      </c>
      <c r="AG124" s="509">
        <f t="shared" si="58"/>
        <v>0</v>
      </c>
      <c r="AH124" s="503">
        <v>94013.35</v>
      </c>
      <c r="AI124" s="503">
        <v>91852.98</v>
      </c>
      <c r="AJ124" s="503">
        <v>95481</v>
      </c>
      <c r="AK124" s="472">
        <v>1100122</v>
      </c>
    </row>
    <row r="125" spans="1:37" ht="16.5" thickTop="1" thickBot="1" x14ac:dyDescent="0.25">
      <c r="A125" s="491"/>
      <c r="B125" s="492"/>
      <c r="C125" s="493"/>
      <c r="D125" s="493">
        <v>2</v>
      </c>
      <c r="E125" s="494">
        <v>431102</v>
      </c>
      <c r="F125" s="495" t="s">
        <v>543</v>
      </c>
      <c r="G125" s="498">
        <v>3348891.65</v>
      </c>
      <c r="H125" s="497">
        <v>3628867.8</v>
      </c>
      <c r="I125" s="497">
        <v>3628867.8</v>
      </c>
      <c r="J125" s="498">
        <v>5000000</v>
      </c>
      <c r="K125" s="526">
        <v>3211435.69</v>
      </c>
      <c r="L125" s="526">
        <v>493904.46</v>
      </c>
      <c r="M125" s="582">
        <v>166925.70000000001</v>
      </c>
      <c r="N125" s="526">
        <v>53086.32</v>
      </c>
      <c r="O125" s="581">
        <v>38229.08</v>
      </c>
      <c r="P125" s="506">
        <v>45195.53</v>
      </c>
      <c r="Q125" s="527">
        <v>52392</v>
      </c>
      <c r="R125" s="527">
        <v>75342</v>
      </c>
      <c r="S125" s="527">
        <v>89336.71</v>
      </c>
      <c r="T125" s="527">
        <v>167373.1</v>
      </c>
      <c r="U125" s="527">
        <v>176195.42</v>
      </c>
      <c r="V125" s="527">
        <v>399801.18</v>
      </c>
      <c r="W125" s="508">
        <f>SUM(K125:V125)</f>
        <v>4969217.1899999995</v>
      </c>
      <c r="X125" s="498">
        <f>W125</f>
        <v>4969217.1899999995</v>
      </c>
      <c r="Y125" s="500">
        <v>4616711.71</v>
      </c>
      <c r="Z125" s="501">
        <v>5128232.1399999997</v>
      </c>
      <c r="AA125" s="501">
        <v>1525088.93</v>
      </c>
      <c r="AB125" s="512">
        <v>493746.83</v>
      </c>
      <c r="AC125" s="478">
        <f>W125-X125</f>
        <v>0</v>
      </c>
      <c r="AD125" s="502">
        <f>Z125</f>
        <v>5128232.1399999997</v>
      </c>
      <c r="AE125" s="510">
        <v>2491260.84</v>
      </c>
      <c r="AF125" s="528">
        <f>AD125+1000000</f>
        <v>6128232.1399999997</v>
      </c>
      <c r="AG125" s="528">
        <f t="shared" si="58"/>
        <v>1000000</v>
      </c>
      <c r="AH125" s="503">
        <v>4616711.71</v>
      </c>
      <c r="AI125" s="503">
        <v>3566824.4400000004</v>
      </c>
      <c r="AJ125" s="503">
        <f>3707714+500000</f>
        <v>4207714</v>
      </c>
      <c r="AK125" s="472">
        <v>1100122</v>
      </c>
    </row>
    <row r="126" spans="1:37" ht="16.5" thickTop="1" thickBot="1" x14ac:dyDescent="0.25">
      <c r="A126" s="491"/>
      <c r="B126" s="492"/>
      <c r="C126" s="493"/>
      <c r="D126" s="493">
        <v>3</v>
      </c>
      <c r="E126" s="494">
        <v>431103</v>
      </c>
      <c r="F126" s="495" t="s">
        <v>544</v>
      </c>
      <c r="G126" s="498">
        <v>1803618.67</v>
      </c>
      <c r="H126" s="497">
        <v>1900000</v>
      </c>
      <c r="I126" s="497">
        <v>1900000</v>
      </c>
      <c r="J126" s="498">
        <v>1900000</v>
      </c>
      <c r="K126" s="526">
        <v>23006.9</v>
      </c>
      <c r="L126" s="531">
        <v>235394.19</v>
      </c>
      <c r="M126" s="526">
        <v>136959.28</v>
      </c>
      <c r="N126" s="526">
        <v>73960.52</v>
      </c>
      <c r="O126" s="581">
        <v>97090.21</v>
      </c>
      <c r="P126" s="506">
        <v>126733.28</v>
      </c>
      <c r="Q126" s="527">
        <v>78298.94</v>
      </c>
      <c r="R126" s="527">
        <v>98854.05</v>
      </c>
      <c r="S126" s="527">
        <v>165471.26999999999</v>
      </c>
      <c r="T126" s="527">
        <v>152182.71</v>
      </c>
      <c r="U126" s="527">
        <v>136912.34</v>
      </c>
      <c r="V126" s="527">
        <v>113025.33</v>
      </c>
      <c r="W126" s="508">
        <f>SUM(K126:V126)</f>
        <v>1437889.0200000003</v>
      </c>
      <c r="X126" s="498">
        <f>W126</f>
        <v>1437889.0200000003</v>
      </c>
      <c r="Y126" s="500">
        <v>1416657.88</v>
      </c>
      <c r="Z126" s="501">
        <v>1483901.46</v>
      </c>
      <c r="AA126" s="501">
        <v>32766.87</v>
      </c>
      <c r="AB126" s="512">
        <v>250413.15</v>
      </c>
      <c r="AC126" s="478">
        <f>W126-X126</f>
        <v>0</v>
      </c>
      <c r="AD126" s="502">
        <f>Z126</f>
        <v>1483901.46</v>
      </c>
      <c r="AE126" s="510">
        <v>566911.63</v>
      </c>
      <c r="AF126" s="502">
        <v>1483901.46</v>
      </c>
      <c r="AG126" s="502">
        <f t="shared" si="58"/>
        <v>0</v>
      </c>
      <c r="AH126" s="503">
        <v>1416657.88</v>
      </c>
      <c r="AI126" s="503">
        <v>1593116.28</v>
      </c>
      <c r="AJ126" s="503">
        <v>1656044</v>
      </c>
      <c r="AK126" s="472">
        <v>1100122</v>
      </c>
    </row>
    <row r="127" spans="1:37" ht="27" thickTop="1" thickBot="1" x14ac:dyDescent="0.25">
      <c r="A127" s="491"/>
      <c r="B127" s="492"/>
      <c r="C127" s="493"/>
      <c r="D127" s="493">
        <v>4</v>
      </c>
      <c r="E127" s="494">
        <v>431104</v>
      </c>
      <c r="F127" s="495" t="s">
        <v>545</v>
      </c>
      <c r="G127" s="498"/>
      <c r="H127" s="497"/>
      <c r="I127" s="497"/>
      <c r="J127" s="498"/>
      <c r="K127" s="526"/>
      <c r="L127" s="531"/>
      <c r="M127" s="526"/>
      <c r="N127" s="526"/>
      <c r="O127" s="581"/>
      <c r="P127" s="506"/>
      <c r="Q127" s="527"/>
      <c r="R127" s="527"/>
      <c r="S127" s="527"/>
      <c r="T127" s="527"/>
      <c r="U127" s="527"/>
      <c r="V127" s="527"/>
      <c r="W127" s="508"/>
      <c r="X127" s="498"/>
      <c r="Y127" s="500"/>
      <c r="Z127" s="590">
        <v>542.63</v>
      </c>
      <c r="AA127" s="533">
        <v>0</v>
      </c>
      <c r="AB127" s="533"/>
      <c r="AC127" s="478"/>
      <c r="AD127" s="502">
        <v>0</v>
      </c>
      <c r="AE127" s="510">
        <v>0</v>
      </c>
      <c r="AF127" s="502">
        <v>20000</v>
      </c>
      <c r="AG127" s="502">
        <f t="shared" si="58"/>
        <v>20000</v>
      </c>
      <c r="AH127" s="503">
        <v>632.48</v>
      </c>
      <c r="AI127" s="503">
        <v>316.24</v>
      </c>
      <c r="AJ127" s="503">
        <v>700</v>
      </c>
      <c r="AK127" s="472">
        <v>1100122</v>
      </c>
    </row>
    <row r="128" spans="1:37" ht="27" thickTop="1" thickBot="1" x14ac:dyDescent="0.25">
      <c r="A128" s="491"/>
      <c r="B128" s="492"/>
      <c r="C128" s="493"/>
      <c r="D128" s="493">
        <v>5</v>
      </c>
      <c r="E128" s="494">
        <v>431105</v>
      </c>
      <c r="F128" s="495" t="s">
        <v>546</v>
      </c>
      <c r="G128" s="498"/>
      <c r="H128" s="497"/>
      <c r="I128" s="497"/>
      <c r="J128" s="498"/>
      <c r="K128" s="526"/>
      <c r="L128" s="531"/>
      <c r="M128" s="526"/>
      <c r="N128" s="526"/>
      <c r="O128" s="581"/>
      <c r="P128" s="506"/>
      <c r="Q128" s="527"/>
      <c r="R128" s="527"/>
      <c r="S128" s="527"/>
      <c r="T128" s="527"/>
      <c r="U128" s="527"/>
      <c r="V128" s="527"/>
      <c r="W128" s="508"/>
      <c r="X128" s="498"/>
      <c r="Y128" s="500"/>
      <c r="Z128" s="533">
        <v>0</v>
      </c>
      <c r="AA128" s="533">
        <v>1732.7</v>
      </c>
      <c r="AB128" s="512">
        <v>5765.3</v>
      </c>
      <c r="AC128" s="478"/>
      <c r="AD128" s="502">
        <v>20000</v>
      </c>
      <c r="AE128" s="510">
        <v>9271.1299999999992</v>
      </c>
      <c r="AF128" s="502">
        <v>27000</v>
      </c>
      <c r="AG128" s="502">
        <f t="shared" si="58"/>
        <v>7000</v>
      </c>
      <c r="AH128" s="503">
        <v>0</v>
      </c>
      <c r="AI128" s="503">
        <v>36592.35</v>
      </c>
      <c r="AJ128" s="503">
        <v>38037</v>
      </c>
      <c r="AK128" s="472">
        <v>1100122</v>
      </c>
    </row>
    <row r="129" spans="1:37" ht="27" thickTop="1" thickBot="1" x14ac:dyDescent="0.25">
      <c r="A129" s="516"/>
      <c r="B129" s="517"/>
      <c r="C129" s="518">
        <v>12</v>
      </c>
      <c r="D129" s="518"/>
      <c r="E129" s="519"/>
      <c r="F129" s="520" t="s">
        <v>547</v>
      </c>
      <c r="G129" s="474">
        <f t="shared" ref="G129:X129" si="59">G131+G132+G133</f>
        <v>3399164.43</v>
      </c>
      <c r="H129" s="475">
        <f t="shared" si="59"/>
        <v>4831345.6500000004</v>
      </c>
      <c r="I129" s="475">
        <f t="shared" si="59"/>
        <v>4831345.6500000004</v>
      </c>
      <c r="J129" s="474">
        <f t="shared" si="59"/>
        <v>4831345.6500000004</v>
      </c>
      <c r="K129" s="474">
        <f t="shared" si="59"/>
        <v>172762.72999999998</v>
      </c>
      <c r="L129" s="475">
        <f t="shared" si="59"/>
        <v>164746.89000000001</v>
      </c>
      <c r="M129" s="475">
        <f t="shared" si="59"/>
        <v>213236.41999999998</v>
      </c>
      <c r="N129" s="475">
        <f t="shared" si="59"/>
        <v>128389.57</v>
      </c>
      <c r="O129" s="475">
        <f t="shared" si="59"/>
        <v>69023.91</v>
      </c>
      <c r="P129" s="475">
        <f t="shared" si="59"/>
        <v>421270.61</v>
      </c>
      <c r="Q129" s="475">
        <f t="shared" si="59"/>
        <v>97852.14499999999</v>
      </c>
      <c r="R129" s="475">
        <f t="shared" si="59"/>
        <v>129087.16799999999</v>
      </c>
      <c r="S129" s="475">
        <f t="shared" si="59"/>
        <v>394231.67499999993</v>
      </c>
      <c r="T129" s="475">
        <f t="shared" si="59"/>
        <v>406177.98999999987</v>
      </c>
      <c r="U129" s="475">
        <f t="shared" si="59"/>
        <v>479708.10499999986</v>
      </c>
      <c r="V129" s="475">
        <f t="shared" si="59"/>
        <v>317221.10999999993</v>
      </c>
      <c r="W129" s="522">
        <f t="shared" si="59"/>
        <v>2993708.32</v>
      </c>
      <c r="X129" s="524">
        <f t="shared" si="59"/>
        <v>2993708.32</v>
      </c>
      <c r="Y129" s="523">
        <f>Y131+Y132+Y133+Y130</f>
        <v>3007799.06</v>
      </c>
      <c r="Z129" s="524">
        <f>Z131+Z132+Z133+Z130+Z134</f>
        <v>3157485.3099999996</v>
      </c>
      <c r="AA129" s="524">
        <f>AA131+AA132+AA133+AA130+AA134</f>
        <v>13442.279999999999</v>
      </c>
      <c r="AB129" s="524">
        <f>AB131+AB132+AB133+AB130+AB134</f>
        <v>176402.65000000002</v>
      </c>
      <c r="AC129" s="478">
        <f>W129-X129</f>
        <v>0</v>
      </c>
      <c r="AD129" s="522">
        <f>AD131+AD132+AD133+AD130+AD134</f>
        <v>3201361.4441499999</v>
      </c>
      <c r="AE129" s="522">
        <f>AE131+AE132+AE133+AE130+AE134</f>
        <v>2004761.7400000002</v>
      </c>
      <c r="AF129" s="522">
        <f>AF131+AF132+AF133+AF130+AF134</f>
        <v>3681361.44</v>
      </c>
      <c r="AG129" s="522">
        <f t="shared" si="58"/>
        <v>479999.99585000006</v>
      </c>
      <c r="AH129" s="523">
        <f>AH131+AH132+AH133+AH130+AH134</f>
        <v>3007166.58</v>
      </c>
      <c r="AI129" s="523">
        <f>AI131+AI132+AI133+AI130+AI134</f>
        <v>4479331.9266666668</v>
      </c>
      <c r="AJ129" s="523">
        <f>AJ131+AJ132+AJ133+AJ130+AJ134</f>
        <v>4656764</v>
      </c>
      <c r="AK129" s="525"/>
    </row>
    <row r="130" spans="1:37" ht="16.5" thickTop="1" thickBot="1" x14ac:dyDescent="0.25">
      <c r="A130" s="516"/>
      <c r="B130" s="517"/>
      <c r="C130" s="556"/>
      <c r="D130" s="518"/>
      <c r="E130" s="591">
        <v>431104</v>
      </c>
      <c r="F130" s="495" t="s">
        <v>548</v>
      </c>
      <c r="G130" s="474"/>
      <c r="H130" s="475"/>
      <c r="I130" s="475"/>
      <c r="J130" s="474"/>
      <c r="K130" s="474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522"/>
      <c r="X130" s="524"/>
      <c r="Y130" s="592">
        <v>632.48</v>
      </c>
      <c r="Z130" s="521"/>
      <c r="AA130" s="521"/>
      <c r="AB130" s="521"/>
      <c r="AC130" s="478"/>
      <c r="AD130" s="497">
        <v>20000</v>
      </c>
      <c r="AE130" s="497"/>
      <c r="AF130" s="497">
        <v>0</v>
      </c>
      <c r="AG130" s="497">
        <f t="shared" si="58"/>
        <v>-20000</v>
      </c>
      <c r="AH130" s="523"/>
      <c r="AI130" s="500"/>
      <c r="AJ130" s="593">
        <v>0</v>
      </c>
      <c r="AK130" s="472">
        <v>1100121</v>
      </c>
    </row>
    <row r="131" spans="1:37" ht="16.5" thickTop="1" thickBot="1" x14ac:dyDescent="0.25">
      <c r="A131" s="491"/>
      <c r="B131" s="492"/>
      <c r="C131" s="493"/>
      <c r="D131" s="493">
        <v>1</v>
      </c>
      <c r="E131" s="494">
        <v>431201</v>
      </c>
      <c r="F131" s="495" t="s">
        <v>549</v>
      </c>
      <c r="G131" s="498">
        <v>559243.51</v>
      </c>
      <c r="H131" s="497">
        <f>197632.18+799585.76</f>
        <v>997217.94</v>
      </c>
      <c r="I131" s="497">
        <f>197632.18+799585.76</f>
        <v>997217.94</v>
      </c>
      <c r="J131" s="498">
        <v>997217.94</v>
      </c>
      <c r="K131" s="526">
        <v>26163.96</v>
      </c>
      <c r="L131" s="526">
        <v>107862.05</v>
      </c>
      <c r="M131" s="526">
        <v>26559.3</v>
      </c>
      <c r="N131" s="526">
        <v>10799.56</v>
      </c>
      <c r="O131" s="581">
        <v>21599.08</v>
      </c>
      <c r="P131" s="506">
        <v>11903.24</v>
      </c>
      <c r="Q131" s="527">
        <v>4724.1450000000004</v>
      </c>
      <c r="R131" s="527">
        <v>15105.168</v>
      </c>
      <c r="S131" s="527">
        <v>31234.044999999998</v>
      </c>
      <c r="T131" s="527">
        <v>33561.18</v>
      </c>
      <c r="U131" s="527">
        <v>29896.815000000002</v>
      </c>
      <c r="V131" s="527">
        <v>37138.410000000003</v>
      </c>
      <c r="W131" s="508">
        <v>356546.95</v>
      </c>
      <c r="X131" s="498">
        <f>W131</f>
        <v>356546.95</v>
      </c>
      <c r="Y131" s="500">
        <v>437586.69</v>
      </c>
      <c r="Z131" s="501">
        <v>429026.09</v>
      </c>
      <c r="AA131" s="501">
        <v>5385.48</v>
      </c>
      <c r="AB131" s="512">
        <v>11701.21</v>
      </c>
      <c r="AC131" s="478">
        <f>W131-X131</f>
        <v>0</v>
      </c>
      <c r="AD131" s="502">
        <f>Y131*1.035</f>
        <v>452902.22414999997</v>
      </c>
      <c r="AE131" s="510">
        <v>188858.8</v>
      </c>
      <c r="AF131" s="502">
        <v>452902.22</v>
      </c>
      <c r="AG131" s="502">
        <f t="shared" si="58"/>
        <v>-4.1499999933876097E-3</v>
      </c>
      <c r="AH131" s="503">
        <v>437586.69</v>
      </c>
      <c r="AI131" s="503">
        <v>810173.87999999989</v>
      </c>
      <c r="AJ131" s="503">
        <v>842175</v>
      </c>
      <c r="AK131" s="472">
        <v>1100122</v>
      </c>
    </row>
    <row r="132" spans="1:37" ht="16.5" thickTop="1" thickBot="1" x14ac:dyDescent="0.25">
      <c r="A132" s="491"/>
      <c r="B132" s="492"/>
      <c r="C132" s="493"/>
      <c r="D132" s="493">
        <v>2</v>
      </c>
      <c r="E132" s="494">
        <v>431202</v>
      </c>
      <c r="F132" s="495" t="s">
        <v>550</v>
      </c>
      <c r="G132" s="498">
        <v>2253369.56</v>
      </c>
      <c r="H132" s="497">
        <v>3184127.71</v>
      </c>
      <c r="I132" s="497">
        <v>3184127.71</v>
      </c>
      <c r="J132" s="498">
        <v>3184127.71</v>
      </c>
      <c r="K132" s="526">
        <v>131470.54999999999</v>
      </c>
      <c r="L132" s="526">
        <v>15949.19</v>
      </c>
      <c r="M132" s="526">
        <v>128826.04</v>
      </c>
      <c r="N132" s="526">
        <v>71305.36</v>
      </c>
      <c r="O132" s="581">
        <v>0</v>
      </c>
      <c r="P132" s="506">
        <v>383573.81</v>
      </c>
      <c r="Q132" s="527">
        <v>57474.999999999985</v>
      </c>
      <c r="R132" s="527">
        <v>68969.999999999985</v>
      </c>
      <c r="S132" s="527">
        <v>287374.99999999994</v>
      </c>
      <c r="T132" s="527">
        <v>344849.99999999988</v>
      </c>
      <c r="U132" s="527">
        <v>402324.99999999988</v>
      </c>
      <c r="V132" s="527">
        <v>229899.99999999994</v>
      </c>
      <c r="W132" s="508">
        <f>SUM(K132:V132)</f>
        <v>2122019.9499999997</v>
      </c>
      <c r="X132" s="498">
        <f>W132</f>
        <v>2122019.9499999997</v>
      </c>
      <c r="Y132" s="500">
        <v>2097115.76</v>
      </c>
      <c r="Z132" s="501">
        <v>2196290.65</v>
      </c>
      <c r="AA132" s="501">
        <v>0</v>
      </c>
      <c r="AB132" s="512">
        <v>122375.24</v>
      </c>
      <c r="AC132" s="478">
        <f>W132-X132</f>
        <v>0</v>
      </c>
      <c r="AD132" s="502">
        <f>Z132</f>
        <v>2196290.65</v>
      </c>
      <c r="AE132" s="510">
        <v>1673013.31</v>
      </c>
      <c r="AF132" s="502">
        <f>AD132+500000</f>
        <v>2696290.65</v>
      </c>
      <c r="AG132" s="502">
        <f t="shared" si="58"/>
        <v>500000</v>
      </c>
      <c r="AH132" s="503">
        <v>2097115.76</v>
      </c>
      <c r="AI132" s="503">
        <v>3210835.5766666671</v>
      </c>
      <c r="AJ132" s="503">
        <v>3337663</v>
      </c>
      <c r="AK132" s="472">
        <v>1100122</v>
      </c>
    </row>
    <row r="133" spans="1:37" ht="16.5" thickTop="1" thickBot="1" x14ac:dyDescent="0.25">
      <c r="A133" s="491"/>
      <c r="B133" s="492"/>
      <c r="C133" s="493"/>
      <c r="D133" s="493">
        <v>3</v>
      </c>
      <c r="E133" s="494">
        <v>431203</v>
      </c>
      <c r="F133" s="495" t="s">
        <v>551</v>
      </c>
      <c r="G133" s="498">
        <v>586551.36</v>
      </c>
      <c r="H133" s="497">
        <v>650000</v>
      </c>
      <c r="I133" s="497">
        <v>650000</v>
      </c>
      <c r="J133" s="498">
        <v>650000</v>
      </c>
      <c r="K133" s="526">
        <v>15128.22</v>
      </c>
      <c r="L133" s="531">
        <v>40935.65</v>
      </c>
      <c r="M133" s="526">
        <v>57851.08</v>
      </c>
      <c r="N133" s="526">
        <v>46284.65</v>
      </c>
      <c r="O133" s="581">
        <v>47424.83</v>
      </c>
      <c r="P133" s="506">
        <v>25793.56</v>
      </c>
      <c r="Q133" s="527">
        <v>35653</v>
      </c>
      <c r="R133" s="527">
        <v>45012</v>
      </c>
      <c r="S133" s="527">
        <v>75622.63</v>
      </c>
      <c r="T133" s="527">
        <v>27766.81</v>
      </c>
      <c r="U133" s="527">
        <v>47486.29</v>
      </c>
      <c r="V133" s="527">
        <v>50182.7</v>
      </c>
      <c r="W133" s="508">
        <f>SUM(K133:V133)</f>
        <v>515141.42</v>
      </c>
      <c r="X133" s="498">
        <f>W133</f>
        <v>515141.42</v>
      </c>
      <c r="Y133" s="500">
        <v>472464.13</v>
      </c>
      <c r="Z133" s="501">
        <v>531625.93999999994</v>
      </c>
      <c r="AA133" s="501">
        <v>8056.8</v>
      </c>
      <c r="AB133" s="512">
        <v>42326.2</v>
      </c>
      <c r="AC133" s="478">
        <f>W133-X133</f>
        <v>0</v>
      </c>
      <c r="AD133" s="502">
        <f>Z133</f>
        <v>531625.93999999994</v>
      </c>
      <c r="AE133" s="510">
        <v>142889.63</v>
      </c>
      <c r="AF133" s="502">
        <v>531625.93999999994</v>
      </c>
      <c r="AG133" s="502">
        <f t="shared" si="58"/>
        <v>0</v>
      </c>
      <c r="AH133" s="503">
        <v>472464.13</v>
      </c>
      <c r="AI133" s="503">
        <v>458322.47000000003</v>
      </c>
      <c r="AJ133" s="503">
        <v>476426</v>
      </c>
      <c r="AK133" s="472">
        <v>1100122</v>
      </c>
    </row>
    <row r="134" spans="1:37" ht="16.5" thickTop="1" thickBot="1" x14ac:dyDescent="0.25">
      <c r="A134" s="491"/>
      <c r="B134" s="492"/>
      <c r="C134" s="493"/>
      <c r="D134" s="493">
        <v>4</v>
      </c>
      <c r="E134" s="494">
        <v>431204</v>
      </c>
      <c r="F134" s="495" t="s">
        <v>552</v>
      </c>
      <c r="G134" s="498"/>
      <c r="H134" s="497"/>
      <c r="I134" s="497"/>
      <c r="J134" s="498"/>
      <c r="K134" s="526"/>
      <c r="L134" s="531"/>
      <c r="M134" s="526"/>
      <c r="N134" s="526"/>
      <c r="O134" s="581"/>
      <c r="P134" s="506"/>
      <c r="Q134" s="527"/>
      <c r="R134" s="527"/>
      <c r="S134" s="527"/>
      <c r="T134" s="527"/>
      <c r="U134" s="527"/>
      <c r="V134" s="527"/>
      <c r="W134" s="508"/>
      <c r="X134" s="498"/>
      <c r="Y134" s="500"/>
      <c r="Z134" s="590">
        <v>542.63</v>
      </c>
      <c r="AA134" s="533">
        <v>0</v>
      </c>
      <c r="AB134" s="533">
        <v>0</v>
      </c>
      <c r="AC134" s="478"/>
      <c r="AD134" s="502">
        <f>Z134</f>
        <v>542.63</v>
      </c>
      <c r="AE134" s="510">
        <v>0</v>
      </c>
      <c r="AF134" s="502">
        <v>542.63</v>
      </c>
      <c r="AG134" s="502">
        <f t="shared" si="58"/>
        <v>0</v>
      </c>
      <c r="AH134" s="503">
        <v>0</v>
      </c>
      <c r="AI134" s="503">
        <v>0</v>
      </c>
      <c r="AJ134" s="503">
        <v>500</v>
      </c>
      <c r="AK134" s="472">
        <v>1100122</v>
      </c>
    </row>
    <row r="135" spans="1:37" ht="27" thickTop="1" thickBot="1" x14ac:dyDescent="0.25">
      <c r="A135" s="516"/>
      <c r="B135" s="517"/>
      <c r="C135" s="518">
        <v>13</v>
      </c>
      <c r="D135" s="518"/>
      <c r="E135" s="519"/>
      <c r="F135" s="520" t="s">
        <v>553</v>
      </c>
      <c r="G135" s="474">
        <f t="shared" ref="G135:AB135" si="60">G136</f>
        <v>2860851.36</v>
      </c>
      <c r="H135" s="475">
        <f t="shared" si="60"/>
        <v>2800000</v>
      </c>
      <c r="I135" s="475">
        <f t="shared" si="60"/>
        <v>2800000</v>
      </c>
      <c r="J135" s="474">
        <f t="shared" si="60"/>
        <v>2800000</v>
      </c>
      <c r="K135" s="474">
        <f t="shared" si="60"/>
        <v>82123.81</v>
      </c>
      <c r="L135" s="475">
        <f t="shared" si="60"/>
        <v>329156.24</v>
      </c>
      <c r="M135" s="475">
        <f t="shared" si="60"/>
        <v>97290.92</v>
      </c>
      <c r="N135" s="475">
        <f t="shared" si="60"/>
        <v>211674.54</v>
      </c>
      <c r="O135" s="475">
        <f t="shared" si="60"/>
        <v>429130.38</v>
      </c>
      <c r="P135" s="475">
        <f t="shared" si="60"/>
        <v>51246.16</v>
      </c>
      <c r="Q135" s="475">
        <f t="shared" si="60"/>
        <v>130142.22</v>
      </c>
      <c r="R135" s="475">
        <f t="shared" si="60"/>
        <v>150676.15</v>
      </c>
      <c r="S135" s="475">
        <f t="shared" si="60"/>
        <v>182329.71</v>
      </c>
      <c r="T135" s="475">
        <f t="shared" si="60"/>
        <v>369565.43</v>
      </c>
      <c r="U135" s="475">
        <f t="shared" si="60"/>
        <v>69535.570000000007</v>
      </c>
      <c r="V135" s="475">
        <f t="shared" si="60"/>
        <v>58268.24</v>
      </c>
      <c r="W135" s="522">
        <f t="shared" si="60"/>
        <v>2161139.37</v>
      </c>
      <c r="X135" s="524">
        <f t="shared" si="60"/>
        <v>2161139.37</v>
      </c>
      <c r="Y135" s="523">
        <f t="shared" si="60"/>
        <v>3546385.73</v>
      </c>
      <c r="Z135" s="524">
        <f t="shared" si="60"/>
        <v>2836779.25</v>
      </c>
      <c r="AA135" s="524">
        <f t="shared" si="60"/>
        <v>72892.33</v>
      </c>
      <c r="AB135" s="524">
        <f t="shared" si="60"/>
        <v>478504.9</v>
      </c>
      <c r="AC135" s="478">
        <f t="shared" ref="AC135:AC158" si="61">W135-X135</f>
        <v>0</v>
      </c>
      <c r="AD135" s="522">
        <f>AD136</f>
        <v>3546385.73</v>
      </c>
      <c r="AE135" s="522">
        <f>AE136</f>
        <v>1476261.49</v>
      </c>
      <c r="AF135" s="522">
        <f>AF136</f>
        <v>3546385.73</v>
      </c>
      <c r="AG135" s="522">
        <f t="shared" si="58"/>
        <v>0</v>
      </c>
      <c r="AH135" s="523">
        <f>AH136</f>
        <v>3546385.73</v>
      </c>
      <c r="AI135" s="523">
        <f>AI136</f>
        <v>4211561.8499999996</v>
      </c>
      <c r="AJ135" s="523">
        <f>AJ136</f>
        <v>4377918</v>
      </c>
      <c r="AK135" s="525"/>
    </row>
    <row r="136" spans="1:37" ht="16.5" thickTop="1" thickBot="1" x14ac:dyDescent="0.25">
      <c r="A136" s="491"/>
      <c r="B136" s="492"/>
      <c r="C136" s="493"/>
      <c r="D136" s="493">
        <v>1</v>
      </c>
      <c r="E136" s="494">
        <v>431301</v>
      </c>
      <c r="F136" s="495" t="s">
        <v>554</v>
      </c>
      <c r="G136" s="498">
        <v>2860851.36</v>
      </c>
      <c r="H136" s="497">
        <v>2800000</v>
      </c>
      <c r="I136" s="497">
        <v>2800000</v>
      </c>
      <c r="J136" s="498">
        <v>2800000</v>
      </c>
      <c r="K136" s="526">
        <v>82123.81</v>
      </c>
      <c r="L136" s="531">
        <v>329156.24</v>
      </c>
      <c r="M136" s="526">
        <v>97290.92</v>
      </c>
      <c r="N136" s="526">
        <v>211674.54</v>
      </c>
      <c r="O136" s="581">
        <v>429130.38</v>
      </c>
      <c r="P136" s="506">
        <v>51246.16</v>
      </c>
      <c r="Q136" s="527">
        <v>130142.22</v>
      </c>
      <c r="R136" s="527">
        <v>150676.15</v>
      </c>
      <c r="S136" s="527">
        <v>182329.71</v>
      </c>
      <c r="T136" s="527">
        <v>369565.43</v>
      </c>
      <c r="U136" s="527">
        <v>69535.570000000007</v>
      </c>
      <c r="V136" s="527">
        <v>58268.24</v>
      </c>
      <c r="W136" s="508">
        <f>SUM(K136:V136)</f>
        <v>2161139.37</v>
      </c>
      <c r="X136" s="498">
        <f>W136</f>
        <v>2161139.37</v>
      </c>
      <c r="Y136" s="500">
        <v>3546385.73</v>
      </c>
      <c r="Z136" s="501">
        <v>2836779.25</v>
      </c>
      <c r="AA136" s="501">
        <v>72892.33</v>
      </c>
      <c r="AB136" s="512">
        <v>478504.9</v>
      </c>
      <c r="AC136" s="478">
        <f t="shared" si="61"/>
        <v>0</v>
      </c>
      <c r="AD136" s="502">
        <f>Y136</f>
        <v>3546385.73</v>
      </c>
      <c r="AE136" s="510">
        <v>1476261.49</v>
      </c>
      <c r="AF136" s="502">
        <f>AD136</f>
        <v>3546385.73</v>
      </c>
      <c r="AG136" s="502">
        <f t="shared" si="58"/>
        <v>0</v>
      </c>
      <c r="AH136" s="503">
        <v>3546385.73</v>
      </c>
      <c r="AI136" s="503">
        <v>4211561.8499999996</v>
      </c>
      <c r="AJ136" s="503">
        <v>4377918</v>
      </c>
      <c r="AK136" s="472">
        <v>1100122</v>
      </c>
    </row>
    <row r="137" spans="1:37" ht="27" thickTop="1" thickBot="1" x14ac:dyDescent="0.25">
      <c r="A137" s="516"/>
      <c r="B137" s="517"/>
      <c r="C137" s="556">
        <v>14</v>
      </c>
      <c r="D137" s="556"/>
      <c r="E137" s="556"/>
      <c r="F137" s="557" t="s">
        <v>555</v>
      </c>
      <c r="G137" s="474">
        <f t="shared" ref="G137:AB137" si="62">G138+G139</f>
        <v>1220548.0699999998</v>
      </c>
      <c r="H137" s="497">
        <f t="shared" si="62"/>
        <v>1475000</v>
      </c>
      <c r="I137" s="497">
        <f t="shared" si="62"/>
        <v>1475000</v>
      </c>
      <c r="J137" s="475">
        <f t="shared" si="62"/>
        <v>1475000</v>
      </c>
      <c r="K137" s="498">
        <f t="shared" si="62"/>
        <v>66786.820000000007</v>
      </c>
      <c r="L137" s="475">
        <f t="shared" si="62"/>
        <v>37937.339999999997</v>
      </c>
      <c r="M137" s="475">
        <f t="shared" si="62"/>
        <v>35086.400000000001</v>
      </c>
      <c r="N137" s="475">
        <f t="shared" si="62"/>
        <v>0</v>
      </c>
      <c r="O137" s="475">
        <f t="shared" si="62"/>
        <v>0</v>
      </c>
      <c r="P137" s="475">
        <f t="shared" si="62"/>
        <v>0</v>
      </c>
      <c r="Q137" s="475">
        <f t="shared" si="62"/>
        <v>0</v>
      </c>
      <c r="R137" s="475">
        <f t="shared" si="62"/>
        <v>0</v>
      </c>
      <c r="S137" s="475">
        <f t="shared" si="62"/>
        <v>303186.88</v>
      </c>
      <c r="T137" s="475">
        <f t="shared" si="62"/>
        <v>144712.63</v>
      </c>
      <c r="U137" s="475">
        <f t="shared" si="62"/>
        <v>94987.01999999999</v>
      </c>
      <c r="V137" s="475">
        <f t="shared" si="62"/>
        <v>94303.88</v>
      </c>
      <c r="W137" s="522">
        <f t="shared" si="62"/>
        <v>777000.97</v>
      </c>
      <c r="X137" s="524">
        <f t="shared" si="62"/>
        <v>777000.97</v>
      </c>
      <c r="Y137" s="523">
        <f t="shared" si="62"/>
        <v>139810.56</v>
      </c>
      <c r="Z137" s="524">
        <f t="shared" si="62"/>
        <v>0</v>
      </c>
      <c r="AA137" s="524">
        <f t="shared" si="62"/>
        <v>0</v>
      </c>
      <c r="AB137" s="524">
        <f t="shared" si="62"/>
        <v>0</v>
      </c>
      <c r="AC137" s="478">
        <f t="shared" si="61"/>
        <v>0</v>
      </c>
      <c r="AD137" s="524">
        <f>AD138+AD139</f>
        <v>0</v>
      </c>
      <c r="AE137" s="524">
        <f>AE138+AE139</f>
        <v>0</v>
      </c>
      <c r="AF137" s="524">
        <f>AF138+AF139</f>
        <v>0</v>
      </c>
      <c r="AG137" s="524">
        <f t="shared" si="58"/>
        <v>0</v>
      </c>
      <c r="AH137" s="523">
        <f>AH138+AH139</f>
        <v>139810.56</v>
      </c>
      <c r="AI137" s="593">
        <f>AI138+AI139</f>
        <v>0</v>
      </c>
      <c r="AJ137" s="594">
        <f>AJ138+AJ139</f>
        <v>0</v>
      </c>
      <c r="AK137" s="558"/>
    </row>
    <row r="138" spans="1:37" ht="16.5" thickTop="1" thickBot="1" x14ac:dyDescent="0.25">
      <c r="A138" s="491"/>
      <c r="B138" s="492"/>
      <c r="C138" s="493"/>
      <c r="D138" s="493">
        <v>1</v>
      </c>
      <c r="E138" s="570">
        <v>431401</v>
      </c>
      <c r="F138" s="495" t="s">
        <v>556</v>
      </c>
      <c r="G138" s="498">
        <v>330956.84999999998</v>
      </c>
      <c r="H138" s="497">
        <v>575000</v>
      </c>
      <c r="I138" s="497">
        <v>575000</v>
      </c>
      <c r="J138" s="498">
        <v>575000</v>
      </c>
      <c r="K138" s="526">
        <v>16031.74</v>
      </c>
      <c r="L138" s="526">
        <v>19238.099999999999</v>
      </c>
      <c r="M138" s="526">
        <v>12825.4</v>
      </c>
      <c r="N138" s="526">
        <v>0</v>
      </c>
      <c r="O138" s="526">
        <v>0</v>
      </c>
      <c r="P138" s="595">
        <v>0</v>
      </c>
      <c r="Q138" s="526">
        <v>0</v>
      </c>
      <c r="R138" s="526">
        <v>0</v>
      </c>
      <c r="S138" s="527">
        <v>27881.279999999999</v>
      </c>
      <c r="T138" s="527">
        <v>21685.439999999999</v>
      </c>
      <c r="U138" s="527">
        <v>45087.88</v>
      </c>
      <c r="V138" s="527">
        <v>50427.05</v>
      </c>
      <c r="W138" s="508">
        <f>SUM(K138:V138)</f>
        <v>193176.89</v>
      </c>
      <c r="X138" s="498">
        <f>W138</f>
        <v>193176.89</v>
      </c>
      <c r="Y138" s="500">
        <v>48095.24</v>
      </c>
      <c r="Z138" s="498"/>
      <c r="AA138" s="498"/>
      <c r="AB138" s="498"/>
      <c r="AC138" s="478">
        <f t="shared" si="61"/>
        <v>0</v>
      </c>
      <c r="AD138" s="498">
        <v>0</v>
      </c>
      <c r="AE138" s="498">
        <v>0</v>
      </c>
      <c r="AF138" s="498">
        <v>0</v>
      </c>
      <c r="AG138" s="498">
        <f t="shared" si="58"/>
        <v>0</v>
      </c>
      <c r="AH138" s="503">
        <v>48095.24</v>
      </c>
      <c r="AI138" s="503">
        <v>0</v>
      </c>
      <c r="AJ138" s="503">
        <v>0</v>
      </c>
      <c r="AK138" s="472">
        <v>1100122</v>
      </c>
    </row>
    <row r="139" spans="1:37" ht="16.5" thickTop="1" thickBot="1" x14ac:dyDescent="0.25">
      <c r="A139" s="491"/>
      <c r="B139" s="492"/>
      <c r="C139" s="493"/>
      <c r="D139" s="493">
        <v>2</v>
      </c>
      <c r="E139" s="570">
        <v>431402</v>
      </c>
      <c r="F139" s="495" t="s">
        <v>557</v>
      </c>
      <c r="G139" s="498">
        <v>889591.22</v>
      </c>
      <c r="H139" s="497">
        <v>900000</v>
      </c>
      <c r="I139" s="497">
        <v>900000</v>
      </c>
      <c r="J139" s="498">
        <f>H139</f>
        <v>900000</v>
      </c>
      <c r="K139" s="526">
        <v>50755.08</v>
      </c>
      <c r="L139" s="531">
        <v>18699.240000000002</v>
      </c>
      <c r="M139" s="526">
        <v>22261</v>
      </c>
      <c r="N139" s="526">
        <v>0</v>
      </c>
      <c r="O139" s="526">
        <v>0</v>
      </c>
      <c r="P139" s="595">
        <v>0</v>
      </c>
      <c r="Q139" s="526">
        <v>0</v>
      </c>
      <c r="R139" s="526">
        <v>0</v>
      </c>
      <c r="S139" s="527">
        <v>275305.59999999998</v>
      </c>
      <c r="T139" s="527">
        <v>123027.19</v>
      </c>
      <c r="U139" s="527">
        <v>49899.14</v>
      </c>
      <c r="V139" s="527">
        <v>43876.83</v>
      </c>
      <c r="W139" s="508">
        <f>SUM(K139:V139)</f>
        <v>583824.07999999996</v>
      </c>
      <c r="X139" s="498">
        <f>W139</f>
        <v>583824.07999999996</v>
      </c>
      <c r="Y139" s="500">
        <v>91715.32</v>
      </c>
      <c r="Z139" s="498"/>
      <c r="AA139" s="498"/>
      <c r="AB139" s="498"/>
      <c r="AC139" s="478">
        <f t="shared" si="61"/>
        <v>0</v>
      </c>
      <c r="AD139" s="498">
        <v>0</v>
      </c>
      <c r="AE139" s="498">
        <v>0</v>
      </c>
      <c r="AF139" s="498">
        <v>0</v>
      </c>
      <c r="AG139" s="498">
        <f t="shared" si="58"/>
        <v>0</v>
      </c>
      <c r="AH139" s="503">
        <v>91715.32</v>
      </c>
      <c r="AI139" s="503">
        <v>0</v>
      </c>
      <c r="AJ139" s="503">
        <v>0</v>
      </c>
      <c r="AK139" s="472">
        <v>1100122</v>
      </c>
    </row>
    <row r="140" spans="1:37" ht="15.75" thickTop="1" thickBot="1" x14ac:dyDescent="0.25">
      <c r="A140" s="516"/>
      <c r="B140" s="517"/>
      <c r="C140" s="518">
        <v>15</v>
      </c>
      <c r="D140" s="518"/>
      <c r="E140" s="519"/>
      <c r="F140" s="520" t="s">
        <v>558</v>
      </c>
      <c r="G140" s="474">
        <f t="shared" ref="G140:AB140" si="63">G141+G142+G143+G144+G145+G146</f>
        <v>1269758.79</v>
      </c>
      <c r="H140" s="497">
        <f t="shared" si="63"/>
        <v>1547694.6400000001</v>
      </c>
      <c r="I140" s="497">
        <f t="shared" si="63"/>
        <v>1547694.6400000001</v>
      </c>
      <c r="J140" s="475">
        <f t="shared" si="63"/>
        <v>1547694.6400000001</v>
      </c>
      <c r="K140" s="498">
        <f t="shared" si="63"/>
        <v>109175.95999999999</v>
      </c>
      <c r="L140" s="475">
        <f t="shared" si="63"/>
        <v>68658.109999999986</v>
      </c>
      <c r="M140" s="475">
        <f t="shared" si="63"/>
        <v>44898.6</v>
      </c>
      <c r="N140" s="475">
        <f t="shared" si="63"/>
        <v>41647.199999999997</v>
      </c>
      <c r="O140" s="475">
        <f t="shared" si="63"/>
        <v>22338.91</v>
      </c>
      <c r="P140" s="475">
        <f t="shared" si="63"/>
        <v>32919.46</v>
      </c>
      <c r="Q140" s="475">
        <f t="shared" si="63"/>
        <v>32265.15</v>
      </c>
      <c r="R140" s="475">
        <f t="shared" si="63"/>
        <v>34257.15</v>
      </c>
      <c r="S140" s="475">
        <f t="shared" si="63"/>
        <v>29737.15</v>
      </c>
      <c r="T140" s="475">
        <f t="shared" si="63"/>
        <v>23742.15</v>
      </c>
      <c r="U140" s="475">
        <f t="shared" si="63"/>
        <v>22322.579999999998</v>
      </c>
      <c r="V140" s="475">
        <f t="shared" si="63"/>
        <v>15844.150000000001</v>
      </c>
      <c r="W140" s="522">
        <f t="shared" si="63"/>
        <v>477806.56999999995</v>
      </c>
      <c r="X140" s="524">
        <f t="shared" si="63"/>
        <v>477806.56999999995</v>
      </c>
      <c r="Y140" s="523">
        <f t="shared" si="63"/>
        <v>687251.62</v>
      </c>
      <c r="Z140" s="524">
        <f t="shared" si="63"/>
        <v>871901.78</v>
      </c>
      <c r="AA140" s="524">
        <f t="shared" si="63"/>
        <v>62482.16</v>
      </c>
      <c r="AB140" s="524">
        <f t="shared" si="63"/>
        <v>56563.66</v>
      </c>
      <c r="AC140" s="478">
        <f t="shared" si="61"/>
        <v>0</v>
      </c>
      <c r="AD140" s="522">
        <f>AD141+AD142+AD143+AD144+AD145+AD146</f>
        <v>711196.53</v>
      </c>
      <c r="AE140" s="522">
        <f>AE141+AE142+AE143+AE144+AE145+AE146</f>
        <v>272013.33999999997</v>
      </c>
      <c r="AF140" s="522">
        <f>AF141+AF142+AF143+AF144+AF145+AF146</f>
        <v>783196.53</v>
      </c>
      <c r="AG140" s="522">
        <f t="shared" si="58"/>
        <v>72000</v>
      </c>
      <c r="AH140" s="523">
        <f>AH141+AH142+AH143+AH144+AH145+AH146</f>
        <v>687251.62</v>
      </c>
      <c r="AI140" s="523">
        <f>AI141+AI142+AI143+AI144+AI145+AI146</f>
        <v>865154.96</v>
      </c>
      <c r="AJ140" s="523">
        <f>AJ141+AJ142+AJ143+AJ144+AJ145+AJ146</f>
        <v>903326</v>
      </c>
      <c r="AK140" s="525"/>
    </row>
    <row r="141" spans="1:37" ht="16.5" thickTop="1" thickBot="1" x14ac:dyDescent="0.25">
      <c r="A141" s="491"/>
      <c r="B141" s="492"/>
      <c r="C141" s="493"/>
      <c r="D141" s="493">
        <v>1</v>
      </c>
      <c r="E141" s="494">
        <v>431501</v>
      </c>
      <c r="F141" s="495" t="s">
        <v>559</v>
      </c>
      <c r="G141" s="498">
        <v>267861.37</v>
      </c>
      <c r="H141" s="497">
        <v>296064.44</v>
      </c>
      <c r="I141" s="497">
        <v>296064.44</v>
      </c>
      <c r="J141" s="498">
        <v>296064.44</v>
      </c>
      <c r="K141" s="526">
        <v>29870.83</v>
      </c>
      <c r="L141" s="526">
        <v>26794.84</v>
      </c>
      <c r="M141" s="526">
        <v>20327.12</v>
      </c>
      <c r="N141" s="526">
        <v>6005.74</v>
      </c>
      <c r="O141" s="581">
        <v>4372.33</v>
      </c>
      <c r="P141" s="506">
        <v>6929.7</v>
      </c>
      <c r="Q141" s="527">
        <v>5543.76</v>
      </c>
      <c r="R141" s="527">
        <v>5543.76</v>
      </c>
      <c r="S141" s="527">
        <v>5543.76</v>
      </c>
      <c r="T141" s="527">
        <v>5543.76</v>
      </c>
      <c r="U141" s="527">
        <v>7606.19</v>
      </c>
      <c r="V141" s="527">
        <v>5543.76</v>
      </c>
      <c r="W141" s="508">
        <f t="shared" ref="W141:W146" si="64">SUM(K141:V141)</f>
        <v>129625.54999999997</v>
      </c>
      <c r="X141" s="498">
        <f t="shared" ref="X141:X146" si="65">W141</f>
        <v>129625.54999999997</v>
      </c>
      <c r="Y141" s="500">
        <v>207688.4</v>
      </c>
      <c r="Z141" s="501">
        <v>268861.37</v>
      </c>
      <c r="AA141" s="501">
        <v>17213.400000000001</v>
      </c>
      <c r="AB141" s="512">
        <v>24385.65</v>
      </c>
      <c r="AC141" s="478">
        <f t="shared" si="61"/>
        <v>0</v>
      </c>
      <c r="AD141" s="502">
        <f>Z141</f>
        <v>268861.37</v>
      </c>
      <c r="AE141" s="510">
        <v>80329.2</v>
      </c>
      <c r="AF141" s="502">
        <f>AD141</f>
        <v>268861.37</v>
      </c>
      <c r="AG141" s="502">
        <f t="shared" si="58"/>
        <v>0</v>
      </c>
      <c r="AH141" s="503">
        <v>207688.4</v>
      </c>
      <c r="AI141" s="503">
        <v>265302.55</v>
      </c>
      <c r="AJ141" s="503">
        <v>275782</v>
      </c>
      <c r="AK141" s="472">
        <v>1100122</v>
      </c>
    </row>
    <row r="142" spans="1:37" ht="16.5" thickTop="1" thickBot="1" x14ac:dyDescent="0.25">
      <c r="A142" s="491"/>
      <c r="B142" s="492"/>
      <c r="C142" s="493"/>
      <c r="D142" s="493">
        <v>2</v>
      </c>
      <c r="E142" s="494">
        <v>431502</v>
      </c>
      <c r="F142" s="495" t="s">
        <v>560</v>
      </c>
      <c r="G142" s="498">
        <v>229345.83</v>
      </c>
      <c r="H142" s="497">
        <v>293071.94</v>
      </c>
      <c r="I142" s="497">
        <v>293071.94</v>
      </c>
      <c r="J142" s="498">
        <v>293071.94</v>
      </c>
      <c r="K142" s="526">
        <v>32257.5</v>
      </c>
      <c r="L142" s="526">
        <v>7020.75</v>
      </c>
      <c r="M142" s="526">
        <v>5313</v>
      </c>
      <c r="N142" s="526">
        <v>10436.25</v>
      </c>
      <c r="O142" s="581">
        <v>4933.5</v>
      </c>
      <c r="P142" s="506">
        <v>10436.25</v>
      </c>
      <c r="Q142" s="527">
        <v>12400</v>
      </c>
      <c r="R142" s="527">
        <v>7020</v>
      </c>
      <c r="S142" s="527">
        <v>2500</v>
      </c>
      <c r="T142" s="527">
        <v>5313</v>
      </c>
      <c r="U142" s="527">
        <v>3200</v>
      </c>
      <c r="V142" s="527">
        <v>3200</v>
      </c>
      <c r="W142" s="508">
        <f t="shared" si="64"/>
        <v>104030.25</v>
      </c>
      <c r="X142" s="498">
        <f t="shared" si="65"/>
        <v>104030.25</v>
      </c>
      <c r="Y142" s="500">
        <v>149712.75</v>
      </c>
      <c r="Z142" s="501">
        <v>230345.83</v>
      </c>
      <c r="AA142" s="501">
        <v>14532.86</v>
      </c>
      <c r="AB142" s="512">
        <v>8051.99</v>
      </c>
      <c r="AC142" s="478">
        <f t="shared" si="61"/>
        <v>0</v>
      </c>
      <c r="AD142" s="502">
        <v>150000</v>
      </c>
      <c r="AE142" s="510">
        <v>53418.080000000002</v>
      </c>
      <c r="AF142" s="502">
        <f>AD142</f>
        <v>150000</v>
      </c>
      <c r="AG142" s="502">
        <f t="shared" si="58"/>
        <v>0</v>
      </c>
      <c r="AH142" s="503">
        <v>149712.75</v>
      </c>
      <c r="AI142" s="503">
        <v>205811.1</v>
      </c>
      <c r="AJ142" s="503">
        <v>213940</v>
      </c>
      <c r="AK142" s="472">
        <v>1100122</v>
      </c>
    </row>
    <row r="143" spans="1:37" ht="16.5" thickTop="1" thickBot="1" x14ac:dyDescent="0.25">
      <c r="A143" s="491"/>
      <c r="B143" s="492"/>
      <c r="C143" s="493"/>
      <c r="D143" s="493">
        <v>3</v>
      </c>
      <c r="E143" s="494">
        <v>431503</v>
      </c>
      <c r="F143" s="495" t="s">
        <v>561</v>
      </c>
      <c r="G143" s="498">
        <v>58335.16</v>
      </c>
      <c r="H143" s="497">
        <v>78556.100000000006</v>
      </c>
      <c r="I143" s="497">
        <v>78556.100000000006</v>
      </c>
      <c r="J143" s="498">
        <v>78556.100000000006</v>
      </c>
      <c r="K143" s="526">
        <v>2323.02</v>
      </c>
      <c r="L143" s="526">
        <v>2323.02</v>
      </c>
      <c r="M143" s="526">
        <v>5807.55</v>
      </c>
      <c r="N143" s="526">
        <v>2323.02</v>
      </c>
      <c r="O143" s="581">
        <v>1161.51</v>
      </c>
      <c r="P143" s="506">
        <v>1161.51</v>
      </c>
      <c r="Q143" s="527">
        <v>1161.51</v>
      </c>
      <c r="R143" s="527">
        <v>1161.51</v>
      </c>
      <c r="S143" s="527">
        <v>1161.51</v>
      </c>
      <c r="T143" s="527">
        <v>1161.51</v>
      </c>
      <c r="U143" s="527">
        <v>1161.51</v>
      </c>
      <c r="V143" s="527">
        <v>1161.51</v>
      </c>
      <c r="W143" s="508">
        <f t="shared" si="64"/>
        <v>22068.689999999995</v>
      </c>
      <c r="X143" s="498">
        <f t="shared" si="65"/>
        <v>22068.689999999995</v>
      </c>
      <c r="Y143" s="500">
        <v>51106.44</v>
      </c>
      <c r="Z143" s="501">
        <v>59335.16</v>
      </c>
      <c r="AA143" s="501">
        <v>3606.48</v>
      </c>
      <c r="AB143" s="512">
        <v>0</v>
      </c>
      <c r="AC143" s="478">
        <f t="shared" si="61"/>
        <v>0</v>
      </c>
      <c r="AD143" s="502">
        <f>Z143</f>
        <v>59335.16</v>
      </c>
      <c r="AE143" s="510">
        <v>8415.1200000000008</v>
      </c>
      <c r="AF143" s="502">
        <f>AD143</f>
        <v>59335.16</v>
      </c>
      <c r="AG143" s="502">
        <f t="shared" si="58"/>
        <v>0</v>
      </c>
      <c r="AH143" s="503">
        <v>51106.44</v>
      </c>
      <c r="AI143" s="503">
        <v>48719.46</v>
      </c>
      <c r="AJ143" s="503">
        <v>50643</v>
      </c>
      <c r="AK143" s="472">
        <v>1100122</v>
      </c>
    </row>
    <row r="144" spans="1:37" ht="16.5" thickTop="1" thickBot="1" x14ac:dyDescent="0.25">
      <c r="A144" s="491"/>
      <c r="B144" s="492"/>
      <c r="C144" s="493"/>
      <c r="D144" s="493">
        <v>4</v>
      </c>
      <c r="E144" s="494">
        <v>431504</v>
      </c>
      <c r="F144" s="495" t="s">
        <v>562</v>
      </c>
      <c r="G144" s="498">
        <v>144359.42000000001</v>
      </c>
      <c r="H144" s="497">
        <v>165000</v>
      </c>
      <c r="I144" s="497">
        <v>165000</v>
      </c>
      <c r="J144" s="498">
        <v>165000</v>
      </c>
      <c r="K144" s="526">
        <v>33796.61</v>
      </c>
      <c r="L144" s="526">
        <v>11003.5</v>
      </c>
      <c r="M144" s="526">
        <v>7681.93</v>
      </c>
      <c r="N144" s="526">
        <v>6651.19</v>
      </c>
      <c r="O144" s="581">
        <v>1027.57</v>
      </c>
      <c r="P144" s="506">
        <v>0</v>
      </c>
      <c r="Q144" s="527">
        <v>1031.8800000000001</v>
      </c>
      <c r="R144" s="527">
        <v>1031.8800000000001</v>
      </c>
      <c r="S144" s="527">
        <v>1031.8800000000001</v>
      </c>
      <c r="T144" s="527">
        <v>1031.8800000000001</v>
      </c>
      <c r="U144" s="527">
        <v>1031.8800000000001</v>
      </c>
      <c r="V144" s="527">
        <v>1031.8800000000001</v>
      </c>
      <c r="W144" s="508">
        <f t="shared" si="64"/>
        <v>66352.079999999987</v>
      </c>
      <c r="X144" s="498">
        <f t="shared" si="65"/>
        <v>66352.079999999987</v>
      </c>
      <c r="Y144" s="500">
        <v>86198.53</v>
      </c>
      <c r="Z144" s="501">
        <v>150359.42000000001</v>
      </c>
      <c r="AA144" s="501">
        <v>12713.42</v>
      </c>
      <c r="AB144" s="512">
        <v>6884.02</v>
      </c>
      <c r="AC144" s="478">
        <f t="shared" si="61"/>
        <v>0</v>
      </c>
      <c r="AD144" s="502">
        <v>100000</v>
      </c>
      <c r="AE144" s="510">
        <v>35225.56</v>
      </c>
      <c r="AF144" s="502">
        <f>AD144</f>
        <v>100000</v>
      </c>
      <c r="AG144" s="502">
        <f t="shared" si="58"/>
        <v>0</v>
      </c>
      <c r="AH144" s="503">
        <v>86198.53</v>
      </c>
      <c r="AI144" s="503">
        <v>53964.65</v>
      </c>
      <c r="AJ144" s="503">
        <v>56096</v>
      </c>
      <c r="AK144" s="472">
        <v>1100122</v>
      </c>
    </row>
    <row r="145" spans="1:37" ht="16.5" thickTop="1" thickBot="1" x14ac:dyDescent="0.25">
      <c r="A145" s="491"/>
      <c r="B145" s="492"/>
      <c r="C145" s="493"/>
      <c r="D145" s="493">
        <v>5</v>
      </c>
      <c r="E145" s="494">
        <v>431505</v>
      </c>
      <c r="F145" s="495" t="s">
        <v>563</v>
      </c>
      <c r="G145" s="498">
        <v>3319</v>
      </c>
      <c r="H145" s="497">
        <v>15002.16</v>
      </c>
      <c r="I145" s="497">
        <v>15002.16</v>
      </c>
      <c r="J145" s="498">
        <v>15002.16</v>
      </c>
      <c r="K145" s="526">
        <v>0</v>
      </c>
      <c r="L145" s="526">
        <v>0</v>
      </c>
      <c r="M145" s="526">
        <v>0</v>
      </c>
      <c r="N145" s="526">
        <v>0</v>
      </c>
      <c r="O145" s="581">
        <v>0</v>
      </c>
      <c r="P145" s="506">
        <v>0</v>
      </c>
      <c r="Q145" s="527">
        <v>0</v>
      </c>
      <c r="R145" s="527">
        <v>0</v>
      </c>
      <c r="S145" s="527">
        <v>0</v>
      </c>
      <c r="T145" s="527">
        <v>0</v>
      </c>
      <c r="U145" s="527">
        <v>0</v>
      </c>
      <c r="V145" s="527">
        <v>0</v>
      </c>
      <c r="W145" s="497">
        <f t="shared" si="64"/>
        <v>0</v>
      </c>
      <c r="X145" s="498">
        <f t="shared" si="65"/>
        <v>0</v>
      </c>
      <c r="Y145" s="500"/>
      <c r="Z145" s="501">
        <v>13000</v>
      </c>
      <c r="AA145" s="501">
        <v>0</v>
      </c>
      <c r="AB145" s="512">
        <v>0</v>
      </c>
      <c r="AC145" s="478">
        <f t="shared" si="61"/>
        <v>0</v>
      </c>
      <c r="AD145" s="502">
        <f>Z145</f>
        <v>13000</v>
      </c>
      <c r="AE145" s="510">
        <v>0</v>
      </c>
      <c r="AF145" s="502">
        <f>AD145</f>
        <v>13000</v>
      </c>
      <c r="AG145" s="502">
        <f t="shared" si="58"/>
        <v>0</v>
      </c>
      <c r="AH145" s="503">
        <v>0</v>
      </c>
      <c r="AI145" s="503">
        <v>0</v>
      </c>
      <c r="AJ145" s="503">
        <v>4000</v>
      </c>
      <c r="AK145" s="472">
        <v>1100122</v>
      </c>
    </row>
    <row r="146" spans="1:37" ht="16.5" thickTop="1" thickBot="1" x14ac:dyDescent="0.25">
      <c r="A146" s="491"/>
      <c r="B146" s="492"/>
      <c r="C146" s="493"/>
      <c r="D146" s="493">
        <v>6</v>
      </c>
      <c r="E146" s="494">
        <v>431506</v>
      </c>
      <c r="F146" s="495" t="s">
        <v>564</v>
      </c>
      <c r="G146" s="498">
        <v>566538.01</v>
      </c>
      <c r="H146" s="497">
        <v>700000</v>
      </c>
      <c r="I146" s="497">
        <v>700000</v>
      </c>
      <c r="J146" s="498">
        <v>700000</v>
      </c>
      <c r="K146" s="526">
        <v>10928</v>
      </c>
      <c r="L146" s="531">
        <v>21516</v>
      </c>
      <c r="M146" s="526">
        <v>5769</v>
      </c>
      <c r="N146" s="526">
        <v>16231</v>
      </c>
      <c r="O146" s="581">
        <v>10844</v>
      </c>
      <c r="P146" s="506">
        <v>14392</v>
      </c>
      <c r="Q146" s="527">
        <v>12128</v>
      </c>
      <c r="R146" s="527">
        <v>19500</v>
      </c>
      <c r="S146" s="527">
        <v>19500</v>
      </c>
      <c r="T146" s="527">
        <v>10692</v>
      </c>
      <c r="U146" s="527">
        <v>9323</v>
      </c>
      <c r="V146" s="527">
        <v>4907</v>
      </c>
      <c r="W146" s="508">
        <f t="shared" si="64"/>
        <v>155730</v>
      </c>
      <c r="X146" s="498">
        <f t="shared" si="65"/>
        <v>155730</v>
      </c>
      <c r="Y146" s="500">
        <v>192545.5</v>
      </c>
      <c r="Z146" s="501">
        <v>150000</v>
      </c>
      <c r="AA146" s="501">
        <v>14416</v>
      </c>
      <c r="AB146" s="512">
        <v>17242</v>
      </c>
      <c r="AC146" s="478">
        <f t="shared" si="61"/>
        <v>0</v>
      </c>
      <c r="AD146" s="502">
        <v>120000</v>
      </c>
      <c r="AE146" s="510">
        <v>94625.38</v>
      </c>
      <c r="AF146" s="502">
        <f>192000</f>
        <v>192000</v>
      </c>
      <c r="AG146" s="502">
        <f t="shared" si="58"/>
        <v>72000</v>
      </c>
      <c r="AH146" s="503">
        <v>192545.5</v>
      </c>
      <c r="AI146" s="503">
        <v>291357.2</v>
      </c>
      <c r="AJ146" s="503">
        <v>302865</v>
      </c>
      <c r="AK146" s="472">
        <v>1100122</v>
      </c>
    </row>
    <row r="147" spans="1:37" ht="39.75" thickTop="1" thickBot="1" x14ac:dyDescent="0.25">
      <c r="A147" s="516"/>
      <c r="B147" s="517"/>
      <c r="C147" s="518">
        <v>16</v>
      </c>
      <c r="D147" s="518"/>
      <c r="E147" s="519"/>
      <c r="F147" s="520" t="s">
        <v>565</v>
      </c>
      <c r="G147" s="474">
        <f t="shared" ref="G147:AB147" si="66">SUM(G148:G156)</f>
        <v>3527844.2399999998</v>
      </c>
      <c r="H147" s="497">
        <f t="shared" si="66"/>
        <v>3912830.53</v>
      </c>
      <c r="I147" s="497">
        <f t="shared" si="66"/>
        <v>3912830.53</v>
      </c>
      <c r="J147" s="475">
        <f t="shared" si="66"/>
        <v>3912830.53</v>
      </c>
      <c r="K147" s="498">
        <f t="shared" si="66"/>
        <v>165674.5</v>
      </c>
      <c r="L147" s="475">
        <f t="shared" si="66"/>
        <v>331393.04000000004</v>
      </c>
      <c r="M147" s="475">
        <f t="shared" si="66"/>
        <v>432934.82999999996</v>
      </c>
      <c r="N147" s="475">
        <f t="shared" si="66"/>
        <v>184096.97000000003</v>
      </c>
      <c r="O147" s="475">
        <f t="shared" si="66"/>
        <v>202490.43</v>
      </c>
      <c r="P147" s="475">
        <f t="shared" si="66"/>
        <v>340102.77</v>
      </c>
      <c r="Q147" s="475">
        <f t="shared" si="66"/>
        <v>171569.82256</v>
      </c>
      <c r="R147" s="475">
        <f t="shared" si="66"/>
        <v>247983.52128000002</v>
      </c>
      <c r="S147" s="475">
        <f t="shared" si="66"/>
        <v>262515.29703999998</v>
      </c>
      <c r="T147" s="475">
        <f t="shared" si="66"/>
        <v>333551.97895999998</v>
      </c>
      <c r="U147" s="475">
        <f t="shared" si="66"/>
        <v>226836.35536000002</v>
      </c>
      <c r="V147" s="475">
        <f t="shared" si="66"/>
        <v>131406.23071999999</v>
      </c>
      <c r="W147" s="522">
        <f t="shared" si="66"/>
        <v>3062404.48</v>
      </c>
      <c r="X147" s="524">
        <f t="shared" si="66"/>
        <v>3062404.48</v>
      </c>
      <c r="Y147" s="523">
        <f t="shared" si="66"/>
        <v>3575465.06</v>
      </c>
      <c r="Z147" s="524">
        <f t="shared" si="66"/>
        <v>3462700.7099999995</v>
      </c>
      <c r="AA147" s="524">
        <f t="shared" si="66"/>
        <v>119402.14</v>
      </c>
      <c r="AB147" s="524">
        <f t="shared" si="66"/>
        <v>338752.95</v>
      </c>
      <c r="AC147" s="478">
        <f t="shared" si="61"/>
        <v>0</v>
      </c>
      <c r="AD147" s="522">
        <f>SUM(AD148:AD156)</f>
        <v>3711303.3197699999</v>
      </c>
      <c r="AE147" s="522">
        <f>SUM(AE148:AE156)</f>
        <v>1109023.3</v>
      </c>
      <c r="AF147" s="522">
        <f>SUM(AF148:AF156)</f>
        <v>3711303.31</v>
      </c>
      <c r="AG147" s="522">
        <f t="shared" si="58"/>
        <v>-9.7699998877942562E-3</v>
      </c>
      <c r="AH147" s="523">
        <f>SUM(AH148:AH156)</f>
        <v>3575465.06</v>
      </c>
      <c r="AI147" s="523">
        <f>SUM(AI148:AI156)</f>
        <v>3406207.08</v>
      </c>
      <c r="AJ147" s="523">
        <f>SUM(AJ148:AJ156)</f>
        <v>3427874</v>
      </c>
      <c r="AK147" s="525"/>
    </row>
    <row r="148" spans="1:37" ht="16.5" thickTop="1" thickBot="1" x14ac:dyDescent="0.25">
      <c r="A148" s="491"/>
      <c r="B148" s="492"/>
      <c r="C148" s="493"/>
      <c r="D148" s="493">
        <v>1</v>
      </c>
      <c r="E148" s="494">
        <v>431601</v>
      </c>
      <c r="F148" s="495" t="s">
        <v>566</v>
      </c>
      <c r="G148" s="498">
        <v>300893.71999999997</v>
      </c>
      <c r="H148" s="497">
        <v>240000</v>
      </c>
      <c r="I148" s="497">
        <v>240000</v>
      </c>
      <c r="J148" s="498">
        <v>240000</v>
      </c>
      <c r="K148" s="526">
        <v>30913.040000000001</v>
      </c>
      <c r="L148" s="526">
        <v>21548.560000000001</v>
      </c>
      <c r="M148" s="526">
        <v>16041.47</v>
      </c>
      <c r="N148" s="596">
        <v>4497.87</v>
      </c>
      <c r="O148" s="581">
        <v>4373.2</v>
      </c>
      <c r="P148" s="506">
        <v>9449.43</v>
      </c>
      <c r="Q148" s="597">
        <v>6000</v>
      </c>
      <c r="R148" s="597">
        <v>10652</v>
      </c>
      <c r="S148" s="597">
        <v>22190.720000000001</v>
      </c>
      <c r="T148" s="597">
        <v>23279.439999999999</v>
      </c>
      <c r="U148" s="597">
        <v>21127.38</v>
      </c>
      <c r="V148" s="597">
        <v>75581.97</v>
      </c>
      <c r="W148" s="508">
        <f>SUM(K148:V148)</f>
        <v>245655.08000000002</v>
      </c>
      <c r="X148" s="498">
        <f t="shared" ref="X148:X156" si="67">W148</f>
        <v>245655.08000000002</v>
      </c>
      <c r="Y148" s="500">
        <v>182365.91</v>
      </c>
      <c r="Z148" s="501">
        <v>245655.08</v>
      </c>
      <c r="AA148" s="501">
        <v>10710.56</v>
      </c>
      <c r="AB148" s="512">
        <v>9617.2099999999991</v>
      </c>
      <c r="AC148" s="478">
        <f t="shared" si="61"/>
        <v>0</v>
      </c>
      <c r="AD148" s="509">
        <f>Y148*1.035</f>
        <v>188748.71685</v>
      </c>
      <c r="AE148" s="510">
        <v>41483.32</v>
      </c>
      <c r="AF148" s="502">
        <v>188748.71</v>
      </c>
      <c r="AG148" s="509">
        <f t="shared" si="58"/>
        <v>-6.8500000052154064E-3</v>
      </c>
      <c r="AH148" s="503">
        <v>182365.91</v>
      </c>
      <c r="AI148" s="503">
        <v>135561.75</v>
      </c>
      <c r="AJ148" s="503">
        <v>140916</v>
      </c>
      <c r="AK148" s="472">
        <v>1100122</v>
      </c>
    </row>
    <row r="149" spans="1:37" ht="16.5" thickTop="1" thickBot="1" x14ac:dyDescent="0.25">
      <c r="A149" s="491"/>
      <c r="B149" s="492"/>
      <c r="C149" s="493"/>
      <c r="D149" s="493">
        <v>2</v>
      </c>
      <c r="E149" s="494">
        <v>431602</v>
      </c>
      <c r="F149" s="495" t="s">
        <v>567</v>
      </c>
      <c r="G149" s="498">
        <v>398915.02</v>
      </c>
      <c r="H149" s="497">
        <f>64472.74+412558.56</f>
        <v>477031.3</v>
      </c>
      <c r="I149" s="497">
        <f>64472.74+412558.56</f>
        <v>477031.3</v>
      </c>
      <c r="J149" s="498">
        <f>64472.74+412558.56</f>
        <v>477031.3</v>
      </c>
      <c r="K149" s="526">
        <v>23553.86</v>
      </c>
      <c r="L149" s="526">
        <v>29667.81</v>
      </c>
      <c r="M149" s="526">
        <v>24633.06</v>
      </c>
      <c r="N149" s="526">
        <v>7925.9</v>
      </c>
      <c r="O149" s="581">
        <v>11056.69</v>
      </c>
      <c r="P149" s="506">
        <v>32390.34</v>
      </c>
      <c r="Q149" s="527">
        <v>7781.0865600000006</v>
      </c>
      <c r="R149" s="527">
        <v>23972.345279999998</v>
      </c>
      <c r="S149" s="527">
        <v>24123.607040000003</v>
      </c>
      <c r="T149" s="527">
        <v>32087.768960000001</v>
      </c>
      <c r="U149" s="527">
        <v>36035.775360000007</v>
      </c>
      <c r="V149" s="527">
        <v>28771.02072</v>
      </c>
      <c r="W149" s="508">
        <v>281999.26</v>
      </c>
      <c r="X149" s="498">
        <f t="shared" si="67"/>
        <v>281999.26</v>
      </c>
      <c r="Y149" s="500">
        <v>284728.96999999997</v>
      </c>
      <c r="Z149" s="501">
        <v>281999.26</v>
      </c>
      <c r="AA149" s="501">
        <v>23393.06</v>
      </c>
      <c r="AB149" s="512">
        <v>30985.78</v>
      </c>
      <c r="AC149" s="478">
        <f t="shared" si="61"/>
        <v>0</v>
      </c>
      <c r="AD149" s="509">
        <f>Y149*1.036</f>
        <v>294979.21291999996</v>
      </c>
      <c r="AE149" s="510">
        <v>141333.06</v>
      </c>
      <c r="AF149" s="502">
        <v>294979.21000000002</v>
      </c>
      <c r="AG149" s="509">
        <f t="shared" si="58"/>
        <v>-2.9199999407865107E-3</v>
      </c>
      <c r="AH149" s="503">
        <v>284728.96999999997</v>
      </c>
      <c r="AI149" s="503">
        <v>466234.63</v>
      </c>
      <c r="AJ149" s="503">
        <v>484650</v>
      </c>
      <c r="AK149" s="472">
        <v>1100122</v>
      </c>
    </row>
    <row r="150" spans="1:37" ht="16.5" thickTop="1" thickBot="1" x14ac:dyDescent="0.25">
      <c r="A150" s="491"/>
      <c r="B150" s="492"/>
      <c r="C150" s="493"/>
      <c r="D150" s="493">
        <v>3</v>
      </c>
      <c r="E150" s="494">
        <v>431603</v>
      </c>
      <c r="F150" s="495" t="s">
        <v>568</v>
      </c>
      <c r="G150" s="498">
        <v>31218.03</v>
      </c>
      <c r="H150" s="497">
        <v>31000</v>
      </c>
      <c r="I150" s="497">
        <v>31000</v>
      </c>
      <c r="J150" s="498">
        <v>31000</v>
      </c>
      <c r="K150" s="526">
        <v>0</v>
      </c>
      <c r="L150" s="526">
        <v>0</v>
      </c>
      <c r="M150" s="526">
        <v>0</v>
      </c>
      <c r="N150" s="526">
        <v>0</v>
      </c>
      <c r="O150" s="581">
        <v>0</v>
      </c>
      <c r="P150" s="506">
        <v>151.26</v>
      </c>
      <c r="Q150" s="527">
        <v>0</v>
      </c>
      <c r="R150" s="527">
        <v>0</v>
      </c>
      <c r="S150" s="527">
        <v>0</v>
      </c>
      <c r="T150" s="527">
        <v>0</v>
      </c>
      <c r="U150" s="527">
        <v>0</v>
      </c>
      <c r="V150" s="527"/>
      <c r="W150" s="508">
        <f>I150</f>
        <v>31000</v>
      </c>
      <c r="X150" s="498">
        <f t="shared" si="67"/>
        <v>31000</v>
      </c>
      <c r="Y150" s="500">
        <v>378.15</v>
      </c>
      <c r="Z150" s="501">
        <v>31000</v>
      </c>
      <c r="AA150" s="501">
        <v>0</v>
      </c>
      <c r="AB150" s="512">
        <v>0</v>
      </c>
      <c r="AC150" s="478">
        <f t="shared" si="61"/>
        <v>0</v>
      </c>
      <c r="AD150" s="509">
        <v>20000</v>
      </c>
      <c r="AE150" s="510">
        <v>2971.99</v>
      </c>
      <c r="AF150" s="502">
        <v>20000</v>
      </c>
      <c r="AG150" s="509">
        <f t="shared" si="58"/>
        <v>0</v>
      </c>
      <c r="AH150" s="503">
        <v>378.15</v>
      </c>
      <c r="AI150" s="503">
        <v>10061.67</v>
      </c>
      <c r="AJ150" s="503">
        <v>10459</v>
      </c>
      <c r="AK150" s="472">
        <v>1100122</v>
      </c>
    </row>
    <row r="151" spans="1:37" ht="16.5" thickTop="1" thickBot="1" x14ac:dyDescent="0.25">
      <c r="A151" s="491"/>
      <c r="B151" s="492"/>
      <c r="C151" s="493"/>
      <c r="D151" s="493">
        <v>4</v>
      </c>
      <c r="E151" s="494">
        <v>431604</v>
      </c>
      <c r="F151" s="495" t="s">
        <v>569</v>
      </c>
      <c r="G151" s="498">
        <v>91761.55</v>
      </c>
      <c r="H151" s="497">
        <v>100000</v>
      </c>
      <c r="I151" s="497">
        <v>100000</v>
      </c>
      <c r="J151" s="498">
        <v>100000</v>
      </c>
      <c r="K151" s="526">
        <v>6050.1</v>
      </c>
      <c r="L151" s="526">
        <v>4840.08</v>
      </c>
      <c r="M151" s="526">
        <v>17804.580000000002</v>
      </c>
      <c r="N151" s="526">
        <v>3121.87</v>
      </c>
      <c r="O151" s="581">
        <v>2767.23</v>
      </c>
      <c r="P151" s="506">
        <v>4324.24</v>
      </c>
      <c r="Q151" s="527">
        <v>2500</v>
      </c>
      <c r="R151" s="527">
        <v>4500</v>
      </c>
      <c r="S151" s="527">
        <v>9352.56</v>
      </c>
      <c r="T151" s="527">
        <v>7682.46</v>
      </c>
      <c r="U151" s="527">
        <v>6847.41</v>
      </c>
      <c r="V151" s="527">
        <v>4509.2700000000004</v>
      </c>
      <c r="W151" s="508">
        <f>SUM(K151:V151)</f>
        <v>74299.8</v>
      </c>
      <c r="X151" s="498">
        <f t="shared" si="67"/>
        <v>74299.8</v>
      </c>
      <c r="Y151" s="500">
        <v>206241.07</v>
      </c>
      <c r="Z151" s="501">
        <v>174299.8</v>
      </c>
      <c r="AA151" s="501">
        <v>6340.13</v>
      </c>
      <c r="AB151" s="512">
        <v>6798.58</v>
      </c>
      <c r="AC151" s="478">
        <f t="shared" si="61"/>
        <v>0</v>
      </c>
      <c r="AD151" s="509">
        <f>Y151</f>
        <v>206241.07</v>
      </c>
      <c r="AE151" s="510">
        <v>101162.43</v>
      </c>
      <c r="AF151" s="502">
        <v>206241.07</v>
      </c>
      <c r="AG151" s="509">
        <f t="shared" si="58"/>
        <v>0</v>
      </c>
      <c r="AH151" s="503">
        <v>206241.07</v>
      </c>
      <c r="AI151" s="503">
        <v>311566.88</v>
      </c>
      <c r="AJ151" s="503">
        <v>210000</v>
      </c>
      <c r="AK151" s="472">
        <v>1100122</v>
      </c>
    </row>
    <row r="152" spans="1:37" ht="16.5" thickTop="1" thickBot="1" x14ac:dyDescent="0.25">
      <c r="A152" s="491"/>
      <c r="B152" s="492"/>
      <c r="C152" s="493"/>
      <c r="D152" s="493">
        <v>5</v>
      </c>
      <c r="E152" s="494">
        <v>431605</v>
      </c>
      <c r="F152" s="495" t="s">
        <v>570</v>
      </c>
      <c r="G152" s="498">
        <v>1441239.05</v>
      </c>
      <c r="H152" s="497">
        <v>1500000</v>
      </c>
      <c r="I152" s="497">
        <v>1500000</v>
      </c>
      <c r="J152" s="498">
        <v>1500000</v>
      </c>
      <c r="K152" s="526">
        <v>46834.3</v>
      </c>
      <c r="L152" s="526">
        <v>158838.85</v>
      </c>
      <c r="M152" s="526">
        <v>176051.02</v>
      </c>
      <c r="N152" s="526">
        <v>86901.82</v>
      </c>
      <c r="O152" s="581">
        <v>101907.26</v>
      </c>
      <c r="P152" s="506">
        <v>136271.54</v>
      </c>
      <c r="Q152" s="527">
        <v>94840.08</v>
      </c>
      <c r="R152" s="527">
        <v>135717</v>
      </c>
      <c r="S152" s="527">
        <v>112261.5</v>
      </c>
      <c r="T152" s="527">
        <v>151477</v>
      </c>
      <c r="U152" s="527">
        <v>98492.75</v>
      </c>
      <c r="V152" s="527"/>
      <c r="W152" s="508">
        <f>SUM(K152:V152)</f>
        <v>1299593.1200000001</v>
      </c>
      <c r="X152" s="498">
        <f t="shared" si="67"/>
        <v>1299593.1200000001</v>
      </c>
      <c r="Y152" s="500">
        <v>1444946.95</v>
      </c>
      <c r="Z152" s="501">
        <v>1370886.21</v>
      </c>
      <c r="AA152" s="501">
        <v>37642.339999999997</v>
      </c>
      <c r="AB152" s="512">
        <v>170476.12</v>
      </c>
      <c r="AC152" s="478">
        <f t="shared" si="61"/>
        <v>0</v>
      </c>
      <c r="AD152" s="509">
        <f>Y152</f>
        <v>1444946.95</v>
      </c>
      <c r="AE152" s="510">
        <v>457083.74</v>
      </c>
      <c r="AF152" s="502">
        <v>1444946.95</v>
      </c>
      <c r="AG152" s="509">
        <f t="shared" si="58"/>
        <v>0</v>
      </c>
      <c r="AH152" s="503">
        <v>1444946.95</v>
      </c>
      <c r="AI152" s="503">
        <v>1424848.47</v>
      </c>
      <c r="AJ152" s="503">
        <v>1481129</v>
      </c>
      <c r="AK152" s="472">
        <v>1100122</v>
      </c>
    </row>
    <row r="153" spans="1:37" ht="16.5" thickTop="1" thickBot="1" x14ac:dyDescent="0.25">
      <c r="A153" s="491"/>
      <c r="B153" s="492"/>
      <c r="C153" s="493"/>
      <c r="D153" s="493">
        <v>6</v>
      </c>
      <c r="E153" s="494">
        <v>431606</v>
      </c>
      <c r="F153" s="495" t="s">
        <v>571</v>
      </c>
      <c r="G153" s="498">
        <v>326142.09999999998</v>
      </c>
      <c r="H153" s="497">
        <v>350000</v>
      </c>
      <c r="I153" s="497">
        <v>350000</v>
      </c>
      <c r="J153" s="498">
        <v>350000</v>
      </c>
      <c r="K153" s="526">
        <v>21318.2</v>
      </c>
      <c r="L153" s="526">
        <v>22022.74</v>
      </c>
      <c r="M153" s="526">
        <v>22022.74</v>
      </c>
      <c r="N153" s="526">
        <v>2190.88</v>
      </c>
      <c r="O153" s="581">
        <v>6139.18</v>
      </c>
      <c r="P153" s="506">
        <v>17019.14</v>
      </c>
      <c r="Q153" s="527">
        <v>4500</v>
      </c>
      <c r="R153" s="527">
        <v>6500</v>
      </c>
      <c r="S153" s="527">
        <v>20082.87</v>
      </c>
      <c r="T153" s="527">
        <v>23478.75</v>
      </c>
      <c r="U153" s="527">
        <v>17293.080000000002</v>
      </c>
      <c r="V153" s="527">
        <v>22418.97</v>
      </c>
      <c r="W153" s="508">
        <f>SUM(K153:V153)</f>
        <v>184986.55000000002</v>
      </c>
      <c r="X153" s="498">
        <f t="shared" si="67"/>
        <v>184986.55000000002</v>
      </c>
      <c r="Y153" s="500">
        <v>251416.64</v>
      </c>
      <c r="Z153" s="501">
        <v>350000</v>
      </c>
      <c r="AA153" s="501">
        <v>24972.75</v>
      </c>
      <c r="AB153" s="512">
        <v>31147.83</v>
      </c>
      <c r="AC153" s="478">
        <f t="shared" si="61"/>
        <v>0</v>
      </c>
      <c r="AD153" s="509">
        <f>Z153</f>
        <v>350000</v>
      </c>
      <c r="AE153" s="510">
        <v>132128.54999999999</v>
      </c>
      <c r="AF153" s="502">
        <v>350000</v>
      </c>
      <c r="AG153" s="509">
        <f t="shared" si="58"/>
        <v>0</v>
      </c>
      <c r="AH153" s="503">
        <v>251416.64</v>
      </c>
      <c r="AI153" s="503">
        <v>350588.56</v>
      </c>
      <c r="AJ153" s="503">
        <v>364436</v>
      </c>
      <c r="AK153" s="472">
        <v>1100122</v>
      </c>
    </row>
    <row r="154" spans="1:37" ht="16.5" thickTop="1" thickBot="1" x14ac:dyDescent="0.25">
      <c r="A154" s="491"/>
      <c r="B154" s="492"/>
      <c r="C154" s="493"/>
      <c r="D154" s="493">
        <v>7</v>
      </c>
      <c r="E154" s="494">
        <v>431607</v>
      </c>
      <c r="F154" s="495" t="s">
        <v>572</v>
      </c>
      <c r="G154" s="498">
        <v>219.21</v>
      </c>
      <c r="H154" s="497">
        <v>1000</v>
      </c>
      <c r="I154" s="497">
        <v>1000</v>
      </c>
      <c r="J154" s="498">
        <v>1000</v>
      </c>
      <c r="K154" s="526">
        <v>0</v>
      </c>
      <c r="L154" s="526">
        <v>0</v>
      </c>
      <c r="M154" s="526">
        <v>0</v>
      </c>
      <c r="N154" s="526">
        <v>0</v>
      </c>
      <c r="O154" s="581">
        <v>0</v>
      </c>
      <c r="P154" s="506">
        <v>0</v>
      </c>
      <c r="Q154" s="527">
        <v>0</v>
      </c>
      <c r="R154" s="527">
        <v>0</v>
      </c>
      <c r="S154" s="527">
        <v>0</v>
      </c>
      <c r="T154" s="527">
        <v>0</v>
      </c>
      <c r="U154" s="527">
        <v>0</v>
      </c>
      <c r="V154" s="527">
        <v>0</v>
      </c>
      <c r="W154" s="508">
        <f>I154</f>
        <v>1000</v>
      </c>
      <c r="X154" s="498">
        <f t="shared" si="67"/>
        <v>1000</v>
      </c>
      <c r="Y154" s="500"/>
      <c r="Z154" s="501">
        <v>1000</v>
      </c>
      <c r="AA154" s="501">
        <v>0</v>
      </c>
      <c r="AB154" s="512">
        <v>0</v>
      </c>
      <c r="AC154" s="478">
        <f t="shared" si="61"/>
        <v>0</v>
      </c>
      <c r="AD154" s="509">
        <f>Z154</f>
        <v>1000</v>
      </c>
      <c r="AE154" s="510">
        <v>0</v>
      </c>
      <c r="AF154" s="502">
        <v>1000</v>
      </c>
      <c r="AG154" s="509">
        <f t="shared" si="58"/>
        <v>0</v>
      </c>
      <c r="AH154" s="503">
        <v>0</v>
      </c>
      <c r="AI154" s="503">
        <v>0</v>
      </c>
      <c r="AJ154" s="503">
        <v>1000</v>
      </c>
      <c r="AK154" s="472">
        <v>1100122</v>
      </c>
    </row>
    <row r="155" spans="1:37" ht="16.5" thickTop="1" thickBot="1" x14ac:dyDescent="0.25">
      <c r="A155" s="491"/>
      <c r="B155" s="492"/>
      <c r="C155" s="493"/>
      <c r="D155" s="493">
        <v>8</v>
      </c>
      <c r="E155" s="494">
        <v>431608</v>
      </c>
      <c r="F155" s="495" t="s">
        <v>573</v>
      </c>
      <c r="G155" s="498">
        <v>921361.24</v>
      </c>
      <c r="H155" s="497">
        <v>1197180.23</v>
      </c>
      <c r="I155" s="497">
        <v>1197180.23</v>
      </c>
      <c r="J155" s="498">
        <v>1197180.23</v>
      </c>
      <c r="K155" s="526">
        <v>36630</v>
      </c>
      <c r="L155" s="526">
        <v>94350</v>
      </c>
      <c r="M155" s="526">
        <v>176381.96</v>
      </c>
      <c r="N155" s="526">
        <v>79333.63</v>
      </c>
      <c r="O155" s="581">
        <v>76121.87</v>
      </c>
      <c r="P155" s="506">
        <v>140371.82</v>
      </c>
      <c r="Q155" s="527">
        <v>55948.656000000003</v>
      </c>
      <c r="R155" s="527">
        <v>66642.176000000007</v>
      </c>
      <c r="S155" s="527">
        <v>74379.039999999994</v>
      </c>
      <c r="T155" s="527">
        <v>95421.56</v>
      </c>
      <c r="U155" s="527">
        <v>46914.96</v>
      </c>
      <c r="V155" s="527"/>
      <c r="W155" s="508">
        <v>942495.67</v>
      </c>
      <c r="X155" s="498">
        <f t="shared" si="67"/>
        <v>942495.67</v>
      </c>
      <c r="Y155" s="500">
        <v>1203387.3700000001</v>
      </c>
      <c r="Z155" s="501">
        <v>1006485.36</v>
      </c>
      <c r="AA155" s="501">
        <v>16218.3</v>
      </c>
      <c r="AB155" s="512">
        <v>89477.43</v>
      </c>
      <c r="AC155" s="478">
        <f t="shared" si="61"/>
        <v>0</v>
      </c>
      <c r="AD155" s="502">
        <f>Y155</f>
        <v>1203387.3700000001</v>
      </c>
      <c r="AE155" s="510">
        <v>231972.07</v>
      </c>
      <c r="AF155" s="502">
        <v>1203387.3700000001</v>
      </c>
      <c r="AG155" s="502">
        <f t="shared" si="58"/>
        <v>0</v>
      </c>
      <c r="AH155" s="503">
        <v>1203387.3700000001</v>
      </c>
      <c r="AI155" s="503">
        <v>704926.32000000007</v>
      </c>
      <c r="AJ155" s="503">
        <v>732770</v>
      </c>
      <c r="AK155" s="472">
        <v>1100122</v>
      </c>
    </row>
    <row r="156" spans="1:37" ht="16.5" thickTop="1" thickBot="1" x14ac:dyDescent="0.25">
      <c r="A156" s="491"/>
      <c r="B156" s="492"/>
      <c r="C156" s="493"/>
      <c r="D156" s="493">
        <v>9</v>
      </c>
      <c r="E156" s="494">
        <v>431609</v>
      </c>
      <c r="F156" s="495" t="s">
        <v>574</v>
      </c>
      <c r="G156" s="498">
        <v>16094.32</v>
      </c>
      <c r="H156" s="497">
        <v>16619</v>
      </c>
      <c r="I156" s="497">
        <v>16619</v>
      </c>
      <c r="J156" s="498">
        <v>16619</v>
      </c>
      <c r="K156" s="526">
        <v>375</v>
      </c>
      <c r="L156" s="531">
        <v>125</v>
      </c>
      <c r="M156" s="526">
        <v>0</v>
      </c>
      <c r="N156" s="526">
        <v>125</v>
      </c>
      <c r="O156" s="581">
        <v>125</v>
      </c>
      <c r="P156" s="506">
        <v>125</v>
      </c>
      <c r="Q156" s="527">
        <v>0</v>
      </c>
      <c r="R156" s="527">
        <v>0</v>
      </c>
      <c r="S156" s="526">
        <v>125</v>
      </c>
      <c r="T156" s="526">
        <v>125</v>
      </c>
      <c r="U156" s="526">
        <v>125</v>
      </c>
      <c r="V156" s="526">
        <v>125</v>
      </c>
      <c r="W156" s="508">
        <f>SUM(K156:V156)</f>
        <v>1375</v>
      </c>
      <c r="X156" s="498">
        <f t="shared" si="67"/>
        <v>1375</v>
      </c>
      <c r="Y156" s="500">
        <v>2000</v>
      </c>
      <c r="Z156" s="501">
        <v>1375</v>
      </c>
      <c r="AA156" s="501">
        <v>125</v>
      </c>
      <c r="AB156" s="512">
        <v>250</v>
      </c>
      <c r="AC156" s="478">
        <f t="shared" si="61"/>
        <v>0</v>
      </c>
      <c r="AD156" s="509">
        <f>Y156</f>
        <v>2000</v>
      </c>
      <c r="AE156" s="510">
        <v>888.14</v>
      </c>
      <c r="AF156" s="502">
        <v>2000</v>
      </c>
      <c r="AG156" s="509">
        <f t="shared" si="58"/>
        <v>0</v>
      </c>
      <c r="AH156" s="503">
        <v>2000</v>
      </c>
      <c r="AI156" s="503">
        <v>2418.8000000000002</v>
      </c>
      <c r="AJ156" s="503">
        <v>2514</v>
      </c>
      <c r="AK156" s="472">
        <v>1100122</v>
      </c>
    </row>
    <row r="157" spans="1:37" ht="27" thickTop="1" thickBot="1" x14ac:dyDescent="0.25">
      <c r="A157" s="516"/>
      <c r="B157" s="517"/>
      <c r="C157" s="518">
        <v>17</v>
      </c>
      <c r="D157" s="518"/>
      <c r="E157" s="519"/>
      <c r="F157" s="520" t="s">
        <v>575</v>
      </c>
      <c r="G157" s="474">
        <f>G158+G160</f>
        <v>63089889.979999997</v>
      </c>
      <c r="H157" s="497">
        <f t="shared" ref="H157:AB157" si="68">H158</f>
        <v>12500</v>
      </c>
      <c r="I157" s="497">
        <f t="shared" si="68"/>
        <v>12500</v>
      </c>
      <c r="J157" s="474">
        <f t="shared" si="68"/>
        <v>12500</v>
      </c>
      <c r="K157" s="498">
        <f t="shared" si="68"/>
        <v>0</v>
      </c>
      <c r="L157" s="474">
        <f t="shared" si="68"/>
        <v>0</v>
      </c>
      <c r="M157" s="474">
        <f t="shared" si="68"/>
        <v>980</v>
      </c>
      <c r="N157" s="474">
        <f t="shared" si="68"/>
        <v>0</v>
      </c>
      <c r="O157" s="474">
        <f t="shared" si="68"/>
        <v>0</v>
      </c>
      <c r="P157" s="474">
        <f t="shared" si="68"/>
        <v>1080</v>
      </c>
      <c r="Q157" s="474">
        <f t="shared" si="68"/>
        <v>0</v>
      </c>
      <c r="R157" s="474">
        <f t="shared" si="68"/>
        <v>0</v>
      </c>
      <c r="S157" s="474">
        <f t="shared" si="68"/>
        <v>490</v>
      </c>
      <c r="T157" s="474">
        <f t="shared" si="68"/>
        <v>0</v>
      </c>
      <c r="U157" s="474">
        <f t="shared" si="68"/>
        <v>0</v>
      </c>
      <c r="V157" s="474">
        <f t="shared" si="68"/>
        <v>980</v>
      </c>
      <c r="W157" s="598">
        <f t="shared" si="68"/>
        <v>3530</v>
      </c>
      <c r="X157" s="598">
        <f t="shared" si="68"/>
        <v>3530</v>
      </c>
      <c r="Y157" s="593">
        <f t="shared" si="68"/>
        <v>13340</v>
      </c>
      <c r="Z157" s="598">
        <f t="shared" si="68"/>
        <v>10530</v>
      </c>
      <c r="AA157" s="598">
        <f t="shared" si="68"/>
        <v>3730</v>
      </c>
      <c r="AB157" s="598">
        <f t="shared" si="68"/>
        <v>0</v>
      </c>
      <c r="AC157" s="478">
        <f t="shared" si="61"/>
        <v>0</v>
      </c>
      <c r="AD157" s="599">
        <f>AD158</f>
        <v>13340</v>
      </c>
      <c r="AE157" s="599">
        <f>AE158</f>
        <v>9710</v>
      </c>
      <c r="AF157" s="599">
        <f>AF158</f>
        <v>18340</v>
      </c>
      <c r="AG157" s="599">
        <f t="shared" si="58"/>
        <v>5000</v>
      </c>
      <c r="AH157" s="593">
        <f>AH158</f>
        <v>13340</v>
      </c>
      <c r="AI157" s="593">
        <f>AI158</f>
        <v>39810</v>
      </c>
      <c r="AJ157" s="593">
        <f>AJ158</f>
        <v>39810</v>
      </c>
      <c r="AK157" s="525"/>
    </row>
    <row r="158" spans="1:37" ht="16.5" thickTop="1" thickBot="1" x14ac:dyDescent="0.25">
      <c r="A158" s="491"/>
      <c r="B158" s="492"/>
      <c r="C158" s="493"/>
      <c r="D158" s="493">
        <v>1</v>
      </c>
      <c r="E158" s="494">
        <v>431701</v>
      </c>
      <c r="F158" s="495" t="s">
        <v>576</v>
      </c>
      <c r="G158" s="498">
        <v>10300</v>
      </c>
      <c r="H158" s="497">
        <v>12500</v>
      </c>
      <c r="I158" s="497">
        <v>12500</v>
      </c>
      <c r="J158" s="498">
        <v>12500</v>
      </c>
      <c r="K158" s="498">
        <v>0</v>
      </c>
      <c r="L158" s="526">
        <v>0</v>
      </c>
      <c r="M158" s="526">
        <v>980</v>
      </c>
      <c r="N158" s="596">
        <v>0</v>
      </c>
      <c r="O158" s="526">
        <v>0</v>
      </c>
      <c r="P158" s="506">
        <v>1080</v>
      </c>
      <c r="Q158" s="600">
        <v>0</v>
      </c>
      <c r="R158" s="600">
        <v>0</v>
      </c>
      <c r="S158" s="597">
        <v>490</v>
      </c>
      <c r="T158" s="597">
        <v>0</v>
      </c>
      <c r="U158" s="597">
        <v>0</v>
      </c>
      <c r="V158" s="597">
        <v>980</v>
      </c>
      <c r="W158" s="508">
        <f>SUM(K158:V158)</f>
        <v>3530</v>
      </c>
      <c r="X158" s="498">
        <f>W158</f>
        <v>3530</v>
      </c>
      <c r="Y158" s="500">
        <v>13340</v>
      </c>
      <c r="Z158" s="501">
        <v>10530</v>
      </c>
      <c r="AA158" s="501">
        <v>3730</v>
      </c>
      <c r="AB158" s="501"/>
      <c r="AC158" s="478">
        <f t="shared" si="61"/>
        <v>0</v>
      </c>
      <c r="AD158" s="509">
        <f>Y158</f>
        <v>13340</v>
      </c>
      <c r="AE158" s="510">
        <v>9710</v>
      </c>
      <c r="AF158" s="502">
        <f>AD158+5000</f>
        <v>18340</v>
      </c>
      <c r="AG158" s="509">
        <f t="shared" si="58"/>
        <v>5000</v>
      </c>
      <c r="AH158" s="503">
        <v>13340</v>
      </c>
      <c r="AI158" s="503">
        <v>39810</v>
      </c>
      <c r="AJ158" s="503">
        <v>39810</v>
      </c>
      <c r="AK158" s="472">
        <v>1100122</v>
      </c>
    </row>
    <row r="159" spans="1:37" ht="16.5" thickTop="1" thickBot="1" x14ac:dyDescent="0.25">
      <c r="A159" s="491"/>
      <c r="B159" s="492"/>
      <c r="C159" s="518">
        <v>18</v>
      </c>
      <c r="D159" s="493"/>
      <c r="E159" s="494"/>
      <c r="F159" s="520" t="s">
        <v>577</v>
      </c>
      <c r="G159" s="498"/>
      <c r="H159" s="497"/>
      <c r="I159" s="497"/>
      <c r="J159" s="498"/>
      <c r="K159" s="601"/>
      <c r="L159" s="602"/>
      <c r="M159" s="526"/>
      <c r="N159" s="602"/>
      <c r="O159" s="526"/>
      <c r="P159" s="506"/>
      <c r="Q159" s="602"/>
      <c r="R159" s="602"/>
      <c r="S159" s="603"/>
      <c r="T159" s="603"/>
      <c r="U159" s="603"/>
      <c r="V159" s="603"/>
      <c r="W159" s="508"/>
      <c r="X159" s="498"/>
      <c r="Y159" s="500"/>
      <c r="Z159" s="501"/>
      <c r="AA159" s="501"/>
      <c r="AB159" s="501"/>
      <c r="AC159" s="478"/>
      <c r="AD159" s="509"/>
      <c r="AE159" s="510"/>
      <c r="AF159" s="502"/>
      <c r="AG159" s="509"/>
      <c r="AH159" s="593">
        <f>+AH160</f>
        <v>78393123.519999996</v>
      </c>
      <c r="AI159" s="593">
        <f>+AI160</f>
        <v>80469804.390000001</v>
      </c>
      <c r="AJ159" s="593">
        <f>+AJ160</f>
        <v>85643176</v>
      </c>
      <c r="AK159" s="472"/>
    </row>
    <row r="160" spans="1:37" ht="16.5" thickTop="1" thickBot="1" x14ac:dyDescent="0.3">
      <c r="A160" s="491"/>
      <c r="B160" s="492"/>
      <c r="C160" s="604"/>
      <c r="D160" s="493">
        <v>1</v>
      </c>
      <c r="E160" s="494">
        <v>431801</v>
      </c>
      <c r="F160" s="495" t="s">
        <v>577</v>
      </c>
      <c r="G160" s="498">
        <v>63079589.979999997</v>
      </c>
      <c r="H160" s="497">
        <f>93726228+2000000</f>
        <v>95726228</v>
      </c>
      <c r="I160" s="497">
        <f>93726228+2000000</f>
        <v>95726228</v>
      </c>
      <c r="J160" s="498">
        <f>93726228+2000000</f>
        <v>95726228</v>
      </c>
      <c r="K160" s="531">
        <v>720025.37</v>
      </c>
      <c r="L160" s="531">
        <v>5627581.0199999996</v>
      </c>
      <c r="M160" s="526">
        <v>5871643.6299999999</v>
      </c>
      <c r="N160" s="526">
        <v>6755762.6500000004</v>
      </c>
      <c r="O160" s="581">
        <v>6020977.4400000004</v>
      </c>
      <c r="P160" s="506">
        <f>8375.68+7019769.4</f>
        <v>7028145.0800000001</v>
      </c>
      <c r="Q160" s="527">
        <v>6200000</v>
      </c>
      <c r="R160" s="527">
        <v>6200000</v>
      </c>
      <c r="S160" s="527">
        <v>6200000</v>
      </c>
      <c r="T160" s="527">
        <v>6200000</v>
      </c>
      <c r="U160" s="527">
        <v>6200000</v>
      </c>
      <c r="V160" s="527">
        <v>6200000</v>
      </c>
      <c r="W160" s="508">
        <f>SUM(K160:V160)</f>
        <v>69224135.189999998</v>
      </c>
      <c r="X160" s="498">
        <f>W160</f>
        <v>69224135.189999998</v>
      </c>
      <c r="Y160" s="500">
        <v>78393123.519999996</v>
      </c>
      <c r="Z160" s="501">
        <v>89659145.040000007</v>
      </c>
      <c r="AA160" s="501">
        <v>775143.47</v>
      </c>
      <c r="AB160" s="512">
        <v>6297982.8099999996</v>
      </c>
      <c r="AC160" s="478">
        <f t="shared" ref="AC160:AC180" si="69">W160-X160</f>
        <v>0</v>
      </c>
      <c r="AD160" s="605">
        <v>86437186.439999983</v>
      </c>
      <c r="AE160" s="606">
        <v>19739601.050000001</v>
      </c>
      <c r="AF160" s="605">
        <f>AD160-3000000-729046.39+0.04-0.25+25000+14000+443128.37-1798050.6+300000+150000+400000</f>
        <v>82242217.609999999</v>
      </c>
      <c r="AG160" s="607">
        <f t="shared" ref="AG160:AG168" si="70">AF160-AD160</f>
        <v>-4194968.8299999833</v>
      </c>
      <c r="AH160" s="503">
        <v>78393123.519999996</v>
      </c>
      <c r="AI160" s="503">
        <v>80469804.390000001</v>
      </c>
      <c r="AJ160" s="503">
        <f>90643176-5000000</f>
        <v>85643176</v>
      </c>
      <c r="AK160" s="472">
        <v>1100122</v>
      </c>
    </row>
    <row r="161" spans="1:37" ht="16.5" thickTop="1" thickBot="1" x14ac:dyDescent="0.25">
      <c r="A161" s="516"/>
      <c r="B161" s="517"/>
      <c r="C161" s="518">
        <v>21</v>
      </c>
      <c r="D161" s="518"/>
      <c r="E161" s="519"/>
      <c r="F161" s="520" t="s">
        <v>578</v>
      </c>
      <c r="G161" s="474">
        <f t="shared" ref="G161:AB161" si="71">G162+G163</f>
        <v>1537800.86</v>
      </c>
      <c r="H161" s="474">
        <f t="shared" si="71"/>
        <v>250000</v>
      </c>
      <c r="I161" s="474">
        <f t="shared" si="71"/>
        <v>3750000</v>
      </c>
      <c r="J161" s="474">
        <f t="shared" si="71"/>
        <v>4250000</v>
      </c>
      <c r="K161" s="474">
        <f t="shared" si="71"/>
        <v>383686.81</v>
      </c>
      <c r="L161" s="475">
        <f t="shared" si="71"/>
        <v>295475.32</v>
      </c>
      <c r="M161" s="475">
        <f t="shared" si="71"/>
        <v>525704.18999999994</v>
      </c>
      <c r="N161" s="475">
        <f t="shared" si="71"/>
        <v>422743.08</v>
      </c>
      <c r="O161" s="475">
        <f t="shared" si="71"/>
        <v>416221.82</v>
      </c>
      <c r="P161" s="475">
        <f t="shared" si="71"/>
        <v>555686.31000000006</v>
      </c>
      <c r="Q161" s="475">
        <f t="shared" si="71"/>
        <v>239909.57499999998</v>
      </c>
      <c r="R161" s="475">
        <f t="shared" si="71"/>
        <v>248909.57499999998</v>
      </c>
      <c r="S161" s="475">
        <f t="shared" si="71"/>
        <v>250909.57499999998</v>
      </c>
      <c r="T161" s="475">
        <f t="shared" si="71"/>
        <v>250909.57499999998</v>
      </c>
      <c r="U161" s="475">
        <f t="shared" si="71"/>
        <v>254909.57499999998</v>
      </c>
      <c r="V161" s="475">
        <f t="shared" si="71"/>
        <v>245909.57499999998</v>
      </c>
      <c r="W161" s="598">
        <f t="shared" si="71"/>
        <v>4090974.9800000014</v>
      </c>
      <c r="X161" s="598">
        <f t="shared" si="71"/>
        <v>4090974.9800000014</v>
      </c>
      <c r="Y161" s="593">
        <f t="shared" si="71"/>
        <v>6114038.6500000004</v>
      </c>
      <c r="Z161" s="598">
        <f t="shared" si="71"/>
        <v>5500000</v>
      </c>
      <c r="AA161" s="598">
        <f t="shared" si="71"/>
        <v>749036.49</v>
      </c>
      <c r="AB161" s="598">
        <f t="shared" si="71"/>
        <v>915041.69</v>
      </c>
      <c r="AC161" s="478">
        <f t="shared" si="69"/>
        <v>0</v>
      </c>
      <c r="AD161" s="599">
        <f>AD162+AD163</f>
        <v>6141648.6500000004</v>
      </c>
      <c r="AE161" s="599">
        <f>AE162+AE163</f>
        <v>2789601.16</v>
      </c>
      <c r="AF161" s="599">
        <f>AF162+AF163</f>
        <v>6641648.6500000004</v>
      </c>
      <c r="AG161" s="599">
        <f t="shared" si="70"/>
        <v>500000</v>
      </c>
      <c r="AH161" s="593">
        <f>AH162+AH163</f>
        <v>6114038.6500000004</v>
      </c>
      <c r="AI161" s="593">
        <f>AI162+AI163</f>
        <v>7828588.4100000001</v>
      </c>
      <c r="AJ161" s="593">
        <f>AJ162+AJ163</f>
        <v>8139816</v>
      </c>
      <c r="AK161" s="472"/>
    </row>
    <row r="162" spans="1:37" ht="16.5" thickTop="1" thickBot="1" x14ac:dyDescent="0.25">
      <c r="A162" s="491"/>
      <c r="B162" s="492"/>
      <c r="C162" s="493"/>
      <c r="D162" s="493">
        <v>1</v>
      </c>
      <c r="E162" s="494">
        <v>432101</v>
      </c>
      <c r="F162" s="495" t="s">
        <v>579</v>
      </c>
      <c r="G162" s="498">
        <v>194869</v>
      </c>
      <c r="H162" s="497">
        <v>250000</v>
      </c>
      <c r="I162" s="497">
        <v>250000</v>
      </c>
      <c r="J162" s="498">
        <v>250000</v>
      </c>
      <c r="K162" s="526">
        <v>10352</v>
      </c>
      <c r="L162" s="526">
        <v>21251</v>
      </c>
      <c r="M162" s="526">
        <v>15283</v>
      </c>
      <c r="N162" s="526">
        <v>0</v>
      </c>
      <c r="O162" s="526"/>
      <c r="P162" s="595"/>
      <c r="Q162" s="527">
        <v>0</v>
      </c>
      <c r="R162" s="527">
        <v>9000</v>
      </c>
      <c r="S162" s="527">
        <v>11000</v>
      </c>
      <c r="T162" s="527">
        <v>11000</v>
      </c>
      <c r="U162" s="527">
        <v>15000</v>
      </c>
      <c r="V162" s="527">
        <v>6000</v>
      </c>
      <c r="W162" s="508">
        <f>SUM(K162:V162)</f>
        <v>98886</v>
      </c>
      <c r="X162" s="498">
        <f>W162</f>
        <v>98886</v>
      </c>
      <c r="Y162" s="500">
        <v>57390</v>
      </c>
      <c r="Z162" s="501">
        <v>85000</v>
      </c>
      <c r="AA162" s="501">
        <v>1878</v>
      </c>
      <c r="AB162" s="512">
        <v>4323</v>
      </c>
      <c r="AC162" s="478">
        <f t="shared" si="69"/>
        <v>0</v>
      </c>
      <c r="AD162" s="509">
        <f>Z162</f>
        <v>85000</v>
      </c>
      <c r="AE162" s="510">
        <v>14346.93</v>
      </c>
      <c r="AF162" s="502">
        <v>85000</v>
      </c>
      <c r="AG162" s="509">
        <f t="shared" si="70"/>
        <v>0</v>
      </c>
      <c r="AH162" s="503">
        <v>57390</v>
      </c>
      <c r="AI162" s="503">
        <v>88749.28</v>
      </c>
      <c r="AJ162" s="503">
        <v>92254</v>
      </c>
      <c r="AK162" s="472">
        <v>1100122</v>
      </c>
    </row>
    <row r="163" spans="1:37" ht="16.5" thickTop="1" thickBot="1" x14ac:dyDescent="0.25">
      <c r="A163" s="491"/>
      <c r="B163" s="492"/>
      <c r="C163" s="493"/>
      <c r="D163" s="493">
        <v>2</v>
      </c>
      <c r="E163" s="494">
        <v>432102</v>
      </c>
      <c r="F163" s="495" t="s">
        <v>580</v>
      </c>
      <c r="G163" s="498">
        <v>1342931.86</v>
      </c>
      <c r="H163" s="497"/>
      <c r="I163" s="497">
        <v>3500000</v>
      </c>
      <c r="J163" s="498">
        <v>4000000</v>
      </c>
      <c r="K163" s="526">
        <v>373334.81</v>
      </c>
      <c r="L163" s="531">
        <v>274224.32</v>
      </c>
      <c r="M163" s="526">
        <v>510421.19</v>
      </c>
      <c r="N163" s="526">
        <v>422743.08</v>
      </c>
      <c r="O163" s="581">
        <v>416221.82</v>
      </c>
      <c r="P163" s="506">
        <v>555686.31000000006</v>
      </c>
      <c r="Q163" s="527">
        <v>239909.57499999998</v>
      </c>
      <c r="R163" s="527">
        <v>239909.57499999998</v>
      </c>
      <c r="S163" s="527">
        <v>239909.57499999998</v>
      </c>
      <c r="T163" s="527">
        <v>239909.57499999998</v>
      </c>
      <c r="U163" s="527">
        <v>239909.57499999998</v>
      </c>
      <c r="V163" s="527">
        <v>239909.57499999998</v>
      </c>
      <c r="W163" s="508">
        <f>SUM(K163:V163)</f>
        <v>3992088.9800000014</v>
      </c>
      <c r="X163" s="498">
        <f>W163</f>
        <v>3992088.9800000014</v>
      </c>
      <c r="Y163" s="500">
        <v>6056648.6500000004</v>
      </c>
      <c r="Z163" s="501">
        <v>5415000</v>
      </c>
      <c r="AA163" s="501">
        <v>747158.49</v>
      </c>
      <c r="AB163" s="512">
        <v>910718.69</v>
      </c>
      <c r="AC163" s="478">
        <f t="shared" si="69"/>
        <v>0</v>
      </c>
      <c r="AD163" s="502">
        <f>Y163</f>
        <v>6056648.6500000004</v>
      </c>
      <c r="AE163" s="510">
        <v>2775254.23</v>
      </c>
      <c r="AF163" s="502">
        <f>AD163+500000</f>
        <v>6556648.6500000004</v>
      </c>
      <c r="AG163" s="502">
        <f t="shared" si="70"/>
        <v>500000</v>
      </c>
      <c r="AH163" s="503">
        <v>6056648.6500000004</v>
      </c>
      <c r="AI163" s="503">
        <v>7739839.1299999999</v>
      </c>
      <c r="AJ163" s="503">
        <v>8047562</v>
      </c>
      <c r="AK163" s="472">
        <v>1100122</v>
      </c>
    </row>
    <row r="164" spans="1:37" ht="15.75" thickTop="1" thickBot="1" x14ac:dyDescent="0.25">
      <c r="A164" s="565"/>
      <c r="B164" s="471">
        <v>7</v>
      </c>
      <c r="C164" s="566"/>
      <c r="D164" s="566"/>
      <c r="E164" s="566"/>
      <c r="F164" s="567" t="s">
        <v>581</v>
      </c>
      <c r="G164" s="515">
        <f>G165</f>
        <v>0</v>
      </c>
      <c r="H164" s="475">
        <f>H165</f>
        <v>0</v>
      </c>
      <c r="I164" s="475">
        <v>0</v>
      </c>
      <c r="J164" s="474">
        <f t="shared" ref="J164:Y164" si="72">J165</f>
        <v>1100</v>
      </c>
      <c r="K164" s="474">
        <f t="shared" si="72"/>
        <v>0</v>
      </c>
      <c r="L164" s="474">
        <f t="shared" si="72"/>
        <v>0</v>
      </c>
      <c r="M164" s="474">
        <f t="shared" si="72"/>
        <v>130.44</v>
      </c>
      <c r="N164" s="474">
        <f t="shared" si="72"/>
        <v>124.39</v>
      </c>
      <c r="O164" s="474">
        <f t="shared" si="72"/>
        <v>24.67</v>
      </c>
      <c r="P164" s="474">
        <f t="shared" si="72"/>
        <v>9.06</v>
      </c>
      <c r="Q164" s="474">
        <f t="shared" si="72"/>
        <v>100</v>
      </c>
      <c r="R164" s="474">
        <f t="shared" si="72"/>
        <v>100</v>
      </c>
      <c r="S164" s="474">
        <f t="shared" si="72"/>
        <v>130</v>
      </c>
      <c r="T164" s="474">
        <f t="shared" si="72"/>
        <v>130</v>
      </c>
      <c r="U164" s="474">
        <f t="shared" si="72"/>
        <v>150</v>
      </c>
      <c r="V164" s="474">
        <f t="shared" si="72"/>
        <v>150</v>
      </c>
      <c r="W164" s="522">
        <f t="shared" si="72"/>
        <v>1048.56</v>
      </c>
      <c r="X164" s="524">
        <f t="shared" si="72"/>
        <v>1048.56</v>
      </c>
      <c r="Y164" s="523">
        <f t="shared" si="72"/>
        <v>2426.9699999999998</v>
      </c>
      <c r="Z164" s="524"/>
      <c r="AA164" s="524"/>
      <c r="AB164" s="524"/>
      <c r="AC164" s="478">
        <f t="shared" si="69"/>
        <v>0</v>
      </c>
      <c r="AD164" s="524">
        <f>AD165</f>
        <v>0</v>
      </c>
      <c r="AE164" s="524">
        <f>AE165</f>
        <v>0</v>
      </c>
      <c r="AF164" s="524">
        <f>AF165</f>
        <v>0</v>
      </c>
      <c r="AG164" s="524">
        <f t="shared" si="70"/>
        <v>0</v>
      </c>
      <c r="AH164" s="523">
        <f>AH165</f>
        <v>2426.9699999999998</v>
      </c>
      <c r="AI164" s="500">
        <f>AI165</f>
        <v>0</v>
      </c>
      <c r="AJ164" s="523">
        <f>AJ165</f>
        <v>0</v>
      </c>
      <c r="AK164" s="525"/>
    </row>
    <row r="165" spans="1:37" ht="16.5" thickTop="1" thickBot="1" x14ac:dyDescent="0.25">
      <c r="A165" s="608"/>
      <c r="B165" s="609"/>
      <c r="C165" s="493">
        <v>1</v>
      </c>
      <c r="D165" s="493"/>
      <c r="E165" s="518">
        <v>450301</v>
      </c>
      <c r="F165" s="495" t="s">
        <v>582</v>
      </c>
      <c r="G165" s="487">
        <v>0</v>
      </c>
      <c r="H165" s="497">
        <v>0</v>
      </c>
      <c r="I165" s="497">
        <v>0</v>
      </c>
      <c r="J165" s="498">
        <v>1100</v>
      </c>
      <c r="K165" s="498">
        <v>0</v>
      </c>
      <c r="L165" s="498">
        <v>0</v>
      </c>
      <c r="M165" s="610">
        <v>130.44</v>
      </c>
      <c r="N165" s="611">
        <v>124.39</v>
      </c>
      <c r="O165" s="581">
        <v>24.67</v>
      </c>
      <c r="P165" s="506">
        <v>9.06</v>
      </c>
      <c r="Q165" s="612">
        <v>100</v>
      </c>
      <c r="R165" s="612">
        <v>100</v>
      </c>
      <c r="S165" s="612">
        <v>130</v>
      </c>
      <c r="T165" s="612">
        <v>130</v>
      </c>
      <c r="U165" s="612">
        <v>150</v>
      </c>
      <c r="V165" s="612">
        <v>150</v>
      </c>
      <c r="W165" s="508">
        <f>SUM(K165:V165)</f>
        <v>1048.56</v>
      </c>
      <c r="X165" s="498">
        <f>W165</f>
        <v>1048.56</v>
      </c>
      <c r="Y165" s="500">
        <v>2426.9699999999998</v>
      </c>
      <c r="Z165" s="498"/>
      <c r="AA165" s="498"/>
      <c r="AB165" s="498"/>
      <c r="AC165" s="478">
        <f t="shared" si="69"/>
        <v>0</v>
      </c>
      <c r="AD165" s="498">
        <v>0</v>
      </c>
      <c r="AE165" s="498">
        <v>0</v>
      </c>
      <c r="AF165" s="498">
        <v>0</v>
      </c>
      <c r="AG165" s="498">
        <f t="shared" si="70"/>
        <v>0</v>
      </c>
      <c r="AH165" s="503">
        <v>2426.9699999999998</v>
      </c>
      <c r="AI165" s="503">
        <v>0</v>
      </c>
      <c r="AJ165" s="503"/>
      <c r="AK165" s="472">
        <v>1100122</v>
      </c>
    </row>
    <row r="166" spans="1:37" ht="15.75" thickTop="1" thickBot="1" x14ac:dyDescent="0.25">
      <c r="A166" s="562" t="s">
        <v>583</v>
      </c>
      <c r="B166" s="562" t="s">
        <v>462</v>
      </c>
      <c r="C166" s="563"/>
      <c r="D166" s="563"/>
      <c r="E166" s="464"/>
      <c r="F166" s="465" t="s">
        <v>12</v>
      </c>
      <c r="G166" s="466">
        <f>G49+G50+G53+G71+G72+G104+G106+G145+G146+G158+G162+G163+G170+G171+G172+G174+G176+G175+G177+G178+G179+G180+G185+G189+G190+G192+G198+G200+G201+G209+G235+G236+G237+G238+G239</f>
        <v>52482045.56000001</v>
      </c>
      <c r="H166" s="466">
        <f t="shared" ref="H166:AB166" si="73">H167</f>
        <v>25141738.099717002</v>
      </c>
      <c r="I166" s="466">
        <f t="shared" si="73"/>
        <v>25141738.149581447</v>
      </c>
      <c r="J166" s="466">
        <f t="shared" si="73"/>
        <v>25491738.090135552</v>
      </c>
      <c r="K166" s="466">
        <f t="shared" si="73"/>
        <v>1493567.6700000002</v>
      </c>
      <c r="L166" s="466">
        <f t="shared" si="73"/>
        <v>2494105.67</v>
      </c>
      <c r="M166" s="466">
        <f t="shared" si="73"/>
        <v>2233714.5599999996</v>
      </c>
      <c r="N166" s="466">
        <f t="shared" si="73"/>
        <v>2181101.77</v>
      </c>
      <c r="O166" s="466">
        <f t="shared" si="73"/>
        <v>2965675.6000000006</v>
      </c>
      <c r="P166" s="466">
        <f t="shared" si="73"/>
        <v>2426052.5799999996</v>
      </c>
      <c r="Q166" s="466">
        <f t="shared" si="73"/>
        <v>1826056.2719119666</v>
      </c>
      <c r="R166" s="466">
        <f t="shared" si="73"/>
        <v>1827056.2719119666</v>
      </c>
      <c r="S166" s="466">
        <f t="shared" si="73"/>
        <v>1833363.1319119667</v>
      </c>
      <c r="T166" s="466">
        <f t="shared" si="73"/>
        <v>1829263.1319119667</v>
      </c>
      <c r="U166" s="466">
        <f t="shared" si="73"/>
        <v>1805380.0419119669</v>
      </c>
      <c r="V166" s="466">
        <f t="shared" si="73"/>
        <v>1654153.5556619668</v>
      </c>
      <c r="W166" s="466">
        <f t="shared" si="73"/>
        <v>24569490.759999998</v>
      </c>
      <c r="X166" s="466">
        <f t="shared" si="73"/>
        <v>24569490.759999998</v>
      </c>
      <c r="Y166" s="467">
        <f t="shared" si="73"/>
        <v>27262838.569999997</v>
      </c>
      <c r="Z166" s="468">
        <f t="shared" si="73"/>
        <v>25168726.48</v>
      </c>
      <c r="AA166" s="468">
        <f t="shared" si="73"/>
        <v>5268522.62</v>
      </c>
      <c r="AB166" s="468">
        <f t="shared" si="73"/>
        <v>1970565.61</v>
      </c>
      <c r="AC166" s="613">
        <f t="shared" si="69"/>
        <v>0</v>
      </c>
      <c r="AD166" s="468">
        <f>AD167</f>
        <v>25168726.48</v>
      </c>
      <c r="AE166" s="468">
        <f>AE167</f>
        <v>11053490.959999999</v>
      </c>
      <c r="AF166" s="468">
        <f>AF167</f>
        <v>26863440.48</v>
      </c>
      <c r="AG166" s="468">
        <f t="shared" si="70"/>
        <v>1694714</v>
      </c>
      <c r="AH166" s="467">
        <f>AH167</f>
        <v>27262838.569999997</v>
      </c>
      <c r="AI166" s="614">
        <f>AI167</f>
        <v>24436673.470000003</v>
      </c>
      <c r="AJ166" s="614">
        <f>AJ167</f>
        <v>23685989</v>
      </c>
      <c r="AK166" s="470"/>
    </row>
    <row r="167" spans="1:37" ht="15.75" thickTop="1" thickBot="1" x14ac:dyDescent="0.25">
      <c r="A167" s="565"/>
      <c r="B167" s="471" t="s">
        <v>423</v>
      </c>
      <c r="C167" s="566"/>
      <c r="D167" s="566"/>
      <c r="E167" s="519"/>
      <c r="F167" s="567" t="s">
        <v>12</v>
      </c>
      <c r="G167" s="474">
        <f t="shared" ref="G167:AB167" si="74">G168+G185+G187+G190+G192+G194</f>
        <v>31708462.969999999</v>
      </c>
      <c r="H167" s="475">
        <f t="shared" si="74"/>
        <v>25141738.099717002</v>
      </c>
      <c r="I167" s="475">
        <f t="shared" si="74"/>
        <v>25141738.149581447</v>
      </c>
      <c r="J167" s="474">
        <f t="shared" si="74"/>
        <v>25491738.090135552</v>
      </c>
      <c r="K167" s="474">
        <f t="shared" si="74"/>
        <v>1493567.6700000002</v>
      </c>
      <c r="L167" s="474">
        <f t="shared" si="74"/>
        <v>2494105.67</v>
      </c>
      <c r="M167" s="474">
        <f t="shared" si="74"/>
        <v>2233714.5599999996</v>
      </c>
      <c r="N167" s="474">
        <f t="shared" si="74"/>
        <v>2181101.77</v>
      </c>
      <c r="O167" s="474">
        <f t="shared" si="74"/>
        <v>2965675.6000000006</v>
      </c>
      <c r="P167" s="474">
        <f t="shared" si="74"/>
        <v>2426052.5799999996</v>
      </c>
      <c r="Q167" s="474">
        <f t="shared" si="74"/>
        <v>1826056.2719119666</v>
      </c>
      <c r="R167" s="474">
        <f t="shared" si="74"/>
        <v>1827056.2719119666</v>
      </c>
      <c r="S167" s="474">
        <f t="shared" si="74"/>
        <v>1833363.1319119667</v>
      </c>
      <c r="T167" s="474">
        <f t="shared" si="74"/>
        <v>1829263.1319119667</v>
      </c>
      <c r="U167" s="474">
        <f t="shared" si="74"/>
        <v>1805380.0419119669</v>
      </c>
      <c r="V167" s="474">
        <f t="shared" si="74"/>
        <v>1654153.5556619668</v>
      </c>
      <c r="W167" s="476">
        <f t="shared" si="74"/>
        <v>24569490.759999998</v>
      </c>
      <c r="X167" s="476">
        <f t="shared" si="74"/>
        <v>24569490.759999998</v>
      </c>
      <c r="Y167" s="477">
        <f t="shared" si="74"/>
        <v>27262838.569999997</v>
      </c>
      <c r="Z167" s="476">
        <f t="shared" si="74"/>
        <v>25168726.48</v>
      </c>
      <c r="AA167" s="476">
        <f t="shared" si="74"/>
        <v>5268522.62</v>
      </c>
      <c r="AB167" s="476">
        <f t="shared" si="74"/>
        <v>1970565.61</v>
      </c>
      <c r="AC167" s="478">
        <f t="shared" si="69"/>
        <v>0</v>
      </c>
      <c r="AD167" s="474">
        <f>AD168+AD185+AD187+AD190+AD192+AD194</f>
        <v>25168726.48</v>
      </c>
      <c r="AE167" s="474">
        <f>AE168+AE185+AE187+AE190+AE192+AE194</f>
        <v>11053490.959999999</v>
      </c>
      <c r="AF167" s="474">
        <f>AF168+AF185+AF187+AF190+AF192+AF194</f>
        <v>26863440.48</v>
      </c>
      <c r="AG167" s="474">
        <f t="shared" si="70"/>
        <v>1694714</v>
      </c>
      <c r="AH167" s="477">
        <f>AH168+AH185+AH187+AH190+AH192+AH194</f>
        <v>27262838.569999997</v>
      </c>
      <c r="AI167" s="477">
        <f>AI168+AI185+AI187+AI190+AI192+AI194</f>
        <v>24436673.470000003</v>
      </c>
      <c r="AJ167" s="477">
        <f>AJ168+AJ185+AJ187+AJ190+AJ192+AJ194</f>
        <v>23685989</v>
      </c>
      <c r="AK167" s="525"/>
    </row>
    <row r="168" spans="1:37" ht="15.75" thickTop="1" thickBot="1" x14ac:dyDescent="0.25">
      <c r="A168" s="516"/>
      <c r="B168" s="517"/>
      <c r="C168" s="518">
        <v>1</v>
      </c>
      <c r="D168" s="518"/>
      <c r="E168" s="519"/>
      <c r="F168" s="520" t="s">
        <v>584</v>
      </c>
      <c r="G168" s="487">
        <f t="shared" ref="G168:Y168" si="75">SUM(G170:G180)</f>
        <v>29473630.739999998</v>
      </c>
      <c r="H168" s="487">
        <f t="shared" si="75"/>
        <v>21662051.099717002</v>
      </c>
      <c r="I168" s="487">
        <f t="shared" si="75"/>
        <v>21662051.149581447</v>
      </c>
      <c r="J168" s="487">
        <f t="shared" si="75"/>
        <v>22012051.090135552</v>
      </c>
      <c r="K168" s="487">
        <f t="shared" si="75"/>
        <v>1439034.12</v>
      </c>
      <c r="L168" s="487">
        <f t="shared" si="75"/>
        <v>2478679.1799999997</v>
      </c>
      <c r="M168" s="487">
        <f t="shared" si="75"/>
        <v>2190984.7199999997</v>
      </c>
      <c r="N168" s="487">
        <f t="shared" si="75"/>
        <v>2125199.48</v>
      </c>
      <c r="O168" s="487">
        <f t="shared" si="75"/>
        <v>2931815.2700000005</v>
      </c>
      <c r="P168" s="487">
        <f t="shared" si="75"/>
        <v>2386845.4699999997</v>
      </c>
      <c r="Q168" s="487">
        <f t="shared" si="75"/>
        <v>1384428.7086976808</v>
      </c>
      <c r="R168" s="487">
        <f t="shared" si="75"/>
        <v>1384428.7086976808</v>
      </c>
      <c r="S168" s="487">
        <f t="shared" si="75"/>
        <v>1384428.7086976808</v>
      </c>
      <c r="T168" s="487">
        <f t="shared" si="75"/>
        <v>1384428.7086976808</v>
      </c>
      <c r="U168" s="487">
        <f t="shared" si="75"/>
        <v>1359173.368697681</v>
      </c>
      <c r="V168" s="487">
        <f t="shared" si="75"/>
        <v>1211648.2924476811</v>
      </c>
      <c r="W168" s="524">
        <f t="shared" si="75"/>
        <v>21661094.759999998</v>
      </c>
      <c r="X168" s="524">
        <f t="shared" si="75"/>
        <v>21661094.759999998</v>
      </c>
      <c r="Y168" s="615">
        <f t="shared" si="75"/>
        <v>26120504.75</v>
      </c>
      <c r="Z168" s="524">
        <f>SUM(Z170:Z183)</f>
        <v>22253557.530000001</v>
      </c>
      <c r="AA168" s="524">
        <f>SUM(AA170:AA183)</f>
        <v>1038622.42</v>
      </c>
      <c r="AB168" s="524">
        <f>SUM(AB170:AB183)</f>
        <v>1608586.1400000001</v>
      </c>
      <c r="AC168" s="478">
        <f t="shared" si="69"/>
        <v>0</v>
      </c>
      <c r="AD168" s="522">
        <f>SUM(AD170:AD183)</f>
        <v>22253557.530000001</v>
      </c>
      <c r="AE168" s="522">
        <f>SUM(AE170:AE183)</f>
        <v>6306622.9799999995</v>
      </c>
      <c r="AF168" s="522">
        <f>SUM(AF170:AF183)</f>
        <v>19497557.530000001</v>
      </c>
      <c r="AG168" s="522">
        <f t="shared" si="70"/>
        <v>-2756000</v>
      </c>
      <c r="AH168" s="477">
        <f>SUM(AH170:AH183)</f>
        <v>26120504.75</v>
      </c>
      <c r="AI168" s="477">
        <f>SUM(AI170:AI183)</f>
        <v>16559503.539999999</v>
      </c>
      <c r="AJ168" s="477">
        <f>SUM(AJ170:AJ184)</f>
        <v>21183023</v>
      </c>
      <c r="AK168" s="525"/>
    </row>
    <row r="169" spans="1:37" ht="16.5" thickTop="1" thickBot="1" x14ac:dyDescent="0.25">
      <c r="A169" s="616"/>
      <c r="B169" s="617"/>
      <c r="C169" s="618"/>
      <c r="D169" s="618">
        <v>1</v>
      </c>
      <c r="E169" s="618"/>
      <c r="F169" s="619" t="s">
        <v>585</v>
      </c>
      <c r="G169" s="496"/>
      <c r="H169" s="620"/>
      <c r="I169" s="620"/>
      <c r="J169" s="621"/>
      <c r="K169" s="621"/>
      <c r="L169" s="621"/>
      <c r="M169" s="621"/>
      <c r="N169" s="621"/>
      <c r="O169" s="621"/>
      <c r="P169" s="621"/>
      <c r="Q169" s="622"/>
      <c r="R169" s="622"/>
      <c r="S169" s="622"/>
      <c r="T169" s="622"/>
      <c r="U169" s="622"/>
      <c r="V169" s="622"/>
      <c r="W169" s="508">
        <f>SUM(K169:V169)</f>
        <v>0</v>
      </c>
      <c r="X169" s="508">
        <f>SUM(L169:W169)</f>
        <v>0</v>
      </c>
      <c r="Y169" s="594">
        <f>SUM(M169:X169)</f>
        <v>0</v>
      </c>
      <c r="Z169" s="508"/>
      <c r="AA169" s="508"/>
      <c r="AB169" s="508"/>
      <c r="AC169" s="478">
        <f t="shared" si="69"/>
        <v>0</v>
      </c>
      <c r="AD169" s="508"/>
      <c r="AE169" s="508"/>
      <c r="AF169" s="508"/>
      <c r="AG169" s="508"/>
      <c r="AH169" s="503">
        <v>0</v>
      </c>
      <c r="AI169" s="594"/>
      <c r="AJ169" s="594"/>
      <c r="AK169" s="623"/>
    </row>
    <row r="170" spans="1:37" ht="16.5" thickTop="1" thickBot="1" x14ac:dyDescent="0.25">
      <c r="A170" s="491"/>
      <c r="B170" s="492"/>
      <c r="C170" s="493"/>
      <c r="D170" s="493"/>
      <c r="E170" s="494">
        <v>510101</v>
      </c>
      <c r="F170" s="495" t="s">
        <v>586</v>
      </c>
      <c r="G170" s="498">
        <v>17511456.16</v>
      </c>
      <c r="H170" s="620">
        <f>10007165.23+3781025.55-900000</f>
        <v>12888190.780000001</v>
      </c>
      <c r="I170" s="620">
        <f>10007165.23+3781025.55-900000</f>
        <v>12888190.780000001</v>
      </c>
      <c r="J170" s="624">
        <f>H170</f>
        <v>12888190.780000001</v>
      </c>
      <c r="K170" s="539">
        <v>1439034.12</v>
      </c>
      <c r="L170" s="504">
        <v>2413756.69</v>
      </c>
      <c r="M170" s="504">
        <v>1956685.64</v>
      </c>
      <c r="N170" s="504">
        <v>1629889.34</v>
      </c>
      <c r="O170" s="568">
        <v>1914615.07</v>
      </c>
      <c r="P170" s="506">
        <v>1378949.22</v>
      </c>
      <c r="Q170" s="625">
        <f>681103.12375-305735.02</f>
        <v>375368.10375000001</v>
      </c>
      <c r="R170" s="625">
        <f>681103.12375-305735.02</f>
        <v>375368.10375000001</v>
      </c>
      <c r="S170" s="625">
        <f>681103.12375-305735.02</f>
        <v>375368.10375000001</v>
      </c>
      <c r="T170" s="625">
        <f>681103.12375-305735.02</f>
        <v>375368.10375000001</v>
      </c>
      <c r="U170" s="625">
        <f>681103.12375-305735.02</f>
        <v>375368.10375000001</v>
      </c>
      <c r="V170" s="625">
        <f>681103.12375-305735.02+0.04</f>
        <v>375368.14374999999</v>
      </c>
      <c r="W170" s="508">
        <v>12985138.560000001</v>
      </c>
      <c r="X170" s="498">
        <f>W170</f>
        <v>12985138.560000001</v>
      </c>
      <c r="Y170" s="626">
        <v>18274453.370000001</v>
      </c>
      <c r="Z170" s="501">
        <v>15497557.529999999</v>
      </c>
      <c r="AA170" s="501">
        <v>1038593.1</v>
      </c>
      <c r="AB170" s="512">
        <v>1465412.91</v>
      </c>
      <c r="AC170" s="478">
        <f t="shared" si="69"/>
        <v>0</v>
      </c>
      <c r="AD170" s="502">
        <f>Z170</f>
        <v>15497557.529999999</v>
      </c>
      <c r="AE170" s="510">
        <v>5402459.5499999998</v>
      </c>
      <c r="AF170" s="502">
        <v>15497557.529999999</v>
      </c>
      <c r="AG170" s="502">
        <f>AF170-AD170</f>
        <v>0</v>
      </c>
      <c r="AH170" s="503">
        <v>18274453.370000001</v>
      </c>
      <c r="AI170" s="503">
        <v>13168083.719999999</v>
      </c>
      <c r="AJ170" s="503">
        <f>21516006-4000000</f>
        <v>17516006</v>
      </c>
      <c r="AK170" s="472">
        <v>1100122</v>
      </c>
    </row>
    <row r="171" spans="1:37" ht="16.5" thickTop="1" thickBot="1" x14ac:dyDescent="0.25">
      <c r="A171" s="616"/>
      <c r="B171" s="617"/>
      <c r="C171" s="618"/>
      <c r="D171" s="618"/>
      <c r="E171" s="570">
        <v>510102</v>
      </c>
      <c r="F171" s="495" t="s">
        <v>587</v>
      </c>
      <c r="G171" s="498">
        <v>2991844.7</v>
      </c>
      <c r="H171" s="497">
        <v>2302642.9484382533</v>
      </c>
      <c r="I171" s="497">
        <v>2302642.94</v>
      </c>
      <c r="J171" s="498">
        <f>H171</f>
        <v>2302642.9484382533</v>
      </c>
      <c r="K171" s="498">
        <v>0</v>
      </c>
      <c r="L171" s="496"/>
      <c r="M171" s="526">
        <v>37413.379999999997</v>
      </c>
      <c r="N171" s="526">
        <v>119783.03</v>
      </c>
      <c r="O171" s="581">
        <v>172780.46</v>
      </c>
      <c r="P171" s="506">
        <v>191792.23</v>
      </c>
      <c r="Q171" s="527">
        <v>268180.81624999997</v>
      </c>
      <c r="R171" s="527">
        <v>268180.81624999997</v>
      </c>
      <c r="S171" s="527">
        <v>268180.81624999997</v>
      </c>
      <c r="T171" s="527">
        <v>268180.81624999997</v>
      </c>
      <c r="U171" s="527">
        <f>268180.81625-25255.34</f>
        <v>242925.47624999998</v>
      </c>
      <c r="V171" s="527">
        <v>95400.36</v>
      </c>
      <c r="W171" s="508">
        <v>1932818.2</v>
      </c>
      <c r="X171" s="498">
        <f>W171</f>
        <v>1932818.2</v>
      </c>
      <c r="Y171" s="500">
        <v>1592215.3</v>
      </c>
      <c r="Z171" s="498"/>
      <c r="AA171" s="498"/>
      <c r="AB171" s="498"/>
      <c r="AC171" s="478">
        <f t="shared" si="69"/>
        <v>0</v>
      </c>
      <c r="AD171" s="498"/>
      <c r="AE171" s="498"/>
      <c r="AF171" s="498"/>
      <c r="AG171" s="498"/>
      <c r="AH171" s="503">
        <v>1592215.3</v>
      </c>
      <c r="AI171" s="503">
        <v>0</v>
      </c>
      <c r="AJ171" s="503"/>
      <c r="AK171" s="472">
        <v>2510220</v>
      </c>
    </row>
    <row r="172" spans="1:37" ht="16.5" thickTop="1" thickBot="1" x14ac:dyDescent="0.25">
      <c r="A172" s="616"/>
      <c r="B172" s="617"/>
      <c r="C172" s="618"/>
      <c r="D172" s="618"/>
      <c r="E172" s="570">
        <v>510103</v>
      </c>
      <c r="F172" s="495" t="s">
        <v>588</v>
      </c>
      <c r="G172" s="498">
        <v>2286076.35</v>
      </c>
      <c r="H172" s="497">
        <v>2191693.9416972981</v>
      </c>
      <c r="I172" s="497">
        <v>2191694</v>
      </c>
      <c r="J172" s="498">
        <f>H172</f>
        <v>2191693.9416972981</v>
      </c>
      <c r="K172" s="498">
        <v>0</v>
      </c>
      <c r="L172" s="496"/>
      <c r="M172" s="526">
        <v>27386.23</v>
      </c>
      <c r="N172" s="526">
        <v>99420.12</v>
      </c>
      <c r="O172" s="581">
        <v>146859.5</v>
      </c>
      <c r="P172" s="506">
        <v>187857.71</v>
      </c>
      <c r="Q172" s="527">
        <v>258110.9</v>
      </c>
      <c r="R172" s="527">
        <v>258110.9</v>
      </c>
      <c r="S172" s="527">
        <v>258110.9</v>
      </c>
      <c r="T172" s="527">
        <v>258110.9</v>
      </c>
      <c r="U172" s="527">
        <v>258110.9</v>
      </c>
      <c r="V172" s="527">
        <v>258110.9</v>
      </c>
      <c r="W172" s="508">
        <v>2191694</v>
      </c>
      <c r="X172" s="498">
        <f>W172</f>
        <v>2191694</v>
      </c>
      <c r="Y172" s="500">
        <v>1615760.75</v>
      </c>
      <c r="Z172" s="498"/>
      <c r="AA172" s="498"/>
      <c r="AB172" s="498"/>
      <c r="AC172" s="478">
        <f t="shared" si="69"/>
        <v>0</v>
      </c>
      <c r="AD172" s="498"/>
      <c r="AE172" s="498"/>
      <c r="AF172" s="498"/>
      <c r="AG172" s="498"/>
      <c r="AH172" s="503">
        <v>1615760.75</v>
      </c>
      <c r="AI172" s="503">
        <v>0</v>
      </c>
      <c r="AJ172" s="503"/>
      <c r="AK172" s="472">
        <v>2510120</v>
      </c>
    </row>
    <row r="173" spans="1:37" ht="16.5" thickTop="1" thickBot="1" x14ac:dyDescent="0.25">
      <c r="A173" s="616"/>
      <c r="B173" s="617"/>
      <c r="C173" s="618"/>
      <c r="D173" s="618"/>
      <c r="E173" s="570">
        <v>510104</v>
      </c>
      <c r="F173" s="495" t="s">
        <v>589</v>
      </c>
      <c r="G173" s="496"/>
      <c r="H173" s="497">
        <v>4279523.4295814484</v>
      </c>
      <c r="I173" s="497">
        <v>4279523.4295814484</v>
      </c>
      <c r="J173" s="498">
        <v>4279523.42</v>
      </c>
      <c r="K173" s="498">
        <v>0</v>
      </c>
      <c r="L173" s="526">
        <v>32495.759999999998</v>
      </c>
      <c r="M173" s="526">
        <v>140612.89000000001</v>
      </c>
      <c r="N173" s="526">
        <v>244263.67</v>
      </c>
      <c r="O173" s="581">
        <v>669935.68000000005</v>
      </c>
      <c r="P173" s="506">
        <v>604514.77</v>
      </c>
      <c r="Q173" s="527">
        <v>482768.88869768102</v>
      </c>
      <c r="R173" s="527">
        <v>482768.88869768102</v>
      </c>
      <c r="S173" s="527">
        <v>482768.88869768102</v>
      </c>
      <c r="T173" s="527">
        <v>482768.88869768102</v>
      </c>
      <c r="U173" s="527">
        <v>482768.88869768102</v>
      </c>
      <c r="V173" s="527">
        <v>482768.88869768102</v>
      </c>
      <c r="W173" s="508">
        <f>4588436-181505</f>
        <v>4406931</v>
      </c>
      <c r="X173" s="498">
        <f>W173</f>
        <v>4406931</v>
      </c>
      <c r="Y173" s="500">
        <v>4460860.0599999996</v>
      </c>
      <c r="Z173" s="498"/>
      <c r="AA173" s="498"/>
      <c r="AB173" s="498"/>
      <c r="AC173" s="478">
        <f t="shared" si="69"/>
        <v>0</v>
      </c>
      <c r="AD173" s="498"/>
      <c r="AE173" s="498"/>
      <c r="AF173" s="498"/>
      <c r="AG173" s="498"/>
      <c r="AH173" s="503">
        <v>4460860.0599999996</v>
      </c>
      <c r="AI173" s="503">
        <v>0</v>
      </c>
      <c r="AJ173" s="503"/>
      <c r="AK173" s="472">
        <v>1100120</v>
      </c>
    </row>
    <row r="174" spans="1:37" ht="16.5" thickTop="1" thickBot="1" x14ac:dyDescent="0.25">
      <c r="A174" s="616"/>
      <c r="B174" s="627"/>
      <c r="C174" s="551"/>
      <c r="D174" s="551"/>
      <c r="E174" s="559">
        <v>510105</v>
      </c>
      <c r="F174" s="495" t="s">
        <v>590</v>
      </c>
      <c r="G174" s="498">
        <v>484573.84</v>
      </c>
      <c r="H174" s="521"/>
      <c r="I174" s="497">
        <v>0</v>
      </c>
      <c r="J174" s="498">
        <v>350000</v>
      </c>
      <c r="K174" s="496"/>
      <c r="L174" s="531">
        <v>32426.73</v>
      </c>
      <c r="M174" s="526">
        <v>28886.58</v>
      </c>
      <c r="N174" s="526">
        <v>31843.32</v>
      </c>
      <c r="O174" s="581">
        <v>27624.560000000001</v>
      </c>
      <c r="P174" s="499">
        <v>23731.54</v>
      </c>
      <c r="Q174" s="527">
        <v>0</v>
      </c>
      <c r="R174" s="527">
        <v>0</v>
      </c>
      <c r="S174" s="527">
        <v>0</v>
      </c>
      <c r="T174" s="527">
        <v>0</v>
      </c>
      <c r="U174" s="527"/>
      <c r="V174" s="527">
        <v>0</v>
      </c>
      <c r="W174" s="497">
        <v>144513</v>
      </c>
      <c r="X174" s="498">
        <f>W174</f>
        <v>144513</v>
      </c>
      <c r="Y174" s="626">
        <v>177215.27</v>
      </c>
      <c r="Z174" s="498"/>
      <c r="AA174" s="498"/>
      <c r="AB174" s="498"/>
      <c r="AC174" s="478">
        <f t="shared" si="69"/>
        <v>0</v>
      </c>
      <c r="AD174" s="498"/>
      <c r="AE174" s="498"/>
      <c r="AF174" s="498"/>
      <c r="AG174" s="498"/>
      <c r="AH174" s="503">
        <v>177215.27</v>
      </c>
      <c r="AI174" s="503">
        <v>0</v>
      </c>
      <c r="AJ174" s="503">
        <v>0</v>
      </c>
      <c r="AK174" s="519">
        <v>1100122</v>
      </c>
    </row>
    <row r="175" spans="1:37" ht="16.5" thickTop="1" thickBot="1" x14ac:dyDescent="0.25">
      <c r="A175" s="616"/>
      <c r="B175" s="627"/>
      <c r="C175" s="551"/>
      <c r="D175" s="551"/>
      <c r="E175" s="551"/>
      <c r="F175" s="589" t="s">
        <v>591</v>
      </c>
      <c r="G175" s="498">
        <v>-13.78</v>
      </c>
      <c r="H175" s="521"/>
      <c r="I175" s="497"/>
      <c r="J175" s="496"/>
      <c r="K175" s="496"/>
      <c r="L175" s="496"/>
      <c r="M175" s="496"/>
      <c r="N175" s="496"/>
      <c r="O175" s="496"/>
      <c r="P175" s="496"/>
      <c r="Q175" s="628"/>
      <c r="R175" s="628"/>
      <c r="S175" s="628"/>
      <c r="T175" s="628"/>
      <c r="U175" s="628"/>
      <c r="V175" s="628"/>
      <c r="W175" s="508">
        <f t="shared" ref="W175:Y180" si="76">SUM(K175:V175)</f>
        <v>0</v>
      </c>
      <c r="X175" s="508">
        <f t="shared" si="76"/>
        <v>0</v>
      </c>
      <c r="Y175" s="594">
        <f t="shared" si="76"/>
        <v>0</v>
      </c>
      <c r="Z175" s="508"/>
      <c r="AA175" s="508"/>
      <c r="AB175" s="508"/>
      <c r="AC175" s="478">
        <f t="shared" si="69"/>
        <v>0</v>
      </c>
      <c r="AD175" s="508"/>
      <c r="AE175" s="508"/>
      <c r="AF175" s="508"/>
      <c r="AG175" s="508"/>
      <c r="AH175" s="503">
        <v>0</v>
      </c>
      <c r="AI175" s="503">
        <v>0</v>
      </c>
      <c r="AJ175" s="503">
        <v>0</v>
      </c>
      <c r="AK175" s="623"/>
    </row>
    <row r="176" spans="1:37" ht="16.5" thickTop="1" thickBot="1" x14ac:dyDescent="0.25">
      <c r="A176" s="616"/>
      <c r="B176" s="627"/>
      <c r="C176" s="551"/>
      <c r="D176" s="551"/>
      <c r="E176" s="551"/>
      <c r="F176" s="589" t="s">
        <v>592</v>
      </c>
      <c r="G176" s="498">
        <v>11256.09</v>
      </c>
      <c r="H176" s="521"/>
      <c r="I176" s="497"/>
      <c r="J176" s="496"/>
      <c r="K176" s="496"/>
      <c r="L176" s="496"/>
      <c r="M176" s="496"/>
      <c r="N176" s="496"/>
      <c r="O176" s="496"/>
      <c r="P176" s="496"/>
      <c r="Q176" s="628"/>
      <c r="R176" s="628"/>
      <c r="S176" s="628"/>
      <c r="T176" s="628"/>
      <c r="U176" s="628"/>
      <c r="V176" s="628"/>
      <c r="W176" s="508">
        <f t="shared" si="76"/>
        <v>0</v>
      </c>
      <c r="X176" s="508">
        <f t="shared" si="76"/>
        <v>0</v>
      </c>
      <c r="Y176" s="594">
        <f t="shared" si="76"/>
        <v>0</v>
      </c>
      <c r="Z176" s="508"/>
      <c r="AA176" s="508"/>
      <c r="AB176" s="508"/>
      <c r="AC176" s="478">
        <f t="shared" si="69"/>
        <v>0</v>
      </c>
      <c r="AD176" s="508"/>
      <c r="AE176" s="508"/>
      <c r="AF176" s="508"/>
      <c r="AG176" s="508"/>
      <c r="AH176" s="503">
        <v>0</v>
      </c>
      <c r="AI176" s="503">
        <v>0</v>
      </c>
      <c r="AJ176" s="503">
        <v>0</v>
      </c>
      <c r="AK176" s="623"/>
    </row>
    <row r="177" spans="1:37" ht="16.5" thickTop="1" thickBot="1" x14ac:dyDescent="0.25">
      <c r="A177" s="616"/>
      <c r="B177" s="627"/>
      <c r="C177" s="551"/>
      <c r="D177" s="551"/>
      <c r="E177" s="551"/>
      <c r="F177" s="589" t="s">
        <v>593</v>
      </c>
      <c r="G177" s="498">
        <v>398289.45</v>
      </c>
      <c r="H177" s="521"/>
      <c r="I177" s="497"/>
      <c r="J177" s="496"/>
      <c r="K177" s="496"/>
      <c r="L177" s="496"/>
      <c r="M177" s="496"/>
      <c r="N177" s="496"/>
      <c r="O177" s="496"/>
      <c r="P177" s="496"/>
      <c r="Q177" s="628"/>
      <c r="R177" s="628"/>
      <c r="S177" s="628"/>
      <c r="T177" s="628"/>
      <c r="U177" s="628"/>
      <c r="V177" s="628"/>
      <c r="W177" s="508">
        <f t="shared" si="76"/>
        <v>0</v>
      </c>
      <c r="X177" s="508">
        <f t="shared" si="76"/>
        <v>0</v>
      </c>
      <c r="Y177" s="594">
        <f t="shared" si="76"/>
        <v>0</v>
      </c>
      <c r="Z177" s="508"/>
      <c r="AA177" s="508"/>
      <c r="AB177" s="508"/>
      <c r="AC177" s="478">
        <f t="shared" si="69"/>
        <v>0</v>
      </c>
      <c r="AD177" s="508"/>
      <c r="AE177" s="508"/>
      <c r="AF177" s="508"/>
      <c r="AG177" s="508"/>
      <c r="AH177" s="503">
        <v>0</v>
      </c>
      <c r="AI177" s="503">
        <v>0</v>
      </c>
      <c r="AJ177" s="503">
        <v>0</v>
      </c>
      <c r="AK177" s="623"/>
    </row>
    <row r="178" spans="1:37" ht="16.5" thickTop="1" thickBot="1" x14ac:dyDescent="0.25">
      <c r="A178" s="616"/>
      <c r="B178" s="627"/>
      <c r="C178" s="551"/>
      <c r="D178" s="551"/>
      <c r="E178" s="551"/>
      <c r="F178" s="589" t="s">
        <v>594</v>
      </c>
      <c r="G178" s="498">
        <v>37.07</v>
      </c>
      <c r="H178" s="521"/>
      <c r="I178" s="497"/>
      <c r="J178" s="496"/>
      <c r="K178" s="496"/>
      <c r="L178" s="496"/>
      <c r="M178" s="496"/>
      <c r="N178" s="496"/>
      <c r="O178" s="496"/>
      <c r="P178" s="496"/>
      <c r="Q178" s="628"/>
      <c r="R178" s="628"/>
      <c r="S178" s="628"/>
      <c r="T178" s="628"/>
      <c r="U178" s="628"/>
      <c r="V178" s="628"/>
      <c r="W178" s="508">
        <f t="shared" si="76"/>
        <v>0</v>
      </c>
      <c r="X178" s="508">
        <f t="shared" si="76"/>
        <v>0</v>
      </c>
      <c r="Y178" s="594">
        <f t="shared" si="76"/>
        <v>0</v>
      </c>
      <c r="Z178" s="508"/>
      <c r="AA178" s="508"/>
      <c r="AB178" s="508"/>
      <c r="AC178" s="478">
        <f t="shared" si="69"/>
        <v>0</v>
      </c>
      <c r="AD178" s="508"/>
      <c r="AE178" s="508"/>
      <c r="AF178" s="508"/>
      <c r="AG178" s="508"/>
      <c r="AH178" s="503">
        <v>0</v>
      </c>
      <c r="AI178" s="503">
        <v>0</v>
      </c>
      <c r="AJ178" s="503">
        <v>0</v>
      </c>
      <c r="AK178" s="623"/>
    </row>
    <row r="179" spans="1:37" ht="16.5" thickTop="1" thickBot="1" x14ac:dyDescent="0.25">
      <c r="A179" s="491"/>
      <c r="B179" s="492"/>
      <c r="C179" s="493"/>
      <c r="D179" s="493"/>
      <c r="E179" s="493"/>
      <c r="F179" s="495" t="s">
        <v>595</v>
      </c>
      <c r="G179" s="498">
        <v>19.66</v>
      </c>
      <c r="H179" s="497"/>
      <c r="I179" s="497"/>
      <c r="J179" s="496"/>
      <c r="K179" s="496"/>
      <c r="L179" s="496"/>
      <c r="M179" s="496"/>
      <c r="N179" s="496"/>
      <c r="O179" s="496"/>
      <c r="P179" s="496"/>
      <c r="Q179" s="628"/>
      <c r="R179" s="628"/>
      <c r="S179" s="628"/>
      <c r="T179" s="628"/>
      <c r="U179" s="628"/>
      <c r="V179" s="628"/>
      <c r="W179" s="508">
        <f t="shared" si="76"/>
        <v>0</v>
      </c>
      <c r="X179" s="508">
        <f t="shared" si="76"/>
        <v>0</v>
      </c>
      <c r="Y179" s="594">
        <f t="shared" si="76"/>
        <v>0</v>
      </c>
      <c r="Z179" s="508"/>
      <c r="AA179" s="508"/>
      <c r="AB179" s="508"/>
      <c r="AC179" s="478">
        <f t="shared" si="69"/>
        <v>0</v>
      </c>
      <c r="AD179" s="508"/>
      <c r="AE179" s="508"/>
      <c r="AF179" s="508"/>
      <c r="AG179" s="508"/>
      <c r="AH179" s="503">
        <v>0</v>
      </c>
      <c r="AI179" s="503">
        <v>0</v>
      </c>
      <c r="AJ179" s="503">
        <v>0</v>
      </c>
      <c r="AK179" s="623"/>
    </row>
    <row r="180" spans="1:37" ht="16.5" thickTop="1" thickBot="1" x14ac:dyDescent="0.25">
      <c r="A180" s="491"/>
      <c r="B180" s="492"/>
      <c r="C180" s="493"/>
      <c r="D180" s="493"/>
      <c r="E180" s="493"/>
      <c r="F180" s="495" t="s">
        <v>596</v>
      </c>
      <c r="G180" s="498">
        <v>5790091.2000000002</v>
      </c>
      <c r="H180" s="497"/>
      <c r="I180" s="497"/>
      <c r="J180" s="496"/>
      <c r="K180" s="496"/>
      <c r="L180" s="496"/>
      <c r="M180" s="496"/>
      <c r="N180" s="496"/>
      <c r="O180" s="496"/>
      <c r="P180" s="496"/>
      <c r="Q180" s="628"/>
      <c r="R180" s="628"/>
      <c r="S180" s="628"/>
      <c r="T180" s="628"/>
      <c r="U180" s="628"/>
      <c r="V180" s="628"/>
      <c r="W180" s="508">
        <f t="shared" si="76"/>
        <v>0</v>
      </c>
      <c r="X180" s="508">
        <f t="shared" si="76"/>
        <v>0</v>
      </c>
      <c r="Y180" s="594">
        <f t="shared" si="76"/>
        <v>0</v>
      </c>
      <c r="Z180" s="508"/>
      <c r="AA180" s="508"/>
      <c r="AB180" s="508"/>
      <c r="AC180" s="478">
        <f t="shared" si="69"/>
        <v>0</v>
      </c>
      <c r="AD180" s="508"/>
      <c r="AE180" s="508"/>
      <c r="AF180" s="508"/>
      <c r="AG180" s="508"/>
      <c r="AH180" s="503">
        <v>0</v>
      </c>
      <c r="AI180" s="503">
        <v>0</v>
      </c>
      <c r="AJ180" s="503">
        <v>0</v>
      </c>
      <c r="AK180" s="623"/>
    </row>
    <row r="181" spans="1:37" ht="16.5" thickTop="1" thickBot="1" x14ac:dyDescent="0.25">
      <c r="A181" s="491"/>
      <c r="B181" s="492"/>
      <c r="C181" s="493"/>
      <c r="D181" s="493"/>
      <c r="E181" s="559">
        <v>510106</v>
      </c>
      <c r="F181" s="495" t="s">
        <v>597</v>
      </c>
      <c r="G181" s="498"/>
      <c r="H181" s="497"/>
      <c r="I181" s="497"/>
      <c r="J181" s="496"/>
      <c r="K181" s="496"/>
      <c r="L181" s="496"/>
      <c r="M181" s="496"/>
      <c r="N181" s="496"/>
      <c r="O181" s="496"/>
      <c r="P181" s="496"/>
      <c r="Q181" s="628"/>
      <c r="R181" s="628"/>
      <c r="S181" s="628"/>
      <c r="T181" s="628"/>
      <c r="U181" s="628"/>
      <c r="V181" s="628"/>
      <c r="W181" s="508"/>
      <c r="X181" s="508"/>
      <c r="Y181" s="594"/>
      <c r="Z181" s="501">
        <v>1450000</v>
      </c>
      <c r="AA181" s="501">
        <v>0.4</v>
      </c>
      <c r="AB181" s="512">
        <v>253.25</v>
      </c>
      <c r="AC181" s="478"/>
      <c r="AD181" s="509">
        <v>1450000</v>
      </c>
      <c r="AE181" s="510">
        <v>159185.93</v>
      </c>
      <c r="AF181" s="509">
        <v>0</v>
      </c>
      <c r="AG181" s="509">
        <f>AF181-AD181</f>
        <v>-1450000</v>
      </c>
      <c r="AH181" s="503">
        <v>0</v>
      </c>
      <c r="AI181" s="503">
        <v>0</v>
      </c>
      <c r="AJ181" s="503">
        <v>0</v>
      </c>
      <c r="AK181" s="519">
        <v>2510221</v>
      </c>
    </row>
    <row r="182" spans="1:37" ht="16.5" thickTop="1" thickBot="1" x14ac:dyDescent="0.25">
      <c r="A182" s="491"/>
      <c r="B182" s="492"/>
      <c r="C182" s="493"/>
      <c r="D182" s="493"/>
      <c r="E182" s="559">
        <v>510107</v>
      </c>
      <c r="F182" s="495" t="s">
        <v>598</v>
      </c>
      <c r="G182" s="498"/>
      <c r="H182" s="497"/>
      <c r="I182" s="497"/>
      <c r="J182" s="496"/>
      <c r="K182" s="496"/>
      <c r="L182" s="496"/>
      <c r="M182" s="496"/>
      <c r="N182" s="496"/>
      <c r="O182" s="496"/>
      <c r="P182" s="496"/>
      <c r="Q182" s="628"/>
      <c r="R182" s="628"/>
      <c r="S182" s="628"/>
      <c r="T182" s="628"/>
      <c r="U182" s="628"/>
      <c r="V182" s="628"/>
      <c r="W182" s="508"/>
      <c r="X182" s="508"/>
      <c r="Y182" s="594"/>
      <c r="Z182" s="501">
        <v>1306000</v>
      </c>
      <c r="AA182" s="501">
        <v>8</v>
      </c>
      <c r="AB182" s="512">
        <v>82.62</v>
      </c>
      <c r="AC182" s="478"/>
      <c r="AD182" s="509">
        <v>1306000</v>
      </c>
      <c r="AE182" s="510">
        <v>37090.35</v>
      </c>
      <c r="AF182" s="509">
        <v>0</v>
      </c>
      <c r="AG182" s="509">
        <f>AF182-AD182</f>
        <v>-1306000</v>
      </c>
      <c r="AH182" s="503">
        <v>0</v>
      </c>
      <c r="AI182" s="503">
        <v>0</v>
      </c>
      <c r="AJ182" s="503">
        <v>0</v>
      </c>
      <c r="AK182" s="519">
        <v>2510121</v>
      </c>
    </row>
    <row r="183" spans="1:37" ht="16.5" thickTop="1" thickBot="1" x14ac:dyDescent="0.25">
      <c r="A183" s="491"/>
      <c r="B183" s="492"/>
      <c r="C183" s="493"/>
      <c r="D183" s="493"/>
      <c r="E183" s="570">
        <v>510108</v>
      </c>
      <c r="F183" s="495" t="s">
        <v>599</v>
      </c>
      <c r="G183" s="498"/>
      <c r="H183" s="497"/>
      <c r="I183" s="497"/>
      <c r="J183" s="496"/>
      <c r="K183" s="496"/>
      <c r="L183" s="496"/>
      <c r="M183" s="496"/>
      <c r="N183" s="496"/>
      <c r="O183" s="496"/>
      <c r="P183" s="496"/>
      <c r="Q183" s="628"/>
      <c r="R183" s="628"/>
      <c r="S183" s="628"/>
      <c r="T183" s="628"/>
      <c r="U183" s="628"/>
      <c r="V183" s="628"/>
      <c r="W183" s="508"/>
      <c r="X183" s="508"/>
      <c r="Y183" s="594"/>
      <c r="Z183" s="533">
        <v>4000000</v>
      </c>
      <c r="AA183" s="533">
        <v>20.92</v>
      </c>
      <c r="AB183" s="610">
        <v>142837.35999999999</v>
      </c>
      <c r="AC183" s="478"/>
      <c r="AD183" s="502">
        <v>4000000</v>
      </c>
      <c r="AE183" s="629">
        <v>707887.15</v>
      </c>
      <c r="AF183" s="502">
        <v>4000000</v>
      </c>
      <c r="AG183" s="502">
        <f>AF183-AD183</f>
        <v>0</v>
      </c>
      <c r="AH183" s="503">
        <v>0</v>
      </c>
      <c r="AI183" s="503">
        <v>3391419.82</v>
      </c>
      <c r="AJ183" s="503">
        <v>0</v>
      </c>
      <c r="AK183" s="519">
        <v>1100122</v>
      </c>
    </row>
    <row r="184" spans="1:37" ht="16.5" thickTop="1" thickBot="1" x14ac:dyDescent="0.25">
      <c r="A184" s="491"/>
      <c r="B184" s="492"/>
      <c r="C184" s="493"/>
      <c r="D184" s="493"/>
      <c r="E184" s="494">
        <v>510109</v>
      </c>
      <c r="F184" s="495" t="s">
        <v>600</v>
      </c>
      <c r="G184" s="498"/>
      <c r="H184" s="497"/>
      <c r="I184" s="497"/>
      <c r="J184" s="496"/>
      <c r="K184" s="496"/>
      <c r="L184" s="496"/>
      <c r="M184" s="496"/>
      <c r="N184" s="496"/>
      <c r="O184" s="496"/>
      <c r="P184" s="496"/>
      <c r="Q184" s="628"/>
      <c r="R184" s="628"/>
      <c r="S184" s="628"/>
      <c r="T184" s="628"/>
      <c r="U184" s="628"/>
      <c r="V184" s="628"/>
      <c r="W184" s="508"/>
      <c r="X184" s="508"/>
      <c r="Y184" s="594"/>
      <c r="Z184" s="630"/>
      <c r="AA184" s="630"/>
      <c r="AB184" s="602"/>
      <c r="AC184" s="478"/>
      <c r="AD184" s="502"/>
      <c r="AE184" s="629"/>
      <c r="AF184" s="502"/>
      <c r="AG184" s="502"/>
      <c r="AH184" s="503"/>
      <c r="AI184" s="503"/>
      <c r="AJ184" s="503">
        <v>3667017</v>
      </c>
      <c r="AK184" s="519">
        <v>1100122</v>
      </c>
    </row>
    <row r="185" spans="1:37" ht="15.75" thickTop="1" thickBot="1" x14ac:dyDescent="0.25">
      <c r="A185" s="516"/>
      <c r="B185" s="517"/>
      <c r="C185" s="518">
        <v>3</v>
      </c>
      <c r="D185" s="518"/>
      <c r="E185" s="519"/>
      <c r="F185" s="520" t="s">
        <v>601</v>
      </c>
      <c r="G185" s="474">
        <f t="shared" ref="G185:AB185" si="77">G186</f>
        <v>121068.01</v>
      </c>
      <c r="H185" s="521">
        <f t="shared" si="77"/>
        <v>135000</v>
      </c>
      <c r="I185" s="521">
        <f t="shared" si="77"/>
        <v>135000</v>
      </c>
      <c r="J185" s="487">
        <f t="shared" si="77"/>
        <v>135000</v>
      </c>
      <c r="K185" s="487">
        <f t="shared" si="77"/>
        <v>3600</v>
      </c>
      <c r="L185" s="487">
        <f t="shared" si="77"/>
        <v>13280</v>
      </c>
      <c r="M185" s="487">
        <f t="shared" si="77"/>
        <v>15461.53</v>
      </c>
      <c r="N185" s="487">
        <f t="shared" si="77"/>
        <v>7727.29</v>
      </c>
      <c r="O185" s="487">
        <f t="shared" si="77"/>
        <v>9239.83</v>
      </c>
      <c r="P185" s="487">
        <f t="shared" si="77"/>
        <v>12541</v>
      </c>
      <c r="Q185" s="487">
        <f t="shared" si="77"/>
        <v>6500</v>
      </c>
      <c r="R185" s="487">
        <f t="shared" si="77"/>
        <v>7500</v>
      </c>
      <c r="S185" s="487">
        <f t="shared" si="77"/>
        <v>12199.01</v>
      </c>
      <c r="T185" s="487">
        <f t="shared" si="77"/>
        <v>9088</v>
      </c>
      <c r="U185" s="487">
        <f t="shared" si="77"/>
        <v>10512</v>
      </c>
      <c r="V185" s="487">
        <f t="shared" si="77"/>
        <v>7319</v>
      </c>
      <c r="W185" s="524">
        <f t="shared" si="77"/>
        <v>114968</v>
      </c>
      <c r="X185" s="524">
        <f t="shared" si="77"/>
        <v>114968</v>
      </c>
      <c r="Y185" s="523">
        <f t="shared" si="77"/>
        <v>123759.79</v>
      </c>
      <c r="Z185" s="524">
        <f t="shared" si="77"/>
        <v>118646.97</v>
      </c>
      <c r="AA185" s="524">
        <f t="shared" si="77"/>
        <v>1627.24</v>
      </c>
      <c r="AB185" s="524">
        <f t="shared" si="77"/>
        <v>12766.14</v>
      </c>
      <c r="AC185" s="478">
        <f t="shared" ref="AC185:AC201" si="78">W185-X185</f>
        <v>0</v>
      </c>
      <c r="AD185" s="522">
        <f>AD186</f>
        <v>118646.97</v>
      </c>
      <c r="AE185" s="522">
        <f>AE186</f>
        <v>34147.21</v>
      </c>
      <c r="AF185" s="522">
        <f>AF186</f>
        <v>118646.97</v>
      </c>
      <c r="AG185" s="522">
        <f t="shared" ref="AG185:AG201" si="79">AF185-AD185</f>
        <v>0</v>
      </c>
      <c r="AH185" s="523">
        <f>AH186</f>
        <v>123759.79</v>
      </c>
      <c r="AI185" s="523">
        <f>AI186</f>
        <v>113236.2</v>
      </c>
      <c r="AJ185" s="523">
        <f>AJ186</f>
        <v>117709</v>
      </c>
      <c r="AK185" s="525"/>
    </row>
    <row r="186" spans="1:37" ht="16.5" thickTop="1" thickBot="1" x14ac:dyDescent="0.25">
      <c r="A186" s="491"/>
      <c r="B186" s="492"/>
      <c r="C186" s="493"/>
      <c r="D186" s="493">
        <v>1</v>
      </c>
      <c r="E186" s="494">
        <v>510301</v>
      </c>
      <c r="F186" s="495" t="s">
        <v>602</v>
      </c>
      <c r="G186" s="498">
        <v>121068.01</v>
      </c>
      <c r="H186" s="497">
        <v>135000</v>
      </c>
      <c r="I186" s="497">
        <v>135000</v>
      </c>
      <c r="J186" s="498">
        <v>135000</v>
      </c>
      <c r="K186" s="504">
        <v>3600</v>
      </c>
      <c r="L186" s="577">
        <v>13280</v>
      </c>
      <c r="M186" s="504">
        <v>15461.53</v>
      </c>
      <c r="N186" s="504">
        <v>7727.29</v>
      </c>
      <c r="O186" s="568">
        <v>9239.83</v>
      </c>
      <c r="P186" s="499">
        <v>12541</v>
      </c>
      <c r="Q186" s="511">
        <v>6500</v>
      </c>
      <c r="R186" s="511">
        <v>7500</v>
      </c>
      <c r="S186" s="511">
        <v>12199.01</v>
      </c>
      <c r="T186" s="511">
        <v>9088</v>
      </c>
      <c r="U186" s="511">
        <v>10512</v>
      </c>
      <c r="V186" s="511">
        <v>7319</v>
      </c>
      <c r="W186" s="508">
        <v>114968</v>
      </c>
      <c r="X186" s="498">
        <f>W186</f>
        <v>114968</v>
      </c>
      <c r="Y186" s="500">
        <v>123759.79</v>
      </c>
      <c r="Z186" s="501">
        <v>118646.97</v>
      </c>
      <c r="AA186" s="501">
        <v>1627.24</v>
      </c>
      <c r="AB186" s="512">
        <v>12766.14</v>
      </c>
      <c r="AC186" s="478">
        <f t="shared" si="78"/>
        <v>0</v>
      </c>
      <c r="AD186" s="509">
        <v>118646.97</v>
      </c>
      <c r="AE186" s="510">
        <v>34147.21</v>
      </c>
      <c r="AF186" s="502">
        <v>118646.97</v>
      </c>
      <c r="AG186" s="509">
        <f t="shared" si="79"/>
        <v>0</v>
      </c>
      <c r="AH186" s="503">
        <v>123759.79</v>
      </c>
      <c r="AI186" s="503">
        <v>113236.2</v>
      </c>
      <c r="AJ186" s="503">
        <v>117709</v>
      </c>
      <c r="AK186" s="519">
        <v>1100122</v>
      </c>
    </row>
    <row r="187" spans="1:37" ht="27" thickTop="1" thickBot="1" x14ac:dyDescent="0.25">
      <c r="A187" s="516"/>
      <c r="B187" s="517"/>
      <c r="C187" s="518">
        <v>5</v>
      </c>
      <c r="D187" s="518"/>
      <c r="E187" s="519"/>
      <c r="F187" s="520" t="s">
        <v>603</v>
      </c>
      <c r="G187" s="498">
        <f t="shared" ref="G187:AB187" si="80">G188+G189</f>
        <v>26017.32</v>
      </c>
      <c r="H187" s="521">
        <f t="shared" si="80"/>
        <v>54075</v>
      </c>
      <c r="I187" s="521">
        <f t="shared" si="80"/>
        <v>54075</v>
      </c>
      <c r="J187" s="487">
        <f t="shared" si="80"/>
        <v>54075</v>
      </c>
      <c r="K187" s="487">
        <f t="shared" si="80"/>
        <v>549</v>
      </c>
      <c r="L187" s="515">
        <f t="shared" si="80"/>
        <v>308.49</v>
      </c>
      <c r="M187" s="515">
        <f t="shared" si="80"/>
        <v>2360.08</v>
      </c>
      <c r="N187" s="515">
        <f t="shared" si="80"/>
        <v>0</v>
      </c>
      <c r="O187" s="515">
        <f t="shared" si="80"/>
        <v>74</v>
      </c>
      <c r="P187" s="515">
        <f t="shared" si="80"/>
        <v>35</v>
      </c>
      <c r="Q187" s="515">
        <f t="shared" si="80"/>
        <v>0</v>
      </c>
      <c r="R187" s="515">
        <f t="shared" si="80"/>
        <v>0</v>
      </c>
      <c r="S187" s="515">
        <f t="shared" si="80"/>
        <v>1607.85</v>
      </c>
      <c r="T187" s="515">
        <f t="shared" si="80"/>
        <v>618.86</v>
      </c>
      <c r="U187" s="515">
        <f t="shared" si="80"/>
        <v>567.11</v>
      </c>
      <c r="V187" s="515">
        <f t="shared" si="80"/>
        <v>58.7</v>
      </c>
      <c r="W187" s="524">
        <f t="shared" si="80"/>
        <v>6179</v>
      </c>
      <c r="X187" s="524">
        <f t="shared" si="80"/>
        <v>6179</v>
      </c>
      <c r="Y187" s="523">
        <f t="shared" si="80"/>
        <v>10442.950000000001</v>
      </c>
      <c r="Z187" s="524">
        <f t="shared" si="80"/>
        <v>9272.98</v>
      </c>
      <c r="AA187" s="524">
        <f t="shared" si="80"/>
        <v>1283.96</v>
      </c>
      <c r="AB187" s="524">
        <f t="shared" si="80"/>
        <v>2378</v>
      </c>
      <c r="AC187" s="478">
        <f t="shared" si="78"/>
        <v>0</v>
      </c>
      <c r="AD187" s="522">
        <f>AD188+AD189</f>
        <v>9272.98</v>
      </c>
      <c r="AE187" s="522">
        <f>AE188+AE189</f>
        <v>9192.31</v>
      </c>
      <c r="AF187" s="522">
        <f>AF188+AF189</f>
        <v>14272.98</v>
      </c>
      <c r="AG187" s="522">
        <f t="shared" si="79"/>
        <v>5000</v>
      </c>
      <c r="AH187" s="523">
        <f>AH188+AH189</f>
        <v>10442.950000000001</v>
      </c>
      <c r="AI187" s="523">
        <f>AI188+AI189</f>
        <v>18295.219999999998</v>
      </c>
      <c r="AJ187" s="523">
        <f>AJ188+AJ189</f>
        <v>19442</v>
      </c>
      <c r="AK187" s="525"/>
    </row>
    <row r="188" spans="1:37" ht="16.5" thickTop="1" thickBot="1" x14ac:dyDescent="0.25">
      <c r="A188" s="491"/>
      <c r="B188" s="492"/>
      <c r="C188" s="493"/>
      <c r="D188" s="493">
        <v>1</v>
      </c>
      <c r="E188" s="494">
        <v>510501</v>
      </c>
      <c r="F188" s="495" t="s">
        <v>604</v>
      </c>
      <c r="G188" s="498">
        <v>2161.3200000000002</v>
      </c>
      <c r="H188" s="497">
        <v>2500</v>
      </c>
      <c r="I188" s="497">
        <v>2500</v>
      </c>
      <c r="J188" s="498">
        <v>2500</v>
      </c>
      <c r="K188" s="498">
        <v>0</v>
      </c>
      <c r="L188" s="535">
        <v>203.49</v>
      </c>
      <c r="M188" s="504">
        <v>310.08</v>
      </c>
      <c r="N188" s="504">
        <v>0</v>
      </c>
      <c r="O188" s="504"/>
      <c r="P188" s="631"/>
      <c r="Q188" s="504">
        <v>0</v>
      </c>
      <c r="R188" s="504">
        <v>0</v>
      </c>
      <c r="S188" s="511">
        <v>366.85</v>
      </c>
      <c r="T188" s="511">
        <v>34.86</v>
      </c>
      <c r="U188" s="511">
        <v>384.11</v>
      </c>
      <c r="V188" s="511">
        <v>40.700000000000003</v>
      </c>
      <c r="W188" s="508">
        <v>1340</v>
      </c>
      <c r="X188" s="498">
        <f>W188</f>
        <v>1340</v>
      </c>
      <c r="Y188" s="500">
        <v>646.95000000000005</v>
      </c>
      <c r="Z188" s="501">
        <v>1340</v>
      </c>
      <c r="AA188" s="501">
        <v>72.959999999999994</v>
      </c>
      <c r="AB188" s="501">
        <v>0</v>
      </c>
      <c r="AC188" s="478">
        <f t="shared" si="78"/>
        <v>0</v>
      </c>
      <c r="AD188" s="502">
        <v>1340</v>
      </c>
      <c r="AE188" s="510">
        <v>72.959999999999994</v>
      </c>
      <c r="AF188" s="502">
        <v>1340</v>
      </c>
      <c r="AG188" s="502">
        <f t="shared" si="79"/>
        <v>0</v>
      </c>
      <c r="AH188" s="503">
        <v>646.95000000000005</v>
      </c>
      <c r="AI188" s="503">
        <v>72.959999999999994</v>
      </c>
      <c r="AJ188" s="503">
        <v>500</v>
      </c>
      <c r="AK188" s="519">
        <v>1100122</v>
      </c>
    </row>
    <row r="189" spans="1:37" ht="16.5" thickTop="1" thickBot="1" x14ac:dyDescent="0.25">
      <c r="A189" s="491"/>
      <c r="B189" s="492"/>
      <c r="C189" s="493"/>
      <c r="D189" s="493">
        <v>2</v>
      </c>
      <c r="E189" s="494">
        <v>510502</v>
      </c>
      <c r="F189" s="495" t="s">
        <v>605</v>
      </c>
      <c r="G189" s="498">
        <v>23856</v>
      </c>
      <c r="H189" s="497">
        <f>22000+29575</f>
        <v>51575</v>
      </c>
      <c r="I189" s="497">
        <f>22000+29575</f>
        <v>51575</v>
      </c>
      <c r="J189" s="498">
        <f>22000+29575</f>
        <v>51575</v>
      </c>
      <c r="K189" s="504">
        <v>549</v>
      </c>
      <c r="L189" s="577">
        <v>105</v>
      </c>
      <c r="M189" s="504">
        <v>2050</v>
      </c>
      <c r="N189" s="504">
        <v>0</v>
      </c>
      <c r="O189" s="568">
        <v>74</v>
      </c>
      <c r="P189" s="499">
        <v>35</v>
      </c>
      <c r="Q189" s="511">
        <v>0</v>
      </c>
      <c r="R189" s="511">
        <v>0</v>
      </c>
      <c r="S189" s="511">
        <v>1241</v>
      </c>
      <c r="T189" s="511">
        <v>584</v>
      </c>
      <c r="U189" s="511">
        <v>183</v>
      </c>
      <c r="V189" s="511">
        <v>18</v>
      </c>
      <c r="W189" s="508">
        <f>SUM(K189:V189)</f>
        <v>4839</v>
      </c>
      <c r="X189" s="498">
        <f>W189</f>
        <v>4839</v>
      </c>
      <c r="Y189" s="500">
        <v>9796</v>
      </c>
      <c r="Z189" s="501">
        <v>7932.98</v>
      </c>
      <c r="AA189" s="501">
        <v>1211</v>
      </c>
      <c r="AB189" s="512">
        <v>2378</v>
      </c>
      <c r="AC189" s="478">
        <f t="shared" si="78"/>
        <v>0</v>
      </c>
      <c r="AD189" s="509">
        <f>Z189</f>
        <v>7932.98</v>
      </c>
      <c r="AE189" s="510">
        <v>9119.35</v>
      </c>
      <c r="AF189" s="502">
        <f>AD189+5000</f>
        <v>12932.98</v>
      </c>
      <c r="AG189" s="509">
        <f t="shared" si="79"/>
        <v>5000</v>
      </c>
      <c r="AH189" s="503">
        <v>9796</v>
      </c>
      <c r="AI189" s="503">
        <v>18222.259999999998</v>
      </c>
      <c r="AJ189" s="503">
        <v>18942</v>
      </c>
      <c r="AK189" s="519">
        <v>1100122</v>
      </c>
    </row>
    <row r="190" spans="1:37" ht="15.75" thickTop="1" thickBot="1" x14ac:dyDescent="0.25">
      <c r="A190" s="516"/>
      <c r="B190" s="517"/>
      <c r="C190" s="518">
        <v>6</v>
      </c>
      <c r="D190" s="518"/>
      <c r="E190" s="519"/>
      <c r="F190" s="520" t="s">
        <v>606</v>
      </c>
      <c r="G190" s="474">
        <f t="shared" ref="G190:O190" si="81">G191</f>
        <v>1205000</v>
      </c>
      <c r="H190" s="521">
        <f t="shared" si="81"/>
        <v>2000000</v>
      </c>
      <c r="I190" s="497">
        <f t="shared" si="81"/>
        <v>2000000</v>
      </c>
      <c r="J190" s="497">
        <f t="shared" si="81"/>
        <v>2000000</v>
      </c>
      <c r="K190" s="497">
        <f t="shared" si="81"/>
        <v>0</v>
      </c>
      <c r="L190" s="497">
        <f t="shared" si="81"/>
        <v>0</v>
      </c>
      <c r="M190" s="497">
        <f t="shared" si="81"/>
        <v>0</v>
      </c>
      <c r="N190" s="497">
        <f t="shared" si="81"/>
        <v>0</v>
      </c>
      <c r="O190" s="497">
        <f t="shared" si="81"/>
        <v>0</v>
      </c>
      <c r="P190" s="497"/>
      <c r="Q190" s="497">
        <f t="shared" ref="Q190:AB190" si="82">Q191</f>
        <v>285714.28571428574</v>
      </c>
      <c r="R190" s="497">
        <f t="shared" si="82"/>
        <v>285714.28571428574</v>
      </c>
      <c r="S190" s="497">
        <f t="shared" si="82"/>
        <v>285714.28571428574</v>
      </c>
      <c r="T190" s="497">
        <f t="shared" si="82"/>
        <v>285714.28571428574</v>
      </c>
      <c r="U190" s="497">
        <f t="shared" si="82"/>
        <v>285714.28571428574</v>
      </c>
      <c r="V190" s="497">
        <f t="shared" si="82"/>
        <v>285714.28571428574</v>
      </c>
      <c r="W190" s="522">
        <f t="shared" si="82"/>
        <v>1714286</v>
      </c>
      <c r="X190" s="524">
        <f t="shared" si="82"/>
        <v>1714286</v>
      </c>
      <c r="Y190" s="523">
        <f t="shared" si="82"/>
        <v>637594.69999999995</v>
      </c>
      <c r="Z190" s="524">
        <f t="shared" si="82"/>
        <v>1714286</v>
      </c>
      <c r="AA190" s="524">
        <f t="shared" si="82"/>
        <v>4223000</v>
      </c>
      <c r="AB190" s="524">
        <f t="shared" si="82"/>
        <v>0</v>
      </c>
      <c r="AC190" s="478">
        <f t="shared" si="78"/>
        <v>0</v>
      </c>
      <c r="AD190" s="522">
        <f>AD191</f>
        <v>1714286</v>
      </c>
      <c r="AE190" s="522">
        <f>AE191</f>
        <v>4223000</v>
      </c>
      <c r="AF190" s="522">
        <f>AF191</f>
        <v>5800000</v>
      </c>
      <c r="AG190" s="522">
        <f t="shared" si="79"/>
        <v>4085714</v>
      </c>
      <c r="AH190" s="523">
        <f>AH191</f>
        <v>637594.69999999995</v>
      </c>
      <c r="AI190" s="523">
        <f>AI191</f>
        <v>5346823</v>
      </c>
      <c r="AJ190" s="523">
        <f>AJ191</f>
        <v>1500000</v>
      </c>
      <c r="AK190" s="525"/>
    </row>
    <row r="191" spans="1:37" ht="16.5" thickTop="1" thickBot="1" x14ac:dyDescent="0.25">
      <c r="A191" s="491"/>
      <c r="B191" s="492"/>
      <c r="C191" s="493"/>
      <c r="D191" s="493">
        <v>1</v>
      </c>
      <c r="E191" s="494">
        <v>510601</v>
      </c>
      <c r="F191" s="495" t="s">
        <v>607</v>
      </c>
      <c r="G191" s="498">
        <v>1205000</v>
      </c>
      <c r="H191" s="521">
        <f>400000+1600000</f>
        <v>2000000</v>
      </c>
      <c r="I191" s="497">
        <v>2000000</v>
      </c>
      <c r="J191" s="498">
        <f>400000+1600000</f>
        <v>2000000</v>
      </c>
      <c r="K191" s="498">
        <v>0</v>
      </c>
      <c r="L191" s="498">
        <v>0</v>
      </c>
      <c r="M191" s="498">
        <v>0</v>
      </c>
      <c r="N191" s="498">
        <v>0</v>
      </c>
      <c r="O191" s="498"/>
      <c r="P191" s="498"/>
      <c r="Q191" s="628">
        <v>285714.28571428574</v>
      </c>
      <c r="R191" s="628">
        <v>285714.28571428574</v>
      </c>
      <c r="S191" s="628">
        <v>285714.28571428574</v>
      </c>
      <c r="T191" s="628">
        <v>285714.28571428574</v>
      </c>
      <c r="U191" s="628">
        <v>285714.28571428574</v>
      </c>
      <c r="V191" s="628">
        <v>285714.28571428574</v>
      </c>
      <c r="W191" s="508">
        <v>1714286</v>
      </c>
      <c r="X191" s="498">
        <f>W191</f>
        <v>1714286</v>
      </c>
      <c r="Y191" s="500">
        <v>637594.69999999995</v>
      </c>
      <c r="Z191" s="632">
        <v>1714286</v>
      </c>
      <c r="AA191" s="632">
        <v>4223000</v>
      </c>
      <c r="AB191" s="632">
        <v>0</v>
      </c>
      <c r="AC191" s="478">
        <f t="shared" si="78"/>
        <v>0</v>
      </c>
      <c r="AD191" s="502">
        <v>1714286</v>
      </c>
      <c r="AE191" s="510">
        <v>4223000</v>
      </c>
      <c r="AF191" s="502">
        <f>5000000+800000</f>
        <v>5800000</v>
      </c>
      <c r="AG191" s="502">
        <f t="shared" si="79"/>
        <v>4085714</v>
      </c>
      <c r="AH191" s="503">
        <v>637594.69999999995</v>
      </c>
      <c r="AI191" s="503">
        <v>5346823</v>
      </c>
      <c r="AJ191" s="503">
        <v>1500000</v>
      </c>
      <c r="AK191" s="519">
        <v>1100122</v>
      </c>
    </row>
    <row r="192" spans="1:37" ht="15.75" thickTop="1" thickBot="1" x14ac:dyDescent="0.25">
      <c r="A192" s="516"/>
      <c r="B192" s="517"/>
      <c r="C192" s="518">
        <v>7</v>
      </c>
      <c r="D192" s="518"/>
      <c r="E192" s="519"/>
      <c r="F192" s="520" t="s">
        <v>608</v>
      </c>
      <c r="G192" s="474">
        <f>G194</f>
        <v>441373.45</v>
      </c>
      <c r="H192" s="521">
        <f t="shared" ref="H192:O192" si="83">H193</f>
        <v>210000</v>
      </c>
      <c r="I192" s="497">
        <f t="shared" si="83"/>
        <v>210000</v>
      </c>
      <c r="J192" s="497">
        <f t="shared" si="83"/>
        <v>210000</v>
      </c>
      <c r="K192" s="497">
        <f t="shared" si="83"/>
        <v>0</v>
      </c>
      <c r="L192" s="497">
        <f t="shared" si="83"/>
        <v>0</v>
      </c>
      <c r="M192" s="497">
        <f t="shared" si="83"/>
        <v>0</v>
      </c>
      <c r="N192" s="497">
        <f t="shared" si="83"/>
        <v>0</v>
      </c>
      <c r="O192" s="497">
        <f t="shared" si="83"/>
        <v>0</v>
      </c>
      <c r="P192" s="497"/>
      <c r="Q192" s="497">
        <f t="shared" ref="Q192:AB192" si="84">Q193</f>
        <v>30000</v>
      </c>
      <c r="R192" s="497">
        <f t="shared" si="84"/>
        <v>30000</v>
      </c>
      <c r="S192" s="497">
        <f t="shared" si="84"/>
        <v>30000</v>
      </c>
      <c r="T192" s="497">
        <f t="shared" si="84"/>
        <v>30000</v>
      </c>
      <c r="U192" s="497">
        <f t="shared" si="84"/>
        <v>30000</v>
      </c>
      <c r="V192" s="497">
        <f t="shared" si="84"/>
        <v>30000</v>
      </c>
      <c r="W192" s="522">
        <f t="shared" si="84"/>
        <v>180000</v>
      </c>
      <c r="X192" s="524">
        <f t="shared" si="84"/>
        <v>180000</v>
      </c>
      <c r="Y192" s="523">
        <f t="shared" si="84"/>
        <v>0</v>
      </c>
      <c r="Z192" s="523">
        <f t="shared" si="84"/>
        <v>180000</v>
      </c>
      <c r="AA192" s="523">
        <f t="shared" si="84"/>
        <v>0</v>
      </c>
      <c r="AB192" s="523">
        <f t="shared" si="84"/>
        <v>315674.51</v>
      </c>
      <c r="AC192" s="523">
        <f t="shared" si="78"/>
        <v>0</v>
      </c>
      <c r="AD192" s="523">
        <f>AD193</f>
        <v>180000</v>
      </c>
      <c r="AE192" s="523">
        <f>AE193</f>
        <v>384954.51</v>
      </c>
      <c r="AF192" s="523">
        <f>AF193</f>
        <v>540000</v>
      </c>
      <c r="AG192" s="523">
        <f t="shared" si="79"/>
        <v>360000</v>
      </c>
      <c r="AH192" s="523">
        <f>AH193</f>
        <v>0</v>
      </c>
      <c r="AI192" s="523">
        <f>AI193</f>
        <v>2046901.07</v>
      </c>
      <c r="AJ192" s="523">
        <f>AJ193</f>
        <v>500000</v>
      </c>
      <c r="AK192" s="523"/>
    </row>
    <row r="193" spans="1:37" ht="16.5" thickTop="1" thickBot="1" x14ac:dyDescent="0.25">
      <c r="A193" s="491"/>
      <c r="B193" s="492"/>
      <c r="C193" s="493"/>
      <c r="D193" s="493">
        <v>1</v>
      </c>
      <c r="E193" s="494">
        <v>510701</v>
      </c>
      <c r="F193" s="495" t="s">
        <v>609</v>
      </c>
      <c r="G193" s="498">
        <v>0</v>
      </c>
      <c r="H193" s="521">
        <v>210000</v>
      </c>
      <c r="I193" s="497">
        <v>210000</v>
      </c>
      <c r="J193" s="498">
        <v>210000</v>
      </c>
      <c r="K193" s="498">
        <v>0</v>
      </c>
      <c r="L193" s="498">
        <v>0</v>
      </c>
      <c r="M193" s="498">
        <v>0</v>
      </c>
      <c r="N193" s="498">
        <v>0</v>
      </c>
      <c r="O193" s="498"/>
      <c r="P193" s="498"/>
      <c r="Q193" s="628">
        <v>30000</v>
      </c>
      <c r="R193" s="628">
        <v>30000</v>
      </c>
      <c r="S193" s="628">
        <v>30000</v>
      </c>
      <c r="T193" s="628">
        <v>30000</v>
      </c>
      <c r="U193" s="628">
        <v>30000</v>
      </c>
      <c r="V193" s="628">
        <v>30000</v>
      </c>
      <c r="W193" s="508">
        <f>SUM(K193:V193)</f>
        <v>180000</v>
      </c>
      <c r="X193" s="498">
        <f>W193</f>
        <v>180000</v>
      </c>
      <c r="Y193" s="500"/>
      <c r="Z193" s="632">
        <v>180000</v>
      </c>
      <c r="AA193" s="632">
        <v>0</v>
      </c>
      <c r="AB193" s="512">
        <v>315674.51</v>
      </c>
      <c r="AC193" s="478">
        <f t="shared" si="78"/>
        <v>0</v>
      </c>
      <c r="AD193" s="502">
        <v>180000</v>
      </c>
      <c r="AE193" s="510">
        <v>384954.51</v>
      </c>
      <c r="AF193" s="502">
        <v>540000</v>
      </c>
      <c r="AG193" s="502">
        <f t="shared" si="79"/>
        <v>360000</v>
      </c>
      <c r="AH193" s="503">
        <v>0</v>
      </c>
      <c r="AI193" s="503">
        <v>2046901.07</v>
      </c>
      <c r="AJ193" s="503">
        <v>500000</v>
      </c>
      <c r="AK193" s="519">
        <v>1100122</v>
      </c>
    </row>
    <row r="194" spans="1:37" ht="16.5" thickTop="1" thickBot="1" x14ac:dyDescent="0.25">
      <c r="A194" s="491"/>
      <c r="B194" s="492"/>
      <c r="C194" s="493">
        <v>9</v>
      </c>
      <c r="D194" s="493">
        <v>1</v>
      </c>
      <c r="E194" s="494">
        <v>510901</v>
      </c>
      <c r="F194" s="495" t="s">
        <v>610</v>
      </c>
      <c r="G194" s="498">
        <v>441373.45</v>
      </c>
      <c r="H194" s="521">
        <f>450000+630612</f>
        <v>1080612</v>
      </c>
      <c r="I194" s="497">
        <f>450000+630612</f>
        <v>1080612</v>
      </c>
      <c r="J194" s="498">
        <f>450000+630612</f>
        <v>1080612</v>
      </c>
      <c r="K194" s="526">
        <v>50384.55</v>
      </c>
      <c r="L194" s="531">
        <v>1838</v>
      </c>
      <c r="M194" s="526">
        <v>24908.23</v>
      </c>
      <c r="N194" s="526">
        <v>48175</v>
      </c>
      <c r="O194" s="581">
        <v>24546.5</v>
      </c>
      <c r="P194" s="506">
        <v>26631.11</v>
      </c>
      <c r="Q194" s="633">
        <v>119413.2775</v>
      </c>
      <c r="R194" s="633">
        <v>119413.2775</v>
      </c>
      <c r="S194" s="633">
        <v>119413.2775</v>
      </c>
      <c r="T194" s="633">
        <v>119413.2775</v>
      </c>
      <c r="U194" s="633">
        <v>119413.2775</v>
      </c>
      <c r="V194" s="633">
        <v>119413.2775</v>
      </c>
      <c r="W194" s="508">
        <v>892963</v>
      </c>
      <c r="X194" s="498">
        <f>W194</f>
        <v>892963</v>
      </c>
      <c r="Y194" s="500">
        <v>370536.38</v>
      </c>
      <c r="Z194" s="501">
        <v>892963</v>
      </c>
      <c r="AA194" s="501">
        <v>3989</v>
      </c>
      <c r="AB194" s="512">
        <v>31160.82</v>
      </c>
      <c r="AC194" s="478">
        <f t="shared" si="78"/>
        <v>0</v>
      </c>
      <c r="AD194" s="502">
        <v>892963</v>
      </c>
      <c r="AE194" s="510">
        <v>95573.95</v>
      </c>
      <c r="AF194" s="502">
        <v>892963</v>
      </c>
      <c r="AG194" s="502">
        <f t="shared" si="79"/>
        <v>0</v>
      </c>
      <c r="AH194" s="503">
        <v>370536.38</v>
      </c>
      <c r="AI194" s="503">
        <v>351914.44</v>
      </c>
      <c r="AJ194" s="503">
        <v>365815</v>
      </c>
      <c r="AK194" s="519">
        <v>1100122</v>
      </c>
    </row>
    <row r="195" spans="1:37" ht="15.75" thickTop="1" thickBot="1" x14ac:dyDescent="0.25">
      <c r="A195" s="562" t="s">
        <v>611</v>
      </c>
      <c r="B195" s="562" t="s">
        <v>462</v>
      </c>
      <c r="C195" s="563"/>
      <c r="D195" s="563"/>
      <c r="E195" s="464"/>
      <c r="F195" s="465" t="s">
        <v>14</v>
      </c>
      <c r="G195" s="466">
        <f>G32+G33+G36+G38+G42+G205+G206+G207+G212+G213+G215+G216+G217+G218+G219+G220+G221+G222+G223+G224+G225+G227+G228+G231+G232+G233+G243+G244+G246+G247+G267+G270+G275+G277+G286+G288+G289+G291+G292+G294+G296+G297+G298+G299+G300+G302+G304+G305+G307+G306+G308+G310+G312</f>
        <v>157206235.31999999</v>
      </c>
      <c r="H195" s="466">
        <f t="shared" ref="H195:AB195" si="85">H196+H241</f>
        <v>79191575.799999997</v>
      </c>
      <c r="I195" s="466">
        <f t="shared" si="85"/>
        <v>82753429.679999992</v>
      </c>
      <c r="J195" s="466">
        <f t="shared" si="85"/>
        <v>85845410.679999992</v>
      </c>
      <c r="K195" s="466">
        <f t="shared" si="85"/>
        <v>7152422.8700000001</v>
      </c>
      <c r="L195" s="466">
        <f t="shared" si="85"/>
        <v>5899249.9500000002</v>
      </c>
      <c r="M195" s="466">
        <f t="shared" si="85"/>
        <v>5775752.5800000001</v>
      </c>
      <c r="N195" s="466">
        <f t="shared" si="85"/>
        <v>4043647.1900000004</v>
      </c>
      <c r="O195" s="466">
        <f t="shared" si="85"/>
        <v>1461453.03</v>
      </c>
      <c r="P195" s="466">
        <f t="shared" si="85"/>
        <v>3501857.23</v>
      </c>
      <c r="Q195" s="466">
        <f t="shared" si="85"/>
        <v>3142490.9461071426</v>
      </c>
      <c r="R195" s="466">
        <f t="shared" si="85"/>
        <v>4407065.6461071428</v>
      </c>
      <c r="S195" s="466">
        <f t="shared" si="85"/>
        <v>6274593.4396071434</v>
      </c>
      <c r="T195" s="466">
        <f t="shared" si="85"/>
        <v>7777408.2511071432</v>
      </c>
      <c r="U195" s="466">
        <f t="shared" si="85"/>
        <v>7954577.7226071423</v>
      </c>
      <c r="V195" s="466">
        <f t="shared" si="85"/>
        <v>8285944.1491071424</v>
      </c>
      <c r="W195" s="466">
        <f t="shared" si="85"/>
        <v>65716462.980000012</v>
      </c>
      <c r="X195" s="466">
        <f t="shared" si="85"/>
        <v>65769270.180000015</v>
      </c>
      <c r="Y195" s="467">
        <f t="shared" si="85"/>
        <v>64257698.309999995</v>
      </c>
      <c r="Z195" s="468">
        <f t="shared" si="85"/>
        <v>78683055.75</v>
      </c>
      <c r="AA195" s="468">
        <f t="shared" si="85"/>
        <v>5368813.1099999994</v>
      </c>
      <c r="AB195" s="468">
        <f t="shared" si="85"/>
        <v>5779776.6599999992</v>
      </c>
      <c r="AC195" s="613">
        <f t="shared" si="78"/>
        <v>-52807.20000000298</v>
      </c>
      <c r="AD195" s="468">
        <f>AD196+AD241</f>
        <v>73963978.642250016</v>
      </c>
      <c r="AE195" s="468">
        <f>AE196+AE241</f>
        <v>25866085.469999999</v>
      </c>
      <c r="AF195" s="468">
        <f>AF196+AF241</f>
        <v>74897776.910000011</v>
      </c>
      <c r="AG195" s="468">
        <f t="shared" si="79"/>
        <v>933798.26774999499</v>
      </c>
      <c r="AH195" s="467">
        <f>AH196+AH241</f>
        <v>64257698.309999995</v>
      </c>
      <c r="AI195" s="467">
        <f>AI196+AI241</f>
        <v>77815764.815555558</v>
      </c>
      <c r="AJ195" s="467">
        <f>AJ196+AJ241</f>
        <v>73361288</v>
      </c>
      <c r="AK195" s="470"/>
    </row>
    <row r="196" spans="1:37" ht="15.75" thickTop="1" thickBot="1" x14ac:dyDescent="0.25">
      <c r="A196" s="565"/>
      <c r="B196" s="471" t="s">
        <v>423</v>
      </c>
      <c r="C196" s="566"/>
      <c r="D196" s="566"/>
      <c r="E196" s="519"/>
      <c r="F196" s="567" t="s">
        <v>14</v>
      </c>
      <c r="G196" s="474">
        <f>G197+G204+G209+G211+G214+G230+G241++G245</f>
        <v>86875262.589999989</v>
      </c>
      <c r="H196" s="475">
        <f t="shared" ref="H196:Y196" si="86">H197+H204+H209+H211+H214+H230</f>
        <v>78271575.799999997</v>
      </c>
      <c r="I196" s="475">
        <f t="shared" si="86"/>
        <v>81783429.679999992</v>
      </c>
      <c r="J196" s="474">
        <f t="shared" si="86"/>
        <v>84815410.679999992</v>
      </c>
      <c r="K196" s="474">
        <f t="shared" si="86"/>
        <v>7034148.3399999999</v>
      </c>
      <c r="L196" s="474">
        <f t="shared" si="86"/>
        <v>5813402.3799999999</v>
      </c>
      <c r="M196" s="474">
        <f t="shared" si="86"/>
        <v>5677815.8100000005</v>
      </c>
      <c r="N196" s="474">
        <f t="shared" si="86"/>
        <v>4015255.5400000005</v>
      </c>
      <c r="O196" s="474">
        <f t="shared" si="86"/>
        <v>1434848.34</v>
      </c>
      <c r="P196" s="474">
        <f t="shared" si="86"/>
        <v>3442709.85</v>
      </c>
      <c r="Q196" s="474">
        <f t="shared" si="86"/>
        <v>3114790.9461071426</v>
      </c>
      <c r="R196" s="474">
        <f t="shared" si="86"/>
        <v>4355065.6461071428</v>
      </c>
      <c r="S196" s="474">
        <f t="shared" si="86"/>
        <v>6158047.6196071431</v>
      </c>
      <c r="T196" s="474">
        <f t="shared" si="86"/>
        <v>7645448.6711071432</v>
      </c>
      <c r="U196" s="474">
        <f t="shared" si="86"/>
        <v>7858370.862607142</v>
      </c>
      <c r="V196" s="474">
        <f t="shared" si="86"/>
        <v>8155749.6191071421</v>
      </c>
      <c r="W196" s="476">
        <f t="shared" si="86"/>
        <v>64705653.600000009</v>
      </c>
      <c r="X196" s="476">
        <f t="shared" si="86"/>
        <v>64758460.800000012</v>
      </c>
      <c r="Y196" s="477">
        <f t="shared" si="86"/>
        <v>63067566.909999996</v>
      </c>
      <c r="Z196" s="476">
        <f>Z197+Z202+Z204+Z209+Z211+Z214+Z230</f>
        <v>77555026.530000001</v>
      </c>
      <c r="AA196" s="476">
        <f>AA197+AA202+AA204+AA209+AA211+AA214+AA230</f>
        <v>5297806.1899999995</v>
      </c>
      <c r="AB196" s="476">
        <f>AB197+AB202+AB204+AB209+AB211+AB214+AB230</f>
        <v>5709163.6999999993</v>
      </c>
      <c r="AC196" s="478">
        <f t="shared" si="78"/>
        <v>-52807.20000000298</v>
      </c>
      <c r="AD196" s="474">
        <f>AD197+AD202+AD204+AD209+AD211+AD214+AD230</f>
        <v>72754733.10225001</v>
      </c>
      <c r="AE196" s="474">
        <f>AE197+AE202+AE204+AE209+AE211+AE214+AE230</f>
        <v>25127805.119999997</v>
      </c>
      <c r="AF196" s="474">
        <f>AF197+AF202+AF204+AF209+AF211+AF214+AF230</f>
        <v>73188531.370000005</v>
      </c>
      <c r="AG196" s="474">
        <f t="shared" si="79"/>
        <v>433798.26774999499</v>
      </c>
      <c r="AH196" s="477">
        <f>AH197+AH204+AH209+AH211+AH214+AH230</f>
        <v>63067566.909999996</v>
      </c>
      <c r="AI196" s="477">
        <f>AI197+AI204+AI209+AI211+AI214+AI230</f>
        <v>76067414.055555552</v>
      </c>
      <c r="AJ196" s="477">
        <f>AJ197+AJ202+AJ204+AJ209+AJ211+AJ214+AJ230</f>
        <v>71586198</v>
      </c>
      <c r="AK196" s="525"/>
    </row>
    <row r="197" spans="1:37" ht="27" thickTop="1" thickBot="1" x14ac:dyDescent="0.25">
      <c r="A197" s="516"/>
      <c r="B197" s="517"/>
      <c r="C197" s="518">
        <v>1</v>
      </c>
      <c r="D197" s="518"/>
      <c r="E197" s="519"/>
      <c r="F197" s="520" t="s">
        <v>612</v>
      </c>
      <c r="G197" s="498">
        <f>G198+G199+G200+G201</f>
        <v>343800</v>
      </c>
      <c r="H197" s="521">
        <f>H198+H199+H200+H201</f>
        <v>611578.80000000005</v>
      </c>
      <c r="I197" s="521">
        <v>611578.80000000005</v>
      </c>
      <c r="J197" s="487">
        <f t="shared" ref="J197:AB197" si="87">J198+J199+J200+J201</f>
        <v>611578.80000000005</v>
      </c>
      <c r="K197" s="487">
        <f t="shared" si="87"/>
        <v>14520</v>
      </c>
      <c r="L197" s="515">
        <f t="shared" si="87"/>
        <v>21662</v>
      </c>
      <c r="M197" s="515">
        <f t="shared" si="87"/>
        <v>33260</v>
      </c>
      <c r="N197" s="515">
        <f t="shared" si="87"/>
        <v>25650</v>
      </c>
      <c r="O197" s="515">
        <f t="shared" si="87"/>
        <v>3396</v>
      </c>
      <c r="P197" s="515">
        <f t="shared" si="87"/>
        <v>69010</v>
      </c>
      <c r="Q197" s="515">
        <f t="shared" si="87"/>
        <v>12830</v>
      </c>
      <c r="R197" s="515">
        <f t="shared" si="87"/>
        <v>13330</v>
      </c>
      <c r="S197" s="515">
        <f t="shared" si="87"/>
        <v>69843.95</v>
      </c>
      <c r="T197" s="515">
        <f t="shared" si="87"/>
        <v>65343.95</v>
      </c>
      <c r="U197" s="515">
        <f t="shared" si="87"/>
        <v>65843.95</v>
      </c>
      <c r="V197" s="515">
        <f t="shared" si="87"/>
        <v>68843.95</v>
      </c>
      <c r="W197" s="524">
        <f t="shared" si="87"/>
        <v>463533.8</v>
      </c>
      <c r="X197" s="524">
        <f t="shared" si="87"/>
        <v>463533.8</v>
      </c>
      <c r="Y197" s="523">
        <f t="shared" si="87"/>
        <v>698707</v>
      </c>
      <c r="Z197" s="524">
        <f t="shared" si="87"/>
        <v>519306</v>
      </c>
      <c r="AA197" s="524">
        <f t="shared" si="87"/>
        <v>22654</v>
      </c>
      <c r="AB197" s="524">
        <f t="shared" si="87"/>
        <v>57068</v>
      </c>
      <c r="AC197" s="478">
        <f t="shared" si="78"/>
        <v>0</v>
      </c>
      <c r="AD197" s="522">
        <f>AD198+AD199+AD200+AD201</f>
        <v>714400.45</v>
      </c>
      <c r="AE197" s="522">
        <f>AE198+AE199+AE200+AE201</f>
        <v>195645.55</v>
      </c>
      <c r="AF197" s="522">
        <f>AF198+AF199+AF200+AF201</f>
        <v>714400.45</v>
      </c>
      <c r="AG197" s="522">
        <f t="shared" si="79"/>
        <v>0</v>
      </c>
      <c r="AH197" s="523">
        <f>AH198+AH199+AH200+AH201</f>
        <v>698707</v>
      </c>
      <c r="AI197" s="523">
        <f>AI198+AI199+AI200+AI201</f>
        <v>744852.27</v>
      </c>
      <c r="AJ197" s="523">
        <f>AJ198+AJ199+AJ200+AJ201</f>
        <v>774272</v>
      </c>
      <c r="AK197" s="525"/>
    </row>
    <row r="198" spans="1:37" ht="16.5" thickTop="1" thickBot="1" x14ac:dyDescent="0.25">
      <c r="A198" s="491"/>
      <c r="B198" s="492"/>
      <c r="C198" s="493"/>
      <c r="D198" s="493">
        <v>1</v>
      </c>
      <c r="E198" s="494">
        <v>610101</v>
      </c>
      <c r="F198" s="495" t="s">
        <v>613</v>
      </c>
      <c r="G198" s="498">
        <v>250880</v>
      </c>
      <c r="H198" s="521">
        <v>231523</v>
      </c>
      <c r="I198" s="521">
        <v>231523</v>
      </c>
      <c r="J198" s="487">
        <v>231523</v>
      </c>
      <c r="K198" s="634">
        <v>0</v>
      </c>
      <c r="L198" s="535">
        <v>4440</v>
      </c>
      <c r="M198" s="504">
        <v>20720</v>
      </c>
      <c r="N198" s="504">
        <v>22680</v>
      </c>
      <c r="O198" s="568">
        <v>1560</v>
      </c>
      <c r="P198" s="506">
        <v>63400</v>
      </c>
      <c r="Q198" s="511">
        <v>10000</v>
      </c>
      <c r="R198" s="511">
        <v>10000</v>
      </c>
      <c r="S198" s="511">
        <v>10000</v>
      </c>
      <c r="T198" s="511">
        <v>5000</v>
      </c>
      <c r="U198" s="511">
        <v>5000</v>
      </c>
      <c r="V198" s="511">
        <v>10000</v>
      </c>
      <c r="W198" s="508">
        <f>SUM(K198:V198)</f>
        <v>162800</v>
      </c>
      <c r="X198" s="498">
        <f>W198</f>
        <v>162800</v>
      </c>
      <c r="Y198" s="500">
        <v>185910</v>
      </c>
      <c r="Z198" s="501">
        <v>168498</v>
      </c>
      <c r="AA198" s="501">
        <v>1480</v>
      </c>
      <c r="AB198" s="512">
        <v>19240</v>
      </c>
      <c r="AC198" s="478">
        <f t="shared" si="78"/>
        <v>0</v>
      </c>
      <c r="AD198" s="509">
        <f>Y198</f>
        <v>185910</v>
      </c>
      <c r="AE198" s="510">
        <v>77034</v>
      </c>
      <c r="AF198" s="502">
        <v>185910</v>
      </c>
      <c r="AG198" s="509">
        <f t="shared" si="79"/>
        <v>0</v>
      </c>
      <c r="AH198" s="503">
        <v>185910</v>
      </c>
      <c r="AI198" s="503">
        <v>173981.4</v>
      </c>
      <c r="AJ198" s="503">
        <v>180853</v>
      </c>
      <c r="AK198" s="519">
        <v>1100122</v>
      </c>
    </row>
    <row r="199" spans="1:37" ht="16.5" thickTop="1" thickBot="1" x14ac:dyDescent="0.25">
      <c r="A199" s="491"/>
      <c r="B199" s="492"/>
      <c r="C199" s="493"/>
      <c r="D199" s="493">
        <v>2</v>
      </c>
      <c r="E199" s="494">
        <v>610102</v>
      </c>
      <c r="F199" s="495" t="s">
        <v>614</v>
      </c>
      <c r="G199" s="496"/>
      <c r="H199" s="521">
        <v>50000</v>
      </c>
      <c r="I199" s="521">
        <v>50000</v>
      </c>
      <c r="J199" s="487">
        <v>50000</v>
      </c>
      <c r="K199" s="634">
        <v>0</v>
      </c>
      <c r="L199" s="535">
        <v>0</v>
      </c>
      <c r="M199" s="504">
        <v>0</v>
      </c>
      <c r="N199" s="504">
        <v>330</v>
      </c>
      <c r="O199" s="504"/>
      <c r="P199" s="506">
        <v>0</v>
      </c>
      <c r="Q199" s="511">
        <v>330</v>
      </c>
      <c r="R199" s="511">
        <v>330</v>
      </c>
      <c r="S199" s="511">
        <v>330</v>
      </c>
      <c r="T199" s="511">
        <v>330</v>
      </c>
      <c r="U199" s="511">
        <v>330</v>
      </c>
      <c r="V199" s="511">
        <v>330</v>
      </c>
      <c r="W199" s="508">
        <f>SUM(K199:V199)</f>
        <v>2310</v>
      </c>
      <c r="X199" s="498">
        <f>W199</f>
        <v>2310</v>
      </c>
      <c r="Y199" s="500">
        <v>215190</v>
      </c>
      <c r="Z199" s="501">
        <v>50000</v>
      </c>
      <c r="AA199" s="501">
        <v>0</v>
      </c>
      <c r="AB199" s="512">
        <v>0</v>
      </c>
      <c r="AC199" s="478">
        <f t="shared" si="78"/>
        <v>0</v>
      </c>
      <c r="AD199" s="509">
        <f>Y199</f>
        <v>215190</v>
      </c>
      <c r="AE199" s="510">
        <v>30646.35</v>
      </c>
      <c r="AF199" s="502">
        <v>215190</v>
      </c>
      <c r="AG199" s="509">
        <f t="shared" si="79"/>
        <v>0</v>
      </c>
      <c r="AH199" s="503">
        <v>215190</v>
      </c>
      <c r="AI199" s="503">
        <v>214254.6</v>
      </c>
      <c r="AJ199" s="503">
        <v>222717</v>
      </c>
      <c r="AK199" s="519">
        <v>1100122</v>
      </c>
    </row>
    <row r="200" spans="1:37" ht="16.5" thickTop="1" thickBot="1" x14ac:dyDescent="0.25">
      <c r="A200" s="491"/>
      <c r="B200" s="492"/>
      <c r="C200" s="493"/>
      <c r="D200" s="493">
        <v>3</v>
      </c>
      <c r="E200" s="494">
        <v>610103</v>
      </c>
      <c r="F200" s="495" t="s">
        <v>615</v>
      </c>
      <c r="G200" s="498">
        <v>90750</v>
      </c>
      <c r="H200" s="497">
        <v>100000</v>
      </c>
      <c r="I200" s="574">
        <v>100000</v>
      </c>
      <c r="J200" s="498">
        <v>100000</v>
      </c>
      <c r="K200" s="539">
        <v>14520</v>
      </c>
      <c r="L200" s="535">
        <v>17160</v>
      </c>
      <c r="M200" s="504">
        <v>12540</v>
      </c>
      <c r="N200" s="504">
        <v>2640</v>
      </c>
      <c r="O200" s="568">
        <v>1650</v>
      </c>
      <c r="P200" s="506">
        <v>5610</v>
      </c>
      <c r="Q200" s="511">
        <v>2500</v>
      </c>
      <c r="R200" s="511">
        <v>3000</v>
      </c>
      <c r="S200" s="511">
        <v>2000</v>
      </c>
      <c r="T200" s="511">
        <v>2500</v>
      </c>
      <c r="U200" s="511">
        <v>3000</v>
      </c>
      <c r="V200" s="511">
        <v>1000</v>
      </c>
      <c r="W200" s="508">
        <f>SUM(K200:V200)</f>
        <v>68120</v>
      </c>
      <c r="X200" s="498">
        <f>W200</f>
        <v>68120</v>
      </c>
      <c r="Y200" s="500">
        <v>80190</v>
      </c>
      <c r="Z200" s="501">
        <v>70504.2</v>
      </c>
      <c r="AA200" s="501">
        <v>13200</v>
      </c>
      <c r="AB200" s="512">
        <v>18480</v>
      </c>
      <c r="AC200" s="478">
        <f t="shared" si="78"/>
        <v>0</v>
      </c>
      <c r="AD200" s="509">
        <f>Y200*1.035</f>
        <v>82996.649999999994</v>
      </c>
      <c r="AE200" s="510">
        <v>51473.4</v>
      </c>
      <c r="AF200" s="502">
        <v>82996.649999999994</v>
      </c>
      <c r="AG200" s="509">
        <f t="shared" si="79"/>
        <v>0</v>
      </c>
      <c r="AH200" s="503">
        <v>80190</v>
      </c>
      <c r="AI200" s="503">
        <v>91875.3</v>
      </c>
      <c r="AJ200" s="503">
        <v>95504</v>
      </c>
      <c r="AK200" s="519">
        <v>1100122</v>
      </c>
    </row>
    <row r="201" spans="1:37" ht="16.5" thickTop="1" thickBot="1" x14ac:dyDescent="0.25">
      <c r="A201" s="491"/>
      <c r="B201" s="492"/>
      <c r="C201" s="493"/>
      <c r="D201" s="493">
        <v>4</v>
      </c>
      <c r="E201" s="494">
        <v>610104</v>
      </c>
      <c r="F201" s="495" t="s">
        <v>616</v>
      </c>
      <c r="G201" s="498">
        <v>2170</v>
      </c>
      <c r="H201" s="497">
        <v>230055.8</v>
      </c>
      <c r="I201" s="497">
        <v>230055.8</v>
      </c>
      <c r="J201" s="498">
        <v>230055.8</v>
      </c>
      <c r="K201" s="496">
        <v>0</v>
      </c>
      <c r="L201" s="531">
        <v>62</v>
      </c>
      <c r="M201" s="526">
        <v>0</v>
      </c>
      <c r="N201" s="526">
        <v>0</v>
      </c>
      <c r="O201" s="581">
        <v>186</v>
      </c>
      <c r="P201" s="506">
        <v>0</v>
      </c>
      <c r="Q201" s="526">
        <v>0</v>
      </c>
      <c r="R201" s="526">
        <v>0</v>
      </c>
      <c r="S201" s="527">
        <v>57513.95</v>
      </c>
      <c r="T201" s="527">
        <v>57513.95</v>
      </c>
      <c r="U201" s="527">
        <v>57513.95</v>
      </c>
      <c r="V201" s="527">
        <v>57513.95</v>
      </c>
      <c r="W201" s="508">
        <f>SUM(K201:V201)</f>
        <v>230303.8</v>
      </c>
      <c r="X201" s="498">
        <f>W201</f>
        <v>230303.8</v>
      </c>
      <c r="Y201" s="500">
        <v>217417</v>
      </c>
      <c r="Z201" s="501">
        <v>230303.8</v>
      </c>
      <c r="AA201" s="501">
        <v>7974</v>
      </c>
      <c r="AB201" s="512">
        <v>19348</v>
      </c>
      <c r="AC201" s="478">
        <f t="shared" si="78"/>
        <v>0</v>
      </c>
      <c r="AD201" s="502">
        <v>230303.8</v>
      </c>
      <c r="AE201" s="510">
        <v>36491.800000000003</v>
      </c>
      <c r="AF201" s="502">
        <v>230303.8</v>
      </c>
      <c r="AG201" s="502">
        <f t="shared" si="79"/>
        <v>0</v>
      </c>
      <c r="AH201" s="503">
        <v>217417</v>
      </c>
      <c r="AI201" s="503">
        <v>264740.96999999997</v>
      </c>
      <c r="AJ201" s="503">
        <v>275198</v>
      </c>
      <c r="AK201" s="519">
        <v>1100122</v>
      </c>
    </row>
    <row r="202" spans="1:37" ht="27" thickTop="1" thickBot="1" x14ac:dyDescent="0.25">
      <c r="A202" s="491"/>
      <c r="B202" s="492"/>
      <c r="C202" s="518">
        <v>2</v>
      </c>
      <c r="D202" s="493"/>
      <c r="E202" s="580"/>
      <c r="F202" s="520" t="s">
        <v>617</v>
      </c>
      <c r="G202" s="498"/>
      <c r="H202" s="497"/>
      <c r="I202" s="497"/>
      <c r="J202" s="498"/>
      <c r="K202" s="496"/>
      <c r="L202" s="531"/>
      <c r="M202" s="526"/>
      <c r="N202" s="526"/>
      <c r="O202" s="581"/>
      <c r="P202" s="506"/>
      <c r="Q202" s="526"/>
      <c r="R202" s="526"/>
      <c r="S202" s="527"/>
      <c r="T202" s="527"/>
      <c r="U202" s="527"/>
      <c r="V202" s="527"/>
      <c r="W202" s="508"/>
      <c r="X202" s="498"/>
      <c r="Y202" s="500"/>
      <c r="Z202" s="635">
        <f>Z203</f>
        <v>3865900.75</v>
      </c>
      <c r="AA202" s="635">
        <f>AA203</f>
        <v>0</v>
      </c>
      <c r="AB202" s="635">
        <f>AB203</f>
        <v>0</v>
      </c>
      <c r="AC202" s="478"/>
      <c r="AD202" s="605">
        <f t="shared" ref="AD202:AJ202" si="88">AD203</f>
        <v>3865900.75</v>
      </c>
      <c r="AE202" s="605">
        <f t="shared" si="88"/>
        <v>0</v>
      </c>
      <c r="AF202" s="605">
        <f t="shared" si="88"/>
        <v>1000000</v>
      </c>
      <c r="AG202" s="607">
        <f t="shared" si="88"/>
        <v>-2865900.75</v>
      </c>
      <c r="AH202" s="523">
        <f t="shared" si="88"/>
        <v>0</v>
      </c>
      <c r="AI202" s="523">
        <f t="shared" si="88"/>
        <v>0</v>
      </c>
      <c r="AJ202" s="523">
        <f t="shared" si="88"/>
        <v>3865900</v>
      </c>
      <c r="AK202" s="519"/>
    </row>
    <row r="203" spans="1:37" ht="27" thickTop="1" thickBot="1" x14ac:dyDescent="0.25">
      <c r="A203" s="491"/>
      <c r="B203" s="492"/>
      <c r="C203" s="493"/>
      <c r="D203" s="493">
        <v>1</v>
      </c>
      <c r="E203" s="494">
        <v>610201</v>
      </c>
      <c r="F203" s="495" t="s">
        <v>617</v>
      </c>
      <c r="G203" s="498"/>
      <c r="H203" s="497"/>
      <c r="I203" s="497"/>
      <c r="J203" s="498"/>
      <c r="K203" s="496"/>
      <c r="L203" s="531"/>
      <c r="M203" s="526"/>
      <c r="N203" s="526"/>
      <c r="O203" s="581"/>
      <c r="P203" s="506"/>
      <c r="Q203" s="526"/>
      <c r="R203" s="526"/>
      <c r="S203" s="527"/>
      <c r="T203" s="527"/>
      <c r="U203" s="527"/>
      <c r="V203" s="527"/>
      <c r="W203" s="508"/>
      <c r="X203" s="498"/>
      <c r="Y203" s="500"/>
      <c r="Z203" s="533">
        <v>3865900.75</v>
      </c>
      <c r="AA203" s="533">
        <v>0</v>
      </c>
      <c r="AB203" s="533"/>
      <c r="AC203" s="478"/>
      <c r="AD203" s="502">
        <v>3865900.75</v>
      </c>
      <c r="AE203" s="502"/>
      <c r="AF203" s="502">
        <f>AD203-2865900.75</f>
        <v>1000000</v>
      </c>
      <c r="AG203" s="636">
        <f>AF203-AD203</f>
        <v>-2865900.75</v>
      </c>
      <c r="AH203" s="503">
        <v>0</v>
      </c>
      <c r="AI203" s="503">
        <v>0</v>
      </c>
      <c r="AJ203" s="503">
        <v>3865900</v>
      </c>
      <c r="AK203" s="519">
        <v>1100122</v>
      </c>
    </row>
    <row r="204" spans="1:37" ht="16.5" thickTop="1" thickBot="1" x14ac:dyDescent="0.25">
      <c r="A204" s="516"/>
      <c r="B204" s="517"/>
      <c r="C204" s="518">
        <v>3</v>
      </c>
      <c r="D204" s="518"/>
      <c r="E204" s="519"/>
      <c r="F204" s="520" t="s">
        <v>618</v>
      </c>
      <c r="G204" s="474">
        <f>G205+G207</f>
        <v>4373119</v>
      </c>
      <c r="H204" s="521">
        <f>H205+H206</f>
        <v>120000</v>
      </c>
      <c r="I204" s="497">
        <f t="shared" ref="I204:W204" si="89">I205+I207</f>
        <v>20000</v>
      </c>
      <c r="J204" s="498">
        <f t="shared" si="89"/>
        <v>2100000</v>
      </c>
      <c r="K204" s="498">
        <f t="shared" si="89"/>
        <v>11929.81</v>
      </c>
      <c r="L204" s="498">
        <f t="shared" si="89"/>
        <v>0</v>
      </c>
      <c r="M204" s="498">
        <f t="shared" si="89"/>
        <v>0</v>
      </c>
      <c r="N204" s="498">
        <f t="shared" si="89"/>
        <v>2000000</v>
      </c>
      <c r="O204" s="498">
        <f t="shared" si="89"/>
        <v>0</v>
      </c>
      <c r="P204" s="498">
        <f t="shared" si="89"/>
        <v>0</v>
      </c>
      <c r="Q204" s="498">
        <f t="shared" si="89"/>
        <v>0</v>
      </c>
      <c r="R204" s="498">
        <f t="shared" si="89"/>
        <v>0</v>
      </c>
      <c r="S204" s="498">
        <f t="shared" si="89"/>
        <v>0</v>
      </c>
      <c r="T204" s="498">
        <f t="shared" si="89"/>
        <v>0</v>
      </c>
      <c r="U204" s="498">
        <f t="shared" si="89"/>
        <v>0</v>
      </c>
      <c r="V204" s="498">
        <f t="shared" si="89"/>
        <v>50000</v>
      </c>
      <c r="W204" s="598">
        <f t="shared" si="89"/>
        <v>2061929.81</v>
      </c>
      <c r="X204" s="598">
        <f>X205+X207+X206</f>
        <v>2114737.0100000002</v>
      </c>
      <c r="Y204" s="593">
        <f>Y205+Y207+Y206</f>
        <v>4772029.9399999995</v>
      </c>
      <c r="Z204" s="598">
        <f>Z205+Z207+Z206</f>
        <v>2114737.0100000002</v>
      </c>
      <c r="AA204" s="598">
        <f>AA205+AA207+AA206</f>
        <v>0</v>
      </c>
      <c r="AB204" s="598">
        <f>AB205+AB207+AB206</f>
        <v>0</v>
      </c>
      <c r="AC204" s="478">
        <f t="shared" ref="AC204:AC228" si="90">W204-X204</f>
        <v>-52807.200000000186</v>
      </c>
      <c r="AD204" s="599">
        <f>AD205+AD207+AD206</f>
        <v>552807.19999999995</v>
      </c>
      <c r="AE204" s="599">
        <f>AE205+AE207+AE206</f>
        <v>0</v>
      </c>
      <c r="AF204" s="599">
        <f>AF205+AF207+AF206</f>
        <v>552807.19999999995</v>
      </c>
      <c r="AG204" s="599">
        <f>AF204-AD204</f>
        <v>0</v>
      </c>
      <c r="AH204" s="593">
        <f>AH205+AH207+AH206</f>
        <v>4772029.9399999995</v>
      </c>
      <c r="AI204" s="593">
        <f>AI205+AI207+AI206</f>
        <v>3744255.2</v>
      </c>
      <c r="AJ204" s="593">
        <f>AJ205+AJ207+AJ206</f>
        <v>1100000</v>
      </c>
      <c r="AK204" s="525"/>
    </row>
    <row r="205" spans="1:37" ht="16.5" thickTop="1" thickBot="1" x14ac:dyDescent="0.25">
      <c r="A205" s="491"/>
      <c r="B205" s="492"/>
      <c r="C205" s="493"/>
      <c r="D205" s="493">
        <v>1</v>
      </c>
      <c r="E205" s="494">
        <v>610301</v>
      </c>
      <c r="F205" s="495" t="s">
        <v>619</v>
      </c>
      <c r="G205" s="498">
        <v>350000</v>
      </c>
      <c r="H205" s="497">
        <v>20000</v>
      </c>
      <c r="I205" s="574">
        <v>20000</v>
      </c>
      <c r="J205" s="498">
        <v>2100000</v>
      </c>
      <c r="K205" s="531">
        <v>11929.81</v>
      </c>
      <c r="L205" s="526">
        <v>0</v>
      </c>
      <c r="M205" s="526">
        <v>0</v>
      </c>
      <c r="N205" s="526">
        <v>2000000</v>
      </c>
      <c r="O205" s="526"/>
      <c r="P205" s="595"/>
      <c r="Q205" s="527">
        <v>0</v>
      </c>
      <c r="R205" s="527">
        <v>0</v>
      </c>
      <c r="S205" s="527">
        <v>0</v>
      </c>
      <c r="T205" s="527">
        <v>0</v>
      </c>
      <c r="U205" s="527">
        <v>0</v>
      </c>
      <c r="V205" s="527">
        <v>50000</v>
      </c>
      <c r="W205" s="508">
        <f>SUM(K205:V205)</f>
        <v>2061929.81</v>
      </c>
      <c r="X205" s="498">
        <f>W205</f>
        <v>2061929.81</v>
      </c>
      <c r="Y205" s="500">
        <v>2411929.81</v>
      </c>
      <c r="Z205" s="501">
        <v>2061929.81</v>
      </c>
      <c r="AA205" s="501">
        <v>0</v>
      </c>
      <c r="AB205" s="501"/>
      <c r="AC205" s="478">
        <f t="shared" si="90"/>
        <v>0</v>
      </c>
      <c r="AD205" s="502">
        <v>500000</v>
      </c>
      <c r="AE205" s="502"/>
      <c r="AF205" s="502">
        <v>500000</v>
      </c>
      <c r="AG205" s="502">
        <f>AF205-AD205</f>
        <v>0</v>
      </c>
      <c r="AH205" s="503">
        <v>2411929.81</v>
      </c>
      <c r="AI205" s="503">
        <v>748000</v>
      </c>
      <c r="AJ205" s="503">
        <v>1000000</v>
      </c>
      <c r="AK205" s="519">
        <v>1100122</v>
      </c>
    </row>
    <row r="206" spans="1:37" ht="16.5" thickTop="1" thickBot="1" x14ac:dyDescent="0.25">
      <c r="A206" s="491"/>
      <c r="B206" s="492"/>
      <c r="C206" s="493"/>
      <c r="D206" s="493">
        <v>2</v>
      </c>
      <c r="E206" s="494">
        <v>610302</v>
      </c>
      <c r="F206" s="495" t="s">
        <v>620</v>
      </c>
      <c r="G206" s="498">
        <v>351465</v>
      </c>
      <c r="H206" s="497">
        <v>100000</v>
      </c>
      <c r="I206" s="497">
        <v>100000</v>
      </c>
      <c r="J206" s="498">
        <v>100000</v>
      </c>
      <c r="K206" s="498">
        <v>0</v>
      </c>
      <c r="L206" s="531">
        <v>21680</v>
      </c>
      <c r="M206" s="526">
        <v>0</v>
      </c>
      <c r="N206" s="526">
        <v>16127.2</v>
      </c>
      <c r="O206" s="526"/>
      <c r="P206" s="595"/>
      <c r="Q206" s="527">
        <v>0</v>
      </c>
      <c r="R206" s="527">
        <v>0</v>
      </c>
      <c r="S206" s="527">
        <v>0</v>
      </c>
      <c r="T206" s="527">
        <v>0</v>
      </c>
      <c r="U206" s="527">
        <v>0</v>
      </c>
      <c r="V206" s="527">
        <v>15000</v>
      </c>
      <c r="W206" s="508">
        <f>SUM(K206:V206)</f>
        <v>52807.199999999997</v>
      </c>
      <c r="X206" s="498">
        <f>W206</f>
        <v>52807.199999999997</v>
      </c>
      <c r="Y206" s="500">
        <v>41857.199999999721</v>
      </c>
      <c r="Z206" s="501">
        <v>52807.199999999997</v>
      </c>
      <c r="AA206" s="501">
        <v>0</v>
      </c>
      <c r="AB206" s="501"/>
      <c r="AC206" s="478">
        <f t="shared" si="90"/>
        <v>0</v>
      </c>
      <c r="AD206" s="502">
        <v>52807.199999999997</v>
      </c>
      <c r="AE206" s="502"/>
      <c r="AF206" s="502">
        <v>52807.199999999997</v>
      </c>
      <c r="AG206" s="502">
        <f>AF206-AD206</f>
        <v>0</v>
      </c>
      <c r="AH206" s="503">
        <v>2360100.13</v>
      </c>
      <c r="AI206" s="503">
        <v>2996255.2</v>
      </c>
      <c r="AJ206" s="503">
        <v>100000</v>
      </c>
      <c r="AK206" s="519">
        <v>1100122</v>
      </c>
    </row>
    <row r="207" spans="1:37" ht="16.5" thickTop="1" thickBot="1" x14ac:dyDescent="0.25">
      <c r="A207" s="491"/>
      <c r="B207" s="492"/>
      <c r="C207" s="493"/>
      <c r="D207" s="493">
        <v>2</v>
      </c>
      <c r="E207" s="570">
        <v>610302</v>
      </c>
      <c r="F207" s="495" t="s">
        <v>621</v>
      </c>
      <c r="G207" s="498">
        <v>4023119</v>
      </c>
      <c r="H207" s="497"/>
      <c r="I207" s="497"/>
      <c r="J207" s="498"/>
      <c r="K207" s="498"/>
      <c r="L207" s="531"/>
      <c r="M207" s="526"/>
      <c r="N207" s="526"/>
      <c r="O207" s="526"/>
      <c r="P207" s="595"/>
      <c r="Q207" s="527"/>
      <c r="R207" s="527"/>
      <c r="S207" s="527"/>
      <c r="T207" s="527"/>
      <c r="U207" s="527"/>
      <c r="V207" s="527"/>
      <c r="W207" s="508"/>
      <c r="X207" s="498"/>
      <c r="Y207" s="500">
        <v>2318242.9300000002</v>
      </c>
      <c r="Z207" s="498"/>
      <c r="AA207" s="498"/>
      <c r="AB207" s="498"/>
      <c r="AC207" s="478">
        <f t="shared" si="90"/>
        <v>0</v>
      </c>
      <c r="AD207" s="498"/>
      <c r="AE207" s="498"/>
      <c r="AF207" s="498"/>
      <c r="AG207" s="498"/>
      <c r="AH207" s="500"/>
      <c r="AI207" s="500"/>
      <c r="AJ207" s="637"/>
      <c r="AK207" s="558"/>
    </row>
    <row r="208" spans="1:37" ht="16.5" thickTop="1" thickBot="1" x14ac:dyDescent="0.25">
      <c r="A208" s="491"/>
      <c r="B208" s="492"/>
      <c r="C208" s="493"/>
      <c r="D208" s="493">
        <v>3</v>
      </c>
      <c r="E208" s="570">
        <v>610303</v>
      </c>
      <c r="F208" s="495" t="s">
        <v>622</v>
      </c>
      <c r="G208" s="498">
        <v>0</v>
      </c>
      <c r="H208" s="497"/>
      <c r="I208" s="497"/>
      <c r="J208" s="496"/>
      <c r="K208" s="496"/>
      <c r="L208" s="496"/>
      <c r="M208" s="498">
        <v>0</v>
      </c>
      <c r="N208" s="498">
        <v>0</v>
      </c>
      <c r="O208" s="498"/>
      <c r="P208" s="498"/>
      <c r="Q208" s="628">
        <v>0</v>
      </c>
      <c r="R208" s="628">
        <v>0</v>
      </c>
      <c r="S208" s="628">
        <v>0</v>
      </c>
      <c r="T208" s="628">
        <v>0</v>
      </c>
      <c r="U208" s="628">
        <v>0</v>
      </c>
      <c r="V208" s="628">
        <v>0</v>
      </c>
      <c r="W208" s="508">
        <f>SUM(K208:V208)</f>
        <v>0</v>
      </c>
      <c r="X208" s="498">
        <f>W208</f>
        <v>0</v>
      </c>
      <c r="Y208" s="500"/>
      <c r="Z208" s="498"/>
      <c r="AA208" s="498"/>
      <c r="AB208" s="498"/>
      <c r="AC208" s="478">
        <f t="shared" si="90"/>
        <v>0</v>
      </c>
      <c r="AD208" s="498"/>
      <c r="AE208" s="498"/>
      <c r="AF208" s="498"/>
      <c r="AG208" s="498"/>
      <c r="AH208" s="500"/>
      <c r="AI208" s="500"/>
      <c r="AJ208" s="500"/>
      <c r="AK208" s="472"/>
    </row>
    <row r="209" spans="1:37" ht="15.75" thickTop="1" thickBot="1" x14ac:dyDescent="0.25">
      <c r="A209" s="516"/>
      <c r="B209" s="517"/>
      <c r="C209" s="518">
        <v>4</v>
      </c>
      <c r="D209" s="518"/>
      <c r="E209" s="519"/>
      <c r="F209" s="520" t="s">
        <v>623</v>
      </c>
      <c r="G209" s="474">
        <f t="shared" ref="G209:AB209" si="91">SUM(G210:G210)</f>
        <v>1340546.07</v>
      </c>
      <c r="H209" s="521">
        <f t="shared" si="91"/>
        <v>2000000</v>
      </c>
      <c r="I209" s="497">
        <f t="shared" si="91"/>
        <v>2000000</v>
      </c>
      <c r="J209" s="498">
        <f t="shared" si="91"/>
        <v>2000000</v>
      </c>
      <c r="K209" s="498">
        <f t="shared" si="91"/>
        <v>111738.69</v>
      </c>
      <c r="L209" s="498">
        <f t="shared" si="91"/>
        <v>59684.26</v>
      </c>
      <c r="M209" s="498">
        <f t="shared" si="91"/>
        <v>83369.740000000005</v>
      </c>
      <c r="N209" s="498">
        <f t="shared" si="91"/>
        <v>87803.199999999997</v>
      </c>
      <c r="O209" s="498">
        <f t="shared" si="91"/>
        <v>22434.18</v>
      </c>
      <c r="P209" s="498">
        <f t="shared" si="91"/>
        <v>48730.07</v>
      </c>
      <c r="Q209" s="498">
        <f t="shared" si="91"/>
        <v>42538.82</v>
      </c>
      <c r="R209" s="498">
        <f t="shared" si="91"/>
        <v>65735</v>
      </c>
      <c r="S209" s="498">
        <f t="shared" si="91"/>
        <v>83651</v>
      </c>
      <c r="T209" s="498">
        <f t="shared" si="91"/>
        <v>94801.19</v>
      </c>
      <c r="U209" s="498">
        <f t="shared" si="91"/>
        <v>58117.54</v>
      </c>
      <c r="V209" s="498">
        <f t="shared" si="91"/>
        <v>34824.35</v>
      </c>
      <c r="W209" s="522">
        <f t="shared" si="91"/>
        <v>793428.03999999992</v>
      </c>
      <c r="X209" s="524">
        <f t="shared" si="91"/>
        <v>793428.03999999992</v>
      </c>
      <c r="Y209" s="523">
        <f t="shared" si="91"/>
        <v>1152702.9099999999</v>
      </c>
      <c r="Z209" s="524">
        <f t="shared" si="91"/>
        <v>793428.04</v>
      </c>
      <c r="AA209" s="524">
        <f t="shared" si="91"/>
        <v>81818.31</v>
      </c>
      <c r="AB209" s="524">
        <f t="shared" si="91"/>
        <v>72746.929999999993</v>
      </c>
      <c r="AC209" s="478">
        <f t="shared" si="90"/>
        <v>0</v>
      </c>
      <c r="AD209" s="522">
        <f>SUM(AD210:AD210)</f>
        <v>793428.04</v>
      </c>
      <c r="AE209" s="522">
        <f>SUM(AE210:AE210)</f>
        <v>384923.39</v>
      </c>
      <c r="AF209" s="522">
        <f>SUM(AF210:AF210)</f>
        <v>1000000</v>
      </c>
      <c r="AG209" s="522">
        <f t="shared" ref="AG209:AG258" si="92">AF209-AD209</f>
        <v>206571.95999999996</v>
      </c>
      <c r="AH209" s="523">
        <f>SUM(AH210:AH210)</f>
        <v>1152702.9099999999</v>
      </c>
      <c r="AI209" s="523">
        <f>SUM(AI210:AI210)</f>
        <v>1007406.6055555556</v>
      </c>
      <c r="AJ209" s="523">
        <f>SUM(AJ210:AJ210)</f>
        <v>1047199</v>
      </c>
      <c r="AK209" s="525"/>
    </row>
    <row r="210" spans="1:37" ht="16.5" thickTop="1" thickBot="1" x14ac:dyDescent="0.25">
      <c r="A210" s="491"/>
      <c r="B210" s="492"/>
      <c r="C210" s="493"/>
      <c r="D210" s="493">
        <v>1</v>
      </c>
      <c r="E210" s="494">
        <v>610401</v>
      </c>
      <c r="F210" s="495" t="s">
        <v>624</v>
      </c>
      <c r="G210" s="498">
        <v>1340546.07</v>
      </c>
      <c r="H210" s="497">
        <v>2000000</v>
      </c>
      <c r="I210" s="497">
        <v>2000000</v>
      </c>
      <c r="J210" s="498">
        <v>2000000</v>
      </c>
      <c r="K210" s="526">
        <v>111738.69</v>
      </c>
      <c r="L210" s="531">
        <v>59684.26</v>
      </c>
      <c r="M210" s="526">
        <v>83369.740000000005</v>
      </c>
      <c r="N210" s="526">
        <v>87803.199999999997</v>
      </c>
      <c r="O210" s="581">
        <v>22434.18</v>
      </c>
      <c r="P210" s="506">
        <v>48730.07</v>
      </c>
      <c r="Q210" s="527">
        <v>42538.82</v>
      </c>
      <c r="R210" s="527">
        <v>65735</v>
      </c>
      <c r="S210" s="527">
        <v>83651</v>
      </c>
      <c r="T210" s="527">
        <v>94801.19</v>
      </c>
      <c r="U210" s="527">
        <v>58117.54</v>
      </c>
      <c r="V210" s="527">
        <v>34824.35</v>
      </c>
      <c r="W210" s="508">
        <f>SUM(K210:V210)</f>
        <v>793428.03999999992</v>
      </c>
      <c r="X210" s="498">
        <f>W210</f>
        <v>793428.03999999992</v>
      </c>
      <c r="Y210" s="500">
        <v>1152702.9099999999</v>
      </c>
      <c r="Z210" s="501">
        <v>793428.04</v>
      </c>
      <c r="AA210" s="501">
        <v>81818.31</v>
      </c>
      <c r="AB210" s="512">
        <v>72746.929999999993</v>
      </c>
      <c r="AC210" s="478">
        <f t="shared" si="90"/>
        <v>0</v>
      </c>
      <c r="AD210" s="502">
        <v>793428.04</v>
      </c>
      <c r="AE210" s="510">
        <v>384923.39</v>
      </c>
      <c r="AF210" s="502">
        <v>1000000</v>
      </c>
      <c r="AG210" s="502">
        <f t="shared" si="92"/>
        <v>206571.95999999996</v>
      </c>
      <c r="AH210" s="503">
        <v>1152702.9099999999</v>
      </c>
      <c r="AI210" s="503">
        <v>1007406.6055555556</v>
      </c>
      <c r="AJ210" s="503">
        <v>1047199</v>
      </c>
      <c r="AK210" s="519">
        <v>1100122</v>
      </c>
    </row>
    <row r="211" spans="1:37" ht="15.75" thickTop="1" thickBot="1" x14ac:dyDescent="0.25">
      <c r="A211" s="516"/>
      <c r="B211" s="517"/>
      <c r="C211" s="518">
        <v>5</v>
      </c>
      <c r="D211" s="518"/>
      <c r="E211" s="519"/>
      <c r="F211" s="520" t="s">
        <v>625</v>
      </c>
      <c r="G211" s="498">
        <f t="shared" ref="G211:AB211" si="93">G212+G213</f>
        <v>2678698.4299999997</v>
      </c>
      <c r="H211" s="521">
        <f t="shared" si="93"/>
        <v>3480000</v>
      </c>
      <c r="I211" s="497">
        <f t="shared" si="93"/>
        <v>3480000</v>
      </c>
      <c r="J211" s="498">
        <f t="shared" si="93"/>
        <v>3600000</v>
      </c>
      <c r="K211" s="498">
        <f t="shared" si="93"/>
        <v>28843.74</v>
      </c>
      <c r="L211" s="498">
        <f t="shared" si="93"/>
        <v>2047.93</v>
      </c>
      <c r="M211" s="498">
        <f t="shared" si="93"/>
        <v>97748.82</v>
      </c>
      <c r="N211" s="498">
        <f t="shared" si="93"/>
        <v>61632</v>
      </c>
      <c r="O211" s="498">
        <f t="shared" si="93"/>
        <v>0</v>
      </c>
      <c r="P211" s="498">
        <f t="shared" si="93"/>
        <v>0</v>
      </c>
      <c r="Q211" s="498">
        <f t="shared" si="93"/>
        <v>408638.54125000001</v>
      </c>
      <c r="R211" s="498">
        <f t="shared" si="93"/>
        <v>408638.54125000001</v>
      </c>
      <c r="S211" s="498">
        <f t="shared" si="93"/>
        <v>413793.33624999999</v>
      </c>
      <c r="T211" s="498">
        <f t="shared" si="93"/>
        <v>413793.33624999999</v>
      </c>
      <c r="U211" s="498">
        <f t="shared" si="93"/>
        <v>413793.33624999999</v>
      </c>
      <c r="V211" s="498">
        <f t="shared" si="93"/>
        <v>413793.33624999999</v>
      </c>
      <c r="W211" s="522">
        <f t="shared" si="93"/>
        <v>2662722.91</v>
      </c>
      <c r="X211" s="524">
        <f t="shared" si="93"/>
        <v>2662722.91</v>
      </c>
      <c r="Y211" s="523">
        <f t="shared" si="93"/>
        <v>201465.49</v>
      </c>
      <c r="Z211" s="524">
        <f t="shared" si="93"/>
        <v>2669022.91</v>
      </c>
      <c r="AA211" s="524">
        <f t="shared" si="93"/>
        <v>40521.129999999997</v>
      </c>
      <c r="AB211" s="524">
        <f t="shared" si="93"/>
        <v>101661.51</v>
      </c>
      <c r="AC211" s="478">
        <f t="shared" si="90"/>
        <v>0</v>
      </c>
      <c r="AD211" s="522">
        <f>AD212+AD213</f>
        <v>686300</v>
      </c>
      <c r="AE211" s="522">
        <f>AE212+AE213</f>
        <v>294641.59000000003</v>
      </c>
      <c r="AF211" s="522">
        <f>AF212+AF213</f>
        <v>686300</v>
      </c>
      <c r="AG211" s="522">
        <f t="shared" si="92"/>
        <v>0</v>
      </c>
      <c r="AH211" s="523">
        <f>AH212+AH213</f>
        <v>201465.49</v>
      </c>
      <c r="AI211" s="523">
        <f>AI212+AI213</f>
        <v>1042105.79</v>
      </c>
      <c r="AJ211" s="523">
        <f>AJ212+AJ213</f>
        <v>1083268</v>
      </c>
      <c r="AK211" s="525"/>
    </row>
    <row r="212" spans="1:37" ht="16.5" thickTop="1" thickBot="1" x14ac:dyDescent="0.25">
      <c r="A212" s="491"/>
      <c r="B212" s="492"/>
      <c r="C212" s="493"/>
      <c r="D212" s="493">
        <v>1</v>
      </c>
      <c r="E212" s="494">
        <v>610501</v>
      </c>
      <c r="F212" s="495" t="s">
        <v>626</v>
      </c>
      <c r="G212" s="498">
        <v>2546328.42</v>
      </c>
      <c r="H212" s="521">
        <v>3300000</v>
      </c>
      <c r="I212" s="497">
        <v>3300000</v>
      </c>
      <c r="J212" s="498">
        <v>3300000</v>
      </c>
      <c r="K212" s="526">
        <v>28843.74</v>
      </c>
      <c r="L212" s="526">
        <v>2047.93</v>
      </c>
      <c r="M212" s="526">
        <v>0</v>
      </c>
      <c r="N212" s="526">
        <v>0</v>
      </c>
      <c r="O212" s="526"/>
      <c r="P212" s="595"/>
      <c r="Q212" s="527">
        <v>408638.54125000001</v>
      </c>
      <c r="R212" s="527">
        <v>408638.54125000001</v>
      </c>
      <c r="S212" s="527">
        <v>408638.54125000001</v>
      </c>
      <c r="T212" s="527">
        <v>408638.54125000001</v>
      </c>
      <c r="U212" s="527">
        <v>408638.54125000001</v>
      </c>
      <c r="V212" s="527">
        <v>408638.54125000001</v>
      </c>
      <c r="W212" s="508">
        <v>2482722.91</v>
      </c>
      <c r="X212" s="498">
        <f>W212</f>
        <v>2482722.91</v>
      </c>
      <c r="Y212" s="500">
        <v>30891.67</v>
      </c>
      <c r="Z212" s="501">
        <v>2482722.91</v>
      </c>
      <c r="AA212" s="501">
        <v>40521.129999999997</v>
      </c>
      <c r="AB212" s="512">
        <v>101661.51</v>
      </c>
      <c r="AC212" s="478">
        <f t="shared" si="90"/>
        <v>0</v>
      </c>
      <c r="AD212" s="502">
        <v>500000</v>
      </c>
      <c r="AE212" s="510">
        <v>294641.59000000003</v>
      </c>
      <c r="AF212" s="502">
        <f>AD212</f>
        <v>500000</v>
      </c>
      <c r="AG212" s="502">
        <f t="shared" si="92"/>
        <v>0</v>
      </c>
      <c r="AH212" s="503">
        <v>30891.67</v>
      </c>
      <c r="AI212" s="503">
        <v>1030912.79</v>
      </c>
      <c r="AJ212" s="503">
        <v>1071633</v>
      </c>
      <c r="AK212" s="519">
        <v>1100122</v>
      </c>
    </row>
    <row r="213" spans="1:37" ht="16.5" thickTop="1" thickBot="1" x14ac:dyDescent="0.25">
      <c r="A213" s="491"/>
      <c r="B213" s="492"/>
      <c r="C213" s="493"/>
      <c r="D213" s="493">
        <v>2</v>
      </c>
      <c r="E213" s="494">
        <v>610502</v>
      </c>
      <c r="F213" s="495" t="s">
        <v>627</v>
      </c>
      <c r="G213" s="498">
        <v>132370.01</v>
      </c>
      <c r="H213" s="521">
        <v>180000</v>
      </c>
      <c r="I213" s="497">
        <v>180000</v>
      </c>
      <c r="J213" s="498">
        <v>300000</v>
      </c>
      <c r="K213" s="526">
        <v>0</v>
      </c>
      <c r="L213" s="531">
        <v>0</v>
      </c>
      <c r="M213" s="526">
        <v>97748.82</v>
      </c>
      <c r="N213" s="638">
        <v>61632</v>
      </c>
      <c r="O213" s="526"/>
      <c r="P213" s="595"/>
      <c r="Q213" s="639">
        <v>0</v>
      </c>
      <c r="R213" s="639">
        <v>0</v>
      </c>
      <c r="S213" s="639">
        <v>5154.7949999999983</v>
      </c>
      <c r="T213" s="639">
        <v>5154.7949999999983</v>
      </c>
      <c r="U213" s="639">
        <v>5154.7949999999983</v>
      </c>
      <c r="V213" s="639">
        <v>5154.7949999999983</v>
      </c>
      <c r="W213" s="508">
        <f>SUM(K213:V213)</f>
        <v>179999.99999999994</v>
      </c>
      <c r="X213" s="498">
        <f>W213</f>
        <v>179999.99999999994</v>
      </c>
      <c r="Y213" s="500">
        <v>170573.82</v>
      </c>
      <c r="Z213" s="501">
        <v>186300</v>
      </c>
      <c r="AA213" s="501">
        <v>0</v>
      </c>
      <c r="AB213" s="512">
        <v>0</v>
      </c>
      <c r="AC213" s="478">
        <f t="shared" si="90"/>
        <v>0</v>
      </c>
      <c r="AD213" s="502">
        <v>186300</v>
      </c>
      <c r="AE213" s="502"/>
      <c r="AF213" s="502">
        <v>186300</v>
      </c>
      <c r="AG213" s="502">
        <f t="shared" si="92"/>
        <v>0</v>
      </c>
      <c r="AH213" s="503">
        <v>170573.82</v>
      </c>
      <c r="AI213" s="503">
        <v>11193</v>
      </c>
      <c r="AJ213" s="503">
        <v>11635</v>
      </c>
      <c r="AK213" s="519">
        <v>1100122</v>
      </c>
    </row>
    <row r="214" spans="1:37" ht="15.75" thickTop="1" thickBot="1" x14ac:dyDescent="0.25">
      <c r="A214" s="516"/>
      <c r="B214" s="517"/>
      <c r="C214" s="518">
        <v>6</v>
      </c>
      <c r="D214" s="518"/>
      <c r="E214" s="519"/>
      <c r="F214" s="520" t="s">
        <v>453</v>
      </c>
      <c r="G214" s="474">
        <f t="shared" ref="G214:Y214" si="94">SUM(G215:G228)</f>
        <v>38460356.57</v>
      </c>
      <c r="H214" s="540">
        <f t="shared" si="94"/>
        <v>37489019</v>
      </c>
      <c r="I214" s="475">
        <f t="shared" si="94"/>
        <v>37489019</v>
      </c>
      <c r="J214" s="474">
        <f t="shared" si="94"/>
        <v>38321000</v>
      </c>
      <c r="K214" s="474">
        <f t="shared" si="94"/>
        <v>3469058.89</v>
      </c>
      <c r="L214" s="474">
        <f t="shared" si="94"/>
        <v>3241195.18</v>
      </c>
      <c r="M214" s="474">
        <f t="shared" si="94"/>
        <v>3286478.31</v>
      </c>
      <c r="N214" s="474">
        <f t="shared" si="94"/>
        <v>1026551.64</v>
      </c>
      <c r="O214" s="474">
        <f t="shared" si="94"/>
        <v>953772.8</v>
      </c>
      <c r="P214" s="474">
        <f t="shared" si="94"/>
        <v>1874794.7</v>
      </c>
      <c r="Q214" s="474">
        <f t="shared" si="94"/>
        <v>1383089.132</v>
      </c>
      <c r="R214" s="474">
        <f t="shared" si="94"/>
        <v>2006611.4839999999</v>
      </c>
      <c r="S214" s="474">
        <f t="shared" si="94"/>
        <v>2980598.4625000004</v>
      </c>
      <c r="T214" s="474">
        <f t="shared" si="94"/>
        <v>3977965.8640000001</v>
      </c>
      <c r="U214" s="474">
        <f t="shared" si="94"/>
        <v>4138582.485499999</v>
      </c>
      <c r="V214" s="474">
        <f t="shared" si="94"/>
        <v>4138555.6619999995</v>
      </c>
      <c r="W214" s="522">
        <f t="shared" si="94"/>
        <v>32477254.600000005</v>
      </c>
      <c r="X214" s="524">
        <f t="shared" si="94"/>
        <v>32477254.600000005</v>
      </c>
      <c r="Y214" s="523">
        <f t="shared" si="94"/>
        <v>29549654.569999997</v>
      </c>
      <c r="Z214" s="524">
        <f>SUM(Z215:Z229)</f>
        <v>38541114.950000003</v>
      </c>
      <c r="AA214" s="524">
        <f>SUM(AA215:AA229)</f>
        <v>2585576.2000000002</v>
      </c>
      <c r="AB214" s="524">
        <f>SUM(AB215:AB229)</f>
        <v>3160354.0099999993</v>
      </c>
      <c r="AC214" s="478">
        <f t="shared" si="90"/>
        <v>0</v>
      </c>
      <c r="AD214" s="522">
        <f>SUM(AD215:AD229)</f>
        <v>37297329.632250004</v>
      </c>
      <c r="AE214" s="522">
        <f>SUM(AE215:AE229)</f>
        <v>13385468.779999999</v>
      </c>
      <c r="AF214" s="522">
        <f>SUM(AF215:AF229)</f>
        <v>39885035.370000005</v>
      </c>
      <c r="AG214" s="522">
        <f t="shared" si="92"/>
        <v>2587705.7377500013</v>
      </c>
      <c r="AH214" s="523">
        <f>SUM(AH215:AH229)</f>
        <v>29549654.569999997</v>
      </c>
      <c r="AI214" s="523">
        <f>SUM(AI215:AI229)</f>
        <v>39551069.659999996</v>
      </c>
      <c r="AJ214" s="523">
        <f>SUM(AJ215:AJ229)</f>
        <v>42293329</v>
      </c>
      <c r="AK214" s="525"/>
    </row>
    <row r="215" spans="1:37" ht="16.5" thickTop="1" thickBot="1" x14ac:dyDescent="0.25">
      <c r="A215" s="491"/>
      <c r="B215" s="492"/>
      <c r="C215" s="493"/>
      <c r="D215" s="493">
        <v>1</v>
      </c>
      <c r="E215" s="494">
        <v>610601</v>
      </c>
      <c r="F215" s="495" t="s">
        <v>628</v>
      </c>
      <c r="G215" s="498">
        <v>26631112.760000002</v>
      </c>
      <c r="H215" s="521">
        <v>24668019</v>
      </c>
      <c r="I215" s="521">
        <v>24668019</v>
      </c>
      <c r="J215" s="487">
        <v>25500000</v>
      </c>
      <c r="K215" s="504">
        <v>2745919.24</v>
      </c>
      <c r="L215" s="535">
        <v>2539343.5499999998</v>
      </c>
      <c r="M215" s="504">
        <v>2497833.58</v>
      </c>
      <c r="N215" s="504">
        <v>731780.08</v>
      </c>
      <c r="O215" s="568">
        <v>635425.18000000005</v>
      </c>
      <c r="P215" s="506">
        <v>1359750.77</v>
      </c>
      <c r="Q215" s="511">
        <v>998279.94499999995</v>
      </c>
      <c r="R215" s="511">
        <v>1485347.4439999999</v>
      </c>
      <c r="S215" s="511">
        <v>2278728.1210000003</v>
      </c>
      <c r="T215" s="511">
        <v>3225023.5290000001</v>
      </c>
      <c r="U215" s="511">
        <v>3404825.0674999999</v>
      </c>
      <c r="V215" s="511">
        <v>3495556.5239999997</v>
      </c>
      <c r="W215" s="508">
        <v>25397813.030000001</v>
      </c>
      <c r="X215" s="498">
        <f t="shared" ref="X215:X228" si="95">W215</f>
        <v>25397813.030000001</v>
      </c>
      <c r="Y215" s="500">
        <v>22809843.75</v>
      </c>
      <c r="Z215" s="501">
        <v>27483308.370000001</v>
      </c>
      <c r="AA215" s="501">
        <v>2110208</v>
      </c>
      <c r="AB215" s="512">
        <v>2223077.5099999998</v>
      </c>
      <c r="AC215" s="478">
        <f t="shared" si="90"/>
        <v>0</v>
      </c>
      <c r="AD215" s="502">
        <f>Z215</f>
        <v>27483308.370000001</v>
      </c>
      <c r="AE215" s="510">
        <v>9339310.0500000007</v>
      </c>
      <c r="AF215" s="502">
        <f>27483308.37+500000</f>
        <v>27983308.370000001</v>
      </c>
      <c r="AG215" s="502">
        <f t="shared" si="92"/>
        <v>500000</v>
      </c>
      <c r="AH215" s="503">
        <v>22809843.75</v>
      </c>
      <c r="AI215" s="503">
        <v>27284441.57</v>
      </c>
      <c r="AJ215" s="503">
        <v>29532173</v>
      </c>
      <c r="AK215" s="519">
        <v>1100122</v>
      </c>
    </row>
    <row r="216" spans="1:37" ht="16.5" thickTop="1" thickBot="1" x14ac:dyDescent="0.25">
      <c r="A216" s="491"/>
      <c r="B216" s="492"/>
      <c r="C216" s="493"/>
      <c r="D216" s="493">
        <v>2</v>
      </c>
      <c r="E216" s="494">
        <v>610602</v>
      </c>
      <c r="F216" s="495" t="s">
        <v>629</v>
      </c>
      <c r="G216" s="498">
        <v>2672936.0499999998</v>
      </c>
      <c r="H216" s="521">
        <v>2700000</v>
      </c>
      <c r="I216" s="521">
        <v>2700000</v>
      </c>
      <c r="J216" s="487">
        <v>2700000</v>
      </c>
      <c r="K216" s="504">
        <v>90763.85</v>
      </c>
      <c r="L216" s="535">
        <v>170534.87</v>
      </c>
      <c r="M216" s="504">
        <v>235648.31</v>
      </c>
      <c r="N216" s="504">
        <v>18862.89</v>
      </c>
      <c r="O216" s="568">
        <v>24396.86</v>
      </c>
      <c r="P216" s="506">
        <v>40054.629999999997</v>
      </c>
      <c r="Q216" s="511">
        <v>100000</v>
      </c>
      <c r="R216" s="511">
        <v>100000</v>
      </c>
      <c r="S216" s="511">
        <v>100000</v>
      </c>
      <c r="T216" s="511">
        <v>100000</v>
      </c>
      <c r="U216" s="511">
        <v>100000</v>
      </c>
      <c r="V216" s="511">
        <v>20000</v>
      </c>
      <c r="W216" s="508">
        <f>SUM(K216:V216)</f>
        <v>1100261.4100000001</v>
      </c>
      <c r="X216" s="498">
        <f t="shared" si="95"/>
        <v>1100261.4100000001</v>
      </c>
      <c r="Y216" s="500">
        <v>1109889.5900000001</v>
      </c>
      <c r="Z216" s="501">
        <v>2872936.05</v>
      </c>
      <c r="AA216" s="501">
        <v>33295.339999999997</v>
      </c>
      <c r="AB216" s="512">
        <v>136105.71</v>
      </c>
      <c r="AC216" s="478">
        <f t="shared" si="90"/>
        <v>0</v>
      </c>
      <c r="AD216" s="502">
        <v>2072936.05</v>
      </c>
      <c r="AE216" s="510">
        <v>876530.68</v>
      </c>
      <c r="AF216" s="502">
        <v>2072936.05</v>
      </c>
      <c r="AG216" s="502">
        <f t="shared" si="92"/>
        <v>0</v>
      </c>
      <c r="AH216" s="503">
        <v>1109889.5900000001</v>
      </c>
      <c r="AI216" s="503">
        <v>4466640.95</v>
      </c>
      <c r="AJ216" s="503">
        <v>4643073</v>
      </c>
      <c r="AK216" s="519">
        <v>1100122</v>
      </c>
    </row>
    <row r="217" spans="1:37" ht="16.5" thickTop="1" thickBot="1" x14ac:dyDescent="0.25">
      <c r="A217" s="491"/>
      <c r="B217" s="492"/>
      <c r="C217" s="493"/>
      <c r="D217" s="493">
        <v>3</v>
      </c>
      <c r="E217" s="494">
        <v>610603</v>
      </c>
      <c r="F217" s="495" t="s">
        <v>630</v>
      </c>
      <c r="G217" s="498">
        <v>2244465.52</v>
      </c>
      <c r="H217" s="497">
        <v>2500000</v>
      </c>
      <c r="I217" s="497">
        <v>2500000</v>
      </c>
      <c r="J217" s="498">
        <v>2500000</v>
      </c>
      <c r="K217" s="504">
        <v>121496.62</v>
      </c>
      <c r="L217" s="535">
        <v>105733.01</v>
      </c>
      <c r="M217" s="504">
        <v>89573.28</v>
      </c>
      <c r="N217" s="504">
        <v>66376.320000000007</v>
      </c>
      <c r="O217" s="568">
        <v>50216.639999999999</v>
      </c>
      <c r="P217" s="506">
        <v>46480.800000000003</v>
      </c>
      <c r="Q217" s="511">
        <v>63646.481999999996</v>
      </c>
      <c r="R217" s="511">
        <v>59185.229999999996</v>
      </c>
      <c r="S217" s="511">
        <v>140929.32</v>
      </c>
      <c r="T217" s="511">
        <v>141013.81</v>
      </c>
      <c r="U217" s="511">
        <v>169993.88</v>
      </c>
      <c r="V217" s="511">
        <v>156356.5</v>
      </c>
      <c r="W217" s="508">
        <v>1211001.8899999999</v>
      </c>
      <c r="X217" s="498">
        <f t="shared" si="95"/>
        <v>1211001.8899999999</v>
      </c>
      <c r="Y217" s="500">
        <v>856466.72</v>
      </c>
      <c r="Z217" s="501">
        <v>2149540.2599999998</v>
      </c>
      <c r="AA217" s="501">
        <v>75064.320000000007</v>
      </c>
      <c r="AB217" s="512">
        <v>82961.119999999995</v>
      </c>
      <c r="AC217" s="478">
        <f t="shared" si="90"/>
        <v>0</v>
      </c>
      <c r="AD217" s="502">
        <v>1849540.26</v>
      </c>
      <c r="AE217" s="510">
        <v>381000</v>
      </c>
      <c r="AF217" s="502">
        <v>1849540.26</v>
      </c>
      <c r="AG217" s="502">
        <f t="shared" si="92"/>
        <v>0</v>
      </c>
      <c r="AH217" s="503">
        <v>856466.72</v>
      </c>
      <c r="AI217" s="503">
        <v>1072897.73</v>
      </c>
      <c r="AJ217" s="503">
        <v>1115277</v>
      </c>
      <c r="AK217" s="519">
        <v>1100122</v>
      </c>
    </row>
    <row r="218" spans="1:37" ht="16.5" thickTop="1" thickBot="1" x14ac:dyDescent="0.25">
      <c r="A218" s="491"/>
      <c r="B218" s="492"/>
      <c r="C218" s="493"/>
      <c r="D218" s="493">
        <v>4</v>
      </c>
      <c r="E218" s="494">
        <v>610604</v>
      </c>
      <c r="F218" s="495" t="s">
        <v>631</v>
      </c>
      <c r="G218" s="498">
        <v>422075.72</v>
      </c>
      <c r="H218" s="497">
        <v>450000</v>
      </c>
      <c r="I218" s="497">
        <v>450000</v>
      </c>
      <c r="J218" s="498">
        <v>450000</v>
      </c>
      <c r="K218" s="504">
        <v>28548.11</v>
      </c>
      <c r="L218" s="535">
        <v>5147.6400000000003</v>
      </c>
      <c r="M218" s="504">
        <v>28554.28</v>
      </c>
      <c r="N218" s="504">
        <v>4479.1899999999996</v>
      </c>
      <c r="O218" s="568">
        <v>7676.46</v>
      </c>
      <c r="P218" s="506">
        <v>7659.01</v>
      </c>
      <c r="Q218" s="511">
        <v>6000</v>
      </c>
      <c r="R218" s="511">
        <v>6000</v>
      </c>
      <c r="S218" s="511">
        <v>6000</v>
      </c>
      <c r="T218" s="511">
        <v>6000</v>
      </c>
      <c r="U218" s="511">
        <v>6000</v>
      </c>
      <c r="V218" s="511">
        <v>6000</v>
      </c>
      <c r="W218" s="508">
        <f>SUM(K218:V218)</f>
        <v>118064.69</v>
      </c>
      <c r="X218" s="498">
        <f t="shared" si="95"/>
        <v>118064.69</v>
      </c>
      <c r="Y218" s="500">
        <v>140076.75</v>
      </c>
      <c r="Z218" s="501">
        <v>140000</v>
      </c>
      <c r="AA218" s="501">
        <v>9937.83</v>
      </c>
      <c r="AB218" s="512">
        <v>10482.51</v>
      </c>
      <c r="AC218" s="478">
        <f t="shared" si="90"/>
        <v>0</v>
      </c>
      <c r="AD218" s="498">
        <v>222075.72</v>
      </c>
      <c r="AE218" s="510">
        <v>63957.18</v>
      </c>
      <c r="AF218" s="498">
        <v>222075.72</v>
      </c>
      <c r="AG218" s="498">
        <f t="shared" si="92"/>
        <v>0</v>
      </c>
      <c r="AH218" s="503">
        <v>140076.75</v>
      </c>
      <c r="AI218" s="503">
        <v>301301.96000000002</v>
      </c>
      <c r="AJ218" s="503">
        <v>313203</v>
      </c>
      <c r="AK218" s="519">
        <v>1100122</v>
      </c>
    </row>
    <row r="219" spans="1:37" ht="16.5" thickTop="1" thickBot="1" x14ac:dyDescent="0.25">
      <c r="A219" s="491"/>
      <c r="B219" s="492"/>
      <c r="C219" s="493"/>
      <c r="D219" s="493">
        <v>5</v>
      </c>
      <c r="E219" s="494">
        <v>610605</v>
      </c>
      <c r="F219" s="495" t="s">
        <v>632</v>
      </c>
      <c r="G219" s="498">
        <v>421085.08</v>
      </c>
      <c r="H219" s="497">
        <v>480000</v>
      </c>
      <c r="I219" s="497">
        <v>480000</v>
      </c>
      <c r="J219" s="498">
        <v>480000</v>
      </c>
      <c r="K219" s="504">
        <v>65892.83</v>
      </c>
      <c r="L219" s="535">
        <v>27735.64</v>
      </c>
      <c r="M219" s="504">
        <v>39595.25</v>
      </c>
      <c r="N219" s="504">
        <v>12141.1</v>
      </c>
      <c r="O219" s="568">
        <v>35619.599999999999</v>
      </c>
      <c r="P219" s="506">
        <v>36603.74</v>
      </c>
      <c r="Q219" s="511">
        <v>20000</v>
      </c>
      <c r="R219" s="511">
        <v>20000</v>
      </c>
      <c r="S219" s="511">
        <v>20000</v>
      </c>
      <c r="T219" s="511">
        <v>20000</v>
      </c>
      <c r="U219" s="511">
        <v>22151.34</v>
      </c>
      <c r="V219" s="511">
        <v>20782.099999999999</v>
      </c>
      <c r="W219" s="508">
        <f>SUM(K219:V219)</f>
        <v>340521.60000000003</v>
      </c>
      <c r="X219" s="498">
        <f t="shared" si="95"/>
        <v>340521.60000000003</v>
      </c>
      <c r="Y219" s="500">
        <v>648796.35</v>
      </c>
      <c r="Z219" s="501">
        <v>600000</v>
      </c>
      <c r="AA219" s="501">
        <v>74438.87</v>
      </c>
      <c r="AB219" s="512">
        <v>137074.84</v>
      </c>
      <c r="AC219" s="478">
        <f t="shared" si="90"/>
        <v>0</v>
      </c>
      <c r="AD219" s="502">
        <f>Y219*1.035</f>
        <v>671504.22224999988</v>
      </c>
      <c r="AE219" s="510">
        <v>376208.14</v>
      </c>
      <c r="AF219" s="502">
        <v>1000000</v>
      </c>
      <c r="AG219" s="502">
        <f t="shared" si="92"/>
        <v>328495.77775000012</v>
      </c>
      <c r="AH219" s="503">
        <v>648796.35</v>
      </c>
      <c r="AI219" s="503">
        <v>907853.58</v>
      </c>
      <c r="AJ219" s="503">
        <v>943713</v>
      </c>
      <c r="AK219" s="519">
        <v>1100122</v>
      </c>
    </row>
    <row r="220" spans="1:37" ht="16.5" thickTop="1" thickBot="1" x14ac:dyDescent="0.25">
      <c r="A220" s="491"/>
      <c r="B220" s="492"/>
      <c r="C220" s="493"/>
      <c r="D220" s="493">
        <v>6</v>
      </c>
      <c r="E220" s="494">
        <v>610606</v>
      </c>
      <c r="F220" s="495" t="s">
        <v>633</v>
      </c>
      <c r="G220" s="498">
        <v>745790.04</v>
      </c>
      <c r="H220" s="497">
        <v>760000</v>
      </c>
      <c r="I220" s="497">
        <v>760000</v>
      </c>
      <c r="J220" s="498">
        <v>760000</v>
      </c>
      <c r="K220" s="504">
        <v>56451.08</v>
      </c>
      <c r="L220" s="535">
        <v>29978.959999999999</v>
      </c>
      <c r="M220" s="504">
        <v>27559.53</v>
      </c>
      <c r="N220" s="504">
        <v>27056.720000000001</v>
      </c>
      <c r="O220" s="568">
        <v>10712.31</v>
      </c>
      <c r="P220" s="506">
        <v>87235.11</v>
      </c>
      <c r="Q220" s="511">
        <v>19458.47</v>
      </c>
      <c r="R220" s="511">
        <v>26381.41</v>
      </c>
      <c r="S220" s="511">
        <v>31107.439999999999</v>
      </c>
      <c r="T220" s="511">
        <v>73735.320000000007</v>
      </c>
      <c r="U220" s="511">
        <v>61174.98</v>
      </c>
      <c r="V220" s="511">
        <v>36371.17</v>
      </c>
      <c r="W220" s="508">
        <f>SUM(K220:V220)</f>
        <v>487222.5</v>
      </c>
      <c r="X220" s="498">
        <f t="shared" si="95"/>
        <v>487222.5</v>
      </c>
      <c r="Y220" s="500">
        <v>511905.24</v>
      </c>
      <c r="Z220" s="501">
        <v>504275.29</v>
      </c>
      <c r="AA220" s="501">
        <v>55856.79</v>
      </c>
      <c r="AB220" s="512">
        <v>274532.09999999998</v>
      </c>
      <c r="AC220" s="478">
        <f t="shared" si="90"/>
        <v>0</v>
      </c>
      <c r="AD220" s="502">
        <f>G220</f>
        <v>745790.04</v>
      </c>
      <c r="AE220" s="510">
        <v>587687.82999999996</v>
      </c>
      <c r="AF220" s="502">
        <v>1300000</v>
      </c>
      <c r="AG220" s="502">
        <f t="shared" si="92"/>
        <v>554209.96</v>
      </c>
      <c r="AH220" s="503">
        <v>511905.24</v>
      </c>
      <c r="AI220" s="503">
        <v>1236127.08</v>
      </c>
      <c r="AJ220" s="503">
        <v>1284954</v>
      </c>
      <c r="AK220" s="519">
        <v>1100122</v>
      </c>
    </row>
    <row r="221" spans="1:37" ht="16.5" thickTop="1" thickBot="1" x14ac:dyDescent="0.25">
      <c r="A221" s="491"/>
      <c r="B221" s="492"/>
      <c r="C221" s="493"/>
      <c r="D221" s="493">
        <v>7</v>
      </c>
      <c r="E221" s="494">
        <v>610607</v>
      </c>
      <c r="F221" s="495" t="s">
        <v>634</v>
      </c>
      <c r="G221" s="498">
        <v>2221213.39</v>
      </c>
      <c r="H221" s="497">
        <v>2200000</v>
      </c>
      <c r="I221" s="497">
        <v>2200000</v>
      </c>
      <c r="J221" s="498">
        <v>2200000</v>
      </c>
      <c r="K221" s="504">
        <v>173703.1</v>
      </c>
      <c r="L221" s="577">
        <v>157321.04</v>
      </c>
      <c r="M221" s="504">
        <v>169128.95</v>
      </c>
      <c r="N221" s="504">
        <v>113152.19</v>
      </c>
      <c r="O221" s="568">
        <v>103179.25</v>
      </c>
      <c r="P221" s="506">
        <v>150323.49</v>
      </c>
      <c r="Q221" s="511">
        <v>98411.735000000001</v>
      </c>
      <c r="R221" s="511">
        <v>139612.26999999999</v>
      </c>
      <c r="S221" s="511">
        <v>190496.63149999999</v>
      </c>
      <c r="T221" s="511">
        <v>242496.55500000002</v>
      </c>
      <c r="U221" s="511">
        <v>217862.34799999997</v>
      </c>
      <c r="V221" s="511">
        <v>231347.20799999998</v>
      </c>
      <c r="W221" s="508">
        <v>1987034.76</v>
      </c>
      <c r="X221" s="498">
        <f t="shared" si="95"/>
        <v>1987034.76</v>
      </c>
      <c r="Y221" s="500">
        <v>1805326.4</v>
      </c>
      <c r="Z221" s="501">
        <v>2292292.2200000002</v>
      </c>
      <c r="AA221" s="501">
        <v>120614.67</v>
      </c>
      <c r="AB221" s="512">
        <v>116194.84</v>
      </c>
      <c r="AC221" s="478">
        <f t="shared" si="90"/>
        <v>0</v>
      </c>
      <c r="AD221" s="502">
        <f>Y221</f>
        <v>1805326.4</v>
      </c>
      <c r="AE221" s="510">
        <v>486259.97</v>
      </c>
      <c r="AF221" s="502">
        <v>1805326.4</v>
      </c>
      <c r="AG221" s="502">
        <f t="shared" si="92"/>
        <v>0</v>
      </c>
      <c r="AH221" s="503">
        <v>1805326.4</v>
      </c>
      <c r="AI221" s="503">
        <v>1631065.42</v>
      </c>
      <c r="AJ221" s="503">
        <v>1695492</v>
      </c>
      <c r="AK221" s="519">
        <v>1100122</v>
      </c>
    </row>
    <row r="222" spans="1:37" ht="16.5" thickTop="1" thickBot="1" x14ac:dyDescent="0.25">
      <c r="A222" s="491"/>
      <c r="B222" s="492"/>
      <c r="C222" s="493"/>
      <c r="D222" s="493">
        <v>8</v>
      </c>
      <c r="E222" s="494">
        <v>610608</v>
      </c>
      <c r="F222" s="495" t="s">
        <v>635</v>
      </c>
      <c r="G222" s="498">
        <v>789897.2</v>
      </c>
      <c r="H222" s="497">
        <v>850000</v>
      </c>
      <c r="I222" s="497">
        <v>850000</v>
      </c>
      <c r="J222" s="498">
        <v>850000</v>
      </c>
      <c r="K222" s="504">
        <v>46381.07</v>
      </c>
      <c r="L222" s="535">
        <v>59688.44</v>
      </c>
      <c r="M222" s="504">
        <v>37153.97</v>
      </c>
      <c r="N222" s="504">
        <v>15265.77</v>
      </c>
      <c r="O222" s="568">
        <v>25710.5</v>
      </c>
      <c r="P222" s="506">
        <v>19505.22</v>
      </c>
      <c r="Q222" s="511">
        <v>30000</v>
      </c>
      <c r="R222" s="511">
        <v>37000</v>
      </c>
      <c r="S222" s="511">
        <v>37000</v>
      </c>
      <c r="T222" s="511">
        <v>37000</v>
      </c>
      <c r="U222" s="511">
        <v>37000</v>
      </c>
      <c r="V222" s="511">
        <v>37000</v>
      </c>
      <c r="W222" s="508">
        <f t="shared" ref="W222:W228" si="96">SUM(K222:V222)</f>
        <v>418704.97</v>
      </c>
      <c r="X222" s="498">
        <f t="shared" si="95"/>
        <v>418704.97</v>
      </c>
      <c r="Y222" s="500">
        <v>401451.85</v>
      </c>
      <c r="Z222" s="501">
        <v>800897.2</v>
      </c>
      <c r="AA222" s="501">
        <v>17759.810000000001</v>
      </c>
      <c r="AB222" s="512">
        <v>30651.99</v>
      </c>
      <c r="AC222" s="478">
        <f t="shared" si="90"/>
        <v>0</v>
      </c>
      <c r="AD222" s="502">
        <v>800897.2</v>
      </c>
      <c r="AE222" s="510">
        <v>173885.62</v>
      </c>
      <c r="AF222" s="502">
        <v>800897.2</v>
      </c>
      <c r="AG222" s="502">
        <f t="shared" si="92"/>
        <v>0</v>
      </c>
      <c r="AH222" s="503">
        <v>401451.85</v>
      </c>
      <c r="AI222" s="503">
        <v>617140.22999999986</v>
      </c>
      <c r="AJ222" s="503">
        <v>641517</v>
      </c>
      <c r="AK222" s="519">
        <v>1100122</v>
      </c>
    </row>
    <row r="223" spans="1:37" ht="16.5" thickTop="1" thickBot="1" x14ac:dyDescent="0.25">
      <c r="A223" s="491"/>
      <c r="B223" s="492"/>
      <c r="C223" s="493"/>
      <c r="D223" s="493">
        <v>9</v>
      </c>
      <c r="E223" s="494">
        <v>610609</v>
      </c>
      <c r="F223" s="495" t="s">
        <v>636</v>
      </c>
      <c r="G223" s="498">
        <v>800225.13</v>
      </c>
      <c r="H223" s="497">
        <v>1000000</v>
      </c>
      <c r="I223" s="497">
        <v>1000000</v>
      </c>
      <c r="J223" s="498">
        <v>1000000</v>
      </c>
      <c r="K223" s="504">
        <v>49295.77</v>
      </c>
      <c r="L223" s="535">
        <v>28258.91</v>
      </c>
      <c r="M223" s="504">
        <v>30837.54</v>
      </c>
      <c r="N223" s="504">
        <v>17144.88</v>
      </c>
      <c r="O223" s="568">
        <v>38270.639999999999</v>
      </c>
      <c r="P223" s="506">
        <v>78819.44</v>
      </c>
      <c r="Q223" s="511">
        <v>25000</v>
      </c>
      <c r="R223" s="511">
        <v>45832</v>
      </c>
      <c r="S223" s="511">
        <v>77928.72</v>
      </c>
      <c r="T223" s="511">
        <v>34128.239999999998</v>
      </c>
      <c r="U223" s="511">
        <v>21002.05</v>
      </c>
      <c r="V223" s="511">
        <v>27252.86</v>
      </c>
      <c r="W223" s="508">
        <f t="shared" si="96"/>
        <v>473771.05</v>
      </c>
      <c r="X223" s="498">
        <f t="shared" si="95"/>
        <v>473771.05</v>
      </c>
      <c r="Y223" s="500">
        <v>395502.7</v>
      </c>
      <c r="Z223" s="501">
        <v>473771.05</v>
      </c>
      <c r="AA223" s="501">
        <v>49798.16</v>
      </c>
      <c r="AB223" s="512">
        <v>60612.800000000003</v>
      </c>
      <c r="AC223" s="478">
        <f t="shared" si="90"/>
        <v>0</v>
      </c>
      <c r="AD223" s="502">
        <v>473771.05</v>
      </c>
      <c r="AE223" s="510">
        <v>737726.64</v>
      </c>
      <c r="AF223" s="502">
        <f>AD223+1000000</f>
        <v>1473771.05</v>
      </c>
      <c r="AG223" s="502">
        <f t="shared" si="92"/>
        <v>1000000</v>
      </c>
      <c r="AH223" s="503">
        <v>395502.7</v>
      </c>
      <c r="AI223" s="503">
        <v>1120137.7799999998</v>
      </c>
      <c r="AJ223" s="503">
        <v>1164383</v>
      </c>
      <c r="AK223" s="519">
        <v>1100122</v>
      </c>
    </row>
    <row r="224" spans="1:37" ht="16.5" thickTop="1" thickBot="1" x14ac:dyDescent="0.25">
      <c r="A224" s="491"/>
      <c r="B224" s="492"/>
      <c r="C224" s="493"/>
      <c r="D224" s="493">
        <v>10</v>
      </c>
      <c r="E224" s="494">
        <v>610610</v>
      </c>
      <c r="F224" s="495" t="s">
        <v>637</v>
      </c>
      <c r="G224" s="498">
        <v>1188021.54</v>
      </c>
      <c r="H224" s="497">
        <v>1500000</v>
      </c>
      <c r="I224" s="497">
        <v>1500000</v>
      </c>
      <c r="J224" s="498">
        <v>1500000</v>
      </c>
      <c r="K224" s="504">
        <v>84631.11</v>
      </c>
      <c r="L224" s="535">
        <v>97303.08</v>
      </c>
      <c r="M224" s="504">
        <v>107544.5</v>
      </c>
      <c r="N224" s="504">
        <v>19670.48</v>
      </c>
      <c r="O224" s="568">
        <v>20274.52</v>
      </c>
      <c r="P224" s="506">
        <v>44153.88</v>
      </c>
      <c r="Q224" s="511">
        <v>19670.48</v>
      </c>
      <c r="R224" s="511">
        <v>84631.11</v>
      </c>
      <c r="S224" s="511">
        <v>84631.11</v>
      </c>
      <c r="T224" s="511">
        <v>84631.11</v>
      </c>
      <c r="U224" s="511">
        <v>84631.11</v>
      </c>
      <c r="V224" s="511">
        <v>84631.11</v>
      </c>
      <c r="W224" s="508">
        <f t="shared" si="96"/>
        <v>816403.6</v>
      </c>
      <c r="X224" s="498">
        <f t="shared" si="95"/>
        <v>816403.6</v>
      </c>
      <c r="Y224" s="500">
        <v>738686.31</v>
      </c>
      <c r="Z224" s="501">
        <v>1037180.32</v>
      </c>
      <c r="AA224" s="501">
        <v>33578.980000000003</v>
      </c>
      <c r="AB224" s="512">
        <v>44504.3</v>
      </c>
      <c r="AC224" s="478">
        <f t="shared" si="90"/>
        <v>0</v>
      </c>
      <c r="AD224" s="502">
        <v>1037180.32</v>
      </c>
      <c r="AE224" s="510">
        <v>228507.44</v>
      </c>
      <c r="AF224" s="502">
        <v>1037180.32</v>
      </c>
      <c r="AG224" s="502">
        <f t="shared" si="92"/>
        <v>0</v>
      </c>
      <c r="AH224" s="503">
        <v>738686.31</v>
      </c>
      <c r="AI224" s="503">
        <v>602317.67999999993</v>
      </c>
      <c r="AJ224" s="503">
        <v>626109</v>
      </c>
      <c r="AK224" s="519">
        <v>1100122</v>
      </c>
    </row>
    <row r="225" spans="1:37" ht="16.5" thickTop="1" thickBot="1" x14ac:dyDescent="0.25">
      <c r="A225" s="491"/>
      <c r="B225" s="492"/>
      <c r="C225" s="493"/>
      <c r="D225" s="493">
        <v>11</v>
      </c>
      <c r="E225" s="494">
        <v>610611</v>
      </c>
      <c r="F225" s="495" t="s">
        <v>638</v>
      </c>
      <c r="G225" s="498">
        <v>79737.53</v>
      </c>
      <c r="H225" s="497">
        <v>80000</v>
      </c>
      <c r="I225" s="497">
        <v>80000</v>
      </c>
      <c r="J225" s="498">
        <v>80000</v>
      </c>
      <c r="K225" s="526">
        <v>4835.8</v>
      </c>
      <c r="L225" s="526">
        <v>17862.37</v>
      </c>
      <c r="M225" s="526">
        <v>18083.96</v>
      </c>
      <c r="N225" s="526">
        <v>622.02</v>
      </c>
      <c r="O225" s="526"/>
      <c r="P225" s="506">
        <v>0</v>
      </c>
      <c r="Q225" s="527">
        <v>622.02</v>
      </c>
      <c r="R225" s="527">
        <v>622.02</v>
      </c>
      <c r="S225" s="527">
        <v>8745.1</v>
      </c>
      <c r="T225" s="527">
        <v>4052.88</v>
      </c>
      <c r="U225" s="527">
        <v>9462.8799999999992</v>
      </c>
      <c r="V225" s="527">
        <v>9631.86</v>
      </c>
      <c r="W225" s="508">
        <f t="shared" si="96"/>
        <v>74540.909999999974</v>
      </c>
      <c r="X225" s="498">
        <f t="shared" si="95"/>
        <v>74540.909999999974</v>
      </c>
      <c r="Y225" s="500">
        <v>62138.239999999998</v>
      </c>
      <c r="Z225" s="501">
        <v>95000</v>
      </c>
      <c r="AA225" s="501">
        <v>0</v>
      </c>
      <c r="AB225" s="512">
        <v>41034.49</v>
      </c>
      <c r="AC225" s="478">
        <f t="shared" si="90"/>
        <v>0</v>
      </c>
      <c r="AD225" s="502">
        <v>95000</v>
      </c>
      <c r="AE225" s="510">
        <v>116937.29</v>
      </c>
      <c r="AF225" s="502">
        <v>300000</v>
      </c>
      <c r="AG225" s="502">
        <f t="shared" si="92"/>
        <v>205000</v>
      </c>
      <c r="AH225" s="503">
        <v>62138.239999999998</v>
      </c>
      <c r="AI225" s="503">
        <v>311145.68</v>
      </c>
      <c r="AJ225" s="503">
        <v>323435</v>
      </c>
      <c r="AK225" s="519">
        <v>1100122</v>
      </c>
    </row>
    <row r="226" spans="1:37" ht="15.75" thickTop="1" thickBot="1" x14ac:dyDescent="0.25">
      <c r="A226" s="491"/>
      <c r="B226" s="492"/>
      <c r="C226" s="493"/>
      <c r="D226" s="493">
        <v>12</v>
      </c>
      <c r="E226" s="570">
        <v>610612</v>
      </c>
      <c r="F226" s="495" t="s">
        <v>639</v>
      </c>
      <c r="G226" s="498">
        <v>0</v>
      </c>
      <c r="H226" s="497">
        <v>1000</v>
      </c>
      <c r="I226" s="497">
        <v>1000</v>
      </c>
      <c r="J226" s="498">
        <v>1000</v>
      </c>
      <c r="K226" s="526">
        <v>0</v>
      </c>
      <c r="L226" s="526">
        <v>0</v>
      </c>
      <c r="M226" s="526">
        <v>0</v>
      </c>
      <c r="N226" s="526">
        <v>0</v>
      </c>
      <c r="O226" s="526"/>
      <c r="P226" s="506">
        <v>0</v>
      </c>
      <c r="Q226" s="526">
        <v>0</v>
      </c>
      <c r="R226" s="526">
        <v>0</v>
      </c>
      <c r="S226" s="526">
        <v>0</v>
      </c>
      <c r="T226" s="526">
        <v>0</v>
      </c>
      <c r="U226" s="526">
        <v>0</v>
      </c>
      <c r="V226" s="526">
        <v>0</v>
      </c>
      <c r="W226" s="497">
        <f t="shared" si="96"/>
        <v>0</v>
      </c>
      <c r="X226" s="498">
        <f t="shared" si="95"/>
        <v>0</v>
      </c>
      <c r="Y226" s="500"/>
      <c r="Z226" s="498"/>
      <c r="AA226" s="498"/>
      <c r="AB226" s="498"/>
      <c r="AC226" s="478">
        <f t="shared" si="90"/>
        <v>0</v>
      </c>
      <c r="AD226" s="498"/>
      <c r="AE226" s="498"/>
      <c r="AF226" s="498"/>
      <c r="AG226" s="498">
        <f t="shared" si="92"/>
        <v>0</v>
      </c>
      <c r="AH226" s="500"/>
      <c r="AI226" s="500"/>
      <c r="AJ226" s="500"/>
      <c r="AK226" s="519"/>
    </row>
    <row r="227" spans="1:37" ht="16.5" thickTop="1" thickBot="1" x14ac:dyDescent="0.25">
      <c r="A227" s="491"/>
      <c r="B227" s="492"/>
      <c r="C227" s="493"/>
      <c r="D227" s="493">
        <v>13</v>
      </c>
      <c r="E227" s="570">
        <v>610613</v>
      </c>
      <c r="F227" s="495" t="s">
        <v>640</v>
      </c>
      <c r="G227" s="498">
        <v>72116.3</v>
      </c>
      <c r="H227" s="497">
        <v>100000</v>
      </c>
      <c r="I227" s="497">
        <v>100000</v>
      </c>
      <c r="J227" s="498">
        <v>100000</v>
      </c>
      <c r="K227" s="526">
        <v>1140.31</v>
      </c>
      <c r="L227" s="526">
        <v>2287.67</v>
      </c>
      <c r="M227" s="526">
        <v>4965.16</v>
      </c>
      <c r="N227" s="526">
        <v>0</v>
      </c>
      <c r="O227" s="581">
        <v>2290.84</v>
      </c>
      <c r="P227" s="506">
        <v>4208.6099999999997</v>
      </c>
      <c r="Q227" s="527">
        <v>2000</v>
      </c>
      <c r="R227" s="527">
        <v>2000</v>
      </c>
      <c r="S227" s="527">
        <v>5032.0200000000004</v>
      </c>
      <c r="T227" s="527">
        <v>760.1</v>
      </c>
      <c r="U227" s="527">
        <v>2174.09</v>
      </c>
      <c r="V227" s="527">
        <v>1415.19</v>
      </c>
      <c r="W227" s="508">
        <f t="shared" si="96"/>
        <v>28273.989999999998</v>
      </c>
      <c r="X227" s="498">
        <f t="shared" si="95"/>
        <v>28273.989999999998</v>
      </c>
      <c r="Y227" s="500">
        <v>69570.67</v>
      </c>
      <c r="Z227" s="533">
        <v>28273.99</v>
      </c>
      <c r="AA227" s="533">
        <v>5023.43</v>
      </c>
      <c r="AB227" s="610">
        <v>3121.8</v>
      </c>
      <c r="AC227" s="478">
        <f t="shared" si="90"/>
        <v>0</v>
      </c>
      <c r="AD227" s="502">
        <v>0</v>
      </c>
      <c r="AE227" s="629">
        <v>17457.939999999999</v>
      </c>
      <c r="AF227" s="502">
        <v>0</v>
      </c>
      <c r="AG227" s="502">
        <f t="shared" si="92"/>
        <v>0</v>
      </c>
      <c r="AH227" s="503">
        <v>69570.67</v>
      </c>
      <c r="AI227" s="503">
        <v>0</v>
      </c>
      <c r="AJ227" s="503">
        <v>0</v>
      </c>
      <c r="AK227" s="519">
        <v>1100122</v>
      </c>
    </row>
    <row r="228" spans="1:37" ht="16.5" thickTop="1" thickBot="1" x14ac:dyDescent="0.25">
      <c r="A228" s="491"/>
      <c r="B228" s="492"/>
      <c r="C228" s="493"/>
      <c r="D228" s="493">
        <v>14</v>
      </c>
      <c r="E228" s="570">
        <v>610614</v>
      </c>
      <c r="F228" s="495" t="s">
        <v>641</v>
      </c>
      <c r="G228" s="498">
        <v>171680.31</v>
      </c>
      <c r="H228" s="497">
        <v>200000</v>
      </c>
      <c r="I228" s="497">
        <v>200000</v>
      </c>
      <c r="J228" s="498">
        <v>200000</v>
      </c>
      <c r="K228" s="526">
        <v>0</v>
      </c>
      <c r="L228" s="531">
        <v>0</v>
      </c>
      <c r="M228" s="526">
        <v>0</v>
      </c>
      <c r="N228" s="638">
        <v>0</v>
      </c>
      <c r="O228" s="526"/>
      <c r="P228" s="506">
        <v>0</v>
      </c>
      <c r="Q228" s="639">
        <v>0</v>
      </c>
      <c r="R228" s="639">
        <v>0</v>
      </c>
      <c r="S228" s="639">
        <v>0</v>
      </c>
      <c r="T228" s="639">
        <v>9124.32</v>
      </c>
      <c r="U228" s="639">
        <v>2304.7399999999998</v>
      </c>
      <c r="V228" s="639">
        <v>12211.14</v>
      </c>
      <c r="W228" s="508">
        <f t="shared" si="96"/>
        <v>23640.199999999997</v>
      </c>
      <c r="X228" s="498">
        <f t="shared" si="95"/>
        <v>23640.199999999997</v>
      </c>
      <c r="Y228" s="500"/>
      <c r="Z228" s="533">
        <v>23640.2</v>
      </c>
      <c r="AA228" s="533">
        <v>0</v>
      </c>
      <c r="AB228" s="533"/>
      <c r="AC228" s="478">
        <f t="shared" si="90"/>
        <v>0</v>
      </c>
      <c r="AD228" s="502">
        <v>0</v>
      </c>
      <c r="AE228" s="502"/>
      <c r="AF228" s="502"/>
      <c r="AG228" s="502">
        <f t="shared" si="92"/>
        <v>0</v>
      </c>
      <c r="AH228" s="500"/>
      <c r="AI228" s="500"/>
      <c r="AJ228" s="500"/>
      <c r="AK228" s="519">
        <v>1100122</v>
      </c>
    </row>
    <row r="229" spans="1:37" ht="16.5" thickTop="1" thickBot="1" x14ac:dyDescent="0.25">
      <c r="A229" s="491"/>
      <c r="B229" s="492"/>
      <c r="C229" s="493"/>
      <c r="D229" s="493">
        <v>15</v>
      </c>
      <c r="E229" s="494">
        <v>610615</v>
      </c>
      <c r="F229" s="495" t="s">
        <v>642</v>
      </c>
      <c r="G229" s="498"/>
      <c r="H229" s="497"/>
      <c r="I229" s="497"/>
      <c r="J229" s="498"/>
      <c r="K229" s="526"/>
      <c r="L229" s="531"/>
      <c r="M229" s="526"/>
      <c r="N229" s="602"/>
      <c r="O229" s="526"/>
      <c r="P229" s="506"/>
      <c r="Q229" s="603"/>
      <c r="R229" s="603"/>
      <c r="S229" s="603"/>
      <c r="T229" s="603"/>
      <c r="U229" s="603"/>
      <c r="V229" s="603"/>
      <c r="W229" s="508"/>
      <c r="X229" s="498"/>
      <c r="Y229" s="500"/>
      <c r="Z229" s="533">
        <v>40000</v>
      </c>
      <c r="AA229" s="533">
        <v>0</v>
      </c>
      <c r="AB229" s="533"/>
      <c r="AC229" s="478"/>
      <c r="AD229" s="502">
        <v>40000</v>
      </c>
      <c r="AE229" s="502"/>
      <c r="AF229" s="502">
        <v>40000</v>
      </c>
      <c r="AG229" s="502">
        <f t="shared" si="92"/>
        <v>0</v>
      </c>
      <c r="AH229" s="503">
        <v>0</v>
      </c>
      <c r="AI229" s="503">
        <v>0</v>
      </c>
      <c r="AJ229" s="503">
        <v>10000</v>
      </c>
      <c r="AK229" s="519">
        <v>1100122</v>
      </c>
    </row>
    <row r="230" spans="1:37" ht="15.75" thickTop="1" thickBot="1" x14ac:dyDescent="0.25">
      <c r="A230" s="516"/>
      <c r="B230" s="517"/>
      <c r="C230" s="518">
        <v>7</v>
      </c>
      <c r="D230" s="518"/>
      <c r="E230" s="519"/>
      <c r="F230" s="520" t="s">
        <v>643</v>
      </c>
      <c r="G230" s="474">
        <f t="shared" ref="G230:AB230" si="97">SUM(G231:G239)</f>
        <v>37970759.159999996</v>
      </c>
      <c r="H230" s="474">
        <f t="shared" si="97"/>
        <v>34570978</v>
      </c>
      <c r="I230" s="474">
        <f t="shared" si="97"/>
        <v>38182831.879999995</v>
      </c>
      <c r="J230" s="474">
        <f t="shared" si="97"/>
        <v>38182831.879999995</v>
      </c>
      <c r="K230" s="474">
        <f t="shared" si="97"/>
        <v>3398057.21</v>
      </c>
      <c r="L230" s="474">
        <f t="shared" si="97"/>
        <v>2488813.0099999998</v>
      </c>
      <c r="M230" s="474">
        <f t="shared" si="97"/>
        <v>2176958.9400000004</v>
      </c>
      <c r="N230" s="474">
        <f t="shared" si="97"/>
        <v>813618.70000000007</v>
      </c>
      <c r="O230" s="474">
        <f t="shared" si="97"/>
        <v>455245.36000000004</v>
      </c>
      <c r="P230" s="474">
        <f t="shared" si="97"/>
        <v>1450175.08</v>
      </c>
      <c r="Q230" s="474">
        <f t="shared" si="97"/>
        <v>1267694.4528571428</v>
      </c>
      <c r="R230" s="474">
        <f t="shared" si="97"/>
        <v>1860750.6208571428</v>
      </c>
      <c r="S230" s="474">
        <f t="shared" si="97"/>
        <v>2610160.8708571428</v>
      </c>
      <c r="T230" s="474">
        <f t="shared" si="97"/>
        <v>3093544.3308571433</v>
      </c>
      <c r="U230" s="474">
        <f t="shared" si="97"/>
        <v>3182033.550857143</v>
      </c>
      <c r="V230" s="474">
        <f t="shared" si="97"/>
        <v>3449732.320857143</v>
      </c>
      <c r="W230" s="522">
        <f t="shared" si="97"/>
        <v>26246784.440000001</v>
      </c>
      <c r="X230" s="522">
        <f t="shared" si="97"/>
        <v>26246784.440000001</v>
      </c>
      <c r="Y230" s="523">
        <f t="shared" si="97"/>
        <v>26693007</v>
      </c>
      <c r="Z230" s="524">
        <f t="shared" si="97"/>
        <v>29051516.870000001</v>
      </c>
      <c r="AA230" s="524">
        <f t="shared" si="97"/>
        <v>2567236.5499999998</v>
      </c>
      <c r="AB230" s="524">
        <f t="shared" si="97"/>
        <v>2317333.25</v>
      </c>
      <c r="AC230" s="478">
        <f t="shared" ref="AC230:AC239" si="98">W230-X230</f>
        <v>0</v>
      </c>
      <c r="AD230" s="522">
        <f>SUM(AD231:AD240)</f>
        <v>28844567.030000001</v>
      </c>
      <c r="AE230" s="522">
        <f>SUM(AE231:AE240)</f>
        <v>10867125.810000001</v>
      </c>
      <c r="AF230" s="522">
        <f>SUM(AF231:AF240)</f>
        <v>29349988.350000001</v>
      </c>
      <c r="AG230" s="522">
        <f t="shared" si="92"/>
        <v>505421.3200000003</v>
      </c>
      <c r="AH230" s="523">
        <f>SUM(AH231:AH240)</f>
        <v>26693007</v>
      </c>
      <c r="AI230" s="523">
        <f>SUM(AI231:AI240)</f>
        <v>29977724.529999997</v>
      </c>
      <c r="AJ230" s="523">
        <f>SUM(AJ231:AJ240)</f>
        <v>21422230</v>
      </c>
      <c r="AK230" s="525"/>
    </row>
    <row r="231" spans="1:37" ht="16.5" thickTop="1" thickBot="1" x14ac:dyDescent="0.25">
      <c r="A231" s="491"/>
      <c r="B231" s="492"/>
      <c r="C231" s="493"/>
      <c r="D231" s="493">
        <v>1</v>
      </c>
      <c r="E231" s="494">
        <v>610701</v>
      </c>
      <c r="F231" s="495" t="s">
        <v>644</v>
      </c>
      <c r="G231" s="498">
        <v>6542130.7400000002</v>
      </c>
      <c r="H231" s="497">
        <v>1500000</v>
      </c>
      <c r="I231" s="574">
        <v>2952578.6799999997</v>
      </c>
      <c r="J231" s="498">
        <f>1500000+1452578.68</f>
        <v>2952578.6799999997</v>
      </c>
      <c r="K231" s="640">
        <v>265731.45</v>
      </c>
      <c r="L231" s="526">
        <v>100955.73</v>
      </c>
      <c r="M231" s="526">
        <v>12950.03</v>
      </c>
      <c r="N231" s="526">
        <v>586272.05000000005</v>
      </c>
      <c r="O231" s="581">
        <v>360626.84</v>
      </c>
      <c r="P231" s="506">
        <v>296646.08</v>
      </c>
      <c r="Q231" s="527">
        <v>292578.68</v>
      </c>
      <c r="R231" s="527">
        <v>222818.14799999996</v>
      </c>
      <c r="S231" s="527">
        <v>222818.14799999996</v>
      </c>
      <c r="T231" s="527">
        <v>222818.14799999996</v>
      </c>
      <c r="U231" s="527">
        <v>222818.14799999996</v>
      </c>
      <c r="V231" s="527">
        <v>222818.14799999996</v>
      </c>
      <c r="W231" s="508">
        <f>SUM(K231:V231)</f>
        <v>3029851.6</v>
      </c>
      <c r="X231" s="498">
        <f t="shared" ref="X231:X239" si="99">W231</f>
        <v>3029851.6</v>
      </c>
      <c r="Y231" s="500">
        <v>2522901.7599999998</v>
      </c>
      <c r="Z231" s="501">
        <v>3029851.6</v>
      </c>
      <c r="AA231" s="501">
        <v>15168.03</v>
      </c>
      <c r="AB231" s="512">
        <v>13750.7</v>
      </c>
      <c r="AC231" s="478">
        <f t="shared" si="98"/>
        <v>0</v>
      </c>
      <c r="AD231" s="502">
        <f>Y231</f>
        <v>2522901.7599999998</v>
      </c>
      <c r="AE231" s="510">
        <v>159123.06</v>
      </c>
      <c r="AF231" s="502">
        <f>AD231-1452578.68</f>
        <v>1070323.0799999998</v>
      </c>
      <c r="AG231" s="502">
        <f t="shared" si="92"/>
        <v>-1452578.68</v>
      </c>
      <c r="AH231" s="503">
        <v>2522901.7599999998</v>
      </c>
      <c r="AI231" s="503">
        <v>1494592.3199999998</v>
      </c>
      <c r="AJ231" s="503">
        <v>1000000</v>
      </c>
      <c r="AK231" s="519">
        <v>1100122</v>
      </c>
    </row>
    <row r="232" spans="1:37" ht="16.5" thickTop="1" thickBot="1" x14ac:dyDescent="0.25">
      <c r="A232" s="491"/>
      <c r="B232" s="492"/>
      <c r="C232" s="493"/>
      <c r="D232" s="493">
        <v>2</v>
      </c>
      <c r="E232" s="570">
        <v>610702</v>
      </c>
      <c r="F232" s="495" t="s">
        <v>645</v>
      </c>
      <c r="G232" s="498">
        <v>13138.38</v>
      </c>
      <c r="H232" s="497">
        <v>20000</v>
      </c>
      <c r="I232" s="497">
        <v>20000</v>
      </c>
      <c r="J232" s="498">
        <v>20000</v>
      </c>
      <c r="K232" s="498">
        <v>0</v>
      </c>
      <c r="L232" s="526">
        <v>0</v>
      </c>
      <c r="M232" s="526">
        <v>0</v>
      </c>
      <c r="N232" s="526">
        <v>0</v>
      </c>
      <c r="O232" s="526"/>
      <c r="P232" s="506">
        <v>0</v>
      </c>
      <c r="Q232" s="527">
        <v>0</v>
      </c>
      <c r="R232" s="527">
        <v>0</v>
      </c>
      <c r="S232" s="527">
        <v>0</v>
      </c>
      <c r="T232" s="527">
        <v>0</v>
      </c>
      <c r="U232" s="527">
        <v>10000</v>
      </c>
      <c r="V232" s="527">
        <v>10000</v>
      </c>
      <c r="W232" s="508">
        <f>SUM(K232:V232)</f>
        <v>20000</v>
      </c>
      <c r="X232" s="498">
        <f t="shared" si="99"/>
        <v>20000</v>
      </c>
      <c r="Y232" s="500"/>
      <c r="Z232" s="533">
        <v>20000</v>
      </c>
      <c r="AA232" s="533">
        <v>0</v>
      </c>
      <c r="AB232" s="512">
        <v>757.31</v>
      </c>
      <c r="AC232" s="478">
        <f t="shared" si="98"/>
        <v>0</v>
      </c>
      <c r="AD232" s="502">
        <v>0</v>
      </c>
      <c r="AE232" s="510">
        <v>757.31</v>
      </c>
      <c r="AF232" s="502">
        <v>2000</v>
      </c>
      <c r="AG232" s="502">
        <f t="shared" si="92"/>
        <v>2000</v>
      </c>
      <c r="AH232" s="503">
        <v>0</v>
      </c>
      <c r="AI232" s="503">
        <v>0</v>
      </c>
      <c r="AJ232" s="503">
        <v>0</v>
      </c>
      <c r="AK232" s="519">
        <v>1100122</v>
      </c>
    </row>
    <row r="233" spans="1:37" ht="16.5" thickTop="1" thickBot="1" x14ac:dyDescent="0.25">
      <c r="A233" s="491"/>
      <c r="B233" s="492"/>
      <c r="C233" s="493"/>
      <c r="D233" s="493">
        <v>3</v>
      </c>
      <c r="E233" s="494">
        <v>610703</v>
      </c>
      <c r="F233" s="495" t="s">
        <v>646</v>
      </c>
      <c r="G233" s="498">
        <v>14276.91</v>
      </c>
      <c r="H233" s="497">
        <v>15000</v>
      </c>
      <c r="I233" s="497">
        <v>15000</v>
      </c>
      <c r="J233" s="498">
        <v>15000</v>
      </c>
      <c r="K233" s="526">
        <v>2027.76</v>
      </c>
      <c r="L233" s="526">
        <v>521.28</v>
      </c>
      <c r="M233" s="526">
        <v>1077.32</v>
      </c>
      <c r="N233" s="526">
        <v>676.65</v>
      </c>
      <c r="O233" s="581">
        <v>347.52</v>
      </c>
      <c r="P233" s="506">
        <v>0</v>
      </c>
      <c r="Q233" s="527">
        <v>350</v>
      </c>
      <c r="R233" s="527">
        <v>400</v>
      </c>
      <c r="S233" s="527">
        <v>1187.3</v>
      </c>
      <c r="T233" s="527">
        <v>1182.8599999999999</v>
      </c>
      <c r="U233" s="527">
        <v>168.98</v>
      </c>
      <c r="V233" s="527">
        <v>1737.6</v>
      </c>
      <c r="W233" s="508">
        <f>SUM(K233:V233)</f>
        <v>9677.2699999999986</v>
      </c>
      <c r="X233" s="498">
        <f t="shared" si="99"/>
        <v>9677.2699999999986</v>
      </c>
      <c r="Y233" s="500">
        <v>7411.41</v>
      </c>
      <c r="Z233" s="501">
        <v>9677.27</v>
      </c>
      <c r="AA233" s="501">
        <v>347.52</v>
      </c>
      <c r="AB233" s="512">
        <v>179.24</v>
      </c>
      <c r="AC233" s="478">
        <f t="shared" si="98"/>
        <v>0</v>
      </c>
      <c r="AD233" s="502">
        <v>9677.27</v>
      </c>
      <c r="AE233" s="510">
        <v>1960.44</v>
      </c>
      <c r="AF233" s="502">
        <v>9677.27</v>
      </c>
      <c r="AG233" s="502">
        <f t="shared" si="92"/>
        <v>0</v>
      </c>
      <c r="AH233" s="503">
        <v>7411.41</v>
      </c>
      <c r="AI233" s="503">
        <v>4556.8999999999996</v>
      </c>
      <c r="AJ233" s="503">
        <v>7411</v>
      </c>
      <c r="AK233" s="519">
        <v>1100122</v>
      </c>
    </row>
    <row r="234" spans="1:37" ht="16.5" thickTop="1" thickBot="1" x14ac:dyDescent="0.25">
      <c r="A234" s="491"/>
      <c r="B234" s="492"/>
      <c r="C234" s="493"/>
      <c r="D234" s="493">
        <v>4</v>
      </c>
      <c r="E234" s="494">
        <v>610704</v>
      </c>
      <c r="F234" s="495" t="s">
        <v>647</v>
      </c>
      <c r="G234" s="498">
        <v>22777654</v>
      </c>
      <c r="H234" s="497">
        <f>22333878+1000000</f>
        <v>23333878</v>
      </c>
      <c r="I234" s="497">
        <f>22333878+1000000</f>
        <v>23333878</v>
      </c>
      <c r="J234" s="498">
        <f>22333878+1000000</f>
        <v>23333878</v>
      </c>
      <c r="K234" s="526">
        <v>2565148</v>
      </c>
      <c r="L234" s="531">
        <v>1838258</v>
      </c>
      <c r="M234" s="526">
        <v>1643260</v>
      </c>
      <c r="N234" s="526">
        <v>0</v>
      </c>
      <c r="O234" s="581">
        <v>60971</v>
      </c>
      <c r="P234" s="506">
        <v>805879</v>
      </c>
      <c r="Q234" s="527">
        <v>761944</v>
      </c>
      <c r="R234" s="527">
        <v>1424710.7</v>
      </c>
      <c r="S234" s="527">
        <v>1581547.65</v>
      </c>
      <c r="T234" s="527">
        <v>2039069.55</v>
      </c>
      <c r="U234" s="527">
        <v>2184368.65</v>
      </c>
      <c r="V234" s="527">
        <v>2737312.8</v>
      </c>
      <c r="W234" s="508">
        <f>SUM(K234:V234)</f>
        <v>17642469.350000001</v>
      </c>
      <c r="X234" s="498">
        <f t="shared" si="99"/>
        <v>17642469.350000001</v>
      </c>
      <c r="Y234" s="500">
        <v>17548408</v>
      </c>
      <c r="Z234" s="501">
        <v>18250004</v>
      </c>
      <c r="AA234" s="501">
        <v>2109187</v>
      </c>
      <c r="AB234" s="512">
        <v>1806676</v>
      </c>
      <c r="AC234" s="478">
        <f t="shared" si="98"/>
        <v>0</v>
      </c>
      <c r="AD234" s="502">
        <v>18250004</v>
      </c>
      <c r="AE234" s="510">
        <v>8402459</v>
      </c>
      <c r="AF234" s="502">
        <f>AD234+3000000</f>
        <v>21250004</v>
      </c>
      <c r="AG234" s="502">
        <f t="shared" si="92"/>
        <v>3000000</v>
      </c>
      <c r="AH234" s="503">
        <v>17548408</v>
      </c>
      <c r="AI234" s="503">
        <v>21650532</v>
      </c>
      <c r="AJ234" s="503">
        <v>13128341</v>
      </c>
      <c r="AK234" s="519">
        <v>1100122</v>
      </c>
    </row>
    <row r="235" spans="1:37" ht="16.5" thickTop="1" thickBot="1" x14ac:dyDescent="0.25">
      <c r="A235" s="491"/>
      <c r="B235" s="492"/>
      <c r="C235" s="493"/>
      <c r="D235" s="493">
        <v>5</v>
      </c>
      <c r="E235" s="494">
        <v>610705</v>
      </c>
      <c r="F235" s="495" t="s">
        <v>648</v>
      </c>
      <c r="G235" s="498">
        <v>1487543.13</v>
      </c>
      <c r="H235" s="497">
        <v>1800000</v>
      </c>
      <c r="I235" s="497">
        <v>3959275.2</v>
      </c>
      <c r="J235" s="498">
        <f>1800000+2159275.2</f>
        <v>3959275.2</v>
      </c>
      <c r="K235" s="526">
        <v>11400</v>
      </c>
      <c r="L235" s="526">
        <v>0</v>
      </c>
      <c r="M235" s="526">
        <v>72177.59</v>
      </c>
      <c r="N235" s="526">
        <v>226670</v>
      </c>
      <c r="O235" s="581">
        <v>33300</v>
      </c>
      <c r="P235" s="506">
        <v>347650</v>
      </c>
      <c r="Q235" s="527">
        <v>212821.77285714287</v>
      </c>
      <c r="R235" s="527">
        <v>212821.77285714287</v>
      </c>
      <c r="S235" s="527">
        <v>212821.77285714287</v>
      </c>
      <c r="T235" s="527">
        <v>212821.77285714287</v>
      </c>
      <c r="U235" s="527">
        <v>212821.77285714287</v>
      </c>
      <c r="V235" s="527">
        <v>212821.77285714287</v>
      </c>
      <c r="W235" s="508">
        <v>1968128.22</v>
      </c>
      <c r="X235" s="498">
        <f t="shared" si="99"/>
        <v>1968128.22</v>
      </c>
      <c r="Y235" s="500">
        <v>2962197.83</v>
      </c>
      <c r="Z235" s="501">
        <v>1968128.22</v>
      </c>
      <c r="AA235" s="501">
        <v>21200</v>
      </c>
      <c r="AB235" s="512">
        <v>0</v>
      </c>
      <c r="AC235" s="478">
        <f t="shared" si="98"/>
        <v>0</v>
      </c>
      <c r="AD235" s="502">
        <v>2268128.2200000002</v>
      </c>
      <c r="AE235" s="510">
        <v>272930</v>
      </c>
      <c r="AF235" s="502">
        <f>AD235-1544000</f>
        <v>724128.2200000002</v>
      </c>
      <c r="AG235" s="502">
        <f t="shared" si="92"/>
        <v>-1544000</v>
      </c>
      <c r="AH235" s="503">
        <v>2962197.83</v>
      </c>
      <c r="AI235" s="503">
        <v>310230</v>
      </c>
      <c r="AJ235" s="503">
        <v>500000</v>
      </c>
      <c r="AK235" s="519">
        <v>1100122</v>
      </c>
    </row>
    <row r="236" spans="1:37" ht="16.5" thickTop="1" thickBot="1" x14ac:dyDescent="0.25">
      <c r="A236" s="491"/>
      <c r="B236" s="492"/>
      <c r="C236" s="493"/>
      <c r="D236" s="493">
        <v>6</v>
      </c>
      <c r="E236" s="494">
        <v>610706</v>
      </c>
      <c r="F236" s="495" t="s">
        <v>649</v>
      </c>
      <c r="G236" s="498">
        <v>5530720</v>
      </c>
      <c r="H236" s="497">
        <v>6000000</v>
      </c>
      <c r="I236" s="497">
        <v>6000000</v>
      </c>
      <c r="J236" s="498">
        <v>6000000</v>
      </c>
      <c r="K236" s="526">
        <v>429520</v>
      </c>
      <c r="L236" s="526">
        <v>428740</v>
      </c>
      <c r="M236" s="526">
        <v>347360</v>
      </c>
      <c r="N236" s="526">
        <v>0</v>
      </c>
      <c r="O236" s="526">
        <v>0</v>
      </c>
      <c r="P236" s="506">
        <v>0</v>
      </c>
      <c r="Q236" s="526">
        <v>0</v>
      </c>
      <c r="R236" s="526">
        <v>0</v>
      </c>
      <c r="S236" s="527">
        <v>457080</v>
      </c>
      <c r="T236" s="527">
        <v>477100</v>
      </c>
      <c r="U236" s="527">
        <v>426140</v>
      </c>
      <c r="V236" s="527">
        <v>204880</v>
      </c>
      <c r="W236" s="508">
        <f>SUM(K236:V236)</f>
        <v>2770820</v>
      </c>
      <c r="X236" s="498">
        <f t="shared" si="99"/>
        <v>2770820</v>
      </c>
      <c r="Y236" s="500">
        <v>2831140</v>
      </c>
      <c r="Z236" s="501">
        <v>4439172</v>
      </c>
      <c r="AA236" s="501">
        <v>326560</v>
      </c>
      <c r="AB236" s="512">
        <v>383760</v>
      </c>
      <c r="AC236" s="478">
        <f t="shared" si="98"/>
        <v>0</v>
      </c>
      <c r="AD236" s="502">
        <v>4439172</v>
      </c>
      <c r="AE236" s="510">
        <v>1571440</v>
      </c>
      <c r="AF236" s="502">
        <f>AD236+500000</f>
        <v>4939172</v>
      </c>
      <c r="AG236" s="502">
        <f t="shared" si="92"/>
        <v>500000</v>
      </c>
      <c r="AH236" s="503">
        <v>2831140</v>
      </c>
      <c r="AI236" s="503">
        <v>5039060</v>
      </c>
      <c r="AJ236" s="503">
        <v>5238102</v>
      </c>
      <c r="AK236" s="519">
        <v>1100122</v>
      </c>
    </row>
    <row r="237" spans="1:37" ht="16.5" thickTop="1" thickBot="1" x14ac:dyDescent="0.25">
      <c r="A237" s="491"/>
      <c r="B237" s="492"/>
      <c r="C237" s="493"/>
      <c r="D237" s="493">
        <v>7</v>
      </c>
      <c r="E237" s="494">
        <v>610707</v>
      </c>
      <c r="F237" s="495" t="s">
        <v>650</v>
      </c>
      <c r="G237" s="498">
        <v>1273980</v>
      </c>
      <c r="H237" s="497">
        <v>1500000</v>
      </c>
      <c r="I237" s="497">
        <v>1500000</v>
      </c>
      <c r="J237" s="498">
        <v>1500000</v>
      </c>
      <c r="K237" s="526">
        <v>98280</v>
      </c>
      <c r="L237" s="526">
        <v>93300</v>
      </c>
      <c r="M237" s="526">
        <v>77280</v>
      </c>
      <c r="N237" s="526">
        <v>0</v>
      </c>
      <c r="O237" s="526">
        <v>0</v>
      </c>
      <c r="P237" s="506">
        <v>0</v>
      </c>
      <c r="Q237" s="526">
        <v>0</v>
      </c>
      <c r="R237" s="526">
        <v>0</v>
      </c>
      <c r="S237" s="527">
        <v>105360</v>
      </c>
      <c r="T237" s="527">
        <v>110040</v>
      </c>
      <c r="U237" s="527">
        <v>98340</v>
      </c>
      <c r="V237" s="527">
        <v>47280</v>
      </c>
      <c r="W237" s="508">
        <f>SUM(K237:V237)</f>
        <v>629880</v>
      </c>
      <c r="X237" s="498">
        <f t="shared" si="99"/>
        <v>629880</v>
      </c>
      <c r="Y237" s="500">
        <v>642578</v>
      </c>
      <c r="Z237" s="501">
        <v>1034372</v>
      </c>
      <c r="AA237" s="501">
        <v>75360</v>
      </c>
      <c r="AB237" s="512">
        <v>88560</v>
      </c>
      <c r="AC237" s="478">
        <f t="shared" si="98"/>
        <v>0</v>
      </c>
      <c r="AD237" s="502">
        <v>1034372</v>
      </c>
      <c r="AE237" s="510">
        <v>362640</v>
      </c>
      <c r="AF237" s="502">
        <v>1034372</v>
      </c>
      <c r="AG237" s="502">
        <f t="shared" si="92"/>
        <v>0</v>
      </c>
      <c r="AH237" s="503">
        <v>642578</v>
      </c>
      <c r="AI237" s="503">
        <v>1162920</v>
      </c>
      <c r="AJ237" s="503">
        <v>1208855</v>
      </c>
      <c r="AK237" s="519">
        <v>1100122</v>
      </c>
    </row>
    <row r="238" spans="1:37" ht="16.5" thickTop="1" thickBot="1" x14ac:dyDescent="0.25">
      <c r="A238" s="491"/>
      <c r="B238" s="492"/>
      <c r="C238" s="493"/>
      <c r="D238" s="493">
        <v>8</v>
      </c>
      <c r="E238" s="494">
        <v>610708</v>
      </c>
      <c r="F238" s="495" t="s">
        <v>651</v>
      </c>
      <c r="G238" s="498">
        <v>328976</v>
      </c>
      <c r="H238" s="521">
        <v>400000</v>
      </c>
      <c r="I238" s="521">
        <v>400000</v>
      </c>
      <c r="J238" s="487">
        <v>400000</v>
      </c>
      <c r="K238" s="504">
        <v>25690</v>
      </c>
      <c r="L238" s="535">
        <v>27038</v>
      </c>
      <c r="M238" s="504">
        <v>22334</v>
      </c>
      <c r="N238" s="504">
        <v>0</v>
      </c>
      <c r="O238" s="504">
        <v>0</v>
      </c>
      <c r="P238" s="506">
        <v>0</v>
      </c>
      <c r="Q238" s="504">
        <v>0</v>
      </c>
      <c r="R238" s="504">
        <v>0</v>
      </c>
      <c r="S238" s="511">
        <v>28306</v>
      </c>
      <c r="T238" s="511">
        <v>29992</v>
      </c>
      <c r="U238" s="511">
        <v>26856</v>
      </c>
      <c r="V238" s="511">
        <v>12622</v>
      </c>
      <c r="W238" s="508">
        <f>SUM(K238:V238)</f>
        <v>172838</v>
      </c>
      <c r="X238" s="498">
        <f t="shared" si="99"/>
        <v>172838</v>
      </c>
      <c r="Y238" s="500">
        <v>172390</v>
      </c>
      <c r="Z238" s="501">
        <v>280640.78000000003</v>
      </c>
      <c r="AA238" s="501">
        <v>18894</v>
      </c>
      <c r="AB238" s="512">
        <v>22350</v>
      </c>
      <c r="AC238" s="478">
        <f t="shared" si="98"/>
        <v>0</v>
      </c>
      <c r="AD238" s="502">
        <v>280640.78000000003</v>
      </c>
      <c r="AE238" s="510">
        <v>91916</v>
      </c>
      <c r="AF238" s="502">
        <v>280640.78000000003</v>
      </c>
      <c r="AG238" s="502">
        <f t="shared" si="92"/>
        <v>0</v>
      </c>
      <c r="AH238" s="503">
        <v>172390</v>
      </c>
      <c r="AI238" s="503">
        <v>300516</v>
      </c>
      <c r="AJ238" s="503">
        <v>312386</v>
      </c>
      <c r="AK238" s="519">
        <v>1100122</v>
      </c>
    </row>
    <row r="239" spans="1:37" ht="16.5" thickTop="1" thickBot="1" x14ac:dyDescent="0.25">
      <c r="A239" s="491"/>
      <c r="B239" s="492"/>
      <c r="C239" s="493"/>
      <c r="D239" s="493">
        <v>9</v>
      </c>
      <c r="E239" s="494">
        <v>610709</v>
      </c>
      <c r="F239" s="495" t="s">
        <v>652</v>
      </c>
      <c r="G239" s="498">
        <v>2340</v>
      </c>
      <c r="H239" s="521">
        <v>2100</v>
      </c>
      <c r="I239" s="521">
        <v>2100</v>
      </c>
      <c r="J239" s="487">
        <v>2100</v>
      </c>
      <c r="K239" s="504">
        <v>260</v>
      </c>
      <c r="L239" s="577">
        <v>0</v>
      </c>
      <c r="M239" s="504">
        <v>520</v>
      </c>
      <c r="N239" s="641">
        <v>0</v>
      </c>
      <c r="O239" s="504">
        <v>0</v>
      </c>
      <c r="P239" s="506">
        <v>0</v>
      </c>
      <c r="Q239" s="642">
        <v>0</v>
      </c>
      <c r="R239" s="642">
        <v>0</v>
      </c>
      <c r="S239" s="643">
        <v>1040</v>
      </c>
      <c r="T239" s="643">
        <v>520</v>
      </c>
      <c r="U239" s="643">
        <v>520</v>
      </c>
      <c r="V239" s="643">
        <v>260</v>
      </c>
      <c r="W239" s="508">
        <f>SUM(K239:V239)</f>
        <v>3120</v>
      </c>
      <c r="X239" s="498">
        <f t="shared" si="99"/>
        <v>3120</v>
      </c>
      <c r="Y239" s="500">
        <v>5980</v>
      </c>
      <c r="Z239" s="501">
        <v>19671</v>
      </c>
      <c r="AA239" s="501">
        <v>520</v>
      </c>
      <c r="AB239" s="512">
        <v>1300</v>
      </c>
      <c r="AC239" s="478">
        <f t="shared" si="98"/>
        <v>0</v>
      </c>
      <c r="AD239" s="502">
        <v>19671</v>
      </c>
      <c r="AE239" s="510">
        <v>3900</v>
      </c>
      <c r="AF239" s="502">
        <v>19671</v>
      </c>
      <c r="AG239" s="502">
        <f t="shared" si="92"/>
        <v>0</v>
      </c>
      <c r="AH239" s="503">
        <v>5980</v>
      </c>
      <c r="AI239" s="503">
        <v>14560</v>
      </c>
      <c r="AJ239" s="503">
        <v>15135</v>
      </c>
      <c r="AK239" s="519">
        <v>1100122</v>
      </c>
    </row>
    <row r="240" spans="1:37" ht="16.5" thickTop="1" thickBot="1" x14ac:dyDescent="0.25">
      <c r="A240" s="491"/>
      <c r="B240" s="492"/>
      <c r="C240" s="493"/>
      <c r="D240" s="493"/>
      <c r="E240" s="580">
        <v>610801</v>
      </c>
      <c r="F240" s="495" t="s">
        <v>645</v>
      </c>
      <c r="G240" s="498"/>
      <c r="H240" s="521"/>
      <c r="I240" s="521"/>
      <c r="J240" s="487"/>
      <c r="K240" s="504"/>
      <c r="L240" s="577"/>
      <c r="M240" s="504"/>
      <c r="N240" s="575"/>
      <c r="O240" s="504"/>
      <c r="P240" s="506"/>
      <c r="Q240" s="575"/>
      <c r="R240" s="575"/>
      <c r="S240" s="644"/>
      <c r="T240" s="644"/>
      <c r="U240" s="644"/>
      <c r="V240" s="644"/>
      <c r="W240" s="508"/>
      <c r="X240" s="498"/>
      <c r="Y240" s="500"/>
      <c r="Z240" s="578"/>
      <c r="AA240" s="578"/>
      <c r="AB240" s="575"/>
      <c r="AC240" s="478"/>
      <c r="AD240" s="502">
        <v>20000</v>
      </c>
      <c r="AE240" s="502"/>
      <c r="AF240" s="502">
        <v>20000</v>
      </c>
      <c r="AG240" s="502">
        <f t="shared" si="92"/>
        <v>0</v>
      </c>
      <c r="AH240" s="503">
        <v>0</v>
      </c>
      <c r="AI240" s="503">
        <v>757.31</v>
      </c>
      <c r="AJ240" s="503">
        <v>12000</v>
      </c>
      <c r="AK240" s="519">
        <v>1100122</v>
      </c>
    </row>
    <row r="241" spans="1:37" ht="15.75" thickTop="1" thickBot="1" x14ac:dyDescent="0.25">
      <c r="A241" s="565"/>
      <c r="B241" s="471" t="s">
        <v>461</v>
      </c>
      <c r="C241" s="566"/>
      <c r="D241" s="566"/>
      <c r="E241" s="519"/>
      <c r="F241" s="567" t="s">
        <v>653</v>
      </c>
      <c r="G241" s="474">
        <f>G242+G245</f>
        <v>1184198.6099999999</v>
      </c>
      <c r="H241" s="475">
        <f>H242+H245</f>
        <v>920000</v>
      </c>
      <c r="I241" s="475">
        <f>I242+I245+I248</f>
        <v>970000</v>
      </c>
      <c r="J241" s="474">
        <f>J242+J245+J248</f>
        <v>1030000</v>
      </c>
      <c r="K241" s="474">
        <f t="shared" ref="K241:V241" si="100">K242+K245</f>
        <v>118274.53</v>
      </c>
      <c r="L241" s="474">
        <f t="shared" si="100"/>
        <v>85847.569999999992</v>
      </c>
      <c r="M241" s="474">
        <f t="shared" si="100"/>
        <v>97936.76999999999</v>
      </c>
      <c r="N241" s="474">
        <f t="shared" si="100"/>
        <v>28391.65</v>
      </c>
      <c r="O241" s="474">
        <f t="shared" si="100"/>
        <v>26604.690000000002</v>
      </c>
      <c r="P241" s="474">
        <f t="shared" si="100"/>
        <v>59147.38</v>
      </c>
      <c r="Q241" s="474">
        <f t="shared" si="100"/>
        <v>27700</v>
      </c>
      <c r="R241" s="474">
        <f t="shared" si="100"/>
        <v>52000</v>
      </c>
      <c r="S241" s="474">
        <f t="shared" si="100"/>
        <v>116545.82</v>
      </c>
      <c r="T241" s="474">
        <f t="shared" si="100"/>
        <v>131959.57999999999</v>
      </c>
      <c r="U241" s="474">
        <f t="shared" si="100"/>
        <v>96206.86</v>
      </c>
      <c r="V241" s="474">
        <f t="shared" si="100"/>
        <v>130194.53</v>
      </c>
      <c r="W241" s="476">
        <f t="shared" ref="W241:AB241" si="101">W242+W245+W248</f>
        <v>1010809.38</v>
      </c>
      <c r="X241" s="476">
        <f t="shared" si="101"/>
        <v>1010809.38</v>
      </c>
      <c r="Y241" s="477">
        <f t="shared" si="101"/>
        <v>1190131.3999999999</v>
      </c>
      <c r="Z241" s="476">
        <f t="shared" si="101"/>
        <v>1128029.22</v>
      </c>
      <c r="AA241" s="476">
        <f t="shared" si="101"/>
        <v>71006.92</v>
      </c>
      <c r="AB241" s="476">
        <f t="shared" si="101"/>
        <v>70612.959999999992</v>
      </c>
      <c r="AC241" s="478">
        <f t="shared" ref="AC241:AC256" si="102">W241-X241</f>
        <v>0</v>
      </c>
      <c r="AD241" s="474">
        <f>AD242+AD245+AD248</f>
        <v>1209245.54</v>
      </c>
      <c r="AE241" s="474">
        <f>AE242+AE245+AE248</f>
        <v>738280.35000000009</v>
      </c>
      <c r="AF241" s="474">
        <f>AF242+AF245+AF248</f>
        <v>1709245.54</v>
      </c>
      <c r="AG241" s="474">
        <f t="shared" si="92"/>
        <v>500000</v>
      </c>
      <c r="AH241" s="477">
        <f>AH242+AH245+AH248</f>
        <v>1190131.3999999999</v>
      </c>
      <c r="AI241" s="477">
        <f>AI242+AI245+AI248</f>
        <v>1748350.7600000002</v>
      </c>
      <c r="AJ241" s="477">
        <f>AJ242+AJ245+AJ248</f>
        <v>1775090</v>
      </c>
      <c r="AK241" s="525"/>
    </row>
    <row r="242" spans="1:37" ht="15.75" thickTop="1" thickBot="1" x14ac:dyDescent="0.25">
      <c r="A242" s="516"/>
      <c r="B242" s="517"/>
      <c r="C242" s="518">
        <v>1</v>
      </c>
      <c r="D242" s="518"/>
      <c r="E242" s="519"/>
      <c r="F242" s="520" t="s">
        <v>449</v>
      </c>
      <c r="G242" s="498">
        <f t="shared" ref="G242:AB242" si="103">G243+G244</f>
        <v>660413.86</v>
      </c>
      <c r="H242" s="498">
        <f t="shared" si="103"/>
        <v>470000</v>
      </c>
      <c r="I242" s="498">
        <f t="shared" si="103"/>
        <v>470000</v>
      </c>
      <c r="J242" s="498">
        <f t="shared" si="103"/>
        <v>530000</v>
      </c>
      <c r="K242" s="498">
        <f t="shared" si="103"/>
        <v>60821.33</v>
      </c>
      <c r="L242" s="498">
        <f t="shared" si="103"/>
        <v>41277.78</v>
      </c>
      <c r="M242" s="498">
        <f t="shared" si="103"/>
        <v>53966.58</v>
      </c>
      <c r="N242" s="498">
        <f t="shared" si="103"/>
        <v>15881.09</v>
      </c>
      <c r="O242" s="498">
        <f t="shared" si="103"/>
        <v>14441.49</v>
      </c>
      <c r="P242" s="498">
        <f t="shared" si="103"/>
        <v>34299.699999999997</v>
      </c>
      <c r="Q242" s="498">
        <f t="shared" si="103"/>
        <v>19000</v>
      </c>
      <c r="R242" s="498">
        <f t="shared" si="103"/>
        <v>30000</v>
      </c>
      <c r="S242" s="498">
        <f t="shared" si="103"/>
        <v>69238.36</v>
      </c>
      <c r="T242" s="498">
        <f t="shared" si="103"/>
        <v>64374.52</v>
      </c>
      <c r="U242" s="498">
        <f t="shared" si="103"/>
        <v>45181.840000000004</v>
      </c>
      <c r="V242" s="498">
        <f t="shared" si="103"/>
        <v>70281.16</v>
      </c>
      <c r="W242" s="522">
        <f t="shared" si="103"/>
        <v>518763.85000000003</v>
      </c>
      <c r="X242" s="524">
        <f t="shared" si="103"/>
        <v>518763.85000000003</v>
      </c>
      <c r="Y242" s="523">
        <f t="shared" si="103"/>
        <v>637212.37</v>
      </c>
      <c r="Z242" s="524">
        <f t="shared" si="103"/>
        <v>610919.42999999993</v>
      </c>
      <c r="AA242" s="524">
        <f t="shared" si="103"/>
        <v>41293.96</v>
      </c>
      <c r="AB242" s="524">
        <f t="shared" si="103"/>
        <v>35235.759999999995</v>
      </c>
      <c r="AC242" s="478">
        <f t="shared" si="102"/>
        <v>0</v>
      </c>
      <c r="AD242" s="522">
        <f>AD243+AD244</f>
        <v>656326.51</v>
      </c>
      <c r="AE242" s="522">
        <f>AE243+AE244</f>
        <v>544272.29</v>
      </c>
      <c r="AF242" s="522">
        <f>AF243+AF244</f>
        <v>1156326.51</v>
      </c>
      <c r="AG242" s="522">
        <f t="shared" si="92"/>
        <v>500000</v>
      </c>
      <c r="AH242" s="523">
        <f>AH243+AH244</f>
        <v>637212.37</v>
      </c>
      <c r="AI242" s="523">
        <f>AI243+AI244</f>
        <v>1142700.55</v>
      </c>
      <c r="AJ242" s="523">
        <f>AJ243+AJ244</f>
        <v>1145518</v>
      </c>
      <c r="AK242" s="525"/>
    </row>
    <row r="243" spans="1:37" ht="16.5" thickTop="1" thickBot="1" x14ac:dyDescent="0.25">
      <c r="A243" s="491"/>
      <c r="B243" s="492"/>
      <c r="C243" s="493"/>
      <c r="D243" s="493">
        <v>1</v>
      </c>
      <c r="E243" s="494">
        <v>630101</v>
      </c>
      <c r="F243" s="495" t="s">
        <v>654</v>
      </c>
      <c r="G243" s="498">
        <v>494059.55</v>
      </c>
      <c r="H243" s="497">
        <v>470000</v>
      </c>
      <c r="I243" s="497">
        <v>470000</v>
      </c>
      <c r="J243" s="498">
        <v>470000</v>
      </c>
      <c r="K243" s="526">
        <v>44537.13</v>
      </c>
      <c r="L243" s="526">
        <v>33105.65</v>
      </c>
      <c r="M243" s="526">
        <v>42672.61</v>
      </c>
      <c r="N243" s="526">
        <v>13139.24</v>
      </c>
      <c r="O243" s="581">
        <v>11381.34</v>
      </c>
      <c r="P243" s="506">
        <v>31069.79</v>
      </c>
      <c r="Q243" s="527">
        <v>17000</v>
      </c>
      <c r="R243" s="527">
        <v>25000</v>
      </c>
      <c r="S243" s="527">
        <v>52363.94</v>
      </c>
      <c r="T243" s="527">
        <v>54573.95</v>
      </c>
      <c r="U243" s="527">
        <v>38654.51</v>
      </c>
      <c r="V243" s="527">
        <v>48474.13</v>
      </c>
      <c r="W243" s="508">
        <f>SUM(K243:V243)</f>
        <v>411972.29000000004</v>
      </c>
      <c r="X243" s="498">
        <f>W243</f>
        <v>411972.29000000004</v>
      </c>
      <c r="Y243" s="500">
        <v>549534.94999999995</v>
      </c>
      <c r="Z243" s="501">
        <v>504127.87</v>
      </c>
      <c r="AA243" s="501">
        <v>36669.89</v>
      </c>
      <c r="AB243" s="512">
        <v>33748.49</v>
      </c>
      <c r="AC243" s="478">
        <f t="shared" si="102"/>
        <v>0</v>
      </c>
      <c r="AD243" s="502">
        <f>Y243</f>
        <v>549534.94999999995</v>
      </c>
      <c r="AE243" s="510">
        <v>523286.21</v>
      </c>
      <c r="AF243" s="502">
        <f>AD243+500000</f>
        <v>1049534.95</v>
      </c>
      <c r="AG243" s="502">
        <f t="shared" si="92"/>
        <v>500000</v>
      </c>
      <c r="AH243" s="503">
        <v>549534.94999999995</v>
      </c>
      <c r="AI243" s="503">
        <v>1071357.19</v>
      </c>
      <c r="AJ243" s="503">
        <v>1071357</v>
      </c>
      <c r="AK243" s="519">
        <v>1100122</v>
      </c>
    </row>
    <row r="244" spans="1:37" ht="16.5" thickTop="1" thickBot="1" x14ac:dyDescent="0.25">
      <c r="A244" s="491"/>
      <c r="B244" s="492"/>
      <c r="C244" s="493"/>
      <c r="D244" s="493">
        <v>2</v>
      </c>
      <c r="E244" s="580">
        <v>630102</v>
      </c>
      <c r="F244" s="495" t="s">
        <v>655</v>
      </c>
      <c r="G244" s="498">
        <v>166354.31</v>
      </c>
      <c r="H244" s="497"/>
      <c r="I244" s="497"/>
      <c r="J244" s="498">
        <v>60000</v>
      </c>
      <c r="K244" s="526">
        <v>16284.2</v>
      </c>
      <c r="L244" s="531">
        <v>8172.13</v>
      </c>
      <c r="M244" s="526">
        <v>11293.97</v>
      </c>
      <c r="N244" s="526">
        <v>2741.85</v>
      </c>
      <c r="O244" s="581">
        <v>3060.15</v>
      </c>
      <c r="P244" s="506">
        <v>3229.91</v>
      </c>
      <c r="Q244" s="527">
        <v>2000</v>
      </c>
      <c r="R244" s="527">
        <v>5000</v>
      </c>
      <c r="S244" s="527">
        <v>16874.419999999998</v>
      </c>
      <c r="T244" s="527">
        <v>9800.57</v>
      </c>
      <c r="U244" s="527">
        <v>6527.33</v>
      </c>
      <c r="V244" s="527">
        <v>21807.03</v>
      </c>
      <c r="W244" s="508">
        <f>SUM(K244:V244)</f>
        <v>106791.56000000001</v>
      </c>
      <c r="X244" s="498">
        <f>W244</f>
        <v>106791.56000000001</v>
      </c>
      <c r="Y244" s="500">
        <v>87677.42</v>
      </c>
      <c r="Z244" s="501">
        <v>106791.56</v>
      </c>
      <c r="AA244" s="501">
        <v>4624.07</v>
      </c>
      <c r="AB244" s="512">
        <v>1487.27</v>
      </c>
      <c r="AC244" s="478">
        <f t="shared" si="102"/>
        <v>0</v>
      </c>
      <c r="AD244" s="502">
        <v>106791.56</v>
      </c>
      <c r="AE244" s="510">
        <v>20986.080000000002</v>
      </c>
      <c r="AF244" s="502">
        <v>106791.56</v>
      </c>
      <c r="AG244" s="502">
        <f t="shared" si="92"/>
        <v>0</v>
      </c>
      <c r="AH244" s="503">
        <v>87677.42</v>
      </c>
      <c r="AI244" s="503">
        <v>71343.360000000001</v>
      </c>
      <c r="AJ244" s="503">
        <v>74161</v>
      </c>
      <c r="AK244" s="519">
        <v>1100122</v>
      </c>
    </row>
    <row r="245" spans="1:37" ht="15.75" thickTop="1" thickBot="1" x14ac:dyDescent="0.25">
      <c r="A245" s="516"/>
      <c r="B245" s="517"/>
      <c r="C245" s="518">
        <v>2</v>
      </c>
      <c r="D245" s="518"/>
      <c r="E245" s="519"/>
      <c r="F245" s="520" t="s">
        <v>656</v>
      </c>
      <c r="G245" s="498">
        <f>G246+G247</f>
        <v>523784.75</v>
      </c>
      <c r="H245" s="498">
        <f>H246+H247</f>
        <v>450000</v>
      </c>
      <c r="I245" s="498">
        <f>I246+I247</f>
        <v>460000</v>
      </c>
      <c r="J245" s="498">
        <f>H245+J247</f>
        <v>460000</v>
      </c>
      <c r="K245" s="498">
        <f>K246+K247</f>
        <v>57453.200000000004</v>
      </c>
      <c r="L245" s="498">
        <f t="shared" ref="L245:V245" si="104">L246+L247+L248</f>
        <v>44569.789999999994</v>
      </c>
      <c r="M245" s="498">
        <f t="shared" si="104"/>
        <v>43970.189999999995</v>
      </c>
      <c r="N245" s="498">
        <f t="shared" si="104"/>
        <v>12510.56</v>
      </c>
      <c r="O245" s="498">
        <f t="shared" si="104"/>
        <v>12163.2</v>
      </c>
      <c r="P245" s="498">
        <f t="shared" si="104"/>
        <v>24847.68</v>
      </c>
      <c r="Q245" s="498">
        <f t="shared" si="104"/>
        <v>8700</v>
      </c>
      <c r="R245" s="498">
        <f t="shared" si="104"/>
        <v>22000</v>
      </c>
      <c r="S245" s="498">
        <f t="shared" si="104"/>
        <v>47307.46</v>
      </c>
      <c r="T245" s="498">
        <f t="shared" si="104"/>
        <v>67585.06</v>
      </c>
      <c r="U245" s="498">
        <f t="shared" si="104"/>
        <v>51025.02</v>
      </c>
      <c r="V245" s="498">
        <f t="shared" si="104"/>
        <v>59913.37</v>
      </c>
      <c r="W245" s="522">
        <f t="shared" ref="W245:AB245" si="105">W246+W247</f>
        <v>452045.52999999997</v>
      </c>
      <c r="X245" s="524">
        <f t="shared" si="105"/>
        <v>452045.52999999997</v>
      </c>
      <c r="Y245" s="523">
        <f t="shared" si="105"/>
        <v>552919.03</v>
      </c>
      <c r="Z245" s="524">
        <f t="shared" si="105"/>
        <v>517109.79</v>
      </c>
      <c r="AA245" s="524">
        <f t="shared" si="105"/>
        <v>29712.959999999999</v>
      </c>
      <c r="AB245" s="524">
        <f t="shared" si="105"/>
        <v>35377.200000000004</v>
      </c>
      <c r="AC245" s="478">
        <f t="shared" si="102"/>
        <v>0</v>
      </c>
      <c r="AD245" s="522">
        <f>AD246+AD247</f>
        <v>552919.03</v>
      </c>
      <c r="AE245" s="522">
        <f>AE246+AE247</f>
        <v>194008.06</v>
      </c>
      <c r="AF245" s="522">
        <f>AF246+AF247</f>
        <v>552919.03</v>
      </c>
      <c r="AG245" s="522">
        <f t="shared" si="92"/>
        <v>0</v>
      </c>
      <c r="AH245" s="523">
        <f>AH246+AH247</f>
        <v>552919.03</v>
      </c>
      <c r="AI245" s="523">
        <f>AI246+AI247</f>
        <v>605650.21000000008</v>
      </c>
      <c r="AJ245" s="523">
        <f>AJ246+AJ247</f>
        <v>629572</v>
      </c>
      <c r="AK245" s="525"/>
    </row>
    <row r="246" spans="1:37" ht="16.5" thickTop="1" thickBot="1" x14ac:dyDescent="0.25">
      <c r="A246" s="491"/>
      <c r="B246" s="492"/>
      <c r="C246" s="493"/>
      <c r="D246" s="493">
        <v>1</v>
      </c>
      <c r="E246" s="494">
        <v>630201</v>
      </c>
      <c r="F246" s="495" t="s">
        <v>657</v>
      </c>
      <c r="G246" s="498">
        <v>486927.91</v>
      </c>
      <c r="H246" s="497">
        <v>450000</v>
      </c>
      <c r="I246" s="497">
        <v>450000</v>
      </c>
      <c r="J246" s="498">
        <f>H246</f>
        <v>450000</v>
      </c>
      <c r="K246" s="508">
        <v>57284.22</v>
      </c>
      <c r="L246" s="526">
        <v>42072.27</v>
      </c>
      <c r="M246" s="526">
        <v>43622.67</v>
      </c>
      <c r="N246" s="526">
        <v>12510.56</v>
      </c>
      <c r="O246" s="581">
        <v>11989.44</v>
      </c>
      <c r="P246" s="506">
        <v>24326.400000000001</v>
      </c>
      <c r="Q246" s="527">
        <v>8700</v>
      </c>
      <c r="R246" s="527">
        <v>22000</v>
      </c>
      <c r="S246" s="527">
        <v>46807.46</v>
      </c>
      <c r="T246" s="527">
        <v>67085.06</v>
      </c>
      <c r="U246" s="527">
        <v>50525.02</v>
      </c>
      <c r="V246" s="527">
        <v>59413.37</v>
      </c>
      <c r="W246" s="508">
        <f>SUM(K246:V246)</f>
        <v>446336.47</v>
      </c>
      <c r="X246" s="498">
        <f>W246</f>
        <v>446336.47</v>
      </c>
      <c r="Y246" s="500">
        <v>543649.67000000004</v>
      </c>
      <c r="Z246" s="533">
        <v>511400.73</v>
      </c>
      <c r="AA246" s="533">
        <v>29017.919999999998</v>
      </c>
      <c r="AB246" s="512">
        <v>32718.720000000001</v>
      </c>
      <c r="AC246" s="478">
        <f t="shared" si="102"/>
        <v>0</v>
      </c>
      <c r="AD246" s="502">
        <f>Y246</f>
        <v>543649.67000000004</v>
      </c>
      <c r="AE246" s="510">
        <v>189457.58</v>
      </c>
      <c r="AF246" s="502">
        <v>543649.67000000004</v>
      </c>
      <c r="AG246" s="502">
        <f t="shared" si="92"/>
        <v>0</v>
      </c>
      <c r="AH246" s="503">
        <v>543649.67000000004</v>
      </c>
      <c r="AI246" s="503">
        <v>595804.15</v>
      </c>
      <c r="AJ246" s="503">
        <v>619338</v>
      </c>
      <c r="AK246" s="519">
        <v>1100122</v>
      </c>
    </row>
    <row r="247" spans="1:37" ht="16.5" thickTop="1" thickBot="1" x14ac:dyDescent="0.25">
      <c r="A247" s="491"/>
      <c r="B247" s="492"/>
      <c r="C247" s="493"/>
      <c r="D247" s="493">
        <v>2</v>
      </c>
      <c r="E247" s="580">
        <v>630202</v>
      </c>
      <c r="F247" s="495" t="s">
        <v>658</v>
      </c>
      <c r="G247" s="498">
        <v>36856.839999999997</v>
      </c>
      <c r="H247" s="497"/>
      <c r="I247" s="497">
        <v>10000</v>
      </c>
      <c r="J247" s="498">
        <v>10000</v>
      </c>
      <c r="K247" s="526">
        <v>168.98</v>
      </c>
      <c r="L247" s="526">
        <v>2497.52</v>
      </c>
      <c r="M247" s="526">
        <v>347.52</v>
      </c>
      <c r="N247" s="526">
        <v>0</v>
      </c>
      <c r="O247" s="581">
        <v>173.76</v>
      </c>
      <c r="P247" s="506">
        <v>521.28</v>
      </c>
      <c r="Q247" s="526">
        <v>0</v>
      </c>
      <c r="R247" s="526">
        <v>0</v>
      </c>
      <c r="S247" s="527">
        <v>500</v>
      </c>
      <c r="T247" s="527">
        <v>500</v>
      </c>
      <c r="U247" s="527">
        <v>500</v>
      </c>
      <c r="V247" s="527">
        <v>500</v>
      </c>
      <c r="W247" s="508">
        <f>SUM(K247:V247)</f>
        <v>5709.0599999999995</v>
      </c>
      <c r="X247" s="498">
        <f>W247</f>
        <v>5709.0599999999995</v>
      </c>
      <c r="Y247" s="500">
        <v>9269.36</v>
      </c>
      <c r="Z247" s="533">
        <v>5709.06</v>
      </c>
      <c r="AA247" s="533">
        <v>695.04</v>
      </c>
      <c r="AB247" s="512">
        <v>2658.48</v>
      </c>
      <c r="AC247" s="478">
        <f t="shared" si="102"/>
        <v>0</v>
      </c>
      <c r="AD247" s="502">
        <f>Y247</f>
        <v>9269.36</v>
      </c>
      <c r="AE247" s="510">
        <v>4550.4799999999996</v>
      </c>
      <c r="AF247" s="502">
        <v>9269.36</v>
      </c>
      <c r="AG247" s="502">
        <f t="shared" si="92"/>
        <v>0</v>
      </c>
      <c r="AH247" s="503">
        <v>9269.36</v>
      </c>
      <c r="AI247" s="503">
        <v>9846.06</v>
      </c>
      <c r="AJ247" s="503">
        <v>10234</v>
      </c>
      <c r="AK247" s="519">
        <v>1100122</v>
      </c>
    </row>
    <row r="248" spans="1:37" ht="16.5" thickTop="1" thickBot="1" x14ac:dyDescent="0.25">
      <c r="A248" s="491"/>
      <c r="B248" s="492"/>
      <c r="C248" s="493"/>
      <c r="D248" s="493"/>
      <c r="E248" s="645">
        <v>630301</v>
      </c>
      <c r="F248" s="495" t="s">
        <v>659</v>
      </c>
      <c r="G248" s="498"/>
      <c r="H248" s="497"/>
      <c r="I248" s="497">
        <v>40000</v>
      </c>
      <c r="J248" s="498">
        <v>40000</v>
      </c>
      <c r="K248" s="526"/>
      <c r="L248" s="526">
        <v>0</v>
      </c>
      <c r="M248" s="526">
        <v>0</v>
      </c>
      <c r="N248" s="526">
        <v>0</v>
      </c>
      <c r="O248" s="526"/>
      <c r="P248" s="595"/>
      <c r="Q248" s="526">
        <v>0</v>
      </c>
      <c r="R248" s="526">
        <v>0</v>
      </c>
      <c r="S248" s="527"/>
      <c r="T248" s="527"/>
      <c r="U248" s="527"/>
      <c r="V248" s="527"/>
      <c r="W248" s="497">
        <f>I248</f>
        <v>40000</v>
      </c>
      <c r="X248" s="498">
        <f>W248</f>
        <v>40000</v>
      </c>
      <c r="Y248" s="500"/>
      <c r="Z248" s="498"/>
      <c r="AA248" s="498"/>
      <c r="AB248" s="498"/>
      <c r="AC248" s="478">
        <f t="shared" si="102"/>
        <v>0</v>
      </c>
      <c r="AD248" s="498"/>
      <c r="AE248" s="498"/>
      <c r="AF248" s="498"/>
      <c r="AG248" s="498">
        <f t="shared" si="92"/>
        <v>0</v>
      </c>
      <c r="AH248" s="500"/>
      <c r="AI248" s="500"/>
      <c r="AJ248" s="500"/>
      <c r="AK248" s="472"/>
    </row>
    <row r="249" spans="1:37" ht="39.75" thickTop="1" thickBot="1" x14ac:dyDescent="0.25">
      <c r="A249" s="562">
        <v>8</v>
      </c>
      <c r="B249" s="562" t="s">
        <v>462</v>
      </c>
      <c r="C249" s="563"/>
      <c r="D249" s="563"/>
      <c r="E249" s="464"/>
      <c r="F249" s="465" t="s">
        <v>660</v>
      </c>
      <c r="G249" s="466">
        <f>G251+G252+G253+G254+G255+G256+G260+G262+G266+G271+G364+G365+G366+G369</f>
        <v>1130295558.24</v>
      </c>
      <c r="H249" s="466">
        <f t="shared" ref="H249:AB249" si="106">H250+H259+H264+H363</f>
        <v>1113043796.26</v>
      </c>
      <c r="I249" s="466">
        <f t="shared" si="106"/>
        <v>1285919156.8700001</v>
      </c>
      <c r="J249" s="466">
        <f t="shared" si="106"/>
        <v>1277919156.8700001</v>
      </c>
      <c r="K249" s="466">
        <f t="shared" si="106"/>
        <v>86006340.749999985</v>
      </c>
      <c r="L249" s="466">
        <f t="shared" si="106"/>
        <v>113217653.18000001</v>
      </c>
      <c r="M249" s="466">
        <f t="shared" si="106"/>
        <v>105993377.67</v>
      </c>
      <c r="N249" s="466">
        <f t="shared" si="106"/>
        <v>122493405.37</v>
      </c>
      <c r="O249" s="466">
        <f t="shared" si="106"/>
        <v>186366974.55000001</v>
      </c>
      <c r="P249" s="466">
        <f t="shared" si="106"/>
        <v>122972701.3</v>
      </c>
      <c r="Q249" s="466">
        <f t="shared" si="106"/>
        <v>91658890.515000001</v>
      </c>
      <c r="R249" s="466">
        <f t="shared" si="106"/>
        <v>92526294.875000015</v>
      </c>
      <c r="S249" s="466">
        <f t="shared" si="106"/>
        <v>90694197.265000001</v>
      </c>
      <c r="T249" s="466">
        <f t="shared" si="106"/>
        <v>95111370.745000005</v>
      </c>
      <c r="U249" s="466">
        <f t="shared" si="106"/>
        <v>85867794.234999999</v>
      </c>
      <c r="V249" s="466">
        <f t="shared" si="106"/>
        <v>204734669.66375002</v>
      </c>
      <c r="W249" s="466">
        <f t="shared" si="106"/>
        <v>1386109903.9500003</v>
      </c>
      <c r="X249" s="466">
        <f t="shared" si="106"/>
        <v>1386109903.9500003</v>
      </c>
      <c r="Y249" s="467">
        <f t="shared" si="106"/>
        <v>1464050029.5900002</v>
      </c>
      <c r="Z249" s="468">
        <f t="shared" si="106"/>
        <v>1182061955.4999998</v>
      </c>
      <c r="AA249" s="468">
        <f t="shared" si="106"/>
        <v>82985042.25999999</v>
      </c>
      <c r="AB249" s="468">
        <f t="shared" si="106"/>
        <v>141586744.66</v>
      </c>
      <c r="AC249" s="613">
        <f t="shared" si="102"/>
        <v>0</v>
      </c>
      <c r="AD249" s="468">
        <f>AD250+AD259+AD264+AD363</f>
        <v>1318520714.22</v>
      </c>
      <c r="AE249" s="468">
        <f>AE250+AE259+AE264+AE363</f>
        <v>458200784.15000004</v>
      </c>
      <c r="AF249" s="468">
        <f>AF250+AF259+AF264+AF363</f>
        <v>1343609713.3900001</v>
      </c>
      <c r="AG249" s="468">
        <f t="shared" si="92"/>
        <v>25088999.170000076</v>
      </c>
      <c r="AH249" s="467">
        <f>AH250+AH259+AH264+AH363</f>
        <v>1464050029.5900002</v>
      </c>
      <c r="AI249" s="467">
        <f>AI250+AI259+AI264+AI363</f>
        <v>1374143506.23</v>
      </c>
      <c r="AJ249" s="467">
        <f>AJ250+AJ259+AJ264+AJ363</f>
        <v>1197005918.1875098</v>
      </c>
      <c r="AK249" s="470"/>
    </row>
    <row r="250" spans="1:37" ht="15.75" thickTop="1" thickBot="1" x14ac:dyDescent="0.25">
      <c r="A250" s="565"/>
      <c r="B250" s="471">
        <v>1</v>
      </c>
      <c r="C250" s="566"/>
      <c r="D250" s="566"/>
      <c r="E250" s="519"/>
      <c r="F250" s="567" t="s">
        <v>661</v>
      </c>
      <c r="G250" s="474">
        <f t="shared" ref="G250:O250" si="107">SUM(G251:G256)</f>
        <v>662061103.38</v>
      </c>
      <c r="H250" s="475">
        <f t="shared" si="107"/>
        <v>628734366</v>
      </c>
      <c r="I250" s="475">
        <f t="shared" si="107"/>
        <v>628734366</v>
      </c>
      <c r="J250" s="474">
        <f t="shared" si="107"/>
        <v>620734366</v>
      </c>
      <c r="K250" s="474">
        <f t="shared" si="107"/>
        <v>46123389.539999999</v>
      </c>
      <c r="L250" s="474">
        <f t="shared" si="107"/>
        <v>70123004.819999993</v>
      </c>
      <c r="M250" s="474">
        <f t="shared" si="107"/>
        <v>48436272.410000004</v>
      </c>
      <c r="N250" s="474">
        <f t="shared" si="107"/>
        <v>69679927.819999993</v>
      </c>
      <c r="O250" s="474">
        <f t="shared" si="107"/>
        <v>60317075.5</v>
      </c>
      <c r="P250" s="474">
        <f>SUM(P251:P258)</f>
        <v>58982258.600000001</v>
      </c>
      <c r="Q250" s="474">
        <f t="shared" ref="Q250:X250" si="108">SUM(Q251:Q256)</f>
        <v>52624523.567500003</v>
      </c>
      <c r="R250" s="474">
        <f t="shared" si="108"/>
        <v>53490927.927500002</v>
      </c>
      <c r="S250" s="474">
        <f t="shared" si="108"/>
        <v>49524523.567500003</v>
      </c>
      <c r="T250" s="474">
        <f t="shared" si="108"/>
        <v>53941693.047499999</v>
      </c>
      <c r="U250" s="474">
        <f t="shared" si="108"/>
        <v>50996837.527499996</v>
      </c>
      <c r="V250" s="474">
        <f t="shared" si="108"/>
        <v>52968070.826250009</v>
      </c>
      <c r="W250" s="476">
        <f t="shared" si="108"/>
        <v>663941662.78000009</v>
      </c>
      <c r="X250" s="476">
        <f t="shared" si="108"/>
        <v>663941662.78000009</v>
      </c>
      <c r="Y250" s="477">
        <f>SUM(Y251:Y258)</f>
        <v>716553684.19000006</v>
      </c>
      <c r="Z250" s="476">
        <f>SUM(Z251:Z258)</f>
        <v>661562756.16999996</v>
      </c>
      <c r="AA250" s="476">
        <f>SUM(AA251:AA258)</f>
        <v>43909286.350000001</v>
      </c>
      <c r="AB250" s="476">
        <f>SUM(AB251:AB258)</f>
        <v>80321970.719999999</v>
      </c>
      <c r="AC250" s="478">
        <f t="shared" si="102"/>
        <v>0</v>
      </c>
      <c r="AD250" s="474">
        <f>SUM(AD251:AD258)</f>
        <v>668397866</v>
      </c>
      <c r="AE250" s="474">
        <f>SUM(AE251:AE258)</f>
        <v>258252573.42000002</v>
      </c>
      <c r="AF250" s="474">
        <f>SUM(AF251:AF258)</f>
        <v>670263411.44000006</v>
      </c>
      <c r="AG250" s="474">
        <f t="shared" si="92"/>
        <v>1865545.4400000572</v>
      </c>
      <c r="AH250" s="477">
        <f>SUM(AH251:AH258)</f>
        <v>716553684.19000006</v>
      </c>
      <c r="AI250" s="477">
        <f>SUM(AI251:AI258)</f>
        <v>696360726.77999997</v>
      </c>
      <c r="AJ250" s="477">
        <f>SUM(AJ251:AJ258)</f>
        <v>707196192.54800987</v>
      </c>
      <c r="AK250" s="525"/>
    </row>
    <row r="251" spans="1:37" ht="16.5" thickTop="1" thickBot="1" x14ac:dyDescent="0.25">
      <c r="A251" s="491"/>
      <c r="B251" s="492"/>
      <c r="C251" s="493">
        <v>1</v>
      </c>
      <c r="D251" s="493">
        <v>1</v>
      </c>
      <c r="E251" s="519">
        <v>810101</v>
      </c>
      <c r="F251" s="495" t="s">
        <v>662</v>
      </c>
      <c r="G251" s="498">
        <v>497387699.64999998</v>
      </c>
      <c r="H251" s="521">
        <v>466840285</v>
      </c>
      <c r="I251" s="521">
        <v>466840285</v>
      </c>
      <c r="J251" s="521">
        <v>466840285</v>
      </c>
      <c r="K251" s="504">
        <v>35000181.700000003</v>
      </c>
      <c r="L251" s="535">
        <v>52400502.640000001</v>
      </c>
      <c r="M251" s="504">
        <v>37215100.310000002</v>
      </c>
      <c r="N251" s="504">
        <v>53931128.039999999</v>
      </c>
      <c r="O251" s="568">
        <v>36064723.68</v>
      </c>
      <c r="P251" s="506">
        <v>23882319.190000001</v>
      </c>
      <c r="Q251" s="511">
        <v>39064723.68</v>
      </c>
      <c r="R251" s="511">
        <v>40931128.039999999</v>
      </c>
      <c r="S251" s="511">
        <v>37064723.68</v>
      </c>
      <c r="T251" s="511">
        <v>40931128.039999999</v>
      </c>
      <c r="U251" s="511">
        <v>38064723.68</v>
      </c>
      <c r="V251" s="511">
        <f>40036671.53875-423659.12+48808.85</f>
        <v>39661821.268750004</v>
      </c>
      <c r="W251" s="508">
        <v>474212203.94</v>
      </c>
      <c r="X251" s="498">
        <f t="shared" ref="X251:X256" si="109">W251</f>
        <v>474212203.94</v>
      </c>
      <c r="Y251" s="500">
        <v>492466529.67000002</v>
      </c>
      <c r="Z251" s="501">
        <v>470453536.5</v>
      </c>
      <c r="AA251" s="501">
        <v>36243693.75</v>
      </c>
      <c r="AB251" s="512">
        <v>52192882.490000002</v>
      </c>
      <c r="AC251" s="478">
        <f t="shared" si="102"/>
        <v>0</v>
      </c>
      <c r="AD251" s="502">
        <v>490188075</v>
      </c>
      <c r="AE251" s="510">
        <v>184231372.59999999</v>
      </c>
      <c r="AF251" s="502">
        <v>490188075</v>
      </c>
      <c r="AG251" s="502">
        <f t="shared" si="92"/>
        <v>0</v>
      </c>
      <c r="AH251" s="503">
        <v>492466529.67000002</v>
      </c>
      <c r="AI251" s="503">
        <v>502152160.31</v>
      </c>
      <c r="AJ251" s="503">
        <f>521736094.56209+266496.13</f>
        <v>522002590.69208997</v>
      </c>
      <c r="AK251" s="472">
        <v>1500522</v>
      </c>
    </row>
    <row r="252" spans="1:37" ht="16.5" thickTop="1" thickBot="1" x14ac:dyDescent="0.25">
      <c r="A252" s="491"/>
      <c r="B252" s="492"/>
      <c r="C252" s="493">
        <v>2</v>
      </c>
      <c r="D252" s="493">
        <v>1</v>
      </c>
      <c r="E252" s="519">
        <v>810201</v>
      </c>
      <c r="F252" s="495" t="s">
        <v>663</v>
      </c>
      <c r="G252" s="498">
        <v>46396631.579999998</v>
      </c>
      <c r="H252" s="521">
        <f>23281397+20000000</f>
        <v>43281397</v>
      </c>
      <c r="I252" s="521">
        <f>23281397+20000000</f>
        <v>43281397</v>
      </c>
      <c r="J252" s="521">
        <f>23281397+20000000</f>
        <v>43281397</v>
      </c>
      <c r="K252" s="504">
        <v>4271430.55</v>
      </c>
      <c r="L252" s="535">
        <v>8953779.8399999999</v>
      </c>
      <c r="M252" s="504">
        <v>6837458.4900000002</v>
      </c>
      <c r="N252" s="504">
        <v>9267904</v>
      </c>
      <c r="O252" s="568">
        <v>4095485.22</v>
      </c>
      <c r="P252" s="506">
        <v>18323632.75</v>
      </c>
      <c r="Q252" s="511">
        <v>3543853.0150000001</v>
      </c>
      <c r="R252" s="511">
        <v>2543853.0150000001</v>
      </c>
      <c r="S252" s="511">
        <v>2343853.0150000001</v>
      </c>
      <c r="T252" s="511">
        <v>2343853.0150000001</v>
      </c>
      <c r="U252" s="511">
        <f>4343853.015+395712.59+489930.1-3000000</f>
        <v>2229495.7049999991</v>
      </c>
      <c r="V252" s="511">
        <f>2333853.015-779779.73</f>
        <v>1554073.2850000001</v>
      </c>
      <c r="W252" s="508">
        <f>SUM(K252:V252)</f>
        <v>66308671.900000006</v>
      </c>
      <c r="X252" s="498">
        <f t="shared" si="109"/>
        <v>66308671.900000006</v>
      </c>
      <c r="Y252" s="500">
        <v>85006379.859999999</v>
      </c>
      <c r="Z252" s="501">
        <v>81466457.670000002</v>
      </c>
      <c r="AA252" s="501">
        <v>4414881</v>
      </c>
      <c r="AB252" s="512">
        <v>8439817.3300000001</v>
      </c>
      <c r="AC252" s="478">
        <f t="shared" si="102"/>
        <v>0</v>
      </c>
      <c r="AD252" s="502">
        <v>63144358</v>
      </c>
      <c r="AE252" s="510">
        <v>27604489.579999998</v>
      </c>
      <c r="AF252" s="502">
        <v>63144358</v>
      </c>
      <c r="AG252" s="502">
        <f t="shared" si="92"/>
        <v>0</v>
      </c>
      <c r="AH252" s="503">
        <v>85006379.859999999</v>
      </c>
      <c r="AI252" s="503">
        <v>62509927.189999998</v>
      </c>
      <c r="AJ252" s="503">
        <v>64947814.350409992</v>
      </c>
      <c r="AK252" s="472">
        <v>1500522</v>
      </c>
    </row>
    <row r="253" spans="1:37" ht="16.5" thickTop="1" thickBot="1" x14ac:dyDescent="0.25">
      <c r="A253" s="491"/>
      <c r="B253" s="492"/>
      <c r="C253" s="493">
        <v>3</v>
      </c>
      <c r="D253" s="493">
        <v>1</v>
      </c>
      <c r="E253" s="519">
        <v>810301</v>
      </c>
      <c r="F253" s="495" t="s">
        <v>664</v>
      </c>
      <c r="G253" s="498">
        <v>43697489.789999999</v>
      </c>
      <c r="H253" s="521">
        <v>40762031</v>
      </c>
      <c r="I253" s="521">
        <v>40762031</v>
      </c>
      <c r="J253" s="521">
        <v>40762031</v>
      </c>
      <c r="K253" s="504">
        <v>5221603.97</v>
      </c>
      <c r="L253" s="535">
        <v>1902367.04</v>
      </c>
      <c r="M253" s="504">
        <v>1910880.88</v>
      </c>
      <c r="N253" s="504">
        <v>2832294.98</v>
      </c>
      <c r="O253" s="568">
        <v>9813051.1699999999</v>
      </c>
      <c r="P253" s="506">
        <v>1910880.88</v>
      </c>
      <c r="Q253" s="511">
        <v>2611860.5162499999</v>
      </c>
      <c r="R253" s="511">
        <v>2611860.5162499999</v>
      </c>
      <c r="S253" s="511">
        <v>2611860.5162499999</v>
      </c>
      <c r="T253" s="511">
        <v>3611860.5162499999</v>
      </c>
      <c r="U253" s="511">
        <f>2611860.51625+515324.05+304363.65+700979.63</f>
        <v>4132527.8462499995</v>
      </c>
      <c r="V253" s="511">
        <v>4611860.5162500003</v>
      </c>
      <c r="W253" s="508">
        <v>43782909.340000004</v>
      </c>
      <c r="X253" s="498">
        <f t="shared" si="109"/>
        <v>43782909.340000004</v>
      </c>
      <c r="Y253" s="500">
        <v>43998269.829999998</v>
      </c>
      <c r="Z253" s="501">
        <v>43010007.829999998</v>
      </c>
      <c r="AA253" s="501">
        <v>1951356.46</v>
      </c>
      <c r="AB253" s="512">
        <v>5136681.93</v>
      </c>
      <c r="AC253" s="478">
        <f t="shared" si="102"/>
        <v>0</v>
      </c>
      <c r="AD253" s="502">
        <v>41847412</v>
      </c>
      <c r="AE253" s="510">
        <v>10990751.310000001</v>
      </c>
      <c r="AF253" s="502">
        <v>41847412</v>
      </c>
      <c r="AG253" s="502">
        <f t="shared" si="92"/>
        <v>0</v>
      </c>
      <c r="AH253" s="503">
        <v>43998269.829999998</v>
      </c>
      <c r="AI253" s="503">
        <v>43815567.280000001</v>
      </c>
      <c r="AJ253" s="503">
        <v>45524374.403919995</v>
      </c>
      <c r="AK253" s="472">
        <v>1500522</v>
      </c>
    </row>
    <row r="254" spans="1:37" ht="27" thickTop="1" thickBot="1" x14ac:dyDescent="0.25">
      <c r="A254" s="491"/>
      <c r="B254" s="492"/>
      <c r="C254" s="493">
        <v>4</v>
      </c>
      <c r="D254" s="493">
        <v>1</v>
      </c>
      <c r="E254" s="519">
        <v>810401</v>
      </c>
      <c r="F254" s="495" t="s">
        <v>665</v>
      </c>
      <c r="G254" s="498">
        <v>4037856.24</v>
      </c>
      <c r="H254" s="521">
        <v>2552516</v>
      </c>
      <c r="I254" s="521">
        <v>2552516</v>
      </c>
      <c r="J254" s="521">
        <v>2552516</v>
      </c>
      <c r="K254" s="504">
        <v>559529.86</v>
      </c>
      <c r="L254" s="535">
        <v>1319072.6100000001</v>
      </c>
      <c r="M254" s="504">
        <v>183598.58</v>
      </c>
      <c r="N254" s="504">
        <v>411972.21</v>
      </c>
      <c r="O254" s="568">
        <v>424990.85</v>
      </c>
      <c r="P254" s="506">
        <v>343788.91</v>
      </c>
      <c r="Q254" s="511">
        <v>509792.84249999898</v>
      </c>
      <c r="R254" s="511">
        <v>509792.84249999898</v>
      </c>
      <c r="S254" s="511">
        <v>609792.84249999898</v>
      </c>
      <c r="T254" s="511">
        <f>609792.842499999+185323.19</f>
        <v>795116.03249999904</v>
      </c>
      <c r="U254" s="511">
        <f>709792.842499999+166003.94</f>
        <v>875796.78249999904</v>
      </c>
      <c r="V254" s="511">
        <f>709792.842499999+191835.4</f>
        <v>901628.242499999</v>
      </c>
      <c r="W254" s="508">
        <v>7444872.5999999996</v>
      </c>
      <c r="X254" s="498">
        <f t="shared" si="109"/>
        <v>7444872.5999999996</v>
      </c>
      <c r="Y254" s="500">
        <v>6058919.2199999997</v>
      </c>
      <c r="Z254" s="501">
        <v>5524034.1699999999</v>
      </c>
      <c r="AA254" s="501">
        <v>505218.67</v>
      </c>
      <c r="AB254" s="512">
        <v>1035512.57</v>
      </c>
      <c r="AC254" s="478">
        <f t="shared" si="102"/>
        <v>0</v>
      </c>
      <c r="AD254" s="502">
        <v>5999817</v>
      </c>
      <c r="AE254" s="510">
        <v>2208002.33</v>
      </c>
      <c r="AF254" s="502">
        <v>5999817</v>
      </c>
      <c r="AG254" s="502">
        <f t="shared" si="92"/>
        <v>0</v>
      </c>
      <c r="AH254" s="503">
        <v>6058919.2199999997</v>
      </c>
      <c r="AI254" s="503">
        <v>6704440.9100000001</v>
      </c>
      <c r="AJ254" s="503">
        <v>6965914.10549</v>
      </c>
      <c r="AK254" s="472">
        <v>1500522</v>
      </c>
    </row>
    <row r="255" spans="1:37" ht="16.5" thickTop="1" thickBot="1" x14ac:dyDescent="0.25">
      <c r="A255" s="491"/>
      <c r="B255" s="492"/>
      <c r="C255" s="493">
        <v>5</v>
      </c>
      <c r="D255" s="493">
        <v>1</v>
      </c>
      <c r="E255" s="519">
        <v>810501</v>
      </c>
      <c r="F255" s="495" t="s">
        <v>666</v>
      </c>
      <c r="G255" s="498">
        <v>14982465.119999999</v>
      </c>
      <c r="H255" s="521">
        <v>17298137</v>
      </c>
      <c r="I255" s="521">
        <v>17298137</v>
      </c>
      <c r="J255" s="521">
        <v>17298137</v>
      </c>
      <c r="K255" s="504">
        <v>1070643.46</v>
      </c>
      <c r="L255" s="535">
        <v>1164637.69</v>
      </c>
      <c r="M255" s="504">
        <v>1150592.1499999999</v>
      </c>
      <c r="N255" s="504">
        <v>971761.59</v>
      </c>
      <c r="O255" s="568">
        <v>1094212.58</v>
      </c>
      <c r="P255" s="506">
        <v>978063.77</v>
      </c>
      <c r="Q255" s="511">
        <v>1617562.7637499999</v>
      </c>
      <c r="R255" s="511">
        <v>1617562.7637499999</v>
      </c>
      <c r="S255" s="511">
        <v>1617562.7637499999</v>
      </c>
      <c r="T255" s="511">
        <f>1617562.76375-86676.82</f>
        <v>1530885.9437499999</v>
      </c>
      <c r="U255" s="511">
        <v>1417562.7637499999</v>
      </c>
      <c r="V255" s="511">
        <f>1417562.76375+904895+639499</f>
        <v>2961956.7637499999</v>
      </c>
      <c r="W255" s="508">
        <v>17193005</v>
      </c>
      <c r="X255" s="498">
        <f t="shared" si="109"/>
        <v>17193005</v>
      </c>
      <c r="Y255" s="500">
        <v>11595058.449999999</v>
      </c>
      <c r="Z255" s="501">
        <v>11108720</v>
      </c>
      <c r="AA255" s="501">
        <v>794136.47</v>
      </c>
      <c r="AB255" s="512">
        <v>1014845.4</v>
      </c>
      <c r="AC255" s="478">
        <f t="shared" si="102"/>
        <v>0</v>
      </c>
      <c r="AD255" s="502">
        <v>13718204</v>
      </c>
      <c r="AE255" s="510">
        <v>3468791.6</v>
      </c>
      <c r="AF255" s="502">
        <v>13718204</v>
      </c>
      <c r="AG255" s="502">
        <f t="shared" si="92"/>
        <v>0</v>
      </c>
      <c r="AH255" s="503">
        <v>11595058.449999999</v>
      </c>
      <c r="AI255" s="503">
        <v>10476899.9</v>
      </c>
      <c r="AJ255" s="503">
        <v>10885498.996099999</v>
      </c>
      <c r="AK255" s="472">
        <v>1500522</v>
      </c>
    </row>
    <row r="256" spans="1:37" ht="16.5" thickTop="1" thickBot="1" x14ac:dyDescent="0.25">
      <c r="A256" s="491"/>
      <c r="B256" s="492"/>
      <c r="C256" s="493">
        <v>6</v>
      </c>
      <c r="D256" s="493">
        <v>1</v>
      </c>
      <c r="E256" s="587">
        <v>810601</v>
      </c>
      <c r="F256" s="495" t="s">
        <v>667</v>
      </c>
      <c r="G256" s="498">
        <v>55558961</v>
      </c>
      <c r="H256" s="521">
        <v>58000000</v>
      </c>
      <c r="I256" s="521">
        <v>58000000</v>
      </c>
      <c r="J256" s="646">
        <v>50000000</v>
      </c>
      <c r="K256" s="504">
        <v>0</v>
      </c>
      <c r="L256" s="577">
        <v>4382645</v>
      </c>
      <c r="M256" s="504">
        <v>1138642</v>
      </c>
      <c r="N256" s="504">
        <v>2264867</v>
      </c>
      <c r="O256" s="568">
        <v>8824612</v>
      </c>
      <c r="P256" s="506">
        <v>13019324</v>
      </c>
      <c r="Q256" s="511">
        <v>5276730.75</v>
      </c>
      <c r="R256" s="511">
        <v>5276730.75</v>
      </c>
      <c r="S256" s="511">
        <v>5276730.75</v>
      </c>
      <c r="T256" s="511">
        <f>5276730.75-547881.25</f>
        <v>4728849.5</v>
      </c>
      <c r="U256" s="511">
        <v>4276730.75</v>
      </c>
      <c r="V256" s="511">
        <v>3276730.75</v>
      </c>
      <c r="W256" s="508">
        <v>55000000</v>
      </c>
      <c r="X256" s="498">
        <f t="shared" si="109"/>
        <v>55000000</v>
      </c>
      <c r="Y256" s="500">
        <v>76060723</v>
      </c>
      <c r="Z256" s="501">
        <v>50000000</v>
      </c>
      <c r="AA256" s="501">
        <v>0</v>
      </c>
      <c r="AB256" s="512">
        <v>12502231</v>
      </c>
      <c r="AC256" s="478">
        <f t="shared" si="102"/>
        <v>0</v>
      </c>
      <c r="AD256" s="502">
        <v>53500000</v>
      </c>
      <c r="AE256" s="510">
        <v>29749166</v>
      </c>
      <c r="AF256" s="502">
        <v>53500000</v>
      </c>
      <c r="AG256" s="502">
        <f t="shared" si="92"/>
        <v>0</v>
      </c>
      <c r="AH256" s="503">
        <v>76060723</v>
      </c>
      <c r="AI256" s="503">
        <v>65723346</v>
      </c>
      <c r="AJ256" s="503">
        <f>56870000</f>
        <v>56870000</v>
      </c>
      <c r="AK256" s="472">
        <v>1500522</v>
      </c>
    </row>
    <row r="257" spans="1:37" ht="16.5" thickTop="1" thickBot="1" x14ac:dyDescent="0.25">
      <c r="A257" s="491"/>
      <c r="B257" s="492"/>
      <c r="C257" s="493"/>
      <c r="D257" s="493"/>
      <c r="E257" s="647">
        <v>810701</v>
      </c>
      <c r="F257" s="495" t="s">
        <v>668</v>
      </c>
      <c r="G257" s="498"/>
      <c r="H257" s="521"/>
      <c r="I257" s="521"/>
      <c r="J257" s="648"/>
      <c r="K257" s="504"/>
      <c r="L257" s="577"/>
      <c r="M257" s="504"/>
      <c r="N257" s="504"/>
      <c r="O257" s="568"/>
      <c r="P257" s="506"/>
      <c r="Q257" s="511"/>
      <c r="R257" s="511"/>
      <c r="S257" s="511"/>
      <c r="T257" s="511"/>
      <c r="U257" s="511"/>
      <c r="V257" s="511"/>
      <c r="W257" s="508"/>
      <c r="X257" s="498"/>
      <c r="Y257" s="500"/>
      <c r="Z257" s="578"/>
      <c r="AA257" s="578"/>
      <c r="AB257" s="575"/>
      <c r="AC257" s="478"/>
      <c r="AD257" s="502"/>
      <c r="AE257" s="510"/>
      <c r="AF257" s="502">
        <v>1865545.44</v>
      </c>
      <c r="AG257" s="502">
        <f t="shared" si="92"/>
        <v>1865545.44</v>
      </c>
      <c r="AH257" s="503">
        <v>0</v>
      </c>
      <c r="AI257" s="503">
        <v>4978385.1900000004</v>
      </c>
      <c r="AJ257" s="503"/>
      <c r="AK257" s="472">
        <v>1500822</v>
      </c>
    </row>
    <row r="258" spans="1:37" ht="16.5" thickTop="1" thickBot="1" x14ac:dyDescent="0.25">
      <c r="A258" s="491"/>
      <c r="B258" s="492"/>
      <c r="C258" s="551"/>
      <c r="D258" s="551"/>
      <c r="E258" s="647">
        <v>810801</v>
      </c>
      <c r="F258" s="495" t="s">
        <v>669</v>
      </c>
      <c r="G258" s="498"/>
      <c r="H258" s="521"/>
      <c r="I258" s="521"/>
      <c r="J258" s="648"/>
      <c r="K258" s="504"/>
      <c r="L258" s="577"/>
      <c r="M258" s="504"/>
      <c r="N258" s="504"/>
      <c r="O258" s="568"/>
      <c r="P258" s="506">
        <v>524249.1</v>
      </c>
      <c r="Q258" s="511"/>
      <c r="R258" s="511"/>
      <c r="S258" s="511"/>
      <c r="T258" s="511"/>
      <c r="U258" s="511"/>
      <c r="V258" s="511"/>
      <c r="W258" s="508"/>
      <c r="X258" s="498">
        <f>W258</f>
        <v>0</v>
      </c>
      <c r="Y258" s="500">
        <v>1367804.16</v>
      </c>
      <c r="Z258" s="601"/>
      <c r="AA258" s="601"/>
      <c r="AB258" s="601"/>
      <c r="AC258" s="478">
        <f>W258-X258</f>
        <v>0</v>
      </c>
      <c r="AD258" s="498"/>
      <c r="AE258" s="498"/>
      <c r="AF258" s="498"/>
      <c r="AG258" s="498">
        <f t="shared" si="92"/>
        <v>0</v>
      </c>
      <c r="AH258" s="503">
        <v>1367804.16</v>
      </c>
      <c r="AI258" s="503">
        <v>0</v>
      </c>
      <c r="AJ258" s="503">
        <v>0</v>
      </c>
      <c r="AK258" s="472">
        <v>1500822</v>
      </c>
    </row>
    <row r="259" spans="1:37" ht="15.75" thickTop="1" thickBot="1" x14ac:dyDescent="0.25">
      <c r="A259" s="565"/>
      <c r="B259" s="471" t="s">
        <v>432</v>
      </c>
      <c r="C259" s="566"/>
      <c r="D259" s="566"/>
      <c r="E259" s="519"/>
      <c r="F259" s="567" t="s">
        <v>670</v>
      </c>
      <c r="G259" s="474">
        <f t="shared" ref="G259:AB259" si="110">SUM(G260:G262)</f>
        <v>428549569</v>
      </c>
      <c r="H259" s="475">
        <f t="shared" si="110"/>
        <v>428549569</v>
      </c>
      <c r="I259" s="475">
        <f t="shared" si="110"/>
        <v>441238751</v>
      </c>
      <c r="J259" s="474">
        <f t="shared" si="110"/>
        <v>441238751</v>
      </c>
      <c r="K259" s="474">
        <f t="shared" si="110"/>
        <v>38389353</v>
      </c>
      <c r="L259" s="474">
        <f t="shared" si="110"/>
        <v>38389353</v>
      </c>
      <c r="M259" s="474">
        <f t="shared" si="110"/>
        <v>38389353</v>
      </c>
      <c r="N259" s="515">
        <f t="shared" si="110"/>
        <v>38389353</v>
      </c>
      <c r="O259" s="515">
        <f t="shared" si="110"/>
        <v>38389353</v>
      </c>
      <c r="P259" s="515">
        <f t="shared" si="110"/>
        <v>38389353</v>
      </c>
      <c r="Q259" s="515">
        <f t="shared" si="110"/>
        <v>38389353</v>
      </c>
      <c r="R259" s="515">
        <f t="shared" si="110"/>
        <v>38389353</v>
      </c>
      <c r="S259" s="515">
        <f t="shared" si="110"/>
        <v>38389353</v>
      </c>
      <c r="T259" s="515">
        <f t="shared" si="110"/>
        <v>38389357</v>
      </c>
      <c r="U259" s="515">
        <f t="shared" si="110"/>
        <v>28672611</v>
      </c>
      <c r="V259" s="515">
        <f t="shared" si="110"/>
        <v>28672606</v>
      </c>
      <c r="W259" s="649">
        <f t="shared" si="110"/>
        <v>441238751</v>
      </c>
      <c r="X259" s="649">
        <f t="shared" si="110"/>
        <v>441238751</v>
      </c>
      <c r="Y259" s="650">
        <f t="shared" si="110"/>
        <v>441238751</v>
      </c>
      <c r="Z259" s="649">
        <f t="shared" si="110"/>
        <v>420889199.38999999</v>
      </c>
      <c r="AA259" s="649">
        <f t="shared" si="110"/>
        <v>37832588</v>
      </c>
      <c r="AB259" s="649">
        <f t="shared" si="110"/>
        <v>37832588</v>
      </c>
      <c r="AC259" s="478">
        <f>W259-X259</f>
        <v>0</v>
      </c>
      <c r="AD259" s="474">
        <f>SUM(AD260:AD263)</f>
        <v>434802418</v>
      </c>
      <c r="AE259" s="474">
        <f>SUM(AE260:AE263)</f>
        <v>151330352</v>
      </c>
      <c r="AF259" s="474">
        <f>SUM(AF260:AF263)</f>
        <v>437558418</v>
      </c>
      <c r="AG259" s="474">
        <f>SUM(AG260:AG263)</f>
        <v>2756000</v>
      </c>
      <c r="AH259" s="650">
        <f>SUM(AH260:AH262)</f>
        <v>441238751</v>
      </c>
      <c r="AI259" s="650">
        <f>SUM(AI260:AI263)</f>
        <v>436957166.49000001</v>
      </c>
      <c r="AJ259" s="650">
        <f>SUM(AJ260:AJ263)</f>
        <v>436902418</v>
      </c>
      <c r="AK259" s="525"/>
    </row>
    <row r="260" spans="1:37" ht="27" thickTop="1" thickBot="1" x14ac:dyDescent="0.25">
      <c r="A260" s="491"/>
      <c r="B260" s="492"/>
      <c r="C260" s="493">
        <v>1</v>
      </c>
      <c r="D260" s="493">
        <v>1</v>
      </c>
      <c r="E260" s="519">
        <v>820101</v>
      </c>
      <c r="F260" s="495" t="s">
        <v>671</v>
      </c>
      <c r="G260" s="498">
        <v>94032320</v>
      </c>
      <c r="H260" s="521">
        <v>94032320</v>
      </c>
      <c r="I260" s="521">
        <v>97167424</v>
      </c>
      <c r="J260" s="487">
        <v>97167424</v>
      </c>
      <c r="K260" s="504">
        <v>9716742</v>
      </c>
      <c r="L260" s="535">
        <v>9716742</v>
      </c>
      <c r="M260" s="504">
        <v>9716742</v>
      </c>
      <c r="N260" s="504">
        <v>9716742</v>
      </c>
      <c r="O260" s="568">
        <v>9716742</v>
      </c>
      <c r="P260" s="506">
        <v>9716742</v>
      </c>
      <c r="Q260" s="511">
        <v>9716742</v>
      </c>
      <c r="R260" s="511">
        <v>9716742</v>
      </c>
      <c r="S260" s="511">
        <v>9716742</v>
      </c>
      <c r="T260" s="511">
        <f>9716742+4</f>
        <v>9716746</v>
      </c>
      <c r="U260" s="511">
        <v>0</v>
      </c>
      <c r="V260" s="511">
        <v>0</v>
      </c>
      <c r="W260" s="508">
        <f>SUM(K260:V260)</f>
        <v>97167424</v>
      </c>
      <c r="X260" s="498">
        <f>W260</f>
        <v>97167424</v>
      </c>
      <c r="Y260" s="500">
        <v>97167424</v>
      </c>
      <c r="Z260" s="501">
        <v>92989224.760000005</v>
      </c>
      <c r="AA260" s="501">
        <v>9594314</v>
      </c>
      <c r="AB260" s="512">
        <v>9594314</v>
      </c>
      <c r="AC260" s="478">
        <f>W260-X260</f>
        <v>0</v>
      </c>
      <c r="AD260" s="502">
        <v>95943134</v>
      </c>
      <c r="AE260" s="510">
        <v>38377256</v>
      </c>
      <c r="AF260" s="502">
        <v>95943134</v>
      </c>
      <c r="AG260" s="502">
        <f>AF260-AD260</f>
        <v>0</v>
      </c>
      <c r="AH260" s="503">
        <v>97167424</v>
      </c>
      <c r="AI260" s="503">
        <v>95943134</v>
      </c>
      <c r="AJ260" s="503">
        <v>95943134</v>
      </c>
      <c r="AK260" s="472">
        <v>2510122</v>
      </c>
    </row>
    <row r="261" spans="1:37" ht="16.5" thickTop="1" thickBot="1" x14ac:dyDescent="0.25">
      <c r="A261" s="491"/>
      <c r="B261" s="492"/>
      <c r="C261" s="493"/>
      <c r="D261" s="493"/>
      <c r="E261" s="519">
        <v>820102</v>
      </c>
      <c r="F261" s="495" t="s">
        <v>672</v>
      </c>
      <c r="G261" s="498"/>
      <c r="H261" s="521"/>
      <c r="I261" s="521"/>
      <c r="J261" s="487"/>
      <c r="K261" s="504"/>
      <c r="L261" s="651"/>
      <c r="M261" s="504"/>
      <c r="N261" s="504"/>
      <c r="O261" s="568"/>
      <c r="P261" s="506"/>
      <c r="Q261" s="511"/>
      <c r="R261" s="511"/>
      <c r="S261" s="511"/>
      <c r="T261" s="511"/>
      <c r="U261" s="511"/>
      <c r="V261" s="511"/>
      <c r="W261" s="508"/>
      <c r="X261" s="498"/>
      <c r="Y261" s="500"/>
      <c r="Z261" s="501"/>
      <c r="AA261" s="501"/>
      <c r="AB261" s="512"/>
      <c r="AC261" s="478"/>
      <c r="AD261" s="502"/>
      <c r="AE261" s="510"/>
      <c r="AF261" s="502">
        <v>1306000</v>
      </c>
      <c r="AG261" s="502">
        <f>AF261-AD261</f>
        <v>1306000</v>
      </c>
      <c r="AH261" s="503">
        <v>0</v>
      </c>
      <c r="AI261" s="503">
        <v>767465.85</v>
      </c>
      <c r="AJ261" s="503">
        <v>700000</v>
      </c>
      <c r="AK261" s="472">
        <v>2510122</v>
      </c>
    </row>
    <row r="262" spans="1:37" ht="27" thickTop="1" thickBot="1" x14ac:dyDescent="0.25">
      <c r="A262" s="491"/>
      <c r="B262" s="492"/>
      <c r="C262" s="493">
        <v>2</v>
      </c>
      <c r="D262" s="493">
        <v>1</v>
      </c>
      <c r="E262" s="519">
        <v>820201</v>
      </c>
      <c r="F262" s="495" t="s">
        <v>673</v>
      </c>
      <c r="G262" s="498">
        <v>334517249</v>
      </c>
      <c r="H262" s="521">
        <v>334517249</v>
      </c>
      <c r="I262" s="521">
        <v>344071327</v>
      </c>
      <c r="J262" s="487">
        <v>344071327</v>
      </c>
      <c r="K262" s="504">
        <v>28672611</v>
      </c>
      <c r="L262" s="577">
        <v>28672611</v>
      </c>
      <c r="M262" s="504">
        <v>28672611</v>
      </c>
      <c r="N262" s="504">
        <v>28672611</v>
      </c>
      <c r="O262" s="568">
        <v>28672611</v>
      </c>
      <c r="P262" s="506">
        <v>28672611</v>
      </c>
      <c r="Q262" s="511">
        <v>28672611</v>
      </c>
      <c r="R262" s="511">
        <v>28672611</v>
      </c>
      <c r="S262" s="511">
        <v>28672611</v>
      </c>
      <c r="T262" s="511">
        <v>28672611</v>
      </c>
      <c r="U262" s="511">
        <v>28672611</v>
      </c>
      <c r="V262" s="511">
        <f>28672611-5</f>
        <v>28672606</v>
      </c>
      <c r="W262" s="508">
        <f>SUM(K262:V262)</f>
        <v>344071327</v>
      </c>
      <c r="X262" s="498">
        <f>W262</f>
        <v>344071327</v>
      </c>
      <c r="Y262" s="500">
        <v>344071327</v>
      </c>
      <c r="Z262" s="501">
        <v>327899974.63</v>
      </c>
      <c r="AA262" s="501">
        <v>28238274</v>
      </c>
      <c r="AB262" s="512">
        <v>28238274</v>
      </c>
      <c r="AC262" s="478">
        <f>W262-X262</f>
        <v>0</v>
      </c>
      <c r="AD262" s="502">
        <v>338859284</v>
      </c>
      <c r="AE262" s="510">
        <v>112953096</v>
      </c>
      <c r="AF262" s="502">
        <v>338859284</v>
      </c>
      <c r="AG262" s="502">
        <f>AF262-AD262</f>
        <v>0</v>
      </c>
      <c r="AH262" s="503">
        <v>344071327</v>
      </c>
      <c r="AI262" s="503">
        <v>338859284</v>
      </c>
      <c r="AJ262" s="503">
        <v>338859284</v>
      </c>
      <c r="AK262" s="472">
        <v>2510222</v>
      </c>
    </row>
    <row r="263" spans="1:37" ht="16.5" thickTop="1" thickBot="1" x14ac:dyDescent="0.25">
      <c r="A263" s="491"/>
      <c r="B263" s="492"/>
      <c r="C263" s="493"/>
      <c r="D263" s="493"/>
      <c r="E263" s="519">
        <v>820202</v>
      </c>
      <c r="F263" s="495" t="s">
        <v>674</v>
      </c>
      <c r="G263" s="498"/>
      <c r="H263" s="521"/>
      <c r="I263" s="521"/>
      <c r="J263" s="487"/>
      <c r="K263" s="504"/>
      <c r="L263" s="577"/>
      <c r="M263" s="504"/>
      <c r="N263" s="504"/>
      <c r="O263" s="568"/>
      <c r="P263" s="506"/>
      <c r="Q263" s="511"/>
      <c r="R263" s="511"/>
      <c r="S263" s="511"/>
      <c r="T263" s="511"/>
      <c r="U263" s="511"/>
      <c r="V263" s="511"/>
      <c r="W263" s="508"/>
      <c r="X263" s="498"/>
      <c r="Y263" s="500"/>
      <c r="Z263" s="578"/>
      <c r="AA263" s="578"/>
      <c r="AB263" s="575"/>
      <c r="AC263" s="478"/>
      <c r="AD263" s="502"/>
      <c r="AE263" s="510"/>
      <c r="AF263" s="502">
        <v>1450000</v>
      </c>
      <c r="AG263" s="502">
        <f>AF263-AD263</f>
        <v>1450000</v>
      </c>
      <c r="AH263" s="503">
        <v>0</v>
      </c>
      <c r="AI263" s="503">
        <v>1387282.64</v>
      </c>
      <c r="AJ263" s="503">
        <v>1400000</v>
      </c>
      <c r="AK263" s="472">
        <v>2510222</v>
      </c>
    </row>
    <row r="264" spans="1:37" ht="15.75" thickTop="1" thickBot="1" x14ac:dyDescent="0.25">
      <c r="A264" s="565"/>
      <c r="B264" s="471" t="s">
        <v>461</v>
      </c>
      <c r="C264" s="566"/>
      <c r="D264" s="566"/>
      <c r="E264" s="519"/>
      <c r="F264" s="567" t="s">
        <v>675</v>
      </c>
      <c r="G264" s="474">
        <f t="shared" ref="G264:AB264" si="111">G265+G269</f>
        <v>107823267.10000001</v>
      </c>
      <c r="H264" s="475">
        <f t="shared" si="111"/>
        <v>46024175</v>
      </c>
      <c r="I264" s="475">
        <f t="shared" si="111"/>
        <v>206210353.61000001</v>
      </c>
      <c r="J264" s="474">
        <f t="shared" si="111"/>
        <v>206210353.61000001</v>
      </c>
      <c r="K264" s="474">
        <f t="shared" si="111"/>
        <v>742878</v>
      </c>
      <c r="L264" s="474">
        <f t="shared" si="111"/>
        <v>3882750.18</v>
      </c>
      <c r="M264" s="474">
        <f t="shared" si="111"/>
        <v>18482725.120000001</v>
      </c>
      <c r="N264" s="515">
        <f t="shared" si="111"/>
        <v>13770842.4</v>
      </c>
      <c r="O264" s="515">
        <f t="shared" si="111"/>
        <v>87076872</v>
      </c>
      <c r="P264" s="515">
        <f t="shared" si="111"/>
        <v>25215467.899999999</v>
      </c>
      <c r="Q264" s="515">
        <f t="shared" si="111"/>
        <v>0</v>
      </c>
      <c r="R264" s="515">
        <f t="shared" si="111"/>
        <v>0</v>
      </c>
      <c r="S264" s="515">
        <f t="shared" si="111"/>
        <v>2133306.75</v>
      </c>
      <c r="T264" s="515">
        <f t="shared" si="111"/>
        <v>2133306.75</v>
      </c>
      <c r="U264" s="515">
        <f t="shared" si="111"/>
        <v>5576017.3499999996</v>
      </c>
      <c r="V264" s="515">
        <f t="shared" si="111"/>
        <v>121979751.56999999</v>
      </c>
      <c r="W264" s="649">
        <f t="shared" si="111"/>
        <v>272726994.24000001</v>
      </c>
      <c r="X264" s="649">
        <f t="shared" si="111"/>
        <v>272726994.24000001</v>
      </c>
      <c r="Y264" s="650">
        <f t="shared" si="111"/>
        <v>294955969.21000004</v>
      </c>
      <c r="Z264" s="649">
        <f t="shared" si="111"/>
        <v>86965637.820000008</v>
      </c>
      <c r="AA264" s="649">
        <f t="shared" si="111"/>
        <v>85984.6</v>
      </c>
      <c r="AB264" s="649">
        <f t="shared" si="111"/>
        <v>22423050.169999998</v>
      </c>
      <c r="AC264" s="478">
        <f t="shared" ref="AC264:AC284" si="112">W264-X264</f>
        <v>0</v>
      </c>
      <c r="AD264" s="515">
        <f>AD265+AD269</f>
        <v>207693507.04000002</v>
      </c>
      <c r="AE264" s="515">
        <f>AE265+AE269</f>
        <v>44552451.630000003</v>
      </c>
      <c r="AF264" s="474">
        <f>AF265+AF269</f>
        <v>228160960.76999998</v>
      </c>
      <c r="AG264" s="515">
        <f>AF264-AD264</f>
        <v>20467453.729999959</v>
      </c>
      <c r="AH264" s="650">
        <f>AH265+AH269+AH359+AH361</f>
        <v>294955969.21000004</v>
      </c>
      <c r="AI264" s="650">
        <f>AI265+AI269+AI359+AI361</f>
        <v>229428622.45999998</v>
      </c>
      <c r="AJ264" s="650">
        <f>AJ265+AJ269+AJ359+AJ361</f>
        <v>41065834.510000005</v>
      </c>
      <c r="AK264" s="525"/>
    </row>
    <row r="265" spans="1:37" ht="15.75" thickTop="1" thickBot="1" x14ac:dyDescent="0.25">
      <c r="A265" s="516"/>
      <c r="B265" s="517"/>
      <c r="C265" s="556">
        <v>1</v>
      </c>
      <c r="D265" s="556"/>
      <c r="E265" s="556"/>
      <c r="F265" s="557" t="s">
        <v>676</v>
      </c>
      <c r="G265" s="498">
        <f>G266+G267</f>
        <v>23133672</v>
      </c>
      <c r="H265" s="521">
        <f>H266</f>
        <v>18424175</v>
      </c>
      <c r="I265" s="521">
        <f>I266</f>
        <v>17213553</v>
      </c>
      <c r="J265" s="487">
        <f>J266+J268</f>
        <v>17213553</v>
      </c>
      <c r="K265" s="487">
        <f t="shared" ref="K265:AB265" si="113">K266</f>
        <v>0</v>
      </c>
      <c r="L265" s="487">
        <f t="shared" si="113"/>
        <v>0</v>
      </c>
      <c r="M265" s="487">
        <f t="shared" si="113"/>
        <v>0</v>
      </c>
      <c r="N265" s="487">
        <f t="shared" si="113"/>
        <v>13770842.4</v>
      </c>
      <c r="O265" s="487">
        <f t="shared" si="113"/>
        <v>0</v>
      </c>
      <c r="P265" s="487">
        <f t="shared" si="113"/>
        <v>0</v>
      </c>
      <c r="Q265" s="487">
        <f t="shared" si="113"/>
        <v>0</v>
      </c>
      <c r="R265" s="487">
        <f t="shared" si="113"/>
        <v>0</v>
      </c>
      <c r="S265" s="487">
        <f t="shared" si="113"/>
        <v>0</v>
      </c>
      <c r="T265" s="487">
        <f t="shared" si="113"/>
        <v>0</v>
      </c>
      <c r="U265" s="487">
        <f t="shared" si="113"/>
        <v>3442710.5999999996</v>
      </c>
      <c r="V265" s="487">
        <f t="shared" si="113"/>
        <v>0</v>
      </c>
      <c r="W265" s="524">
        <f t="shared" si="113"/>
        <v>17213553</v>
      </c>
      <c r="X265" s="524">
        <f t="shared" si="113"/>
        <v>17213553</v>
      </c>
      <c r="Y265" s="523">
        <f t="shared" si="113"/>
        <v>17213553</v>
      </c>
      <c r="Z265" s="524">
        <f t="shared" si="113"/>
        <v>0</v>
      </c>
      <c r="AA265" s="524">
        <f t="shared" si="113"/>
        <v>0</v>
      </c>
      <c r="AB265" s="524">
        <f t="shared" si="113"/>
        <v>0</v>
      </c>
      <c r="AC265" s="478">
        <f t="shared" si="112"/>
        <v>0</v>
      </c>
      <c r="AD265" s="524">
        <f>AD266</f>
        <v>0</v>
      </c>
      <c r="AE265" s="524">
        <f>AE266</f>
        <v>0</v>
      </c>
      <c r="AF265" s="524">
        <f>AF266</f>
        <v>0</v>
      </c>
      <c r="AG265" s="524"/>
      <c r="AH265" s="523">
        <f>AH266</f>
        <v>17213553</v>
      </c>
      <c r="AI265" s="523">
        <f>AI266</f>
        <v>0</v>
      </c>
      <c r="AJ265" s="523">
        <f>AJ266</f>
        <v>0</v>
      </c>
      <c r="AK265" s="558"/>
    </row>
    <row r="266" spans="1:37" ht="16.5" thickTop="1" thickBot="1" x14ac:dyDescent="0.25">
      <c r="A266" s="491"/>
      <c r="B266" s="492"/>
      <c r="C266" s="493"/>
      <c r="D266" s="493">
        <v>1</v>
      </c>
      <c r="E266" s="570">
        <v>830101</v>
      </c>
      <c r="F266" s="495" t="s">
        <v>677</v>
      </c>
      <c r="G266" s="498">
        <v>18133672</v>
      </c>
      <c r="H266" s="497">
        <v>18424175</v>
      </c>
      <c r="I266" s="497">
        <v>17213553</v>
      </c>
      <c r="J266" s="498">
        <v>17213553</v>
      </c>
      <c r="K266" s="498">
        <v>0</v>
      </c>
      <c r="L266" s="498">
        <v>0</v>
      </c>
      <c r="M266" s="498"/>
      <c r="N266" s="550">
        <v>13770842.4</v>
      </c>
      <c r="O266" s="504"/>
      <c r="P266" s="631"/>
      <c r="Q266" s="652"/>
      <c r="R266" s="652"/>
      <c r="S266" s="652"/>
      <c r="T266" s="652"/>
      <c r="U266" s="652">
        <v>3442710.5999999996</v>
      </c>
      <c r="V266" s="652"/>
      <c r="W266" s="508">
        <f>SUM(K266:V266)</f>
        <v>17213553</v>
      </c>
      <c r="X266" s="498">
        <f>W266</f>
        <v>17213553</v>
      </c>
      <c r="Y266" s="500">
        <v>17213553</v>
      </c>
      <c r="Z266" s="498"/>
      <c r="AA266" s="498"/>
      <c r="AB266" s="498"/>
      <c r="AC266" s="478">
        <f t="shared" si="112"/>
        <v>0</v>
      </c>
      <c r="AD266" s="498"/>
      <c r="AE266" s="498"/>
      <c r="AF266" s="498"/>
      <c r="AG266" s="498"/>
      <c r="AH266" s="503">
        <v>17213553</v>
      </c>
      <c r="AI266" s="503">
        <v>0</v>
      </c>
      <c r="AJ266" s="503">
        <v>0</v>
      </c>
      <c r="AK266" s="472">
        <v>1500621</v>
      </c>
    </row>
    <row r="267" spans="1:37" ht="15.75" thickTop="1" thickBot="1" x14ac:dyDescent="0.25">
      <c r="A267" s="491"/>
      <c r="B267" s="492"/>
      <c r="C267" s="493"/>
      <c r="D267" s="493">
        <v>2</v>
      </c>
      <c r="E267" s="653">
        <v>830102</v>
      </c>
      <c r="F267" s="495" t="s">
        <v>678</v>
      </c>
      <c r="G267" s="498">
        <v>5000000</v>
      </c>
      <c r="H267" s="497"/>
      <c r="I267" s="497"/>
      <c r="J267" s="496"/>
      <c r="K267" s="498"/>
      <c r="L267" s="498"/>
      <c r="M267" s="498"/>
      <c r="N267" s="634"/>
      <c r="O267" s="634"/>
      <c r="P267" s="634"/>
      <c r="Q267" s="654"/>
      <c r="R267" s="654"/>
      <c r="S267" s="654"/>
      <c r="T267" s="654"/>
      <c r="U267" s="654"/>
      <c r="V267" s="654"/>
      <c r="W267" s="498"/>
      <c r="X267" s="498">
        <f>W267</f>
        <v>0</v>
      </c>
      <c r="Y267" s="500"/>
      <c r="Z267" s="498"/>
      <c r="AA267" s="498"/>
      <c r="AB267" s="498"/>
      <c r="AC267" s="478">
        <f t="shared" si="112"/>
        <v>0</v>
      </c>
      <c r="AD267" s="498"/>
      <c r="AE267" s="498"/>
      <c r="AF267" s="498"/>
      <c r="AG267" s="498"/>
      <c r="AH267" s="523"/>
      <c r="AI267" s="523"/>
      <c r="AJ267" s="523"/>
      <c r="AK267" s="472"/>
    </row>
    <row r="268" spans="1:37" ht="15.75" thickTop="1" thickBot="1" x14ac:dyDescent="0.25">
      <c r="A268" s="491"/>
      <c r="B268" s="492"/>
      <c r="C268" s="493"/>
      <c r="D268" s="493"/>
      <c r="E268" s="653">
        <v>830103</v>
      </c>
      <c r="F268" s="495" t="s">
        <v>679</v>
      </c>
      <c r="G268" s="498"/>
      <c r="H268" s="497"/>
      <c r="I268" s="497"/>
      <c r="J268" s="498"/>
      <c r="K268" s="498"/>
      <c r="L268" s="496"/>
      <c r="M268" s="496"/>
      <c r="N268" s="634"/>
      <c r="O268" s="634"/>
      <c r="P268" s="634"/>
      <c r="Q268" s="654"/>
      <c r="R268" s="654"/>
      <c r="S268" s="654"/>
      <c r="T268" s="654"/>
      <c r="U268" s="654"/>
      <c r="V268" s="654"/>
      <c r="W268" s="498"/>
      <c r="X268" s="498">
        <f>W268</f>
        <v>0</v>
      </c>
      <c r="Y268" s="500"/>
      <c r="Z268" s="498"/>
      <c r="AA268" s="498"/>
      <c r="AB268" s="498"/>
      <c r="AC268" s="478">
        <f t="shared" si="112"/>
        <v>0</v>
      </c>
      <c r="AD268" s="498"/>
      <c r="AE268" s="498"/>
      <c r="AF268" s="498"/>
      <c r="AG268" s="498"/>
      <c r="AH268" s="650"/>
      <c r="AI268" s="650"/>
      <c r="AJ268" s="650"/>
      <c r="AK268" s="655"/>
    </row>
    <row r="269" spans="1:37" ht="15.75" thickTop="1" thickBot="1" x14ac:dyDescent="0.25">
      <c r="A269" s="516"/>
      <c r="B269" s="517"/>
      <c r="C269" s="518">
        <v>3</v>
      </c>
      <c r="D269" s="518"/>
      <c r="E269" s="519"/>
      <c r="F269" s="520" t="s">
        <v>680</v>
      </c>
      <c r="G269" s="498">
        <f>G270+G271+G273+G274+G275+G276+G277+G278+G279+G280+G281+G284+G286+G287+G288+G289+G290+G291+G292+G293+G294+G295+G296+G297+G298+G299+G300+G301+G302+G303+G304+G305+G306+G307+G308+G310+G312</f>
        <v>84689595.100000009</v>
      </c>
      <c r="H269" s="487">
        <f t="shared" ref="H269:O269" si="114">H270+H271+H273+H274+H275+H276+H277+H278+H279+H284+H280+H281+H305+H307+H289+H315+H316+H317+H318</f>
        <v>27600000</v>
      </c>
      <c r="I269" s="487">
        <f t="shared" si="114"/>
        <v>188996800.61000001</v>
      </c>
      <c r="J269" s="487">
        <f t="shared" si="114"/>
        <v>188996800.61000001</v>
      </c>
      <c r="K269" s="487">
        <f t="shared" si="114"/>
        <v>742878</v>
      </c>
      <c r="L269" s="487">
        <f t="shared" si="114"/>
        <v>3882750.18</v>
      </c>
      <c r="M269" s="487">
        <f t="shared" si="114"/>
        <v>18482725.120000001</v>
      </c>
      <c r="N269" s="487">
        <f t="shared" si="114"/>
        <v>0</v>
      </c>
      <c r="O269" s="487">
        <f t="shared" si="114"/>
        <v>87076872</v>
      </c>
      <c r="P269" s="487">
        <f>P270+P271+P273+P274+P275+P276+P277+P278+P279+P284+P280+P281+P324+P307+P289+P315+P316+P317+P318</f>
        <v>25215467.899999999</v>
      </c>
      <c r="Q269" s="487">
        <f>Q270+Q271+Q273+Q274+Q275+Q276+Q277+Q278+Q279+Q284+Q280+Q281+Q305+Q307+Q289+Q315+Q316+Q317+Q318</f>
        <v>0</v>
      </c>
      <c r="R269" s="487">
        <f>R270+R271+R273+R274+R275+R276+R277+R278+R279+R284+R280+R281+R305+R307+R289+R315+R316+R317+R318</f>
        <v>0</v>
      </c>
      <c r="S269" s="487">
        <f>S270+S271+S273+S274+S275+S276+S277+S278+S279+S284+S280+S281+S305+S307+S289+S315+S316+S317+S318</f>
        <v>2133306.75</v>
      </c>
      <c r="T269" s="487">
        <f>T270+T271+T273+T274+T275+T276+T277+T278+T279+T284+T280+T281+T305+T307+T289+T315+T316+T317+T318</f>
        <v>2133306.75</v>
      </c>
      <c r="U269" s="487">
        <f>U270+U271+U273+U274+U275+U276+U277+U278+U279+U284+U280+U281+U305+U307+U289+U315+U316+U317+U318</f>
        <v>2133306.75</v>
      </c>
      <c r="V269" s="487">
        <f>+V283+V282+V270+V271+V273+V274+V275+V276+V277+V278+V279+V284+V280+V281+V305+V307+V289+V315+V316+V317+V318+V321+V322+V323+V324+V325+V329</f>
        <v>121979751.56999999</v>
      </c>
      <c r="W269" s="524">
        <f>SUM(W270:W329)</f>
        <v>255513441.24000001</v>
      </c>
      <c r="X269" s="524">
        <f>SUM(X270:X329)</f>
        <v>255513441.24000001</v>
      </c>
      <c r="Y269" s="523">
        <f>SUM(Y270:Y360)</f>
        <v>277742416.21000004</v>
      </c>
      <c r="Z269" s="524">
        <f>SUM(Z270:Z360)</f>
        <v>86965637.820000008</v>
      </c>
      <c r="AA269" s="524">
        <f>SUM(AA270:AA360)</f>
        <v>85984.6</v>
      </c>
      <c r="AB269" s="524">
        <f>SUM(AB270:AB360)</f>
        <v>22423050.169999998</v>
      </c>
      <c r="AC269" s="478">
        <f t="shared" si="112"/>
        <v>0</v>
      </c>
      <c r="AD269" s="522">
        <f>SUM(AD270:AD360)</f>
        <v>207693507.04000002</v>
      </c>
      <c r="AE269" s="522">
        <f>SUM(AE270:AE360)</f>
        <v>44552451.630000003</v>
      </c>
      <c r="AF269" s="522">
        <f>SUM(AF270:AF360)</f>
        <v>228160960.76999998</v>
      </c>
      <c r="AG269" s="522">
        <f>AF269-AD269</f>
        <v>20467453.729999959</v>
      </c>
      <c r="AH269" s="523">
        <f>SUM(AH270:AH358)</f>
        <v>276973551.33000004</v>
      </c>
      <c r="AI269" s="523">
        <f>SUM(AI270:AI358)</f>
        <v>228340722.45999998</v>
      </c>
      <c r="AJ269" s="523">
        <f>SUM(AJ270:AJ358)</f>
        <v>39977934.510000005</v>
      </c>
      <c r="AK269" s="525"/>
    </row>
    <row r="270" spans="1:37" ht="16.5" thickTop="1" thickBot="1" x14ac:dyDescent="0.25">
      <c r="A270" s="491"/>
      <c r="B270" s="492"/>
      <c r="C270" s="493"/>
      <c r="D270" s="493">
        <v>1</v>
      </c>
      <c r="E270" s="570">
        <v>830301</v>
      </c>
      <c r="F270" s="495" t="s">
        <v>681</v>
      </c>
      <c r="G270" s="498">
        <v>727893.24</v>
      </c>
      <c r="H270" s="497">
        <v>1000000</v>
      </c>
      <c r="I270" s="497">
        <v>1000000</v>
      </c>
      <c r="J270" s="498">
        <v>1000000</v>
      </c>
      <c r="K270" s="498">
        <v>0</v>
      </c>
      <c r="L270" s="496">
        <v>0</v>
      </c>
      <c r="M270" s="496">
        <v>0</v>
      </c>
      <c r="N270" s="496">
        <v>0</v>
      </c>
      <c r="O270" s="496"/>
      <c r="P270" s="496"/>
      <c r="Q270" s="496">
        <v>0</v>
      </c>
      <c r="R270" s="496">
        <v>0</v>
      </c>
      <c r="S270" s="654">
        <v>200000</v>
      </c>
      <c r="T270" s="654">
        <v>200000</v>
      </c>
      <c r="U270" s="654">
        <v>200000</v>
      </c>
      <c r="V270" s="654">
        <v>200000</v>
      </c>
      <c r="W270" s="508">
        <f>SUM(K270:V270)</f>
        <v>800000</v>
      </c>
      <c r="X270" s="498">
        <f>W270</f>
        <v>800000</v>
      </c>
      <c r="Y270" s="500"/>
      <c r="Z270" s="501">
        <v>800000</v>
      </c>
      <c r="AA270" s="501">
        <v>0</v>
      </c>
      <c r="AB270" s="501"/>
      <c r="AC270" s="478">
        <f t="shared" si="112"/>
        <v>0</v>
      </c>
      <c r="AD270" s="509">
        <v>800000</v>
      </c>
      <c r="AE270" s="509"/>
      <c r="AF270" s="502">
        <v>800000</v>
      </c>
      <c r="AG270" s="509"/>
      <c r="AH270" s="503">
        <v>0</v>
      </c>
      <c r="AI270" s="503">
        <v>0</v>
      </c>
      <c r="AJ270" s="503">
        <v>0</v>
      </c>
      <c r="AK270" s="519">
        <v>1100122</v>
      </c>
    </row>
    <row r="271" spans="1:37" ht="16.5" thickTop="1" thickBot="1" x14ac:dyDescent="0.25">
      <c r="A271" s="491"/>
      <c r="B271" s="492"/>
      <c r="C271" s="493"/>
      <c r="D271" s="493">
        <v>2</v>
      </c>
      <c r="E271" s="570">
        <v>830302</v>
      </c>
      <c r="F271" s="495" t="s">
        <v>682</v>
      </c>
      <c r="G271" s="498">
        <v>13101648</v>
      </c>
      <c r="H271" s="497">
        <v>15000000</v>
      </c>
      <c r="I271" s="497">
        <v>15000000</v>
      </c>
      <c r="J271" s="498">
        <f>H271</f>
        <v>15000000</v>
      </c>
      <c r="K271" s="504">
        <v>742878</v>
      </c>
      <c r="L271" s="535">
        <v>1846667</v>
      </c>
      <c r="M271" s="504">
        <v>4677228</v>
      </c>
      <c r="N271" s="504">
        <v>0</v>
      </c>
      <c r="O271" s="504"/>
      <c r="P271" s="631"/>
      <c r="Q271" s="511">
        <v>0</v>
      </c>
      <c r="R271" s="511">
        <v>0</v>
      </c>
      <c r="S271" s="511">
        <v>1933306.75</v>
      </c>
      <c r="T271" s="511">
        <v>1933306.75</v>
      </c>
      <c r="U271" s="511">
        <v>1933306.75</v>
      </c>
      <c r="V271" s="511">
        <v>1933306.75</v>
      </c>
      <c r="W271" s="508">
        <f>SUM(K271:V271)</f>
        <v>15000000</v>
      </c>
      <c r="X271" s="498">
        <f>W271</f>
        <v>15000000</v>
      </c>
      <c r="Y271" s="500">
        <v>7266773</v>
      </c>
      <c r="Z271" s="498"/>
      <c r="AA271" s="498"/>
      <c r="AB271" s="498"/>
      <c r="AC271" s="478">
        <f t="shared" si="112"/>
        <v>0</v>
      </c>
      <c r="AD271" s="498"/>
      <c r="AE271" s="498"/>
      <c r="AF271" s="498"/>
      <c r="AG271" s="498"/>
      <c r="AH271" s="503">
        <v>7266773</v>
      </c>
      <c r="AI271" s="503">
        <v>0</v>
      </c>
      <c r="AJ271" s="503">
        <v>0</v>
      </c>
      <c r="AK271" s="472">
        <v>1500621</v>
      </c>
    </row>
    <row r="272" spans="1:37" ht="15.75" thickTop="1" thickBot="1" x14ac:dyDescent="0.25">
      <c r="A272" s="491"/>
      <c r="B272" s="492"/>
      <c r="C272" s="493"/>
      <c r="D272" s="493"/>
      <c r="E272" s="493"/>
      <c r="F272" s="495" t="s">
        <v>683</v>
      </c>
      <c r="G272" s="496"/>
      <c r="H272" s="497"/>
      <c r="I272" s="497"/>
      <c r="J272" s="496"/>
      <c r="K272" s="496"/>
      <c r="L272" s="496"/>
      <c r="M272" s="496"/>
      <c r="N272" s="634"/>
      <c r="O272" s="634"/>
      <c r="P272" s="634"/>
      <c r="Q272" s="654"/>
      <c r="R272" s="654"/>
      <c r="S272" s="654"/>
      <c r="T272" s="654"/>
      <c r="U272" s="654"/>
      <c r="V272" s="654"/>
      <c r="W272" s="498"/>
      <c r="X272" s="498"/>
      <c r="Y272" s="500"/>
      <c r="Z272" s="498"/>
      <c r="AA272" s="498"/>
      <c r="AB272" s="498"/>
      <c r="AC272" s="478">
        <f t="shared" si="112"/>
        <v>0</v>
      </c>
      <c r="AD272" s="498"/>
      <c r="AE272" s="498"/>
      <c r="AF272" s="498"/>
      <c r="AG272" s="498"/>
      <c r="AH272" s="500"/>
      <c r="AI272" s="500"/>
      <c r="AJ272" s="500"/>
      <c r="AK272" s="472"/>
    </row>
    <row r="273" spans="1:37" ht="16.5" thickTop="1" thickBot="1" x14ac:dyDescent="0.25">
      <c r="A273" s="616"/>
      <c r="B273" s="617"/>
      <c r="C273" s="618"/>
      <c r="D273" s="618"/>
      <c r="E273" s="570">
        <v>830303</v>
      </c>
      <c r="F273" s="619" t="s">
        <v>163</v>
      </c>
      <c r="G273" s="496"/>
      <c r="H273" s="620">
        <v>200000</v>
      </c>
      <c r="I273" s="620">
        <v>200000</v>
      </c>
      <c r="J273" s="624">
        <v>200000</v>
      </c>
      <c r="K273" s="621"/>
      <c r="L273" s="621"/>
      <c r="M273" s="621"/>
      <c r="N273" s="621"/>
      <c r="O273" s="621"/>
      <c r="P273" s="621"/>
      <c r="Q273" s="656"/>
      <c r="R273" s="656"/>
      <c r="S273" s="656"/>
      <c r="T273" s="656"/>
      <c r="U273" s="656"/>
      <c r="V273" s="622">
        <v>0</v>
      </c>
      <c r="W273" s="508">
        <f t="shared" ref="W273:W284" si="115">SUM(K273:V273)</f>
        <v>0</v>
      </c>
      <c r="X273" s="498">
        <f t="shared" ref="X273:X284" si="116">W273</f>
        <v>0</v>
      </c>
      <c r="Y273" s="500"/>
      <c r="Z273" s="498"/>
      <c r="AA273" s="498"/>
      <c r="AB273" s="498"/>
      <c r="AC273" s="478">
        <f t="shared" si="112"/>
        <v>0</v>
      </c>
      <c r="AD273" s="498"/>
      <c r="AE273" s="498"/>
      <c r="AF273" s="498"/>
      <c r="AG273" s="498"/>
      <c r="AH273" s="500"/>
      <c r="AI273" s="500"/>
      <c r="AJ273" s="500"/>
      <c r="AK273" s="623"/>
    </row>
    <row r="274" spans="1:37" ht="16.5" thickTop="1" thickBot="1" x14ac:dyDescent="0.25">
      <c r="A274" s="616"/>
      <c r="B274" s="617"/>
      <c r="C274" s="618"/>
      <c r="D274" s="618"/>
      <c r="E274" s="570">
        <v>830304</v>
      </c>
      <c r="F274" s="619" t="s">
        <v>172</v>
      </c>
      <c r="G274" s="496"/>
      <c r="H274" s="620">
        <v>500000</v>
      </c>
      <c r="I274" s="620"/>
      <c r="J274" s="624"/>
      <c r="K274" s="621"/>
      <c r="L274" s="621"/>
      <c r="M274" s="621"/>
      <c r="N274" s="621"/>
      <c r="O274" s="621"/>
      <c r="P274" s="621"/>
      <c r="Q274" s="656"/>
      <c r="R274" s="656"/>
      <c r="S274" s="656"/>
      <c r="T274" s="656"/>
      <c r="U274" s="656"/>
      <c r="V274" s="656"/>
      <c r="W274" s="508">
        <f t="shared" si="115"/>
        <v>0</v>
      </c>
      <c r="X274" s="498">
        <f t="shared" si="116"/>
        <v>0</v>
      </c>
      <c r="Y274" s="500"/>
      <c r="Z274" s="498"/>
      <c r="AA274" s="498"/>
      <c r="AB274" s="498"/>
      <c r="AC274" s="478">
        <f t="shared" si="112"/>
        <v>0</v>
      </c>
      <c r="AD274" s="498"/>
      <c r="AE274" s="498"/>
      <c r="AF274" s="498"/>
      <c r="AG274" s="498"/>
      <c r="AH274" s="500"/>
      <c r="AI274" s="500"/>
      <c r="AJ274" s="500"/>
      <c r="AK274" s="623"/>
    </row>
    <row r="275" spans="1:37" ht="16.5" thickTop="1" thickBot="1" x14ac:dyDescent="0.25">
      <c r="A275" s="491"/>
      <c r="B275" s="492"/>
      <c r="C275" s="493"/>
      <c r="D275" s="493"/>
      <c r="E275" s="494">
        <v>830305</v>
      </c>
      <c r="F275" s="495" t="s">
        <v>684</v>
      </c>
      <c r="G275" s="508">
        <v>300000</v>
      </c>
      <c r="H275" s="657">
        <v>500000</v>
      </c>
      <c r="I275" s="658">
        <v>1500000</v>
      </c>
      <c r="J275" s="659">
        <v>1500000</v>
      </c>
      <c r="K275" s="657"/>
      <c r="L275" s="657"/>
      <c r="M275" s="660"/>
      <c r="N275" s="661"/>
      <c r="O275" s="508"/>
      <c r="P275" s="657"/>
      <c r="Q275" s="658"/>
      <c r="R275" s="659"/>
      <c r="S275" s="657"/>
      <c r="T275" s="657"/>
      <c r="U275" s="660"/>
      <c r="V275" s="661">
        <v>1500000</v>
      </c>
      <c r="W275" s="508">
        <f t="shared" si="115"/>
        <v>1500000</v>
      </c>
      <c r="X275" s="498">
        <f t="shared" si="116"/>
        <v>1500000</v>
      </c>
      <c r="Y275" s="500">
        <v>1625065</v>
      </c>
      <c r="Z275" s="501">
        <v>1800000</v>
      </c>
      <c r="AA275" s="501">
        <v>0</v>
      </c>
      <c r="AB275" s="501"/>
      <c r="AC275" s="478">
        <f t="shared" si="112"/>
        <v>0</v>
      </c>
      <c r="AD275" s="509">
        <v>1800000</v>
      </c>
      <c r="AE275" s="509"/>
      <c r="AF275" s="662">
        <v>1800000</v>
      </c>
      <c r="AG275" s="509">
        <f>AF275-AD275</f>
        <v>0</v>
      </c>
      <c r="AH275" s="503">
        <v>1625065</v>
      </c>
      <c r="AI275" s="503">
        <v>1800000</v>
      </c>
      <c r="AJ275" s="503">
        <v>1000000</v>
      </c>
      <c r="AK275" s="472">
        <v>2610122</v>
      </c>
    </row>
    <row r="276" spans="1:37" ht="16.5" thickTop="1" thickBot="1" x14ac:dyDescent="0.25">
      <c r="A276" s="491"/>
      <c r="B276" s="492"/>
      <c r="C276" s="493"/>
      <c r="D276" s="493"/>
      <c r="E276" s="494">
        <v>830306</v>
      </c>
      <c r="F276" s="495" t="s">
        <v>685</v>
      </c>
      <c r="G276" s="508"/>
      <c r="H276" s="657">
        <v>2200000</v>
      </c>
      <c r="I276" s="658">
        <v>500000</v>
      </c>
      <c r="J276" s="659">
        <v>500000</v>
      </c>
      <c r="K276" s="657"/>
      <c r="L276" s="657"/>
      <c r="M276" s="660"/>
      <c r="N276" s="661"/>
      <c r="O276" s="508"/>
      <c r="P276" s="657"/>
      <c r="Q276" s="658"/>
      <c r="R276" s="659"/>
      <c r="S276" s="657"/>
      <c r="T276" s="657"/>
      <c r="U276" s="660"/>
      <c r="V276" s="661">
        <v>500000</v>
      </c>
      <c r="W276" s="508">
        <f t="shared" si="115"/>
        <v>500000</v>
      </c>
      <c r="X276" s="498">
        <f t="shared" si="116"/>
        <v>500000</v>
      </c>
      <c r="Y276" s="500">
        <v>494000</v>
      </c>
      <c r="Z276" s="501">
        <v>500000</v>
      </c>
      <c r="AA276" s="501">
        <v>0</v>
      </c>
      <c r="AB276" s="501"/>
      <c r="AC276" s="478">
        <f t="shared" si="112"/>
        <v>0</v>
      </c>
      <c r="AD276" s="509">
        <v>500000</v>
      </c>
      <c r="AE276" s="509"/>
      <c r="AF276" s="662">
        <v>500000</v>
      </c>
      <c r="AG276" s="509">
        <f>AF276-AD276</f>
        <v>0</v>
      </c>
      <c r="AH276" s="503">
        <v>494000</v>
      </c>
      <c r="AI276" s="503">
        <v>500000</v>
      </c>
      <c r="AJ276" s="503">
        <v>500000</v>
      </c>
      <c r="AK276" s="472">
        <v>2610122</v>
      </c>
    </row>
    <row r="277" spans="1:37" ht="16.5" thickTop="1" thickBot="1" x14ac:dyDescent="0.25">
      <c r="A277" s="491"/>
      <c r="B277" s="492"/>
      <c r="C277" s="493"/>
      <c r="D277" s="493"/>
      <c r="E277" s="494">
        <v>830307</v>
      </c>
      <c r="F277" s="495" t="s">
        <v>165</v>
      </c>
      <c r="G277" s="508">
        <v>474240</v>
      </c>
      <c r="H277" s="657">
        <v>1000000</v>
      </c>
      <c r="I277" s="658">
        <v>1000000</v>
      </c>
      <c r="J277" s="659">
        <v>1000000</v>
      </c>
      <c r="K277" s="657"/>
      <c r="L277" s="657"/>
      <c r="M277" s="660"/>
      <c r="N277" s="661"/>
      <c r="O277" s="508"/>
      <c r="P277" s="657"/>
      <c r="Q277" s="658"/>
      <c r="R277" s="659"/>
      <c r="S277" s="657"/>
      <c r="T277" s="657"/>
      <c r="U277" s="660"/>
      <c r="V277" s="661">
        <v>500000</v>
      </c>
      <c r="W277" s="508">
        <f t="shared" si="115"/>
        <v>500000</v>
      </c>
      <c r="X277" s="498">
        <f t="shared" si="116"/>
        <v>500000</v>
      </c>
      <c r="Y277" s="500">
        <v>499800</v>
      </c>
      <c r="Z277" s="501">
        <v>500000</v>
      </c>
      <c r="AA277" s="501">
        <v>0</v>
      </c>
      <c r="AB277" s="501"/>
      <c r="AC277" s="478">
        <f t="shared" si="112"/>
        <v>0</v>
      </c>
      <c r="AD277" s="509">
        <v>500000</v>
      </c>
      <c r="AE277" s="509"/>
      <c r="AF277" s="662">
        <v>500000</v>
      </c>
      <c r="AG277" s="509">
        <f>AF277-AD277</f>
        <v>0</v>
      </c>
      <c r="AH277" s="503">
        <v>499800</v>
      </c>
      <c r="AI277" s="503">
        <v>126033.60000000001</v>
      </c>
      <c r="AJ277" s="503">
        <v>300000</v>
      </c>
      <c r="AK277" s="472">
        <v>2610122</v>
      </c>
    </row>
    <row r="278" spans="1:37" ht="16.5" thickTop="1" thickBot="1" x14ac:dyDescent="0.25">
      <c r="A278" s="616"/>
      <c r="B278" s="617"/>
      <c r="C278" s="618"/>
      <c r="D278" s="618"/>
      <c r="E278" s="570">
        <v>830308</v>
      </c>
      <c r="F278" s="619" t="s">
        <v>686</v>
      </c>
      <c r="G278" s="496"/>
      <c r="H278" s="620">
        <v>1000000</v>
      </c>
      <c r="I278" s="620"/>
      <c r="J278" s="624"/>
      <c r="K278" s="621"/>
      <c r="L278" s="621"/>
      <c r="M278" s="621"/>
      <c r="N278" s="621"/>
      <c r="O278" s="621"/>
      <c r="P278" s="621"/>
      <c r="Q278" s="656"/>
      <c r="R278" s="656"/>
      <c r="S278" s="656"/>
      <c r="T278" s="656"/>
      <c r="U278" s="656"/>
      <c r="V278" s="656"/>
      <c r="W278" s="508">
        <f t="shared" si="115"/>
        <v>0</v>
      </c>
      <c r="X278" s="498">
        <f t="shared" si="116"/>
        <v>0</v>
      </c>
      <c r="Y278" s="500"/>
      <c r="Z278" s="498"/>
      <c r="AA278" s="498"/>
      <c r="AB278" s="498"/>
      <c r="AC278" s="478">
        <f t="shared" si="112"/>
        <v>0</v>
      </c>
      <c r="AD278" s="498"/>
      <c r="AE278" s="498"/>
      <c r="AF278" s="498"/>
      <c r="AG278" s="498"/>
      <c r="AH278" s="500"/>
      <c r="AI278" s="500"/>
      <c r="AJ278" s="500"/>
      <c r="AK278" s="623"/>
    </row>
    <row r="279" spans="1:37" ht="16.5" thickTop="1" thickBot="1" x14ac:dyDescent="0.25">
      <c r="A279" s="616"/>
      <c r="B279" s="617"/>
      <c r="C279" s="618"/>
      <c r="D279" s="618"/>
      <c r="E279" s="570">
        <v>830309</v>
      </c>
      <c r="F279" s="619" t="s">
        <v>687</v>
      </c>
      <c r="G279" s="496"/>
      <c r="H279" s="620">
        <v>300000</v>
      </c>
      <c r="I279" s="620">
        <v>300000</v>
      </c>
      <c r="J279" s="624">
        <v>300000</v>
      </c>
      <c r="K279" s="621"/>
      <c r="L279" s="621"/>
      <c r="M279" s="621"/>
      <c r="N279" s="621"/>
      <c r="O279" s="621"/>
      <c r="P279" s="621"/>
      <c r="Q279" s="656"/>
      <c r="R279" s="656"/>
      <c r="S279" s="656"/>
      <c r="T279" s="656"/>
      <c r="U279" s="656"/>
      <c r="V279" s="656">
        <v>0</v>
      </c>
      <c r="W279" s="508">
        <f t="shared" si="115"/>
        <v>0</v>
      </c>
      <c r="X279" s="498">
        <f t="shared" si="116"/>
        <v>0</v>
      </c>
      <c r="Y279" s="500"/>
      <c r="Z279" s="498"/>
      <c r="AA279" s="498"/>
      <c r="AB279" s="498"/>
      <c r="AC279" s="478">
        <f t="shared" si="112"/>
        <v>0</v>
      </c>
      <c r="AD279" s="498"/>
      <c r="AE279" s="498"/>
      <c r="AF279" s="498"/>
      <c r="AG279" s="498"/>
      <c r="AH279" s="500"/>
      <c r="AI279" s="500"/>
      <c r="AJ279" s="500"/>
      <c r="AK279" s="623"/>
    </row>
    <row r="280" spans="1:37" ht="16.5" thickTop="1" thickBot="1" x14ac:dyDescent="0.25">
      <c r="A280" s="491"/>
      <c r="B280" s="492"/>
      <c r="C280" s="493"/>
      <c r="D280" s="493"/>
      <c r="E280" s="494">
        <v>830310</v>
      </c>
      <c r="F280" s="495" t="s">
        <v>688</v>
      </c>
      <c r="G280" s="508"/>
      <c r="H280" s="657">
        <v>200000</v>
      </c>
      <c r="I280" s="658">
        <v>50000</v>
      </c>
      <c r="J280" s="659">
        <v>50000</v>
      </c>
      <c r="K280" s="657"/>
      <c r="L280" s="657"/>
      <c r="M280" s="660"/>
      <c r="N280" s="661"/>
      <c r="O280" s="508"/>
      <c r="P280" s="657"/>
      <c r="Q280" s="658"/>
      <c r="R280" s="659"/>
      <c r="S280" s="657"/>
      <c r="T280" s="657"/>
      <c r="U280" s="660"/>
      <c r="V280" s="661">
        <v>50000</v>
      </c>
      <c r="W280" s="508">
        <f t="shared" si="115"/>
        <v>50000</v>
      </c>
      <c r="X280" s="498">
        <f t="shared" si="116"/>
        <v>50000</v>
      </c>
      <c r="Y280" s="500">
        <v>50000</v>
      </c>
      <c r="Z280" s="501">
        <v>50000</v>
      </c>
      <c r="AA280" s="501">
        <v>0</v>
      </c>
      <c r="AB280" s="501"/>
      <c r="AC280" s="478">
        <f t="shared" si="112"/>
        <v>0</v>
      </c>
      <c r="AD280" s="509">
        <v>50000</v>
      </c>
      <c r="AE280" s="509"/>
      <c r="AF280" s="662">
        <v>50000</v>
      </c>
      <c r="AG280" s="509">
        <f>AF280-AD280</f>
        <v>0</v>
      </c>
      <c r="AH280" s="503">
        <v>50000</v>
      </c>
      <c r="AI280" s="503">
        <v>0</v>
      </c>
      <c r="AJ280" s="503">
        <v>50000</v>
      </c>
      <c r="AK280" s="472">
        <v>2610122</v>
      </c>
    </row>
    <row r="281" spans="1:37" ht="16.5" thickTop="1" thickBot="1" x14ac:dyDescent="0.25">
      <c r="A281" s="616"/>
      <c r="B281" s="617"/>
      <c r="C281" s="618"/>
      <c r="D281" s="618"/>
      <c r="E281" s="570">
        <v>830311</v>
      </c>
      <c r="F281" s="619" t="s">
        <v>689</v>
      </c>
      <c r="G281" s="496"/>
      <c r="H281" s="620">
        <v>700000</v>
      </c>
      <c r="I281" s="620">
        <v>700000</v>
      </c>
      <c r="J281" s="624">
        <v>700000</v>
      </c>
      <c r="K281" s="621"/>
      <c r="L281" s="621"/>
      <c r="M281" s="621"/>
      <c r="N281" s="621"/>
      <c r="O281" s="621"/>
      <c r="P281" s="621"/>
      <c r="Q281" s="656"/>
      <c r="R281" s="656"/>
      <c r="S281" s="656"/>
      <c r="T281" s="656"/>
      <c r="U281" s="656"/>
      <c r="V281" s="656"/>
      <c r="W281" s="508">
        <f t="shared" si="115"/>
        <v>0</v>
      </c>
      <c r="X281" s="498">
        <f t="shared" si="116"/>
        <v>0</v>
      </c>
      <c r="Y281" s="500"/>
      <c r="Z281" s="498"/>
      <c r="AA281" s="498"/>
      <c r="AB281" s="498"/>
      <c r="AC281" s="478">
        <f t="shared" si="112"/>
        <v>0</v>
      </c>
      <c r="AD281" s="498"/>
      <c r="AE281" s="498"/>
      <c r="AF281" s="498"/>
      <c r="AG281" s="498"/>
      <c r="AH281" s="500"/>
      <c r="AI281" s="503">
        <f>IFERROR(VLOOKUP(E281,[17]Total!$D:$S,12,FALSE),0)</f>
        <v>0</v>
      </c>
      <c r="AJ281" s="503">
        <f>IFERROR(VLOOKUP(E281,[17]Total!$D:$S,16,FALSE),0)</f>
        <v>0</v>
      </c>
      <c r="AK281" s="623"/>
    </row>
    <row r="282" spans="1:37" ht="16.5" thickTop="1" thickBot="1" x14ac:dyDescent="0.25">
      <c r="A282" s="491"/>
      <c r="B282" s="492"/>
      <c r="C282" s="493"/>
      <c r="D282" s="493"/>
      <c r="E282" s="570">
        <v>830392</v>
      </c>
      <c r="F282" s="495" t="s">
        <v>690</v>
      </c>
      <c r="G282" s="508"/>
      <c r="H282" s="657"/>
      <c r="I282" s="658"/>
      <c r="J282" s="659"/>
      <c r="K282" s="657"/>
      <c r="L282" s="657"/>
      <c r="M282" s="660"/>
      <c r="N282" s="661"/>
      <c r="O282" s="508"/>
      <c r="P282" s="657"/>
      <c r="Q282" s="658"/>
      <c r="R282" s="659"/>
      <c r="S282" s="657"/>
      <c r="T282" s="657"/>
      <c r="U282" s="660"/>
      <c r="V282" s="661">
        <v>2400000</v>
      </c>
      <c r="W282" s="508">
        <f t="shared" si="115"/>
        <v>2400000</v>
      </c>
      <c r="X282" s="498">
        <f t="shared" si="116"/>
        <v>2400000</v>
      </c>
      <c r="Y282" s="500"/>
      <c r="Z282" s="498"/>
      <c r="AA282" s="498"/>
      <c r="AB282" s="498"/>
      <c r="AC282" s="478">
        <f t="shared" si="112"/>
        <v>0</v>
      </c>
      <c r="AD282" s="498"/>
      <c r="AE282" s="498"/>
      <c r="AF282" s="498"/>
      <c r="AG282" s="498"/>
      <c r="AH282" s="503"/>
      <c r="AI282" s="503">
        <v>0</v>
      </c>
      <c r="AJ282" s="503">
        <v>0</v>
      </c>
      <c r="AK282" s="472"/>
    </row>
    <row r="283" spans="1:37" ht="16.5" thickTop="1" thickBot="1" x14ac:dyDescent="0.25">
      <c r="A283" s="491"/>
      <c r="B283" s="492"/>
      <c r="C283" s="493"/>
      <c r="D283" s="493"/>
      <c r="E283" s="570">
        <v>830320</v>
      </c>
      <c r="F283" s="495" t="s">
        <v>691</v>
      </c>
      <c r="G283" s="508"/>
      <c r="H283" s="657"/>
      <c r="I283" s="658"/>
      <c r="J283" s="659"/>
      <c r="K283" s="657"/>
      <c r="L283" s="657"/>
      <c r="M283" s="660"/>
      <c r="N283" s="661"/>
      <c r="O283" s="508"/>
      <c r="P283" s="657"/>
      <c r="Q283" s="658"/>
      <c r="R283" s="659"/>
      <c r="S283" s="657"/>
      <c r="T283" s="657"/>
      <c r="U283" s="660"/>
      <c r="V283" s="661">
        <v>700000</v>
      </c>
      <c r="W283" s="508">
        <f t="shared" si="115"/>
        <v>700000</v>
      </c>
      <c r="X283" s="498">
        <f t="shared" si="116"/>
        <v>700000</v>
      </c>
      <c r="Y283" s="500">
        <v>764449</v>
      </c>
      <c r="Z283" s="498"/>
      <c r="AA283" s="498"/>
      <c r="AB283" s="498"/>
      <c r="AC283" s="478">
        <f t="shared" si="112"/>
        <v>0</v>
      </c>
      <c r="AD283" s="498"/>
      <c r="AE283" s="498"/>
      <c r="AF283" s="498"/>
      <c r="AG283" s="498"/>
      <c r="AH283" s="503">
        <v>764449</v>
      </c>
      <c r="AI283" s="503">
        <v>0</v>
      </c>
      <c r="AJ283" s="503">
        <v>0</v>
      </c>
      <c r="AK283" s="472">
        <v>2610121</v>
      </c>
    </row>
    <row r="284" spans="1:37" ht="16.5" thickTop="1" thickBot="1" x14ac:dyDescent="0.25">
      <c r="A284" s="491"/>
      <c r="B284" s="492"/>
      <c r="C284" s="493"/>
      <c r="D284" s="493"/>
      <c r="E284" s="494">
        <v>830312</v>
      </c>
      <c r="F284" s="495" t="s">
        <v>692</v>
      </c>
      <c r="G284" s="508"/>
      <c r="H284" s="657">
        <v>5000000</v>
      </c>
      <c r="I284" s="658">
        <v>5000000</v>
      </c>
      <c r="J284" s="659">
        <v>5000000</v>
      </c>
      <c r="K284" s="657"/>
      <c r="L284" s="657"/>
      <c r="M284" s="660"/>
      <c r="N284" s="661"/>
      <c r="O284" s="508"/>
      <c r="P284" s="657"/>
      <c r="Q284" s="658"/>
      <c r="R284" s="659"/>
      <c r="S284" s="657"/>
      <c r="T284" s="657"/>
      <c r="U284" s="660"/>
      <c r="V284" s="661">
        <v>5000000</v>
      </c>
      <c r="W284" s="508">
        <f t="shared" si="115"/>
        <v>5000000</v>
      </c>
      <c r="X284" s="498">
        <f t="shared" si="116"/>
        <v>5000000</v>
      </c>
      <c r="Y284" s="500"/>
      <c r="Z284" s="501">
        <v>5000000</v>
      </c>
      <c r="AA284" s="501">
        <v>0</v>
      </c>
      <c r="AB284" s="501"/>
      <c r="AC284" s="478">
        <f t="shared" si="112"/>
        <v>0</v>
      </c>
      <c r="AD284" s="509">
        <v>5000000</v>
      </c>
      <c r="AE284" s="509"/>
      <c r="AF284" s="662">
        <v>5000000</v>
      </c>
      <c r="AG284" s="509">
        <f>AF284-AD284</f>
        <v>0</v>
      </c>
      <c r="AH284" s="503">
        <v>0</v>
      </c>
      <c r="AI284" s="503">
        <v>5000000</v>
      </c>
      <c r="AJ284" s="503">
        <f>5000000+3865540.92-0.04</f>
        <v>8865540.8800000008</v>
      </c>
      <c r="AK284" s="472">
        <v>2610122</v>
      </c>
    </row>
    <row r="285" spans="1:37" ht="16.5" thickTop="1" thickBot="1" x14ac:dyDescent="0.25">
      <c r="A285" s="491"/>
      <c r="B285" s="492"/>
      <c r="C285" s="493"/>
      <c r="D285" s="493"/>
      <c r="E285" s="494">
        <v>830351</v>
      </c>
      <c r="F285" s="495" t="s">
        <v>693</v>
      </c>
      <c r="G285" s="508"/>
      <c r="H285" s="657"/>
      <c r="I285" s="658"/>
      <c r="J285" s="659"/>
      <c r="K285" s="657"/>
      <c r="L285" s="657"/>
      <c r="M285" s="660"/>
      <c r="N285" s="661"/>
      <c r="O285" s="508"/>
      <c r="P285" s="657"/>
      <c r="Q285" s="658"/>
      <c r="R285" s="659"/>
      <c r="S285" s="657"/>
      <c r="T285" s="657"/>
      <c r="U285" s="660"/>
      <c r="V285" s="661"/>
      <c r="W285" s="508"/>
      <c r="X285" s="498"/>
      <c r="Y285" s="500"/>
      <c r="Z285" s="578"/>
      <c r="AA285" s="578"/>
      <c r="AB285" s="578"/>
      <c r="AC285" s="478"/>
      <c r="AD285" s="509"/>
      <c r="AE285" s="509"/>
      <c r="AF285" s="662"/>
      <c r="AG285" s="509"/>
      <c r="AH285" s="503"/>
      <c r="AI285" s="503"/>
      <c r="AJ285" s="503">
        <v>3000000</v>
      </c>
      <c r="AK285" s="472">
        <v>2610122</v>
      </c>
    </row>
    <row r="286" spans="1:37" ht="16.5" thickTop="1" thickBot="1" x14ac:dyDescent="0.25">
      <c r="A286" s="491"/>
      <c r="B286" s="492"/>
      <c r="C286" s="493"/>
      <c r="D286" s="493"/>
      <c r="E286" s="570"/>
      <c r="F286" s="495" t="s">
        <v>694</v>
      </c>
      <c r="G286" s="508">
        <v>680104.75</v>
      </c>
      <c r="H286" s="657"/>
      <c r="I286" s="658"/>
      <c r="J286" s="659"/>
      <c r="K286" s="657"/>
      <c r="L286" s="657"/>
      <c r="M286" s="660"/>
      <c r="N286" s="661"/>
      <c r="O286" s="508"/>
      <c r="P286" s="657"/>
      <c r="Q286" s="658"/>
      <c r="R286" s="659"/>
      <c r="S286" s="657"/>
      <c r="T286" s="657"/>
      <c r="U286" s="660"/>
      <c r="V286" s="661"/>
      <c r="W286" s="508">
        <f t="shared" ref="W286:Y288" si="117">SUM(K286:V286)</f>
        <v>0</v>
      </c>
      <c r="X286" s="508">
        <f t="shared" si="117"/>
        <v>0</v>
      </c>
      <c r="Y286" s="594">
        <f t="shared" si="117"/>
        <v>0</v>
      </c>
      <c r="Z286" s="508"/>
      <c r="AA286" s="508"/>
      <c r="AB286" s="508"/>
      <c r="AC286" s="478">
        <f t="shared" ref="AC286:AC329" si="118">W286-X286</f>
        <v>0</v>
      </c>
      <c r="AD286" s="508"/>
      <c r="AE286" s="508"/>
      <c r="AF286" s="508"/>
      <c r="AG286" s="508"/>
      <c r="AH286" s="500"/>
      <c r="AI286" s="500"/>
      <c r="AJ286" s="500"/>
      <c r="AK286" s="472" t="s">
        <v>695</v>
      </c>
    </row>
    <row r="287" spans="1:37" ht="16.5" thickTop="1" thickBot="1" x14ac:dyDescent="0.25">
      <c r="A287" s="491"/>
      <c r="B287" s="492"/>
      <c r="C287" s="493"/>
      <c r="D287" s="493"/>
      <c r="E287" s="570"/>
      <c r="F287" s="495" t="s">
        <v>696</v>
      </c>
      <c r="G287" s="508">
        <v>0</v>
      </c>
      <c r="H287" s="657"/>
      <c r="I287" s="658"/>
      <c r="J287" s="659"/>
      <c r="K287" s="657"/>
      <c r="L287" s="657"/>
      <c r="M287" s="660"/>
      <c r="N287" s="661"/>
      <c r="O287" s="508"/>
      <c r="P287" s="657"/>
      <c r="Q287" s="658"/>
      <c r="R287" s="659"/>
      <c r="S287" s="657"/>
      <c r="T287" s="657"/>
      <c r="U287" s="660"/>
      <c r="V287" s="661"/>
      <c r="W287" s="508">
        <f t="shared" si="117"/>
        <v>0</v>
      </c>
      <c r="X287" s="508">
        <f t="shared" si="117"/>
        <v>0</v>
      </c>
      <c r="Y287" s="594">
        <f t="shared" si="117"/>
        <v>0</v>
      </c>
      <c r="Z287" s="508"/>
      <c r="AA287" s="508"/>
      <c r="AB287" s="508"/>
      <c r="AC287" s="478">
        <f t="shared" si="118"/>
        <v>0</v>
      </c>
      <c r="AD287" s="508"/>
      <c r="AE287" s="508"/>
      <c r="AF287" s="508"/>
      <c r="AG287" s="508"/>
      <c r="AH287" s="500"/>
      <c r="AI287" s="500"/>
      <c r="AJ287" s="500"/>
      <c r="AK287" s="472"/>
    </row>
    <row r="288" spans="1:37" ht="16.5" thickTop="1" thickBot="1" x14ac:dyDescent="0.25">
      <c r="A288" s="491"/>
      <c r="B288" s="492"/>
      <c r="C288" s="493"/>
      <c r="D288" s="493"/>
      <c r="E288" s="570"/>
      <c r="F288" s="495" t="s">
        <v>697</v>
      </c>
      <c r="G288" s="508">
        <v>100000</v>
      </c>
      <c r="H288" s="657"/>
      <c r="I288" s="658"/>
      <c r="J288" s="659"/>
      <c r="K288" s="657"/>
      <c r="L288" s="657"/>
      <c r="M288" s="660"/>
      <c r="N288" s="661"/>
      <c r="O288" s="508"/>
      <c r="P288" s="657"/>
      <c r="Q288" s="658"/>
      <c r="R288" s="659"/>
      <c r="S288" s="657"/>
      <c r="T288" s="657"/>
      <c r="U288" s="660"/>
      <c r="V288" s="661"/>
      <c r="W288" s="508">
        <f t="shared" si="117"/>
        <v>0</v>
      </c>
      <c r="X288" s="508">
        <f t="shared" si="117"/>
        <v>0</v>
      </c>
      <c r="Y288" s="594">
        <f t="shared" si="117"/>
        <v>0</v>
      </c>
      <c r="Z288" s="508"/>
      <c r="AA288" s="508"/>
      <c r="AB288" s="508"/>
      <c r="AC288" s="478">
        <f t="shared" si="118"/>
        <v>0</v>
      </c>
      <c r="AD288" s="508"/>
      <c r="AE288" s="508"/>
      <c r="AF288" s="508"/>
      <c r="AG288" s="508"/>
      <c r="AH288" s="500"/>
      <c r="AI288" s="500"/>
      <c r="AJ288" s="500"/>
      <c r="AK288" s="472"/>
    </row>
    <row r="289" spans="1:37" ht="16.5" thickTop="1" thickBot="1" x14ac:dyDescent="0.25">
      <c r="A289" s="491"/>
      <c r="B289" s="492"/>
      <c r="C289" s="493"/>
      <c r="D289" s="493"/>
      <c r="E289" s="570">
        <v>830315</v>
      </c>
      <c r="F289" s="495" t="s">
        <v>698</v>
      </c>
      <c r="G289" s="508">
        <v>1635117.48</v>
      </c>
      <c r="H289" s="657"/>
      <c r="I289" s="658">
        <v>11500000</v>
      </c>
      <c r="J289" s="659">
        <v>11500000</v>
      </c>
      <c r="K289" s="657"/>
      <c r="L289" s="657"/>
      <c r="M289" s="660">
        <v>11500000</v>
      </c>
      <c r="N289" s="661"/>
      <c r="O289" s="508"/>
      <c r="P289" s="657"/>
      <c r="Q289" s="658"/>
      <c r="R289" s="659"/>
      <c r="S289" s="657"/>
      <c r="T289" s="657"/>
      <c r="U289" s="660"/>
      <c r="V289" s="661">
        <v>0</v>
      </c>
      <c r="W289" s="508">
        <f t="shared" ref="W289:Y317" si="119">SUM(K289:V289)</f>
        <v>11500000</v>
      </c>
      <c r="X289" s="498">
        <f>W289</f>
        <v>11500000</v>
      </c>
      <c r="Y289" s="500">
        <v>11500000</v>
      </c>
      <c r="Z289" s="498"/>
      <c r="AA289" s="498"/>
      <c r="AB289" s="498"/>
      <c r="AC289" s="478">
        <f t="shared" si="118"/>
        <v>0</v>
      </c>
      <c r="AD289" s="498"/>
      <c r="AE289" s="498"/>
      <c r="AF289" s="498"/>
      <c r="AG289" s="498"/>
      <c r="AH289" s="503">
        <v>11500000</v>
      </c>
      <c r="AI289" s="503">
        <v>153728.09</v>
      </c>
      <c r="AJ289" s="503">
        <v>0</v>
      </c>
      <c r="AK289" s="472"/>
    </row>
    <row r="290" spans="1:37" ht="16.5" thickTop="1" thickBot="1" x14ac:dyDescent="0.25">
      <c r="A290" s="491"/>
      <c r="B290" s="492"/>
      <c r="C290" s="493"/>
      <c r="D290" s="493"/>
      <c r="E290" s="570"/>
      <c r="F290" s="495" t="s">
        <v>699</v>
      </c>
      <c r="G290" s="508">
        <v>0</v>
      </c>
      <c r="H290" s="657"/>
      <c r="I290" s="658"/>
      <c r="J290" s="659"/>
      <c r="K290" s="657"/>
      <c r="L290" s="657"/>
      <c r="M290" s="660"/>
      <c r="N290" s="661"/>
      <c r="O290" s="508"/>
      <c r="P290" s="657"/>
      <c r="Q290" s="658"/>
      <c r="R290" s="659"/>
      <c r="S290" s="657"/>
      <c r="T290" s="657"/>
      <c r="U290" s="660"/>
      <c r="V290" s="661"/>
      <c r="W290" s="508">
        <f t="shared" si="119"/>
        <v>0</v>
      </c>
      <c r="X290" s="508">
        <f t="shared" si="119"/>
        <v>0</v>
      </c>
      <c r="Y290" s="594">
        <f t="shared" si="119"/>
        <v>0</v>
      </c>
      <c r="Z290" s="508"/>
      <c r="AA290" s="508"/>
      <c r="AB290" s="508"/>
      <c r="AC290" s="478">
        <f t="shared" si="118"/>
        <v>0</v>
      </c>
      <c r="AD290" s="508"/>
      <c r="AE290" s="508"/>
      <c r="AF290" s="508"/>
      <c r="AG290" s="508"/>
      <c r="AH290" s="500"/>
      <c r="AI290" s="500"/>
      <c r="AJ290" s="500"/>
      <c r="AK290" s="472"/>
    </row>
    <row r="291" spans="1:37" ht="16.5" thickTop="1" thickBot="1" x14ac:dyDescent="0.25">
      <c r="A291" s="491"/>
      <c r="B291" s="492"/>
      <c r="C291" s="493"/>
      <c r="D291" s="493"/>
      <c r="E291" s="570"/>
      <c r="F291" s="495" t="s">
        <v>700</v>
      </c>
      <c r="G291" s="508">
        <v>1964113.71</v>
      </c>
      <c r="H291" s="657"/>
      <c r="I291" s="658"/>
      <c r="J291" s="659"/>
      <c r="K291" s="657"/>
      <c r="L291" s="657"/>
      <c r="M291" s="660"/>
      <c r="N291" s="661"/>
      <c r="O291" s="508"/>
      <c r="P291" s="657"/>
      <c r="Q291" s="658"/>
      <c r="R291" s="659"/>
      <c r="S291" s="657"/>
      <c r="T291" s="657"/>
      <c r="U291" s="660"/>
      <c r="V291" s="661"/>
      <c r="W291" s="508">
        <f t="shared" si="119"/>
        <v>0</v>
      </c>
      <c r="X291" s="508">
        <f t="shared" si="119"/>
        <v>0</v>
      </c>
      <c r="Y291" s="594">
        <f t="shared" si="119"/>
        <v>0</v>
      </c>
      <c r="Z291" s="508"/>
      <c r="AA291" s="508"/>
      <c r="AB291" s="508"/>
      <c r="AC291" s="478">
        <f t="shared" si="118"/>
        <v>0</v>
      </c>
      <c r="AD291" s="508"/>
      <c r="AE291" s="508"/>
      <c r="AF291" s="508"/>
      <c r="AG291" s="508"/>
      <c r="AH291" s="500"/>
      <c r="AI291" s="500"/>
      <c r="AJ291" s="500"/>
      <c r="AK291" s="472"/>
    </row>
    <row r="292" spans="1:37" ht="16.5" thickTop="1" thickBot="1" x14ac:dyDescent="0.25">
      <c r="A292" s="491"/>
      <c r="B292" s="492"/>
      <c r="C292" s="493"/>
      <c r="D292" s="493"/>
      <c r="E292" s="570"/>
      <c r="F292" s="495" t="s">
        <v>701</v>
      </c>
      <c r="G292" s="508">
        <v>1527048.83</v>
      </c>
      <c r="H292" s="657"/>
      <c r="I292" s="658"/>
      <c r="J292" s="659"/>
      <c r="K292" s="657"/>
      <c r="L292" s="657"/>
      <c r="M292" s="660"/>
      <c r="N292" s="661"/>
      <c r="O292" s="508"/>
      <c r="P292" s="657"/>
      <c r="Q292" s="658"/>
      <c r="R292" s="659"/>
      <c r="S292" s="657"/>
      <c r="T292" s="657"/>
      <c r="U292" s="660"/>
      <c r="V292" s="661"/>
      <c r="W292" s="508">
        <f t="shared" si="119"/>
        <v>0</v>
      </c>
      <c r="X292" s="508">
        <f t="shared" si="119"/>
        <v>0</v>
      </c>
      <c r="Y292" s="594">
        <f t="shared" si="119"/>
        <v>0</v>
      </c>
      <c r="Z292" s="508"/>
      <c r="AA292" s="508"/>
      <c r="AB292" s="508"/>
      <c r="AC292" s="478">
        <f t="shared" si="118"/>
        <v>0</v>
      </c>
      <c r="AD292" s="508"/>
      <c r="AE292" s="508"/>
      <c r="AF292" s="508"/>
      <c r="AG292" s="508"/>
      <c r="AH292" s="500"/>
      <c r="AI292" s="500"/>
      <c r="AJ292" s="500"/>
      <c r="AK292" s="472"/>
    </row>
    <row r="293" spans="1:37" ht="16.5" thickTop="1" thickBot="1" x14ac:dyDescent="0.25">
      <c r="A293" s="491"/>
      <c r="B293" s="492"/>
      <c r="C293" s="493"/>
      <c r="D293" s="493"/>
      <c r="E293" s="570"/>
      <c r="F293" s="495" t="s">
        <v>702</v>
      </c>
      <c r="G293" s="508"/>
      <c r="H293" s="657"/>
      <c r="I293" s="658"/>
      <c r="J293" s="659"/>
      <c r="K293" s="657"/>
      <c r="L293" s="657"/>
      <c r="M293" s="660"/>
      <c r="N293" s="661"/>
      <c r="O293" s="508"/>
      <c r="P293" s="657"/>
      <c r="Q293" s="658"/>
      <c r="R293" s="659"/>
      <c r="S293" s="657"/>
      <c r="T293" s="657"/>
      <c r="U293" s="660"/>
      <c r="V293" s="661"/>
      <c r="W293" s="508">
        <f t="shared" si="119"/>
        <v>0</v>
      </c>
      <c r="X293" s="508">
        <f t="shared" si="119"/>
        <v>0</v>
      </c>
      <c r="Y293" s="594">
        <f t="shared" si="119"/>
        <v>0</v>
      </c>
      <c r="Z293" s="508"/>
      <c r="AA293" s="508"/>
      <c r="AB293" s="508"/>
      <c r="AC293" s="478">
        <f t="shared" si="118"/>
        <v>0</v>
      </c>
      <c r="AD293" s="508"/>
      <c r="AE293" s="508"/>
      <c r="AF293" s="508"/>
      <c r="AG293" s="508"/>
      <c r="AH293" s="500"/>
      <c r="AI293" s="500"/>
      <c r="AJ293" s="500"/>
      <c r="AK293" s="472"/>
    </row>
    <row r="294" spans="1:37" ht="16.5" thickTop="1" thickBot="1" x14ac:dyDescent="0.25">
      <c r="A294" s="491"/>
      <c r="B294" s="492"/>
      <c r="C294" s="493"/>
      <c r="D294" s="493"/>
      <c r="E294" s="494"/>
      <c r="F294" s="495" t="s">
        <v>703</v>
      </c>
      <c r="G294" s="508">
        <v>2410141.0299999998</v>
      </c>
      <c r="H294" s="657"/>
      <c r="I294" s="658"/>
      <c r="J294" s="659"/>
      <c r="K294" s="657"/>
      <c r="L294" s="657"/>
      <c r="M294" s="660"/>
      <c r="N294" s="661"/>
      <c r="O294" s="508"/>
      <c r="P294" s="657"/>
      <c r="Q294" s="658"/>
      <c r="R294" s="659"/>
      <c r="S294" s="657"/>
      <c r="T294" s="657"/>
      <c r="U294" s="660"/>
      <c r="V294" s="661"/>
      <c r="W294" s="508">
        <f t="shared" si="119"/>
        <v>0</v>
      </c>
      <c r="X294" s="508">
        <f t="shared" si="119"/>
        <v>0</v>
      </c>
      <c r="Y294" s="594">
        <f t="shared" si="119"/>
        <v>0</v>
      </c>
      <c r="Z294" s="508"/>
      <c r="AA294" s="508"/>
      <c r="AB294" s="508"/>
      <c r="AC294" s="478">
        <f t="shared" si="118"/>
        <v>0</v>
      </c>
      <c r="AD294" s="508"/>
      <c r="AE294" s="508"/>
      <c r="AF294" s="508"/>
      <c r="AG294" s="508"/>
      <c r="AH294" s="500"/>
      <c r="AI294" s="500"/>
      <c r="AJ294" s="500">
        <v>1030030.85</v>
      </c>
      <c r="AK294" s="472">
        <v>2610222</v>
      </c>
    </row>
    <row r="295" spans="1:37" ht="16.5" thickTop="1" thickBot="1" x14ac:dyDescent="0.25">
      <c r="A295" s="491"/>
      <c r="B295" s="492"/>
      <c r="C295" s="493"/>
      <c r="D295" s="493"/>
      <c r="E295" s="570"/>
      <c r="F295" s="495" t="s">
        <v>704</v>
      </c>
      <c r="G295" s="508">
        <v>0</v>
      </c>
      <c r="H295" s="657"/>
      <c r="I295" s="658"/>
      <c r="J295" s="659"/>
      <c r="K295" s="657"/>
      <c r="L295" s="657"/>
      <c r="M295" s="660"/>
      <c r="N295" s="661"/>
      <c r="O295" s="508"/>
      <c r="P295" s="657"/>
      <c r="Q295" s="658"/>
      <c r="R295" s="659"/>
      <c r="S295" s="657"/>
      <c r="T295" s="657"/>
      <c r="U295" s="660"/>
      <c r="V295" s="661"/>
      <c r="W295" s="508">
        <f t="shared" si="119"/>
        <v>0</v>
      </c>
      <c r="X295" s="508">
        <f t="shared" si="119"/>
        <v>0</v>
      </c>
      <c r="Y295" s="594">
        <f t="shared" si="119"/>
        <v>0</v>
      </c>
      <c r="Z295" s="508"/>
      <c r="AA295" s="508"/>
      <c r="AB295" s="508"/>
      <c r="AC295" s="478">
        <f t="shared" si="118"/>
        <v>0</v>
      </c>
      <c r="AD295" s="508"/>
      <c r="AE295" s="508"/>
      <c r="AF295" s="508"/>
      <c r="AG295" s="508"/>
      <c r="AH295" s="500"/>
      <c r="AI295" s="500"/>
      <c r="AJ295" s="500"/>
      <c r="AK295" s="472"/>
    </row>
    <row r="296" spans="1:37" ht="16.5" thickTop="1" thickBot="1" x14ac:dyDescent="0.25">
      <c r="A296" s="491"/>
      <c r="B296" s="492"/>
      <c r="C296" s="493"/>
      <c r="D296" s="493"/>
      <c r="E296" s="570"/>
      <c r="F296" s="495" t="s">
        <v>705</v>
      </c>
      <c r="G296" s="508">
        <v>129145.78</v>
      </c>
      <c r="H296" s="657"/>
      <c r="I296" s="658"/>
      <c r="J296" s="659"/>
      <c r="K296" s="657"/>
      <c r="L296" s="657"/>
      <c r="M296" s="660"/>
      <c r="N296" s="661"/>
      <c r="O296" s="508"/>
      <c r="P296" s="657"/>
      <c r="Q296" s="658"/>
      <c r="R296" s="659"/>
      <c r="S296" s="657"/>
      <c r="T296" s="657"/>
      <c r="U296" s="660"/>
      <c r="V296" s="661"/>
      <c r="W296" s="508">
        <f t="shared" si="119"/>
        <v>0</v>
      </c>
      <c r="X296" s="508">
        <f t="shared" si="119"/>
        <v>0</v>
      </c>
      <c r="Y296" s="594">
        <f t="shared" si="119"/>
        <v>0</v>
      </c>
      <c r="Z296" s="508"/>
      <c r="AA296" s="508"/>
      <c r="AB296" s="508"/>
      <c r="AC296" s="478">
        <f t="shared" si="118"/>
        <v>0</v>
      </c>
      <c r="AD296" s="508"/>
      <c r="AE296" s="508"/>
      <c r="AF296" s="508"/>
      <c r="AG296" s="508"/>
      <c r="AH296" s="500"/>
      <c r="AI296" s="500"/>
      <c r="AJ296" s="500"/>
      <c r="AK296" s="472"/>
    </row>
    <row r="297" spans="1:37" ht="16.5" thickTop="1" thickBot="1" x14ac:dyDescent="0.25">
      <c r="A297" s="491"/>
      <c r="B297" s="492"/>
      <c r="C297" s="493"/>
      <c r="D297" s="493"/>
      <c r="E297" s="570"/>
      <c r="F297" s="495" t="s">
        <v>706</v>
      </c>
      <c r="G297" s="508">
        <v>489775</v>
      </c>
      <c r="H297" s="657"/>
      <c r="I297" s="658"/>
      <c r="J297" s="659"/>
      <c r="K297" s="657"/>
      <c r="L297" s="657"/>
      <c r="M297" s="660"/>
      <c r="N297" s="661"/>
      <c r="O297" s="508"/>
      <c r="P297" s="657"/>
      <c r="Q297" s="658"/>
      <c r="R297" s="659"/>
      <c r="S297" s="657"/>
      <c r="T297" s="657"/>
      <c r="U297" s="660"/>
      <c r="V297" s="661"/>
      <c r="W297" s="508">
        <f t="shared" si="119"/>
        <v>0</v>
      </c>
      <c r="X297" s="508">
        <f t="shared" si="119"/>
        <v>0</v>
      </c>
      <c r="Y297" s="594">
        <f t="shared" si="119"/>
        <v>0</v>
      </c>
      <c r="Z297" s="508"/>
      <c r="AA297" s="508"/>
      <c r="AB297" s="508"/>
      <c r="AC297" s="478">
        <f t="shared" si="118"/>
        <v>0</v>
      </c>
      <c r="AD297" s="508"/>
      <c r="AE297" s="508"/>
      <c r="AF297" s="508"/>
      <c r="AG297" s="508"/>
      <c r="AH297" s="500"/>
      <c r="AI297" s="500"/>
      <c r="AJ297" s="500"/>
      <c r="AK297" s="472"/>
    </row>
    <row r="298" spans="1:37" ht="16.5" thickTop="1" thickBot="1" x14ac:dyDescent="0.25">
      <c r="A298" s="491"/>
      <c r="B298" s="492"/>
      <c r="C298" s="493"/>
      <c r="D298" s="493"/>
      <c r="E298" s="570"/>
      <c r="F298" s="495" t="s">
        <v>707</v>
      </c>
      <c r="G298" s="508">
        <v>6500201.0899999999</v>
      </c>
      <c r="H298" s="657"/>
      <c r="I298" s="658"/>
      <c r="J298" s="659"/>
      <c r="K298" s="657"/>
      <c r="L298" s="657"/>
      <c r="M298" s="660"/>
      <c r="N298" s="661"/>
      <c r="O298" s="508"/>
      <c r="P298" s="657"/>
      <c r="Q298" s="658"/>
      <c r="R298" s="659"/>
      <c r="S298" s="657"/>
      <c r="T298" s="657"/>
      <c r="U298" s="660"/>
      <c r="V298" s="661"/>
      <c r="W298" s="508">
        <f t="shared" si="119"/>
        <v>0</v>
      </c>
      <c r="X298" s="508">
        <f t="shared" si="119"/>
        <v>0</v>
      </c>
      <c r="Y298" s="594">
        <f t="shared" si="119"/>
        <v>0</v>
      </c>
      <c r="Z298" s="508"/>
      <c r="AA298" s="508"/>
      <c r="AB298" s="508"/>
      <c r="AC298" s="478">
        <f t="shared" si="118"/>
        <v>0</v>
      </c>
      <c r="AD298" s="508"/>
      <c r="AE298" s="508"/>
      <c r="AF298" s="508"/>
      <c r="AG298" s="508"/>
      <c r="AH298" s="500"/>
      <c r="AI298" s="500"/>
      <c r="AJ298" s="500"/>
      <c r="AK298" s="472"/>
    </row>
    <row r="299" spans="1:37" ht="16.5" thickTop="1" thickBot="1" x14ac:dyDescent="0.25">
      <c r="A299" s="491"/>
      <c r="B299" s="492"/>
      <c r="C299" s="493"/>
      <c r="D299" s="493"/>
      <c r="E299" s="570"/>
      <c r="F299" s="495" t="s">
        <v>708</v>
      </c>
      <c r="G299" s="508">
        <v>2023809.2</v>
      </c>
      <c r="H299" s="657"/>
      <c r="I299" s="658"/>
      <c r="J299" s="659"/>
      <c r="K299" s="657"/>
      <c r="L299" s="657"/>
      <c r="M299" s="660"/>
      <c r="N299" s="661"/>
      <c r="O299" s="508"/>
      <c r="P299" s="657"/>
      <c r="Q299" s="658"/>
      <c r="R299" s="659"/>
      <c r="S299" s="657"/>
      <c r="T299" s="657"/>
      <c r="U299" s="660"/>
      <c r="V299" s="661"/>
      <c r="W299" s="508">
        <f t="shared" si="119"/>
        <v>0</v>
      </c>
      <c r="X299" s="508">
        <f t="shared" si="119"/>
        <v>0</v>
      </c>
      <c r="Y299" s="594">
        <f t="shared" si="119"/>
        <v>0</v>
      </c>
      <c r="Z299" s="508"/>
      <c r="AA299" s="508"/>
      <c r="AB299" s="508"/>
      <c r="AC299" s="478">
        <f t="shared" si="118"/>
        <v>0</v>
      </c>
      <c r="AD299" s="508"/>
      <c r="AE299" s="508"/>
      <c r="AF299" s="508"/>
      <c r="AG299" s="508"/>
      <c r="AH299" s="500"/>
      <c r="AI299" s="500"/>
      <c r="AJ299" s="500"/>
      <c r="AK299" s="472"/>
    </row>
    <row r="300" spans="1:37" ht="16.5" thickTop="1" thickBot="1" x14ac:dyDescent="0.25">
      <c r="A300" s="491"/>
      <c r="B300" s="492"/>
      <c r="C300" s="493"/>
      <c r="D300" s="493"/>
      <c r="E300" s="570"/>
      <c r="F300" s="495" t="s">
        <v>709</v>
      </c>
      <c r="G300" s="508">
        <v>6086483.04</v>
      </c>
      <c r="H300" s="657"/>
      <c r="I300" s="658"/>
      <c r="J300" s="659"/>
      <c r="K300" s="657"/>
      <c r="L300" s="657"/>
      <c r="M300" s="660"/>
      <c r="N300" s="661"/>
      <c r="O300" s="508"/>
      <c r="P300" s="657"/>
      <c r="Q300" s="658"/>
      <c r="R300" s="659"/>
      <c r="S300" s="657"/>
      <c r="T300" s="657"/>
      <c r="U300" s="660"/>
      <c r="V300" s="661"/>
      <c r="W300" s="508">
        <f t="shared" si="119"/>
        <v>0</v>
      </c>
      <c r="X300" s="508">
        <f t="shared" si="119"/>
        <v>0</v>
      </c>
      <c r="Y300" s="594">
        <f t="shared" si="119"/>
        <v>0</v>
      </c>
      <c r="Z300" s="508"/>
      <c r="AA300" s="508"/>
      <c r="AB300" s="508"/>
      <c r="AC300" s="478">
        <f t="shared" si="118"/>
        <v>0</v>
      </c>
      <c r="AD300" s="508"/>
      <c r="AE300" s="508"/>
      <c r="AF300" s="508"/>
      <c r="AG300" s="508"/>
      <c r="AH300" s="500"/>
      <c r="AI300" s="500"/>
      <c r="AJ300" s="500"/>
      <c r="AK300" s="472"/>
    </row>
    <row r="301" spans="1:37" ht="16.5" thickTop="1" thickBot="1" x14ac:dyDescent="0.25">
      <c r="A301" s="491"/>
      <c r="B301" s="492"/>
      <c r="C301" s="493"/>
      <c r="D301" s="493"/>
      <c r="E301" s="570"/>
      <c r="F301" s="495" t="s">
        <v>710</v>
      </c>
      <c r="G301" s="508">
        <v>0</v>
      </c>
      <c r="H301" s="657"/>
      <c r="I301" s="658"/>
      <c r="J301" s="659"/>
      <c r="K301" s="657"/>
      <c r="L301" s="657"/>
      <c r="M301" s="660"/>
      <c r="N301" s="661"/>
      <c r="O301" s="508"/>
      <c r="P301" s="657"/>
      <c r="Q301" s="658"/>
      <c r="R301" s="659"/>
      <c r="S301" s="657"/>
      <c r="T301" s="657"/>
      <c r="U301" s="660"/>
      <c r="V301" s="661"/>
      <c r="W301" s="508">
        <f t="shared" si="119"/>
        <v>0</v>
      </c>
      <c r="X301" s="508">
        <f t="shared" si="119"/>
        <v>0</v>
      </c>
      <c r="Y301" s="594">
        <f t="shared" si="119"/>
        <v>0</v>
      </c>
      <c r="Z301" s="508"/>
      <c r="AA301" s="508"/>
      <c r="AB301" s="508"/>
      <c r="AC301" s="478">
        <f t="shared" si="118"/>
        <v>0</v>
      </c>
      <c r="AD301" s="508"/>
      <c r="AE301" s="508"/>
      <c r="AF301" s="508"/>
      <c r="AG301" s="508"/>
      <c r="AH301" s="500"/>
      <c r="AI301" s="500"/>
      <c r="AJ301" s="500"/>
      <c r="AK301" s="472"/>
    </row>
    <row r="302" spans="1:37" ht="16.5" thickTop="1" thickBot="1" x14ac:dyDescent="0.25">
      <c r="A302" s="491"/>
      <c r="B302" s="492"/>
      <c r="C302" s="493"/>
      <c r="D302" s="493"/>
      <c r="E302" s="570"/>
      <c r="F302" s="495" t="s">
        <v>711</v>
      </c>
      <c r="G302" s="508">
        <v>200000</v>
      </c>
      <c r="H302" s="657"/>
      <c r="I302" s="658"/>
      <c r="J302" s="659"/>
      <c r="K302" s="657"/>
      <c r="L302" s="657"/>
      <c r="M302" s="660"/>
      <c r="N302" s="661"/>
      <c r="O302" s="508"/>
      <c r="P302" s="657"/>
      <c r="Q302" s="658"/>
      <c r="R302" s="659"/>
      <c r="S302" s="657"/>
      <c r="T302" s="657"/>
      <c r="U302" s="660"/>
      <c r="V302" s="661"/>
      <c r="W302" s="508">
        <f t="shared" si="119"/>
        <v>0</v>
      </c>
      <c r="X302" s="508">
        <f t="shared" si="119"/>
        <v>0</v>
      </c>
      <c r="Y302" s="594">
        <f t="shared" si="119"/>
        <v>0</v>
      </c>
      <c r="Z302" s="508"/>
      <c r="AA302" s="508"/>
      <c r="AB302" s="508"/>
      <c r="AC302" s="478">
        <f t="shared" si="118"/>
        <v>0</v>
      </c>
      <c r="AD302" s="508"/>
      <c r="AE302" s="508"/>
      <c r="AF302" s="508"/>
      <c r="AG302" s="508"/>
      <c r="AH302" s="500"/>
      <c r="AI302" s="500"/>
      <c r="AJ302" s="500"/>
      <c r="AK302" s="472"/>
    </row>
    <row r="303" spans="1:37" ht="16.5" thickTop="1" thickBot="1" x14ac:dyDescent="0.25">
      <c r="A303" s="491"/>
      <c r="B303" s="492"/>
      <c r="C303" s="493"/>
      <c r="D303" s="493"/>
      <c r="E303" s="570"/>
      <c r="F303" s="495" t="s">
        <v>712</v>
      </c>
      <c r="G303" s="508">
        <v>0</v>
      </c>
      <c r="H303" s="657"/>
      <c r="I303" s="658"/>
      <c r="J303" s="659"/>
      <c r="K303" s="657"/>
      <c r="L303" s="657"/>
      <c r="M303" s="660"/>
      <c r="N303" s="661"/>
      <c r="O303" s="508"/>
      <c r="P303" s="657"/>
      <c r="Q303" s="658"/>
      <c r="R303" s="659"/>
      <c r="S303" s="657"/>
      <c r="T303" s="657"/>
      <c r="U303" s="660"/>
      <c r="V303" s="661"/>
      <c r="W303" s="508">
        <f t="shared" si="119"/>
        <v>0</v>
      </c>
      <c r="X303" s="508">
        <f t="shared" si="119"/>
        <v>0</v>
      </c>
      <c r="Y303" s="594">
        <f t="shared" si="119"/>
        <v>0</v>
      </c>
      <c r="Z303" s="508"/>
      <c r="AA303" s="508"/>
      <c r="AB303" s="508"/>
      <c r="AC303" s="478">
        <f t="shared" si="118"/>
        <v>0</v>
      </c>
      <c r="AD303" s="508"/>
      <c r="AE303" s="508"/>
      <c r="AF303" s="508"/>
      <c r="AG303" s="508"/>
      <c r="AH303" s="500"/>
      <c r="AI303" s="500"/>
      <c r="AJ303" s="500"/>
      <c r="AK303" s="472"/>
    </row>
    <row r="304" spans="1:37" ht="16.5" thickTop="1" thickBot="1" x14ac:dyDescent="0.25">
      <c r="A304" s="491"/>
      <c r="B304" s="492"/>
      <c r="C304" s="493"/>
      <c r="D304" s="493"/>
      <c r="E304" s="570"/>
      <c r="F304" s="495" t="s">
        <v>713</v>
      </c>
      <c r="G304" s="508">
        <v>775000</v>
      </c>
      <c r="H304" s="657"/>
      <c r="I304" s="658"/>
      <c r="J304" s="659"/>
      <c r="K304" s="657"/>
      <c r="L304" s="657"/>
      <c r="M304" s="660"/>
      <c r="N304" s="661"/>
      <c r="O304" s="508"/>
      <c r="P304" s="657"/>
      <c r="Q304" s="658"/>
      <c r="R304" s="659"/>
      <c r="S304" s="657"/>
      <c r="T304" s="657"/>
      <c r="U304" s="660"/>
      <c r="V304" s="661"/>
      <c r="W304" s="508">
        <f t="shared" si="119"/>
        <v>0</v>
      </c>
      <c r="X304" s="508">
        <f t="shared" si="119"/>
        <v>0</v>
      </c>
      <c r="Y304" s="594">
        <f t="shared" si="119"/>
        <v>0</v>
      </c>
      <c r="Z304" s="508"/>
      <c r="AA304" s="508"/>
      <c r="AB304" s="508"/>
      <c r="AC304" s="478">
        <f t="shared" si="118"/>
        <v>0</v>
      </c>
      <c r="AD304" s="508"/>
      <c r="AE304" s="508"/>
      <c r="AF304" s="508"/>
      <c r="AG304" s="508"/>
      <c r="AH304" s="500"/>
      <c r="AI304" s="500"/>
      <c r="AJ304" s="500"/>
      <c r="AK304" s="472"/>
    </row>
    <row r="305" spans="1:37" ht="16.5" thickTop="1" thickBot="1" x14ac:dyDescent="0.25">
      <c r="A305" s="491"/>
      <c r="B305" s="492"/>
      <c r="C305" s="493"/>
      <c r="D305" s="493"/>
      <c r="E305" s="494">
        <v>830396</v>
      </c>
      <c r="F305" s="495" t="s">
        <v>714</v>
      </c>
      <c r="G305" s="508">
        <v>36395173.880000003</v>
      </c>
      <c r="H305" s="657"/>
      <c r="I305" s="658">
        <v>3705164.34</v>
      </c>
      <c r="J305" s="659">
        <v>3705164.34</v>
      </c>
      <c r="K305" s="657"/>
      <c r="L305" s="657">
        <v>1007769.1</v>
      </c>
      <c r="M305" s="660">
        <v>2046995.29</v>
      </c>
      <c r="N305" s="661"/>
      <c r="O305" s="508"/>
      <c r="P305" s="657"/>
      <c r="Q305" s="658"/>
      <c r="R305" s="659"/>
      <c r="S305" s="657"/>
      <c r="T305" s="657"/>
      <c r="U305" s="660"/>
      <c r="V305" s="661"/>
      <c r="W305" s="508">
        <f t="shared" si="119"/>
        <v>3054764.39</v>
      </c>
      <c r="X305" s="498">
        <f>W305</f>
        <v>3054764.39</v>
      </c>
      <c r="Y305" s="500">
        <v>3054764.39</v>
      </c>
      <c r="Z305" s="501">
        <v>53952993.880000003</v>
      </c>
      <c r="AA305" s="501">
        <v>0</v>
      </c>
      <c r="AB305" s="501"/>
      <c r="AC305" s="478">
        <f t="shared" si="118"/>
        <v>0</v>
      </c>
      <c r="AD305" s="509">
        <v>48831449</v>
      </c>
      <c r="AE305" s="509"/>
      <c r="AF305" s="662">
        <v>48831448.569999993</v>
      </c>
      <c r="AG305" s="509">
        <f>AF305-AD305</f>
        <v>-0.43000000715255737</v>
      </c>
      <c r="AH305" s="503">
        <v>3054764.39</v>
      </c>
      <c r="AI305" s="503">
        <v>48831448.57</v>
      </c>
      <c r="AJ305" s="503">
        <v>3053743.28</v>
      </c>
      <c r="AK305" s="472">
        <v>2610222</v>
      </c>
    </row>
    <row r="306" spans="1:37" ht="16.5" thickTop="1" thickBot="1" x14ac:dyDescent="0.25">
      <c r="A306" s="491"/>
      <c r="B306" s="492"/>
      <c r="C306" s="493"/>
      <c r="D306" s="493"/>
      <c r="E306" s="570"/>
      <c r="F306" s="495" t="s">
        <v>715</v>
      </c>
      <c r="G306" s="508">
        <v>2284701.56</v>
      </c>
      <c r="H306" s="657"/>
      <c r="I306" s="658"/>
      <c r="J306" s="659"/>
      <c r="K306" s="657"/>
      <c r="L306" s="657"/>
      <c r="M306" s="660"/>
      <c r="N306" s="661"/>
      <c r="O306" s="508"/>
      <c r="P306" s="657"/>
      <c r="Q306" s="658"/>
      <c r="R306" s="659"/>
      <c r="S306" s="657"/>
      <c r="T306" s="657"/>
      <c r="U306" s="660"/>
      <c r="V306" s="661"/>
      <c r="W306" s="508">
        <f t="shared" si="119"/>
        <v>0</v>
      </c>
      <c r="X306" s="508">
        <f>SUM(L306:W306)</f>
        <v>0</v>
      </c>
      <c r="Y306" s="594">
        <f>SUM(M306:X306)</f>
        <v>0</v>
      </c>
      <c r="Z306" s="508"/>
      <c r="AA306" s="508"/>
      <c r="AB306" s="508"/>
      <c r="AC306" s="478">
        <f t="shared" si="118"/>
        <v>0</v>
      </c>
      <c r="AD306" s="508"/>
      <c r="AE306" s="508"/>
      <c r="AF306" s="508"/>
      <c r="AG306" s="508"/>
      <c r="AH306" s="500"/>
      <c r="AI306" s="500"/>
      <c r="AJ306" s="500"/>
      <c r="AK306" s="472"/>
    </row>
    <row r="307" spans="1:37" ht="16.5" thickTop="1" thickBot="1" x14ac:dyDescent="0.25">
      <c r="A307" s="491"/>
      <c r="B307" s="492"/>
      <c r="C307" s="493"/>
      <c r="D307" s="493"/>
      <c r="E307" s="570">
        <v>830314</v>
      </c>
      <c r="F307" s="495" t="s">
        <v>716</v>
      </c>
      <c r="G307" s="508">
        <v>4653035.59</v>
      </c>
      <c r="H307" s="657"/>
      <c r="I307" s="658">
        <v>1298202.43</v>
      </c>
      <c r="J307" s="659">
        <v>1298202.43</v>
      </c>
      <c r="K307" s="657"/>
      <c r="L307" s="657">
        <v>1028314.08</v>
      </c>
      <c r="M307" s="660">
        <v>258501.83</v>
      </c>
      <c r="N307" s="661"/>
      <c r="O307" s="508"/>
      <c r="P307" s="657"/>
      <c r="Q307" s="658"/>
      <c r="R307" s="659"/>
      <c r="S307" s="657"/>
      <c r="T307" s="657"/>
      <c r="U307" s="660"/>
      <c r="V307" s="661"/>
      <c r="W307" s="508">
        <f t="shared" si="119"/>
        <v>1286815.9099999999</v>
      </c>
      <c r="X307" s="498">
        <f>W307</f>
        <v>1286815.9099999999</v>
      </c>
      <c r="Y307" s="500">
        <v>1286815.9099999999</v>
      </c>
      <c r="Z307" s="501">
        <v>1301000</v>
      </c>
      <c r="AA307" s="501">
        <v>0</v>
      </c>
      <c r="AB307" s="501"/>
      <c r="AC307" s="478">
        <f t="shared" si="118"/>
        <v>0</v>
      </c>
      <c r="AD307" s="509">
        <v>23191718</v>
      </c>
      <c r="AE307" s="509"/>
      <c r="AF307" s="662">
        <v>23191717.539999999</v>
      </c>
      <c r="AG307" s="509">
        <f>AF307-AD307</f>
        <v>-0.46000000089406967</v>
      </c>
      <c r="AH307" s="503">
        <v>1286815.9099999999</v>
      </c>
      <c r="AI307" s="503">
        <v>23191717.539999999</v>
      </c>
      <c r="AJ307" s="503">
        <v>0</v>
      </c>
      <c r="AK307" s="472">
        <v>2610121</v>
      </c>
    </row>
    <row r="308" spans="1:37" ht="16.5" thickTop="1" thickBot="1" x14ac:dyDescent="0.25">
      <c r="A308" s="491"/>
      <c r="B308" s="492"/>
      <c r="C308" s="493"/>
      <c r="D308" s="493"/>
      <c r="E308" s="570"/>
      <c r="F308" s="495" t="s">
        <v>717</v>
      </c>
      <c r="G308" s="508">
        <v>1141842.92</v>
      </c>
      <c r="H308" s="657"/>
      <c r="I308" s="658"/>
      <c r="J308" s="659"/>
      <c r="K308" s="657"/>
      <c r="L308" s="657"/>
      <c r="M308" s="660"/>
      <c r="N308" s="661"/>
      <c r="O308" s="508"/>
      <c r="P308" s="657"/>
      <c r="Q308" s="658"/>
      <c r="R308" s="659"/>
      <c r="S308" s="657"/>
      <c r="T308" s="657"/>
      <c r="U308" s="660"/>
      <c r="V308" s="661"/>
      <c r="W308" s="508">
        <f t="shared" si="119"/>
        <v>0</v>
      </c>
      <c r="X308" s="508">
        <f t="shared" si="119"/>
        <v>0</v>
      </c>
      <c r="Y308" s="594">
        <f t="shared" si="119"/>
        <v>0</v>
      </c>
      <c r="Z308" s="508"/>
      <c r="AA308" s="508"/>
      <c r="AB308" s="508"/>
      <c r="AC308" s="478">
        <f t="shared" si="118"/>
        <v>0</v>
      </c>
      <c r="AD308" s="508"/>
      <c r="AE308" s="508"/>
      <c r="AF308" s="508"/>
      <c r="AG308" s="508"/>
      <c r="AH308" s="500"/>
      <c r="AI308" s="500"/>
      <c r="AJ308" s="500"/>
      <c r="AK308" s="472"/>
    </row>
    <row r="309" spans="1:37" ht="16.5" thickTop="1" thickBot="1" x14ac:dyDescent="0.25">
      <c r="A309" s="491"/>
      <c r="B309" s="492"/>
      <c r="C309" s="493"/>
      <c r="D309" s="493"/>
      <c r="E309" s="570"/>
      <c r="F309" s="495" t="s">
        <v>718</v>
      </c>
      <c r="G309" s="508"/>
      <c r="H309" s="657"/>
      <c r="I309" s="658"/>
      <c r="J309" s="659"/>
      <c r="K309" s="657"/>
      <c r="L309" s="657"/>
      <c r="M309" s="660"/>
      <c r="N309" s="661"/>
      <c r="O309" s="508"/>
      <c r="P309" s="657"/>
      <c r="Q309" s="658"/>
      <c r="R309" s="659"/>
      <c r="S309" s="657"/>
      <c r="T309" s="657"/>
      <c r="U309" s="660"/>
      <c r="V309" s="661"/>
      <c r="W309" s="508">
        <f t="shared" si="119"/>
        <v>0</v>
      </c>
      <c r="X309" s="508">
        <f t="shared" si="119"/>
        <v>0</v>
      </c>
      <c r="Y309" s="594">
        <f t="shared" si="119"/>
        <v>0</v>
      </c>
      <c r="Z309" s="508"/>
      <c r="AA309" s="508"/>
      <c r="AB309" s="508"/>
      <c r="AC309" s="478">
        <f t="shared" si="118"/>
        <v>0</v>
      </c>
      <c r="AD309" s="508"/>
      <c r="AE309" s="508"/>
      <c r="AF309" s="508"/>
      <c r="AG309" s="508"/>
      <c r="AH309" s="500"/>
      <c r="AI309" s="500"/>
      <c r="AJ309" s="500"/>
      <c r="AK309" s="472"/>
    </row>
    <row r="310" spans="1:37" ht="16.5" thickTop="1" thickBot="1" x14ac:dyDescent="0.25">
      <c r="A310" s="491"/>
      <c r="B310" s="492"/>
      <c r="C310" s="493"/>
      <c r="D310" s="493"/>
      <c r="E310" s="570"/>
      <c r="F310" s="495" t="s">
        <v>719</v>
      </c>
      <c r="G310" s="508">
        <v>245120</v>
      </c>
      <c r="H310" s="657"/>
      <c r="I310" s="658"/>
      <c r="J310" s="659"/>
      <c r="K310" s="657"/>
      <c r="L310" s="657"/>
      <c r="M310" s="660"/>
      <c r="N310" s="661"/>
      <c r="O310" s="508"/>
      <c r="P310" s="657"/>
      <c r="Q310" s="658"/>
      <c r="R310" s="659"/>
      <c r="S310" s="657"/>
      <c r="T310" s="657"/>
      <c r="U310" s="660"/>
      <c r="V310" s="661"/>
      <c r="W310" s="508">
        <f t="shared" si="119"/>
        <v>0</v>
      </c>
      <c r="X310" s="508">
        <f t="shared" si="119"/>
        <v>0</v>
      </c>
      <c r="Y310" s="594">
        <f t="shared" si="119"/>
        <v>0</v>
      </c>
      <c r="Z310" s="508"/>
      <c r="AA310" s="508"/>
      <c r="AB310" s="508"/>
      <c r="AC310" s="478">
        <f t="shared" si="118"/>
        <v>0</v>
      </c>
      <c r="AD310" s="508"/>
      <c r="AE310" s="508"/>
      <c r="AF310" s="508"/>
      <c r="AG310" s="508"/>
      <c r="AH310" s="500"/>
      <c r="AI310" s="500"/>
      <c r="AJ310" s="500"/>
      <c r="AK310" s="472"/>
    </row>
    <row r="311" spans="1:37" ht="16.5" thickTop="1" thickBot="1" x14ac:dyDescent="0.25">
      <c r="A311" s="491"/>
      <c r="B311" s="492"/>
      <c r="C311" s="493"/>
      <c r="D311" s="493"/>
      <c r="E311" s="570"/>
      <c r="F311" s="495" t="s">
        <v>720</v>
      </c>
      <c r="G311" s="508"/>
      <c r="H311" s="657"/>
      <c r="I311" s="658"/>
      <c r="J311" s="659"/>
      <c r="K311" s="657"/>
      <c r="L311" s="657"/>
      <c r="M311" s="660"/>
      <c r="N311" s="661"/>
      <c r="O311" s="508"/>
      <c r="P311" s="657"/>
      <c r="Q311" s="658"/>
      <c r="R311" s="659"/>
      <c r="S311" s="657"/>
      <c r="T311" s="657"/>
      <c r="U311" s="660"/>
      <c r="V311" s="661"/>
      <c r="W311" s="508">
        <f t="shared" si="119"/>
        <v>0</v>
      </c>
      <c r="X311" s="508">
        <f t="shared" si="119"/>
        <v>0</v>
      </c>
      <c r="Y311" s="594">
        <f t="shared" si="119"/>
        <v>0</v>
      </c>
      <c r="Z311" s="508"/>
      <c r="AA311" s="508"/>
      <c r="AB311" s="508"/>
      <c r="AC311" s="478">
        <f t="shared" si="118"/>
        <v>0</v>
      </c>
      <c r="AD311" s="508"/>
      <c r="AE311" s="508"/>
      <c r="AF311" s="508"/>
      <c r="AG311" s="508"/>
      <c r="AH311" s="500"/>
      <c r="AI311" s="500"/>
      <c r="AJ311" s="500"/>
      <c r="AK311" s="472"/>
    </row>
    <row r="312" spans="1:37" ht="16.5" thickTop="1" thickBot="1" x14ac:dyDescent="0.25">
      <c r="A312" s="491"/>
      <c r="B312" s="492"/>
      <c r="C312" s="493"/>
      <c r="D312" s="493"/>
      <c r="E312" s="570"/>
      <c r="F312" s="495" t="s">
        <v>721</v>
      </c>
      <c r="G312" s="508">
        <v>845000</v>
      </c>
      <c r="H312" s="657"/>
      <c r="I312" s="658"/>
      <c r="J312" s="659"/>
      <c r="K312" s="657"/>
      <c r="L312" s="657"/>
      <c r="M312" s="660"/>
      <c r="N312" s="661"/>
      <c r="O312" s="508"/>
      <c r="P312" s="657"/>
      <c r="Q312" s="658"/>
      <c r="R312" s="659"/>
      <c r="S312" s="657"/>
      <c r="T312" s="657"/>
      <c r="U312" s="660"/>
      <c r="V312" s="661"/>
      <c r="W312" s="508">
        <f t="shared" si="119"/>
        <v>0</v>
      </c>
      <c r="X312" s="508">
        <f t="shared" si="119"/>
        <v>0</v>
      </c>
      <c r="Y312" s="594">
        <f t="shared" si="119"/>
        <v>0</v>
      </c>
      <c r="Z312" s="508"/>
      <c r="AA312" s="508"/>
      <c r="AB312" s="508"/>
      <c r="AC312" s="478">
        <f t="shared" si="118"/>
        <v>0</v>
      </c>
      <c r="AD312" s="508"/>
      <c r="AE312" s="508"/>
      <c r="AF312" s="508"/>
      <c r="AG312" s="508"/>
      <c r="AH312" s="500"/>
      <c r="AI312" s="500"/>
      <c r="AJ312" s="500"/>
      <c r="AK312" s="472"/>
    </row>
    <row r="313" spans="1:37" ht="16.5" thickTop="1" thickBot="1" x14ac:dyDescent="0.25">
      <c r="A313" s="491"/>
      <c r="B313" s="492"/>
      <c r="C313" s="493"/>
      <c r="D313" s="493"/>
      <c r="E313" s="570"/>
      <c r="F313" s="495" t="s">
        <v>722</v>
      </c>
      <c r="G313" s="508"/>
      <c r="H313" s="657"/>
      <c r="I313" s="658"/>
      <c r="J313" s="659"/>
      <c r="K313" s="657"/>
      <c r="L313" s="657"/>
      <c r="M313" s="660"/>
      <c r="N313" s="661"/>
      <c r="O313" s="508"/>
      <c r="P313" s="657"/>
      <c r="Q313" s="658"/>
      <c r="R313" s="659"/>
      <c r="S313" s="657"/>
      <c r="T313" s="657"/>
      <c r="U313" s="660"/>
      <c r="V313" s="661"/>
      <c r="W313" s="508">
        <f t="shared" si="119"/>
        <v>0</v>
      </c>
      <c r="X313" s="508">
        <f t="shared" si="119"/>
        <v>0</v>
      </c>
      <c r="Y313" s="594">
        <f t="shared" si="119"/>
        <v>0</v>
      </c>
      <c r="Z313" s="508"/>
      <c r="AA313" s="508"/>
      <c r="AB313" s="508"/>
      <c r="AC313" s="478">
        <f t="shared" si="118"/>
        <v>0</v>
      </c>
      <c r="AD313" s="508"/>
      <c r="AE313" s="508"/>
      <c r="AF313" s="508"/>
      <c r="AG313" s="508"/>
      <c r="AH313" s="500"/>
      <c r="AI313" s="500"/>
      <c r="AJ313" s="500"/>
      <c r="AK313" s="472"/>
    </row>
    <row r="314" spans="1:37" ht="16.5" thickTop="1" thickBot="1" x14ac:dyDescent="0.25">
      <c r="A314" s="491"/>
      <c r="B314" s="492"/>
      <c r="C314" s="493"/>
      <c r="D314" s="493"/>
      <c r="E314" s="570"/>
      <c r="F314" s="495" t="s">
        <v>723</v>
      </c>
      <c r="G314" s="508"/>
      <c r="H314" s="657"/>
      <c r="I314" s="658"/>
      <c r="J314" s="659"/>
      <c r="K314" s="657"/>
      <c r="L314" s="657"/>
      <c r="M314" s="660"/>
      <c r="N314" s="661"/>
      <c r="O314" s="508"/>
      <c r="P314" s="657"/>
      <c r="Q314" s="658"/>
      <c r="R314" s="659"/>
      <c r="S314" s="657"/>
      <c r="T314" s="657"/>
      <c r="U314" s="660"/>
      <c r="V314" s="661"/>
      <c r="W314" s="508">
        <f t="shared" si="119"/>
        <v>0</v>
      </c>
      <c r="X314" s="508">
        <f t="shared" si="119"/>
        <v>0</v>
      </c>
      <c r="Y314" s="594">
        <f t="shared" si="119"/>
        <v>0</v>
      </c>
      <c r="Z314" s="508"/>
      <c r="AA314" s="508"/>
      <c r="AB314" s="508"/>
      <c r="AC314" s="478">
        <f t="shared" si="118"/>
        <v>0</v>
      </c>
      <c r="AD314" s="508"/>
      <c r="AE314" s="508"/>
      <c r="AF314" s="508"/>
      <c r="AG314" s="508"/>
      <c r="AH314" s="500">
        <v>0</v>
      </c>
      <c r="AI314" s="500"/>
      <c r="AJ314" s="500"/>
      <c r="AK314" s="472"/>
    </row>
    <row r="315" spans="1:37" ht="16.5" thickTop="1" thickBot="1" x14ac:dyDescent="0.25">
      <c r="A315" s="491"/>
      <c r="B315" s="492"/>
      <c r="C315" s="493"/>
      <c r="D315" s="493"/>
      <c r="E315" s="570">
        <v>830316</v>
      </c>
      <c r="F315" s="495" t="s">
        <v>724</v>
      </c>
      <c r="G315" s="508"/>
      <c r="H315" s="657"/>
      <c r="I315" s="658">
        <v>87000000</v>
      </c>
      <c r="J315" s="659">
        <v>87000000</v>
      </c>
      <c r="K315" s="657"/>
      <c r="L315" s="657"/>
      <c r="M315" s="660"/>
      <c r="N315" s="661"/>
      <c r="O315" s="508">
        <v>87076872</v>
      </c>
      <c r="P315" s="657"/>
      <c r="Q315" s="658"/>
      <c r="R315" s="659"/>
      <c r="S315" s="657"/>
      <c r="T315" s="657"/>
      <c r="U315" s="660"/>
      <c r="V315" s="661"/>
      <c r="W315" s="508">
        <f t="shared" si="119"/>
        <v>87076872</v>
      </c>
      <c r="X315" s="498">
        <f>W315</f>
        <v>87076872</v>
      </c>
      <c r="Y315" s="500">
        <v>116309434.77</v>
      </c>
      <c r="Z315" s="498"/>
      <c r="AA315" s="498"/>
      <c r="AB315" s="498"/>
      <c r="AC315" s="478">
        <f t="shared" si="118"/>
        <v>0</v>
      </c>
      <c r="AD315" s="498"/>
      <c r="AE315" s="498"/>
      <c r="AF315" s="498"/>
      <c r="AG315" s="498"/>
      <c r="AH315" s="500">
        <v>116309434.77</v>
      </c>
      <c r="AI315" s="503">
        <v>0</v>
      </c>
      <c r="AJ315" s="503">
        <v>0</v>
      </c>
      <c r="AK315" s="472">
        <v>2610121</v>
      </c>
    </row>
    <row r="316" spans="1:37" ht="16.5" thickTop="1" thickBot="1" x14ac:dyDescent="0.25">
      <c r="A316" s="491"/>
      <c r="B316" s="492"/>
      <c r="C316" s="493"/>
      <c r="D316" s="493"/>
      <c r="E316" s="570">
        <v>830317</v>
      </c>
      <c r="F316" s="495" t="s">
        <v>725</v>
      </c>
      <c r="G316" s="508"/>
      <c r="H316" s="657"/>
      <c r="I316" s="658">
        <v>36277869.600000001</v>
      </c>
      <c r="J316" s="659">
        <v>36277869.600000001</v>
      </c>
      <c r="K316" s="657"/>
      <c r="L316" s="657"/>
      <c r="M316" s="660"/>
      <c r="N316" s="661"/>
      <c r="O316" s="508"/>
      <c r="P316" s="657"/>
      <c r="Q316" s="658"/>
      <c r="R316" s="659"/>
      <c r="S316" s="657"/>
      <c r="T316" s="657"/>
      <c r="U316" s="660"/>
      <c r="V316" s="661"/>
      <c r="W316" s="508">
        <f t="shared" si="119"/>
        <v>0</v>
      </c>
      <c r="X316" s="498">
        <f>W316</f>
        <v>0</v>
      </c>
      <c r="Y316" s="500"/>
      <c r="Z316" s="498"/>
      <c r="AA316" s="498"/>
      <c r="AB316" s="498"/>
      <c r="AC316" s="478">
        <f t="shared" si="118"/>
        <v>0</v>
      </c>
      <c r="AD316" s="498"/>
      <c r="AE316" s="498"/>
      <c r="AF316" s="498"/>
      <c r="AG316" s="498"/>
      <c r="AH316" s="500">
        <f>IFERROR(VLOOKUP(E316,[17]Total!$D:$S,2,FALSE),0)</f>
        <v>0</v>
      </c>
      <c r="AI316" s="503">
        <f>IFERROR(VLOOKUP(E316,[17]Total!$D:$S,12,FALSE),0)</f>
        <v>0</v>
      </c>
      <c r="AJ316" s="503">
        <f>IFERROR(VLOOKUP(E316,[17]Total!$D:$S,16,FALSE),0)</f>
        <v>0</v>
      </c>
      <c r="AK316" s="472"/>
    </row>
    <row r="317" spans="1:37" ht="16.5" thickTop="1" thickBot="1" x14ac:dyDescent="0.25">
      <c r="A317" s="491"/>
      <c r="B317" s="492"/>
      <c r="C317" s="493"/>
      <c r="D317" s="493"/>
      <c r="E317" s="570">
        <v>830318</v>
      </c>
      <c r="F317" s="495" t="s">
        <v>726</v>
      </c>
      <c r="G317" s="508"/>
      <c r="H317" s="657"/>
      <c r="I317" s="658">
        <v>5600000</v>
      </c>
      <c r="J317" s="659">
        <v>5600000</v>
      </c>
      <c r="K317" s="657"/>
      <c r="L317" s="657"/>
      <c r="M317" s="660"/>
      <c r="N317" s="661"/>
      <c r="O317" s="508"/>
      <c r="P317" s="657"/>
      <c r="Q317" s="658"/>
      <c r="R317" s="659"/>
      <c r="S317" s="657"/>
      <c r="T317" s="657"/>
      <c r="U317" s="660"/>
      <c r="V317" s="661">
        <v>5600000</v>
      </c>
      <c r="W317" s="508">
        <f t="shared" si="119"/>
        <v>5600000</v>
      </c>
      <c r="X317" s="508"/>
      <c r="Y317" s="594"/>
      <c r="Z317" s="508"/>
      <c r="AA317" s="508"/>
      <c r="AB317" s="508"/>
      <c r="AC317" s="663">
        <f t="shared" si="118"/>
        <v>5600000</v>
      </c>
      <c r="AD317" s="508"/>
      <c r="AE317" s="508"/>
      <c r="AF317" s="508"/>
      <c r="AG317" s="508"/>
      <c r="AH317" s="500">
        <f>IFERROR(VLOOKUP(E317,[17]Total!$D:$S,2,FALSE),0)</f>
        <v>0</v>
      </c>
      <c r="AI317" s="503">
        <f>IFERROR(VLOOKUP(E317,[17]Total!$D:$S,12,FALSE),0)</f>
        <v>0</v>
      </c>
      <c r="AJ317" s="503">
        <f>IFERROR(VLOOKUP(E317,[17]Total!$D:$S,16,FALSE),0)</f>
        <v>0</v>
      </c>
      <c r="AK317" s="472"/>
    </row>
    <row r="318" spans="1:37" ht="16.5" thickTop="1" thickBot="1" x14ac:dyDescent="0.25">
      <c r="A318" s="491"/>
      <c r="B318" s="492"/>
      <c r="C318" s="493"/>
      <c r="D318" s="493"/>
      <c r="E318" s="570">
        <v>830390</v>
      </c>
      <c r="F318" s="495" t="s">
        <v>727</v>
      </c>
      <c r="G318" s="508"/>
      <c r="H318" s="657"/>
      <c r="I318" s="658">
        <v>18365564.239999998</v>
      </c>
      <c r="J318" s="659">
        <v>18365564.239999998</v>
      </c>
      <c r="K318" s="657"/>
      <c r="L318" s="657"/>
      <c r="M318" s="660"/>
      <c r="N318" s="661"/>
      <c r="O318" s="508"/>
      <c r="P318" s="657">
        <v>4720767</v>
      </c>
      <c r="Q318" s="658"/>
      <c r="R318" s="659"/>
      <c r="S318" s="657"/>
      <c r="T318" s="657"/>
      <c r="U318" s="660"/>
      <c r="V318" s="661">
        <v>18365564.239999998</v>
      </c>
      <c r="W318" s="508">
        <v>15211714.24</v>
      </c>
      <c r="X318" s="498">
        <f t="shared" ref="X318:X324" si="120">W318</f>
        <v>15211714.24</v>
      </c>
      <c r="Y318" s="500"/>
      <c r="Z318" s="498"/>
      <c r="AA318" s="498"/>
      <c r="AB318" s="498"/>
      <c r="AC318" s="478">
        <f t="shared" si="118"/>
        <v>0</v>
      </c>
      <c r="AD318" s="498"/>
      <c r="AE318" s="498"/>
      <c r="AF318" s="498"/>
      <c r="AG318" s="498"/>
      <c r="AH318" s="500"/>
      <c r="AI318" s="500"/>
      <c r="AJ318" s="500"/>
      <c r="AK318" s="472"/>
    </row>
    <row r="319" spans="1:37" ht="16.5" thickTop="1" thickBot="1" x14ac:dyDescent="0.25">
      <c r="A319" s="491"/>
      <c r="B319" s="492"/>
      <c r="C319" s="493"/>
      <c r="D319" s="493"/>
      <c r="E319" s="570">
        <v>830391</v>
      </c>
      <c r="F319" s="495" t="s">
        <v>728</v>
      </c>
      <c r="G319" s="508"/>
      <c r="H319" s="657"/>
      <c r="I319" s="658"/>
      <c r="J319" s="659"/>
      <c r="K319" s="657"/>
      <c r="L319" s="657"/>
      <c r="M319" s="660"/>
      <c r="N319" s="661"/>
      <c r="O319" s="508"/>
      <c r="P319" s="657"/>
      <c r="Q319" s="658"/>
      <c r="R319" s="659"/>
      <c r="S319" s="657"/>
      <c r="T319" s="657"/>
      <c r="U319" s="660"/>
      <c r="V319" s="661"/>
      <c r="W319" s="508">
        <v>2443000</v>
      </c>
      <c r="X319" s="498">
        <f t="shared" si="120"/>
        <v>2443000</v>
      </c>
      <c r="Y319" s="500"/>
      <c r="Z319" s="498"/>
      <c r="AA319" s="498"/>
      <c r="AB319" s="498"/>
      <c r="AC319" s="478">
        <f t="shared" si="118"/>
        <v>0</v>
      </c>
      <c r="AD319" s="498"/>
      <c r="AE319" s="498"/>
      <c r="AF319" s="498"/>
      <c r="AG319" s="498"/>
      <c r="AH319" s="500"/>
      <c r="AI319" s="500"/>
      <c r="AJ319" s="500"/>
      <c r="AK319" s="472"/>
    </row>
    <row r="320" spans="1:37" ht="16.5" thickTop="1" thickBot="1" x14ac:dyDescent="0.25">
      <c r="A320" s="491"/>
      <c r="B320" s="492"/>
      <c r="C320" s="493"/>
      <c r="D320" s="493"/>
      <c r="E320" s="570">
        <v>830319</v>
      </c>
      <c r="F320" s="495" t="s">
        <v>729</v>
      </c>
      <c r="G320" s="508"/>
      <c r="H320" s="657"/>
      <c r="I320" s="658"/>
      <c r="J320" s="659"/>
      <c r="K320" s="657"/>
      <c r="L320" s="657"/>
      <c r="M320" s="660"/>
      <c r="N320" s="661"/>
      <c r="O320" s="508"/>
      <c r="P320" s="657"/>
      <c r="Q320" s="658"/>
      <c r="R320" s="659"/>
      <c r="S320" s="657"/>
      <c r="T320" s="657"/>
      <c r="U320" s="660"/>
      <c r="V320" s="661"/>
      <c r="W320" s="508">
        <v>710850</v>
      </c>
      <c r="X320" s="498">
        <f t="shared" si="120"/>
        <v>710850</v>
      </c>
      <c r="Y320" s="500">
        <v>708896.84</v>
      </c>
      <c r="Z320" s="498"/>
      <c r="AA320" s="498"/>
      <c r="AB320" s="498"/>
      <c r="AC320" s="478">
        <f t="shared" si="118"/>
        <v>0</v>
      </c>
      <c r="AD320" s="498"/>
      <c r="AE320" s="498"/>
      <c r="AF320" s="498"/>
      <c r="AG320" s="498"/>
      <c r="AH320" s="503">
        <v>708896.84</v>
      </c>
      <c r="AI320" s="503">
        <v>0</v>
      </c>
      <c r="AJ320" s="503">
        <v>0</v>
      </c>
      <c r="AK320" s="472">
        <v>2610121</v>
      </c>
    </row>
    <row r="321" spans="1:37" ht="16.5" thickTop="1" thickBot="1" x14ac:dyDescent="0.25">
      <c r="A321" s="491"/>
      <c r="B321" s="492"/>
      <c r="C321" s="493"/>
      <c r="D321" s="493"/>
      <c r="E321" s="570">
        <v>830321</v>
      </c>
      <c r="F321" s="495" t="s">
        <v>730</v>
      </c>
      <c r="G321" s="508"/>
      <c r="H321" s="657"/>
      <c r="I321" s="658"/>
      <c r="J321" s="659"/>
      <c r="K321" s="657"/>
      <c r="L321" s="657"/>
      <c r="M321" s="660"/>
      <c r="N321" s="661"/>
      <c r="O321" s="508"/>
      <c r="P321" s="657"/>
      <c r="Q321" s="658"/>
      <c r="R321" s="659"/>
      <c r="S321" s="657"/>
      <c r="T321" s="657"/>
      <c r="U321" s="660"/>
      <c r="V321" s="661">
        <v>9616291.2899999991</v>
      </c>
      <c r="W321" s="508">
        <v>11087580.75</v>
      </c>
      <c r="X321" s="498">
        <f t="shared" si="120"/>
        <v>11087580.75</v>
      </c>
      <c r="Y321" s="500">
        <v>7759735.7999999998</v>
      </c>
      <c r="Z321" s="498"/>
      <c r="AA321" s="498"/>
      <c r="AB321" s="498"/>
      <c r="AC321" s="478">
        <f t="shared" si="118"/>
        <v>0</v>
      </c>
      <c r="AD321" s="498"/>
      <c r="AE321" s="498"/>
      <c r="AF321" s="498"/>
      <c r="AG321" s="498"/>
      <c r="AH321" s="503">
        <v>7759735.7999999998</v>
      </c>
      <c r="AI321" s="503">
        <v>0</v>
      </c>
      <c r="AJ321" s="503">
        <v>0</v>
      </c>
      <c r="AK321" s="472">
        <v>2610121</v>
      </c>
    </row>
    <row r="322" spans="1:37" ht="16.5" thickTop="1" thickBot="1" x14ac:dyDescent="0.25">
      <c r="A322" s="491"/>
      <c r="B322" s="492"/>
      <c r="C322" s="493"/>
      <c r="D322" s="493"/>
      <c r="E322" s="570">
        <v>830322</v>
      </c>
      <c r="F322" s="495" t="s">
        <v>731</v>
      </c>
      <c r="G322" s="508"/>
      <c r="H322" s="657"/>
      <c r="I322" s="658"/>
      <c r="J322" s="659"/>
      <c r="K322" s="657"/>
      <c r="L322" s="657"/>
      <c r="M322" s="660"/>
      <c r="N322" s="661"/>
      <c r="O322" s="508"/>
      <c r="P322" s="657"/>
      <c r="Q322" s="658"/>
      <c r="R322" s="659"/>
      <c r="S322" s="657"/>
      <c r="T322" s="657"/>
      <c r="U322" s="660"/>
      <c r="V322" s="661">
        <v>2735260.16</v>
      </c>
      <c r="W322" s="508">
        <f>SUM(K322:V322)</f>
        <v>2735260.16</v>
      </c>
      <c r="X322" s="498">
        <f t="shared" si="120"/>
        <v>2735260.16</v>
      </c>
      <c r="Y322" s="500">
        <v>4749997.58</v>
      </c>
      <c r="Z322" s="501">
        <v>362000</v>
      </c>
      <c r="AA322" s="501">
        <v>0</v>
      </c>
      <c r="AB322" s="501"/>
      <c r="AC322" s="478">
        <f t="shared" si="118"/>
        <v>0</v>
      </c>
      <c r="AD322" s="509">
        <v>0</v>
      </c>
      <c r="AE322" s="509"/>
      <c r="AF322" s="509"/>
      <c r="AG322" s="509"/>
      <c r="AH322" s="503">
        <v>4749997.58</v>
      </c>
      <c r="AI322" s="503">
        <v>0</v>
      </c>
      <c r="AJ322" s="503">
        <v>0</v>
      </c>
      <c r="AK322" s="472">
        <v>2610121</v>
      </c>
    </row>
    <row r="323" spans="1:37" ht="27" thickTop="1" thickBot="1" x14ac:dyDescent="0.25">
      <c r="A323" s="491"/>
      <c r="B323" s="492"/>
      <c r="C323" s="493"/>
      <c r="D323" s="493"/>
      <c r="E323" s="570">
        <v>830323</v>
      </c>
      <c r="F323" s="495" t="s">
        <v>732</v>
      </c>
      <c r="G323" s="508"/>
      <c r="H323" s="657"/>
      <c r="I323" s="658"/>
      <c r="J323" s="659"/>
      <c r="K323" s="657"/>
      <c r="L323" s="657"/>
      <c r="M323" s="660"/>
      <c r="N323" s="661"/>
      <c r="O323" s="508"/>
      <c r="P323" s="657"/>
      <c r="Q323" s="658"/>
      <c r="R323" s="659"/>
      <c r="S323" s="657"/>
      <c r="T323" s="657"/>
      <c r="U323" s="660"/>
      <c r="V323" s="661">
        <v>4700000</v>
      </c>
      <c r="W323" s="508">
        <f>SUM(K323:V323)+3253116</f>
        <v>7953116</v>
      </c>
      <c r="X323" s="498">
        <f t="shared" si="120"/>
        <v>7953116</v>
      </c>
      <c r="Y323" s="500">
        <v>7718296.5</v>
      </c>
      <c r="Z323" s="498"/>
      <c r="AA323" s="498"/>
      <c r="AB323" s="498"/>
      <c r="AC323" s="478">
        <f t="shared" si="118"/>
        <v>0</v>
      </c>
      <c r="AD323" s="498"/>
      <c r="AE323" s="498"/>
      <c r="AF323" s="498"/>
      <c r="AG323" s="498"/>
      <c r="AH323" s="503">
        <v>7718296.5</v>
      </c>
      <c r="AI323" s="503">
        <v>0</v>
      </c>
      <c r="AJ323" s="503">
        <v>0</v>
      </c>
      <c r="AK323" s="472"/>
    </row>
    <row r="324" spans="1:37" ht="16.5" thickTop="1" thickBot="1" x14ac:dyDescent="0.25">
      <c r="A324" s="491"/>
      <c r="B324" s="492"/>
      <c r="C324" s="493"/>
      <c r="D324" s="493"/>
      <c r="E324" s="570">
        <v>830393</v>
      </c>
      <c r="F324" s="495" t="s">
        <v>733</v>
      </c>
      <c r="G324" s="508"/>
      <c r="H324" s="657"/>
      <c r="I324" s="658"/>
      <c r="J324" s="659"/>
      <c r="K324" s="657"/>
      <c r="L324" s="657"/>
      <c r="M324" s="660"/>
      <c r="N324" s="661"/>
      <c r="O324" s="508"/>
      <c r="P324" s="657">
        <v>20494700.899999999</v>
      </c>
      <c r="Q324" s="658"/>
      <c r="R324" s="659"/>
      <c r="S324" s="657"/>
      <c r="T324" s="657"/>
      <c r="U324" s="660"/>
      <c r="V324" s="661">
        <v>38118489.579999998</v>
      </c>
      <c r="W324" s="508">
        <v>70403467.790000007</v>
      </c>
      <c r="X324" s="498">
        <f t="shared" si="120"/>
        <v>70403467.790000007</v>
      </c>
      <c r="Y324" s="500"/>
      <c r="Z324" s="498"/>
      <c r="AA324" s="498"/>
      <c r="AB324" s="498"/>
      <c r="AC324" s="478">
        <f t="shared" si="118"/>
        <v>0</v>
      </c>
      <c r="AD324" s="498"/>
      <c r="AE324" s="498"/>
      <c r="AF324" s="498"/>
      <c r="AG324" s="498"/>
      <c r="AH324" s="503"/>
      <c r="AI324" s="503"/>
      <c r="AJ324" s="503"/>
      <c r="AK324" s="472"/>
    </row>
    <row r="325" spans="1:37" ht="16.5" thickTop="1" thickBot="1" x14ac:dyDescent="0.25">
      <c r="A325" s="491"/>
      <c r="B325" s="492"/>
      <c r="C325" s="493"/>
      <c r="D325" s="493"/>
      <c r="E325" s="570"/>
      <c r="F325" s="495" t="s">
        <v>734</v>
      </c>
      <c r="G325" s="508"/>
      <c r="H325" s="657"/>
      <c r="I325" s="658"/>
      <c r="J325" s="659"/>
      <c r="K325" s="657"/>
      <c r="L325" s="657"/>
      <c r="M325" s="660"/>
      <c r="N325" s="661"/>
      <c r="O325" s="508"/>
      <c r="P325" s="657"/>
      <c r="Q325" s="658"/>
      <c r="R325" s="659"/>
      <c r="S325" s="657"/>
      <c r="T325" s="657"/>
      <c r="U325" s="660"/>
      <c r="V325" s="661">
        <v>30060839.550000001</v>
      </c>
      <c r="W325" s="508">
        <v>0</v>
      </c>
      <c r="X325" s="508">
        <v>0</v>
      </c>
      <c r="Y325" s="594">
        <v>0</v>
      </c>
      <c r="Z325" s="508"/>
      <c r="AA325" s="508"/>
      <c r="AB325" s="508"/>
      <c r="AC325" s="478">
        <f t="shared" si="118"/>
        <v>0</v>
      </c>
      <c r="AD325" s="508"/>
      <c r="AE325" s="508"/>
      <c r="AF325" s="508"/>
      <c r="AG325" s="508"/>
      <c r="AH325" s="503"/>
      <c r="AI325" s="503"/>
      <c r="AJ325" s="503"/>
      <c r="AK325" s="472"/>
    </row>
    <row r="326" spans="1:37" ht="16.5" thickTop="1" thickBot="1" x14ac:dyDescent="0.25">
      <c r="A326" s="491"/>
      <c r="B326" s="492"/>
      <c r="C326" s="493"/>
      <c r="D326" s="493"/>
      <c r="E326" s="570">
        <v>830324</v>
      </c>
      <c r="F326" s="495" t="s">
        <v>735</v>
      </c>
      <c r="G326" s="508"/>
      <c r="H326" s="657"/>
      <c r="I326" s="658"/>
      <c r="J326" s="659"/>
      <c r="K326" s="657"/>
      <c r="L326" s="657"/>
      <c r="M326" s="660"/>
      <c r="N326" s="661"/>
      <c r="O326" s="508"/>
      <c r="P326" s="657"/>
      <c r="Q326" s="658"/>
      <c r="R326" s="659"/>
      <c r="S326" s="657"/>
      <c r="T326" s="657"/>
      <c r="U326" s="660"/>
      <c r="V326" s="661">
        <v>10000000</v>
      </c>
      <c r="W326" s="508">
        <f>SUM(K326:V326)</f>
        <v>10000000</v>
      </c>
      <c r="X326" s="498">
        <f>W326</f>
        <v>10000000</v>
      </c>
      <c r="Y326" s="500">
        <v>10000000</v>
      </c>
      <c r="Z326" s="498"/>
      <c r="AA326" s="498"/>
      <c r="AB326" s="498"/>
      <c r="AC326" s="478">
        <f t="shared" si="118"/>
        <v>0</v>
      </c>
      <c r="AD326" s="498"/>
      <c r="AE326" s="498"/>
      <c r="AF326" s="498"/>
      <c r="AG326" s="498"/>
      <c r="AH326" s="503">
        <v>10000000</v>
      </c>
      <c r="AI326" s="503">
        <v>0</v>
      </c>
      <c r="AJ326" s="503">
        <v>0</v>
      </c>
      <c r="AK326" s="472">
        <v>2610121</v>
      </c>
    </row>
    <row r="327" spans="1:37" ht="16.5" thickTop="1" thickBot="1" x14ac:dyDescent="0.25">
      <c r="A327" s="491"/>
      <c r="B327" s="492"/>
      <c r="C327" s="493"/>
      <c r="D327" s="493"/>
      <c r="E327" s="570">
        <v>830325</v>
      </c>
      <c r="F327" s="495" t="s">
        <v>736</v>
      </c>
      <c r="G327" s="508"/>
      <c r="H327" s="657"/>
      <c r="I327" s="658"/>
      <c r="J327" s="659"/>
      <c r="K327" s="657"/>
      <c r="L327" s="657"/>
      <c r="M327" s="660"/>
      <c r="N327" s="661"/>
      <c r="O327" s="508"/>
      <c r="P327" s="657"/>
      <c r="Q327" s="658"/>
      <c r="R327" s="659"/>
      <c r="S327" s="657"/>
      <c r="T327" s="657"/>
      <c r="U327" s="660"/>
      <c r="V327" s="661"/>
      <c r="W327" s="508">
        <f>SUM(K327:V327)</f>
        <v>0</v>
      </c>
      <c r="X327" s="498">
        <v>4125000</v>
      </c>
      <c r="Y327" s="500">
        <v>12539288.92</v>
      </c>
      <c r="Z327" s="498"/>
      <c r="AA327" s="498"/>
      <c r="AB327" s="498"/>
      <c r="AC327" s="478">
        <f t="shared" si="118"/>
        <v>-4125000</v>
      </c>
      <c r="AD327" s="498"/>
      <c r="AE327" s="498"/>
      <c r="AF327" s="498"/>
      <c r="AG327" s="498"/>
      <c r="AH327" s="503">
        <v>12539288.92</v>
      </c>
      <c r="AI327" s="503">
        <v>0</v>
      </c>
      <c r="AJ327" s="503">
        <v>0</v>
      </c>
      <c r="AK327" s="472">
        <v>2610121</v>
      </c>
    </row>
    <row r="328" spans="1:37" ht="16.5" thickTop="1" thickBot="1" x14ac:dyDescent="0.25">
      <c r="A328" s="491"/>
      <c r="B328" s="492"/>
      <c r="C328" s="493"/>
      <c r="D328" s="493"/>
      <c r="E328" s="570">
        <v>830326</v>
      </c>
      <c r="F328" s="495" t="s">
        <v>737</v>
      </c>
      <c r="G328" s="508"/>
      <c r="H328" s="657"/>
      <c r="I328" s="658"/>
      <c r="J328" s="659"/>
      <c r="K328" s="657"/>
      <c r="L328" s="657"/>
      <c r="M328" s="660"/>
      <c r="N328" s="661"/>
      <c r="O328" s="508"/>
      <c r="P328" s="657"/>
      <c r="Q328" s="658"/>
      <c r="R328" s="659"/>
      <c r="S328" s="657"/>
      <c r="T328" s="657"/>
      <c r="U328" s="660"/>
      <c r="V328" s="661"/>
      <c r="W328" s="508">
        <f>SUM(K328:V328)</f>
        <v>0</v>
      </c>
      <c r="X328" s="498">
        <v>825000</v>
      </c>
      <c r="Y328" s="500">
        <v>1650000</v>
      </c>
      <c r="Z328" s="498"/>
      <c r="AA328" s="498"/>
      <c r="AB328" s="498"/>
      <c r="AC328" s="478">
        <f t="shared" si="118"/>
        <v>-825000</v>
      </c>
      <c r="AD328" s="498"/>
      <c r="AE328" s="498"/>
      <c r="AF328" s="498"/>
      <c r="AG328" s="498"/>
      <c r="AH328" s="503">
        <v>1650000</v>
      </c>
      <c r="AI328" s="503">
        <v>0</v>
      </c>
      <c r="AJ328" s="503">
        <v>0</v>
      </c>
      <c r="AK328" s="472">
        <v>2610121</v>
      </c>
    </row>
    <row r="329" spans="1:37" ht="16.5" thickTop="1" thickBot="1" x14ac:dyDescent="0.25">
      <c r="A329" s="491"/>
      <c r="B329" s="492"/>
      <c r="C329" s="493"/>
      <c r="D329" s="493"/>
      <c r="E329" s="570">
        <v>830327</v>
      </c>
      <c r="F329" s="495" t="s">
        <v>738</v>
      </c>
      <c r="G329" s="508"/>
      <c r="H329" s="657"/>
      <c r="I329" s="658"/>
      <c r="J329" s="659"/>
      <c r="K329" s="657"/>
      <c r="L329" s="657"/>
      <c r="M329" s="660"/>
      <c r="N329" s="661"/>
      <c r="O329" s="508"/>
      <c r="P329" s="657"/>
      <c r="Q329" s="658"/>
      <c r="R329" s="659"/>
      <c r="S329" s="657"/>
      <c r="T329" s="657"/>
      <c r="U329" s="660"/>
      <c r="V329" s="661"/>
      <c r="W329" s="508">
        <f>SUM(K329:V329)</f>
        <v>0</v>
      </c>
      <c r="X329" s="498">
        <v>650000</v>
      </c>
      <c r="Y329" s="500">
        <v>650000</v>
      </c>
      <c r="Z329" s="498"/>
      <c r="AA329" s="498"/>
      <c r="AB329" s="498"/>
      <c r="AC329" s="478">
        <f t="shared" si="118"/>
        <v>-650000</v>
      </c>
      <c r="AD329" s="498"/>
      <c r="AE329" s="498"/>
      <c r="AF329" s="498"/>
      <c r="AG329" s="498"/>
      <c r="AH329" s="503">
        <v>650000</v>
      </c>
      <c r="AI329" s="503">
        <v>0</v>
      </c>
      <c r="AJ329" s="503">
        <v>0</v>
      </c>
      <c r="AK329" s="472">
        <v>2610121</v>
      </c>
    </row>
    <row r="330" spans="1:37" ht="16.5" thickTop="1" thickBot="1" x14ac:dyDescent="0.25">
      <c r="A330" s="491"/>
      <c r="B330" s="492"/>
      <c r="C330" s="493"/>
      <c r="D330" s="493"/>
      <c r="E330" s="570">
        <v>830328</v>
      </c>
      <c r="F330" s="495" t="s">
        <v>739</v>
      </c>
      <c r="G330" s="508"/>
      <c r="H330" s="657"/>
      <c r="I330" s="658"/>
      <c r="J330" s="659"/>
      <c r="K330" s="657"/>
      <c r="L330" s="657"/>
      <c r="M330" s="664"/>
      <c r="N330" s="661"/>
      <c r="O330" s="508"/>
      <c r="P330" s="657"/>
      <c r="Q330" s="658"/>
      <c r="R330" s="659"/>
      <c r="S330" s="657"/>
      <c r="T330" s="657"/>
      <c r="U330" s="664"/>
      <c r="V330" s="661"/>
      <c r="W330" s="508"/>
      <c r="X330" s="498"/>
      <c r="Y330" s="500"/>
      <c r="Z330" s="533">
        <v>4645547.04</v>
      </c>
      <c r="AA330" s="533">
        <v>0</v>
      </c>
      <c r="AB330" s="533"/>
      <c r="AC330" s="478"/>
      <c r="AD330" s="502">
        <v>4645547.04</v>
      </c>
      <c r="AE330" s="510">
        <v>1113022.3400000001</v>
      </c>
      <c r="AF330" s="662">
        <v>4645547.04</v>
      </c>
      <c r="AG330" s="509">
        <f>AF330-AD330</f>
        <v>0</v>
      </c>
      <c r="AH330" s="503">
        <v>0</v>
      </c>
      <c r="AI330" s="503">
        <v>4645547.04</v>
      </c>
      <c r="AJ330" s="503">
        <v>0</v>
      </c>
      <c r="AK330" s="472">
        <v>2610121</v>
      </c>
    </row>
    <row r="331" spans="1:37" ht="16.5" thickTop="1" thickBot="1" x14ac:dyDescent="0.25">
      <c r="A331" s="491"/>
      <c r="B331" s="492"/>
      <c r="C331" s="493"/>
      <c r="D331" s="493"/>
      <c r="E331" s="494">
        <v>830329</v>
      </c>
      <c r="F331" s="495" t="s">
        <v>740</v>
      </c>
      <c r="G331" s="508"/>
      <c r="H331" s="657"/>
      <c r="I331" s="658"/>
      <c r="J331" s="659"/>
      <c r="K331" s="657"/>
      <c r="L331" s="657"/>
      <c r="M331" s="664"/>
      <c r="N331" s="661"/>
      <c r="O331" s="508"/>
      <c r="P331" s="657"/>
      <c r="Q331" s="658"/>
      <c r="R331" s="659"/>
      <c r="S331" s="657"/>
      <c r="T331" s="657"/>
      <c r="U331" s="664"/>
      <c r="V331" s="661"/>
      <c r="W331" s="508"/>
      <c r="X331" s="498"/>
      <c r="Y331" s="500"/>
      <c r="Z331" s="533">
        <v>300000</v>
      </c>
      <c r="AA331" s="533">
        <v>0</v>
      </c>
      <c r="AB331" s="533"/>
      <c r="AC331" s="478"/>
      <c r="AD331" s="502">
        <v>300000</v>
      </c>
      <c r="AE331" s="502"/>
      <c r="AF331" s="662">
        <v>300000</v>
      </c>
      <c r="AG331" s="509">
        <f>AF331-AD331</f>
        <v>0</v>
      </c>
      <c r="AH331" s="503">
        <v>0</v>
      </c>
      <c r="AI331" s="503">
        <v>300000</v>
      </c>
      <c r="AJ331" s="503">
        <v>500000</v>
      </c>
      <c r="AK331" s="472">
        <v>2610122</v>
      </c>
    </row>
    <row r="332" spans="1:37" ht="16.5" thickTop="1" thickBot="1" x14ac:dyDescent="0.25">
      <c r="A332" s="491"/>
      <c r="B332" s="492"/>
      <c r="C332" s="493"/>
      <c r="D332" s="493"/>
      <c r="E332" s="570">
        <v>830330</v>
      </c>
      <c r="F332" s="495" t="s">
        <v>741</v>
      </c>
      <c r="G332" s="508"/>
      <c r="H332" s="657"/>
      <c r="I332" s="658"/>
      <c r="J332" s="659"/>
      <c r="K332" s="657"/>
      <c r="L332" s="657"/>
      <c r="M332" s="664"/>
      <c r="N332" s="661"/>
      <c r="O332" s="508"/>
      <c r="P332" s="657"/>
      <c r="Q332" s="658"/>
      <c r="R332" s="659"/>
      <c r="S332" s="657"/>
      <c r="T332" s="657"/>
      <c r="U332" s="664"/>
      <c r="V332" s="661"/>
      <c r="W332" s="508"/>
      <c r="X332" s="508"/>
      <c r="Y332" s="594">
        <v>300000</v>
      </c>
      <c r="Z332" s="508"/>
      <c r="AA332" s="508"/>
      <c r="AB332" s="508"/>
      <c r="AC332" s="478"/>
      <c r="AD332" s="508"/>
      <c r="AE332" s="508"/>
      <c r="AF332" s="508"/>
      <c r="AG332" s="508"/>
      <c r="AH332" s="503">
        <v>300000</v>
      </c>
      <c r="AI332" s="503">
        <v>0</v>
      </c>
      <c r="AJ332" s="503">
        <v>0</v>
      </c>
      <c r="AK332" s="472">
        <v>2610121</v>
      </c>
    </row>
    <row r="333" spans="1:37" ht="16.5" thickTop="1" thickBot="1" x14ac:dyDescent="0.25">
      <c r="A333" s="491"/>
      <c r="B333" s="492"/>
      <c r="C333" s="493"/>
      <c r="D333" s="493"/>
      <c r="E333" s="494">
        <v>830331</v>
      </c>
      <c r="F333" s="495" t="s">
        <v>742</v>
      </c>
      <c r="G333" s="508"/>
      <c r="H333" s="657"/>
      <c r="I333" s="658"/>
      <c r="J333" s="659"/>
      <c r="K333" s="657"/>
      <c r="L333" s="657"/>
      <c r="M333" s="664"/>
      <c r="N333" s="661"/>
      <c r="O333" s="508"/>
      <c r="P333" s="657"/>
      <c r="Q333" s="658"/>
      <c r="R333" s="659"/>
      <c r="S333" s="657"/>
      <c r="T333" s="657"/>
      <c r="U333" s="664"/>
      <c r="V333" s="661"/>
      <c r="W333" s="508"/>
      <c r="X333" s="508"/>
      <c r="Y333" s="594"/>
      <c r="Z333" s="533">
        <v>1590624</v>
      </c>
      <c r="AA333" s="533">
        <v>0</v>
      </c>
      <c r="AB333" s="533"/>
      <c r="AC333" s="478"/>
      <c r="AD333" s="502">
        <v>0</v>
      </c>
      <c r="AE333" s="502"/>
      <c r="AF333" s="502"/>
      <c r="AG333" s="502"/>
      <c r="AH333" s="503"/>
      <c r="AI333" s="503">
        <f>IFERROR(VLOOKUP(E333,[17]Total!$D:$S,12,FALSE),0)</f>
        <v>0</v>
      </c>
      <c r="AJ333" s="503">
        <v>5000000.28</v>
      </c>
      <c r="AK333" s="472">
        <v>2610122</v>
      </c>
    </row>
    <row r="334" spans="1:37" ht="16.5" thickTop="1" thickBot="1" x14ac:dyDescent="0.25">
      <c r="A334" s="491"/>
      <c r="B334" s="492"/>
      <c r="C334" s="493"/>
      <c r="D334" s="493"/>
      <c r="E334" s="570">
        <v>830332</v>
      </c>
      <c r="F334" s="495" t="s">
        <v>743</v>
      </c>
      <c r="G334" s="508"/>
      <c r="H334" s="657"/>
      <c r="I334" s="658"/>
      <c r="J334" s="659"/>
      <c r="K334" s="657"/>
      <c r="L334" s="657"/>
      <c r="M334" s="664"/>
      <c r="N334" s="661"/>
      <c r="O334" s="508"/>
      <c r="P334" s="657"/>
      <c r="Q334" s="658"/>
      <c r="R334" s="659"/>
      <c r="S334" s="657"/>
      <c r="T334" s="657"/>
      <c r="U334" s="664"/>
      <c r="V334" s="661"/>
      <c r="W334" s="508"/>
      <c r="X334" s="508"/>
      <c r="Y334" s="594"/>
      <c r="Z334" s="533">
        <v>1010000</v>
      </c>
      <c r="AA334" s="533">
        <v>0</v>
      </c>
      <c r="AB334" s="533"/>
      <c r="AC334" s="478"/>
      <c r="AD334" s="502">
        <v>0</v>
      </c>
      <c r="AE334" s="502"/>
      <c r="AF334" s="502"/>
      <c r="AG334" s="502"/>
      <c r="AH334" s="503"/>
      <c r="AI334" s="503">
        <f>IFERROR(VLOOKUP(E334,[17]Total!$D:$S,12,FALSE),0)</f>
        <v>0</v>
      </c>
      <c r="AJ334" s="503">
        <f>IFERROR(VLOOKUP(E334,[17]Total!$D:$S,16,FALSE),0)</f>
        <v>0</v>
      </c>
      <c r="AK334" s="472">
        <v>2610121</v>
      </c>
    </row>
    <row r="335" spans="1:37" ht="16.5" thickTop="1" thickBot="1" x14ac:dyDescent="0.25">
      <c r="A335" s="491"/>
      <c r="B335" s="492"/>
      <c r="C335" s="493"/>
      <c r="D335" s="493"/>
      <c r="E335" s="570">
        <v>830333</v>
      </c>
      <c r="F335" s="495" t="s">
        <v>744</v>
      </c>
      <c r="G335" s="508"/>
      <c r="H335" s="657"/>
      <c r="I335" s="658"/>
      <c r="J335" s="659"/>
      <c r="K335" s="657"/>
      <c r="L335" s="657"/>
      <c r="M335" s="664"/>
      <c r="N335" s="661"/>
      <c r="O335" s="508"/>
      <c r="P335" s="657"/>
      <c r="Q335" s="658"/>
      <c r="R335" s="659"/>
      <c r="S335" s="657"/>
      <c r="T335" s="657"/>
      <c r="U335" s="664"/>
      <c r="V335" s="661"/>
      <c r="W335" s="508"/>
      <c r="X335" s="508"/>
      <c r="Y335" s="594"/>
      <c r="Z335" s="533">
        <v>165000</v>
      </c>
      <c r="AA335" s="533">
        <v>0</v>
      </c>
      <c r="AB335" s="533"/>
      <c r="AC335" s="478"/>
      <c r="AD335" s="502">
        <v>0</v>
      </c>
      <c r="AE335" s="502"/>
      <c r="AF335" s="502"/>
      <c r="AG335" s="502"/>
      <c r="AH335" s="503"/>
      <c r="AI335" s="503">
        <f>IFERROR(VLOOKUP(E335,[17]Total!$D:$S,12,FALSE),0)</f>
        <v>0</v>
      </c>
      <c r="AJ335" s="503">
        <f>IFERROR(VLOOKUP(E335,[17]Total!$D:$S,16,FALSE),0)</f>
        <v>0</v>
      </c>
      <c r="AK335" s="472">
        <v>2610121</v>
      </c>
    </row>
    <row r="336" spans="1:37" ht="16.5" thickTop="1" thickBot="1" x14ac:dyDescent="0.25">
      <c r="A336" s="491"/>
      <c r="B336" s="492"/>
      <c r="C336" s="493"/>
      <c r="D336" s="493"/>
      <c r="E336" s="570">
        <v>830334</v>
      </c>
      <c r="F336" s="665" t="s">
        <v>745</v>
      </c>
      <c r="G336" s="508"/>
      <c r="H336" s="657"/>
      <c r="I336" s="658"/>
      <c r="J336" s="659"/>
      <c r="K336" s="657"/>
      <c r="L336" s="657"/>
      <c r="M336" s="664"/>
      <c r="N336" s="661"/>
      <c r="O336" s="508"/>
      <c r="P336" s="657"/>
      <c r="Q336" s="658"/>
      <c r="R336" s="659"/>
      <c r="S336" s="657"/>
      <c r="T336" s="657"/>
      <c r="U336" s="664"/>
      <c r="V336" s="661"/>
      <c r="W336" s="508"/>
      <c r="X336" s="508"/>
      <c r="Y336" s="594"/>
      <c r="Z336" s="533"/>
      <c r="AA336" s="533"/>
      <c r="AB336" s="533"/>
      <c r="AC336" s="478"/>
      <c r="AD336" s="502">
        <v>9000000</v>
      </c>
      <c r="AE336" s="502"/>
      <c r="AF336" s="662">
        <f>9000000+1149826.5</f>
        <v>10149826.5</v>
      </c>
      <c r="AG336" s="509">
        <f t="shared" ref="AG336:AG344" si="121">AF336-AD336</f>
        <v>1149826.5</v>
      </c>
      <c r="AH336" s="503">
        <v>0</v>
      </c>
      <c r="AI336" s="503">
        <v>10149826.5</v>
      </c>
      <c r="AJ336" s="503">
        <v>0</v>
      </c>
      <c r="AK336" s="666">
        <v>2610121</v>
      </c>
    </row>
    <row r="337" spans="1:37" ht="16.5" thickTop="1" thickBot="1" x14ac:dyDescent="0.25">
      <c r="A337" s="491"/>
      <c r="B337" s="492"/>
      <c r="C337" s="493"/>
      <c r="D337" s="493"/>
      <c r="E337" s="570">
        <v>830335</v>
      </c>
      <c r="F337" s="665" t="s">
        <v>746</v>
      </c>
      <c r="G337" s="508"/>
      <c r="H337" s="657"/>
      <c r="I337" s="658"/>
      <c r="J337" s="659"/>
      <c r="K337" s="657"/>
      <c r="L337" s="657"/>
      <c r="M337" s="664"/>
      <c r="N337" s="661"/>
      <c r="O337" s="508"/>
      <c r="P337" s="657"/>
      <c r="Q337" s="658"/>
      <c r="R337" s="659"/>
      <c r="S337" s="657"/>
      <c r="T337" s="657"/>
      <c r="U337" s="664"/>
      <c r="V337" s="661"/>
      <c r="W337" s="508"/>
      <c r="X337" s="508"/>
      <c r="Y337" s="594"/>
      <c r="Z337" s="533"/>
      <c r="AA337" s="533"/>
      <c r="AB337" s="533"/>
      <c r="AC337" s="478"/>
      <c r="AD337" s="502">
        <v>5000000</v>
      </c>
      <c r="AE337" s="502"/>
      <c r="AF337" s="662">
        <v>5000000</v>
      </c>
      <c r="AG337" s="509">
        <f t="shared" si="121"/>
        <v>0</v>
      </c>
      <c r="AH337" s="503">
        <v>0</v>
      </c>
      <c r="AI337" s="503">
        <v>5000000</v>
      </c>
      <c r="AJ337" s="503">
        <v>0</v>
      </c>
      <c r="AK337" s="666">
        <v>2610121</v>
      </c>
    </row>
    <row r="338" spans="1:37" ht="16.5" thickTop="1" thickBot="1" x14ac:dyDescent="0.25">
      <c r="A338" s="491"/>
      <c r="B338" s="492"/>
      <c r="C338" s="493"/>
      <c r="D338" s="493"/>
      <c r="E338" s="570">
        <v>830336</v>
      </c>
      <c r="F338" s="665" t="s">
        <v>747</v>
      </c>
      <c r="G338" s="508"/>
      <c r="H338" s="657"/>
      <c r="I338" s="658"/>
      <c r="J338" s="659"/>
      <c r="K338" s="657"/>
      <c r="L338" s="657"/>
      <c r="M338" s="664"/>
      <c r="N338" s="661"/>
      <c r="O338" s="508"/>
      <c r="P338" s="657"/>
      <c r="Q338" s="658"/>
      <c r="R338" s="659"/>
      <c r="S338" s="657"/>
      <c r="T338" s="657"/>
      <c r="U338" s="664"/>
      <c r="V338" s="661"/>
      <c r="W338" s="508"/>
      <c r="X338" s="508"/>
      <c r="Y338" s="594"/>
      <c r="Z338" s="533"/>
      <c r="AA338" s="533"/>
      <c r="AB338" s="533"/>
      <c r="AC338" s="478"/>
      <c r="AD338" s="502">
        <v>617798</v>
      </c>
      <c r="AE338" s="502"/>
      <c r="AF338" s="662">
        <f>617797.85</f>
        <v>617797.85</v>
      </c>
      <c r="AG338" s="667">
        <f t="shared" si="121"/>
        <v>-0.15000000002328306</v>
      </c>
      <c r="AH338" s="503">
        <v>0</v>
      </c>
      <c r="AI338" s="503">
        <v>617797.85</v>
      </c>
      <c r="AJ338" s="503">
        <v>0</v>
      </c>
      <c r="AK338" s="666">
        <v>2610121</v>
      </c>
    </row>
    <row r="339" spans="1:37" ht="16.5" thickTop="1" thickBot="1" x14ac:dyDescent="0.25">
      <c r="A339" s="491"/>
      <c r="B339" s="492"/>
      <c r="C339" s="493"/>
      <c r="D339" s="493"/>
      <c r="E339" s="570">
        <v>830337</v>
      </c>
      <c r="F339" s="665" t="s">
        <v>748</v>
      </c>
      <c r="G339" s="508"/>
      <c r="H339" s="657"/>
      <c r="I339" s="658"/>
      <c r="J339" s="659"/>
      <c r="K339" s="657"/>
      <c r="L339" s="657"/>
      <c r="M339" s="664"/>
      <c r="N339" s="661"/>
      <c r="O339" s="508"/>
      <c r="P339" s="657"/>
      <c r="Q339" s="658"/>
      <c r="R339" s="659"/>
      <c r="S339" s="657"/>
      <c r="T339" s="657"/>
      <c r="U339" s="664"/>
      <c r="V339" s="661"/>
      <c r="W339" s="508"/>
      <c r="X339" s="508"/>
      <c r="Y339" s="594"/>
      <c r="Z339" s="533"/>
      <c r="AA339" s="533"/>
      <c r="AB339" s="533"/>
      <c r="AC339" s="478"/>
      <c r="AD339" s="502">
        <v>12819102</v>
      </c>
      <c r="AE339" s="502"/>
      <c r="AF339" s="662">
        <v>12819101.530000001</v>
      </c>
      <c r="AG339" s="509">
        <f t="shared" si="121"/>
        <v>-0.4699999988079071</v>
      </c>
      <c r="AH339" s="503">
        <v>0</v>
      </c>
      <c r="AI339" s="503">
        <v>12819101.529999999</v>
      </c>
      <c r="AJ339" s="503">
        <v>0</v>
      </c>
      <c r="AK339" s="666">
        <v>2610121</v>
      </c>
    </row>
    <row r="340" spans="1:37" ht="16.5" thickTop="1" thickBot="1" x14ac:dyDescent="0.25">
      <c r="A340" s="491"/>
      <c r="B340" s="492"/>
      <c r="C340" s="493"/>
      <c r="D340" s="493"/>
      <c r="E340" s="570">
        <v>830338</v>
      </c>
      <c r="F340" s="665" t="s">
        <v>749</v>
      </c>
      <c r="G340" s="668"/>
      <c r="H340" s="669"/>
      <c r="I340" s="670"/>
      <c r="J340" s="671"/>
      <c r="K340" s="669"/>
      <c r="L340" s="669"/>
      <c r="M340" s="672"/>
      <c r="N340" s="673"/>
      <c r="O340" s="668"/>
      <c r="P340" s="669"/>
      <c r="Q340" s="670"/>
      <c r="R340" s="671"/>
      <c r="S340" s="669"/>
      <c r="T340" s="669"/>
      <c r="U340" s="672"/>
      <c r="V340" s="673"/>
      <c r="W340" s="668"/>
      <c r="X340" s="668"/>
      <c r="Y340" s="674"/>
      <c r="Z340" s="675"/>
      <c r="AA340" s="675"/>
      <c r="AB340" s="675"/>
      <c r="AC340" s="676"/>
      <c r="AD340" s="677">
        <v>97650</v>
      </c>
      <c r="AE340" s="677"/>
      <c r="AF340" s="662">
        <v>153728.09</v>
      </c>
      <c r="AG340" s="678">
        <f t="shared" si="121"/>
        <v>56078.09</v>
      </c>
      <c r="AH340" s="503">
        <v>0</v>
      </c>
      <c r="AI340" s="503">
        <v>153728.09</v>
      </c>
      <c r="AJ340" s="503">
        <v>0</v>
      </c>
      <c r="AK340" s="666">
        <v>2610121</v>
      </c>
    </row>
    <row r="341" spans="1:37" ht="16.5" thickTop="1" thickBot="1" x14ac:dyDescent="0.25">
      <c r="A341" s="491"/>
      <c r="B341" s="492"/>
      <c r="C341" s="493"/>
      <c r="D341" s="493"/>
      <c r="E341" s="570">
        <v>830339</v>
      </c>
      <c r="F341" s="665" t="s">
        <v>750</v>
      </c>
      <c r="G341" s="508"/>
      <c r="H341" s="657"/>
      <c r="I341" s="658"/>
      <c r="J341" s="659"/>
      <c r="K341" s="657"/>
      <c r="L341" s="657"/>
      <c r="M341" s="664"/>
      <c r="N341" s="661"/>
      <c r="O341" s="508"/>
      <c r="P341" s="657"/>
      <c r="Q341" s="658"/>
      <c r="R341" s="659"/>
      <c r="S341" s="657"/>
      <c r="T341" s="657"/>
      <c r="U341" s="664"/>
      <c r="V341" s="661"/>
      <c r="W341" s="508"/>
      <c r="X341" s="508"/>
      <c r="Y341" s="594"/>
      <c r="Z341" s="533"/>
      <c r="AA341" s="533"/>
      <c r="AB341" s="533"/>
      <c r="AC341" s="478"/>
      <c r="AD341" s="502">
        <v>2634960</v>
      </c>
      <c r="AE341" s="502"/>
      <c r="AF341" s="662">
        <v>2634960</v>
      </c>
      <c r="AG341" s="509">
        <f t="shared" si="121"/>
        <v>0</v>
      </c>
      <c r="AH341" s="503">
        <v>0</v>
      </c>
      <c r="AI341" s="503">
        <v>2634960</v>
      </c>
      <c r="AJ341" s="503">
        <v>0</v>
      </c>
      <c r="AK341" s="666">
        <v>2610121</v>
      </c>
    </row>
    <row r="342" spans="1:37" ht="16.5" thickTop="1" thickBot="1" x14ac:dyDescent="0.25">
      <c r="A342" s="491"/>
      <c r="B342" s="492"/>
      <c r="C342" s="493"/>
      <c r="D342" s="493"/>
      <c r="E342" s="570">
        <v>830340</v>
      </c>
      <c r="F342" s="665" t="s">
        <v>751</v>
      </c>
      <c r="G342" s="508"/>
      <c r="H342" s="657"/>
      <c r="I342" s="658"/>
      <c r="J342" s="659"/>
      <c r="K342" s="657"/>
      <c r="L342" s="657"/>
      <c r="M342" s="664"/>
      <c r="N342" s="661"/>
      <c r="O342" s="508"/>
      <c r="P342" s="657"/>
      <c r="Q342" s="658"/>
      <c r="R342" s="659"/>
      <c r="S342" s="657"/>
      <c r="T342" s="657"/>
      <c r="U342" s="664"/>
      <c r="V342" s="661"/>
      <c r="W342" s="508"/>
      <c r="X342" s="508"/>
      <c r="Y342" s="594"/>
      <c r="Z342" s="533"/>
      <c r="AA342" s="533"/>
      <c r="AB342" s="533"/>
      <c r="AC342" s="478"/>
      <c r="AD342" s="502">
        <v>42372356</v>
      </c>
      <c r="AE342" s="510">
        <f>5358191.15</f>
        <v>5358191.1500000004</v>
      </c>
      <c r="AF342" s="662">
        <f>42372356+0.26</f>
        <v>42372356.259999998</v>
      </c>
      <c r="AG342" s="509">
        <f t="shared" si="121"/>
        <v>0.25999999791383743</v>
      </c>
      <c r="AH342" s="503">
        <v>0</v>
      </c>
      <c r="AI342" s="503">
        <v>42372356.259999998</v>
      </c>
      <c r="AJ342" s="503">
        <v>0</v>
      </c>
      <c r="AK342" s="666">
        <v>2610121</v>
      </c>
    </row>
    <row r="343" spans="1:37" ht="16.5" thickTop="1" thickBot="1" x14ac:dyDescent="0.25">
      <c r="A343" s="491"/>
      <c r="B343" s="492"/>
      <c r="C343" s="493"/>
      <c r="D343" s="493"/>
      <c r="E343" s="570">
        <v>830341</v>
      </c>
      <c r="F343" s="665" t="s">
        <v>363</v>
      </c>
      <c r="G343" s="508"/>
      <c r="H343" s="657"/>
      <c r="I343" s="658"/>
      <c r="J343" s="659"/>
      <c r="K343" s="657"/>
      <c r="L343" s="657"/>
      <c r="M343" s="664"/>
      <c r="N343" s="661"/>
      <c r="O343" s="508"/>
      <c r="P343" s="657"/>
      <c r="Q343" s="658"/>
      <c r="R343" s="659"/>
      <c r="S343" s="657"/>
      <c r="T343" s="657"/>
      <c r="U343" s="664"/>
      <c r="V343" s="661"/>
      <c r="W343" s="508"/>
      <c r="X343" s="508"/>
      <c r="Y343" s="594"/>
      <c r="Z343" s="533"/>
      <c r="AA343" s="533"/>
      <c r="AB343" s="533"/>
      <c r="AC343" s="478"/>
      <c r="AD343" s="502">
        <v>900000</v>
      </c>
      <c r="AE343" s="502"/>
      <c r="AF343" s="662">
        <v>900000</v>
      </c>
      <c r="AG343" s="509">
        <f t="shared" si="121"/>
        <v>0</v>
      </c>
      <c r="AH343" s="503">
        <v>0</v>
      </c>
      <c r="AI343" s="503">
        <v>900000</v>
      </c>
      <c r="AJ343" s="503">
        <v>0</v>
      </c>
      <c r="AK343" s="666">
        <v>2610121</v>
      </c>
    </row>
    <row r="344" spans="1:37" ht="16.5" thickTop="1" thickBot="1" x14ac:dyDescent="0.25">
      <c r="A344" s="491"/>
      <c r="B344" s="492"/>
      <c r="C344" s="493"/>
      <c r="D344" s="493"/>
      <c r="E344" s="570">
        <v>830342</v>
      </c>
      <c r="F344" s="665" t="s">
        <v>752</v>
      </c>
      <c r="G344" s="508"/>
      <c r="H344" s="657"/>
      <c r="I344" s="658"/>
      <c r="J344" s="659"/>
      <c r="K344" s="657"/>
      <c r="L344" s="657"/>
      <c r="M344" s="664"/>
      <c r="N344" s="661"/>
      <c r="O344" s="508"/>
      <c r="P344" s="657"/>
      <c r="Q344" s="658"/>
      <c r="R344" s="659"/>
      <c r="S344" s="657"/>
      <c r="T344" s="657"/>
      <c r="U344" s="664"/>
      <c r="V344" s="661"/>
      <c r="W344" s="508"/>
      <c r="X344" s="508"/>
      <c r="Y344" s="594"/>
      <c r="Z344" s="533"/>
      <c r="AA344" s="533"/>
      <c r="AB344" s="533"/>
      <c r="AC344" s="478"/>
      <c r="AD344" s="502">
        <v>2092279</v>
      </c>
      <c r="AE344" s="502"/>
      <c r="AF344" s="662">
        <v>2092280.39</v>
      </c>
      <c r="AG344" s="509">
        <f t="shared" si="121"/>
        <v>1.3899999998975545</v>
      </c>
      <c r="AH344" s="503">
        <v>0</v>
      </c>
      <c r="AI344" s="503">
        <v>2092280.39</v>
      </c>
      <c r="AJ344" s="503">
        <v>0</v>
      </c>
      <c r="AK344" s="666">
        <v>2610121</v>
      </c>
    </row>
    <row r="345" spans="1:37" ht="16.5" thickTop="1" thickBot="1" x14ac:dyDescent="0.25">
      <c r="A345" s="491"/>
      <c r="B345" s="492"/>
      <c r="C345" s="493"/>
      <c r="D345" s="493"/>
      <c r="E345" s="570">
        <v>830390</v>
      </c>
      <c r="F345" s="495" t="s">
        <v>753</v>
      </c>
      <c r="G345" s="508"/>
      <c r="H345" s="657"/>
      <c r="I345" s="658"/>
      <c r="J345" s="659"/>
      <c r="K345" s="657"/>
      <c r="L345" s="657"/>
      <c r="M345" s="664"/>
      <c r="N345" s="661"/>
      <c r="O345" s="508"/>
      <c r="P345" s="657"/>
      <c r="Q345" s="658"/>
      <c r="R345" s="659"/>
      <c r="S345" s="657"/>
      <c r="T345" s="657"/>
      <c r="U345" s="664"/>
      <c r="V345" s="661"/>
      <c r="W345" s="508"/>
      <c r="X345" s="508"/>
      <c r="Y345" s="594">
        <v>13292890</v>
      </c>
      <c r="Z345" s="632">
        <v>6377472.9000000004</v>
      </c>
      <c r="AA345" s="501">
        <v>0</v>
      </c>
      <c r="AB345" s="501"/>
      <c r="AC345" s="478"/>
      <c r="AD345" s="636">
        <v>0</v>
      </c>
      <c r="AE345" s="636"/>
      <c r="AF345" s="636"/>
      <c r="AG345" s="636"/>
      <c r="AH345" s="503">
        <v>13292890</v>
      </c>
      <c r="AI345" s="503">
        <v>0</v>
      </c>
      <c r="AJ345" s="503">
        <v>0</v>
      </c>
      <c r="AK345" s="472">
        <v>2610221</v>
      </c>
    </row>
    <row r="346" spans="1:37" ht="16.5" thickTop="1" thickBot="1" x14ac:dyDescent="0.25">
      <c r="A346" s="491"/>
      <c r="B346" s="492"/>
      <c r="C346" s="493"/>
      <c r="D346" s="493"/>
      <c r="E346" s="570">
        <v>830391</v>
      </c>
      <c r="F346" s="495" t="s">
        <v>754</v>
      </c>
      <c r="G346" s="508"/>
      <c r="H346" s="657"/>
      <c r="I346" s="658"/>
      <c r="J346" s="659"/>
      <c r="K346" s="657"/>
      <c r="L346" s="657"/>
      <c r="M346" s="664"/>
      <c r="N346" s="661"/>
      <c r="O346" s="508"/>
      <c r="P346" s="657"/>
      <c r="Q346" s="658"/>
      <c r="R346" s="659"/>
      <c r="S346" s="657"/>
      <c r="T346" s="657"/>
      <c r="U346" s="664"/>
      <c r="V346" s="661"/>
      <c r="W346" s="508"/>
      <c r="X346" s="508"/>
      <c r="Y346" s="594">
        <v>2443000</v>
      </c>
      <c r="Z346" s="508"/>
      <c r="AA346" s="508"/>
      <c r="AB346" s="508"/>
      <c r="AC346" s="478"/>
      <c r="AD346" s="508"/>
      <c r="AE346" s="508"/>
      <c r="AF346" s="508"/>
      <c r="AG346" s="508"/>
      <c r="AH346" s="503">
        <v>2443000</v>
      </c>
      <c r="AI346" s="503">
        <v>0</v>
      </c>
      <c r="AJ346" s="503">
        <v>0</v>
      </c>
      <c r="AK346" s="472">
        <v>2610221</v>
      </c>
    </row>
    <row r="347" spans="1:37" ht="16.5" thickTop="1" thickBot="1" x14ac:dyDescent="0.25">
      <c r="A347" s="491"/>
      <c r="B347" s="492"/>
      <c r="C347" s="493"/>
      <c r="D347" s="493"/>
      <c r="E347" s="570">
        <v>830392</v>
      </c>
      <c r="F347" s="495" t="s">
        <v>755</v>
      </c>
      <c r="G347" s="508"/>
      <c r="H347" s="657"/>
      <c r="I347" s="658"/>
      <c r="J347" s="659"/>
      <c r="K347" s="657"/>
      <c r="L347" s="657"/>
      <c r="M347" s="664"/>
      <c r="N347" s="661"/>
      <c r="O347" s="508"/>
      <c r="P347" s="657"/>
      <c r="Q347" s="658"/>
      <c r="R347" s="659"/>
      <c r="S347" s="657"/>
      <c r="T347" s="657"/>
      <c r="U347" s="664"/>
      <c r="V347" s="661"/>
      <c r="W347" s="508"/>
      <c r="X347" s="508"/>
      <c r="Y347" s="594">
        <v>2398073.83</v>
      </c>
      <c r="Z347" s="508"/>
      <c r="AA347" s="508"/>
      <c r="AB347" s="508"/>
      <c r="AC347" s="478"/>
      <c r="AD347" s="508"/>
      <c r="AE347" s="508"/>
      <c r="AF347" s="508"/>
      <c r="AG347" s="508"/>
      <c r="AH347" s="503">
        <v>2398073.83</v>
      </c>
      <c r="AI347" s="503">
        <v>0</v>
      </c>
      <c r="AJ347" s="503">
        <v>0</v>
      </c>
      <c r="AK347" s="472">
        <v>2610221</v>
      </c>
    </row>
    <row r="348" spans="1:37" ht="16.5" thickTop="1" thickBot="1" x14ac:dyDescent="0.25">
      <c r="A348" s="491"/>
      <c r="B348" s="492"/>
      <c r="C348" s="493"/>
      <c r="D348" s="493"/>
      <c r="E348" s="570">
        <v>830393</v>
      </c>
      <c r="F348" s="495" t="s">
        <v>756</v>
      </c>
      <c r="G348" s="508"/>
      <c r="H348" s="657"/>
      <c r="I348" s="658"/>
      <c r="J348" s="659"/>
      <c r="K348" s="657"/>
      <c r="L348" s="657"/>
      <c r="M348" s="664"/>
      <c r="N348" s="661"/>
      <c r="O348" s="508"/>
      <c r="P348" s="657"/>
      <c r="Q348" s="658"/>
      <c r="R348" s="659"/>
      <c r="S348" s="657"/>
      <c r="T348" s="657"/>
      <c r="U348" s="664"/>
      <c r="V348" s="661"/>
      <c r="W348" s="508"/>
      <c r="X348" s="508"/>
      <c r="Y348" s="594">
        <v>69912269.790000007</v>
      </c>
      <c r="Z348" s="501">
        <v>7111000</v>
      </c>
      <c r="AA348" s="501">
        <v>0</v>
      </c>
      <c r="AB348" s="512">
        <v>22406116.68</v>
      </c>
      <c r="AC348" s="478"/>
      <c r="AD348" s="509">
        <v>0</v>
      </c>
      <c r="AE348" s="510">
        <v>37863530.450000003</v>
      </c>
      <c r="AF348" s="510">
        <v>0</v>
      </c>
      <c r="AG348" s="510">
        <f t="shared" ref="AG348:AG356" si="122">AF348-AD348</f>
        <v>0</v>
      </c>
      <c r="AH348" s="503">
        <v>69912269.790000007</v>
      </c>
      <c r="AI348" s="503">
        <v>0</v>
      </c>
      <c r="AJ348" s="503">
        <v>0</v>
      </c>
      <c r="AK348" s="472">
        <v>2610221</v>
      </c>
    </row>
    <row r="349" spans="1:37" ht="16.5" thickTop="1" thickBot="1" x14ac:dyDescent="0.25">
      <c r="A349" s="491"/>
      <c r="B349" s="492"/>
      <c r="C349" s="493"/>
      <c r="D349" s="493"/>
      <c r="E349" s="570">
        <v>830394</v>
      </c>
      <c r="F349" s="495" t="s">
        <v>757</v>
      </c>
      <c r="G349" s="508"/>
      <c r="H349" s="657"/>
      <c r="I349" s="658"/>
      <c r="J349" s="659"/>
      <c r="K349" s="657"/>
      <c r="L349" s="657"/>
      <c r="M349" s="664"/>
      <c r="N349" s="661"/>
      <c r="O349" s="508"/>
      <c r="P349" s="657"/>
      <c r="Q349" s="658"/>
      <c r="R349" s="659"/>
      <c r="S349" s="657"/>
      <c r="T349" s="657"/>
      <c r="U349" s="664"/>
      <c r="V349" s="661"/>
      <c r="W349" s="508"/>
      <c r="X349" s="508"/>
      <c r="Y349" s="594"/>
      <c r="Z349" s="501"/>
      <c r="AA349" s="501"/>
      <c r="AB349" s="512"/>
      <c r="AC349" s="478"/>
      <c r="AD349" s="509">
        <v>46540648</v>
      </c>
      <c r="AE349" s="509"/>
      <c r="AF349" s="662">
        <v>46540648</v>
      </c>
      <c r="AG349" s="509">
        <f t="shared" si="122"/>
        <v>0</v>
      </c>
      <c r="AH349" s="503">
        <v>0</v>
      </c>
      <c r="AI349" s="503">
        <v>46540648</v>
      </c>
      <c r="AJ349" s="503">
        <v>0</v>
      </c>
      <c r="AK349" s="472">
        <v>2610221</v>
      </c>
    </row>
    <row r="350" spans="1:37" ht="16.5" thickTop="1" thickBot="1" x14ac:dyDescent="0.25">
      <c r="A350" s="491"/>
      <c r="B350" s="492"/>
      <c r="C350" s="493"/>
      <c r="D350" s="493"/>
      <c r="E350" s="494">
        <v>830344</v>
      </c>
      <c r="F350" s="495" t="s">
        <v>758</v>
      </c>
      <c r="G350" s="668"/>
      <c r="H350" s="669"/>
      <c r="I350" s="670"/>
      <c r="J350" s="671"/>
      <c r="K350" s="669"/>
      <c r="L350" s="669"/>
      <c r="M350" s="672"/>
      <c r="N350" s="673"/>
      <c r="O350" s="668"/>
      <c r="P350" s="669"/>
      <c r="Q350" s="670"/>
      <c r="R350" s="671"/>
      <c r="S350" s="669"/>
      <c r="T350" s="669"/>
      <c r="U350" s="672"/>
      <c r="V350" s="673"/>
      <c r="W350" s="668"/>
      <c r="X350" s="668"/>
      <c r="Y350" s="674"/>
      <c r="Z350" s="675"/>
      <c r="AA350" s="675"/>
      <c r="AB350" s="679"/>
      <c r="AC350" s="676"/>
      <c r="AD350" s="677"/>
      <c r="AE350" s="677"/>
      <c r="AF350" s="662">
        <v>13000000</v>
      </c>
      <c r="AG350" s="680">
        <f t="shared" si="122"/>
        <v>13000000</v>
      </c>
      <c r="AH350" s="503">
        <v>0</v>
      </c>
      <c r="AI350" s="503">
        <v>13000000</v>
      </c>
      <c r="AJ350" s="503">
        <v>11028619.220000001</v>
      </c>
      <c r="AK350" s="472">
        <v>2610122</v>
      </c>
    </row>
    <row r="351" spans="1:37" ht="16.5" thickTop="1" thickBot="1" x14ac:dyDescent="0.25">
      <c r="A351" s="491"/>
      <c r="B351" s="492"/>
      <c r="C351" s="493"/>
      <c r="D351" s="493"/>
      <c r="E351" s="570">
        <v>830343</v>
      </c>
      <c r="F351" s="495" t="s">
        <v>759</v>
      </c>
      <c r="G351" s="668"/>
      <c r="H351" s="669"/>
      <c r="I351" s="670"/>
      <c r="J351" s="671"/>
      <c r="K351" s="669"/>
      <c r="L351" s="669"/>
      <c r="M351" s="672"/>
      <c r="N351" s="673"/>
      <c r="O351" s="668"/>
      <c r="P351" s="669"/>
      <c r="Q351" s="670"/>
      <c r="R351" s="671"/>
      <c r="S351" s="669"/>
      <c r="T351" s="669"/>
      <c r="U351" s="672"/>
      <c r="V351" s="673"/>
      <c r="W351" s="668"/>
      <c r="X351" s="668"/>
      <c r="Y351" s="674"/>
      <c r="Z351" s="675"/>
      <c r="AA351" s="675"/>
      <c r="AB351" s="679"/>
      <c r="AC351" s="676"/>
      <c r="AD351" s="677"/>
      <c r="AE351" s="677"/>
      <c r="AF351" s="662">
        <v>1107549</v>
      </c>
      <c r="AG351" s="680">
        <f t="shared" si="122"/>
        <v>1107549</v>
      </c>
      <c r="AH351" s="503">
        <v>0</v>
      </c>
      <c r="AI351" s="503">
        <v>1107549</v>
      </c>
      <c r="AJ351" s="503">
        <v>0</v>
      </c>
      <c r="AK351" s="472">
        <v>2610121</v>
      </c>
    </row>
    <row r="352" spans="1:37" ht="16.5" thickTop="1" thickBot="1" x14ac:dyDescent="0.25">
      <c r="A352" s="491"/>
      <c r="B352" s="492"/>
      <c r="C352" s="493"/>
      <c r="D352" s="493"/>
      <c r="E352" s="570">
        <v>830345</v>
      </c>
      <c r="F352" s="495" t="s">
        <v>760</v>
      </c>
      <c r="G352" s="668"/>
      <c r="H352" s="669"/>
      <c r="I352" s="670"/>
      <c r="J352" s="671"/>
      <c r="K352" s="669"/>
      <c r="L352" s="669"/>
      <c r="M352" s="672"/>
      <c r="N352" s="673"/>
      <c r="O352" s="668"/>
      <c r="P352" s="669"/>
      <c r="Q352" s="670"/>
      <c r="R352" s="671"/>
      <c r="S352" s="669"/>
      <c r="T352" s="669"/>
      <c r="U352" s="672"/>
      <c r="V352" s="673"/>
      <c r="W352" s="668"/>
      <c r="X352" s="668"/>
      <c r="Y352" s="674"/>
      <c r="Z352" s="675"/>
      <c r="AA352" s="675"/>
      <c r="AB352" s="679"/>
      <c r="AC352" s="676"/>
      <c r="AD352" s="677"/>
      <c r="AE352" s="677"/>
      <c r="AF352" s="662">
        <v>350000</v>
      </c>
      <c r="AG352" s="680">
        <f t="shared" si="122"/>
        <v>350000</v>
      </c>
      <c r="AH352" s="503">
        <v>0</v>
      </c>
      <c r="AI352" s="503">
        <v>350000</v>
      </c>
      <c r="AJ352" s="503">
        <v>0</v>
      </c>
      <c r="AK352" s="472">
        <v>2610121</v>
      </c>
    </row>
    <row r="353" spans="1:37" ht="16.5" thickTop="1" thickBot="1" x14ac:dyDescent="0.25">
      <c r="A353" s="491"/>
      <c r="B353" s="492"/>
      <c r="C353" s="493"/>
      <c r="D353" s="493"/>
      <c r="E353" s="570">
        <v>830346</v>
      </c>
      <c r="F353" s="495" t="s">
        <v>761</v>
      </c>
      <c r="G353" s="508"/>
      <c r="H353" s="657"/>
      <c r="I353" s="658"/>
      <c r="J353" s="659"/>
      <c r="K353" s="657"/>
      <c r="L353" s="657"/>
      <c r="M353" s="664"/>
      <c r="N353" s="661"/>
      <c r="O353" s="508"/>
      <c r="P353" s="657"/>
      <c r="Q353" s="658"/>
      <c r="R353" s="659"/>
      <c r="S353" s="657"/>
      <c r="T353" s="657"/>
      <c r="U353" s="664"/>
      <c r="V353" s="661"/>
      <c r="W353" s="508"/>
      <c r="X353" s="508"/>
      <c r="Y353" s="594"/>
      <c r="Z353" s="533"/>
      <c r="AA353" s="533"/>
      <c r="AB353" s="610"/>
      <c r="AC353" s="478"/>
      <c r="AD353" s="502"/>
      <c r="AE353" s="502"/>
      <c r="AF353" s="662">
        <v>250000</v>
      </c>
      <c r="AG353" s="629">
        <f t="shared" si="122"/>
        <v>250000</v>
      </c>
      <c r="AH353" s="503">
        <v>0</v>
      </c>
      <c r="AI353" s="503">
        <v>250000</v>
      </c>
      <c r="AJ353" s="503">
        <v>0</v>
      </c>
      <c r="AK353" s="472">
        <v>2610121</v>
      </c>
    </row>
    <row r="354" spans="1:37" ht="16.5" thickTop="1" thickBot="1" x14ac:dyDescent="0.25">
      <c r="A354" s="491"/>
      <c r="B354" s="492"/>
      <c r="C354" s="493"/>
      <c r="D354" s="493"/>
      <c r="E354" s="570">
        <v>830347</v>
      </c>
      <c r="F354" s="495" t="s">
        <v>762</v>
      </c>
      <c r="G354" s="508"/>
      <c r="H354" s="657"/>
      <c r="I354" s="658"/>
      <c r="J354" s="659"/>
      <c r="K354" s="657"/>
      <c r="L354" s="657"/>
      <c r="M354" s="664"/>
      <c r="N354" s="661"/>
      <c r="O354" s="508"/>
      <c r="P354" s="657"/>
      <c r="Q354" s="658"/>
      <c r="R354" s="659"/>
      <c r="S354" s="657"/>
      <c r="T354" s="657"/>
      <c r="U354" s="664"/>
      <c r="V354" s="661"/>
      <c r="W354" s="508"/>
      <c r="X354" s="508"/>
      <c r="Y354" s="594"/>
      <c r="Z354" s="533"/>
      <c r="AA354" s="533"/>
      <c r="AB354" s="610"/>
      <c r="AC354" s="478"/>
      <c r="AD354" s="502"/>
      <c r="AE354" s="502"/>
      <c r="AF354" s="662">
        <v>0</v>
      </c>
      <c r="AG354" s="629">
        <f t="shared" si="122"/>
        <v>0</v>
      </c>
      <c r="AH354" s="503"/>
      <c r="AI354" s="503">
        <v>250000</v>
      </c>
      <c r="AJ354" s="503"/>
      <c r="AK354" s="472">
        <v>2610121</v>
      </c>
    </row>
    <row r="355" spans="1:37" ht="16.5" thickTop="1" thickBot="1" x14ac:dyDescent="0.25">
      <c r="A355" s="491"/>
      <c r="B355" s="492"/>
      <c r="C355" s="493"/>
      <c r="D355" s="493"/>
      <c r="E355" s="494">
        <v>830348</v>
      </c>
      <c r="F355" s="495" t="s">
        <v>763</v>
      </c>
      <c r="G355" s="668"/>
      <c r="H355" s="669"/>
      <c r="I355" s="670"/>
      <c r="J355" s="671"/>
      <c r="K355" s="669"/>
      <c r="L355" s="669"/>
      <c r="M355" s="672"/>
      <c r="N355" s="673"/>
      <c r="O355" s="668"/>
      <c r="P355" s="669"/>
      <c r="Q355" s="670"/>
      <c r="R355" s="671"/>
      <c r="S355" s="669"/>
      <c r="T355" s="669"/>
      <c r="U355" s="672"/>
      <c r="V355" s="673"/>
      <c r="W355" s="668"/>
      <c r="X355" s="668"/>
      <c r="Y355" s="674"/>
      <c r="Z355" s="675"/>
      <c r="AA355" s="675"/>
      <c r="AB355" s="679"/>
      <c r="AC355" s="676"/>
      <c r="AD355" s="677"/>
      <c r="AE355" s="677"/>
      <c r="AF355" s="662">
        <v>250000</v>
      </c>
      <c r="AG355" s="680">
        <f t="shared" si="122"/>
        <v>250000</v>
      </c>
      <c r="AH355" s="503">
        <v>0</v>
      </c>
      <c r="AI355" s="503">
        <v>2204000</v>
      </c>
      <c r="AJ355" s="503">
        <v>5200000</v>
      </c>
      <c r="AK355" s="472">
        <v>2610122</v>
      </c>
    </row>
    <row r="356" spans="1:37" ht="16.5" thickTop="1" thickBot="1" x14ac:dyDescent="0.25">
      <c r="A356" s="491"/>
      <c r="B356" s="492"/>
      <c r="C356" s="493"/>
      <c r="D356" s="493"/>
      <c r="E356" s="570">
        <v>830349</v>
      </c>
      <c r="F356" s="495" t="s">
        <v>765</v>
      </c>
      <c r="G356" s="668"/>
      <c r="H356" s="669"/>
      <c r="I356" s="670"/>
      <c r="J356" s="671"/>
      <c r="K356" s="669"/>
      <c r="L356" s="669"/>
      <c r="M356" s="672"/>
      <c r="N356" s="673"/>
      <c r="O356" s="668"/>
      <c r="P356" s="669"/>
      <c r="Q356" s="670"/>
      <c r="R356" s="671"/>
      <c r="S356" s="669"/>
      <c r="T356" s="669"/>
      <c r="U356" s="672"/>
      <c r="V356" s="673"/>
      <c r="W356" s="668"/>
      <c r="X356" s="668"/>
      <c r="Y356" s="674"/>
      <c r="Z356" s="675"/>
      <c r="AA356" s="675"/>
      <c r="AB356" s="679"/>
      <c r="AC356" s="676"/>
      <c r="AD356" s="677"/>
      <c r="AE356" s="677"/>
      <c r="AF356" s="662">
        <v>2204000</v>
      </c>
      <c r="AG356" s="680">
        <f t="shared" si="122"/>
        <v>2204000</v>
      </c>
      <c r="AH356" s="503">
        <v>0</v>
      </c>
      <c r="AI356" s="503">
        <v>2000000</v>
      </c>
      <c r="AJ356" s="503">
        <v>0</v>
      </c>
      <c r="AK356" s="472">
        <v>2610121</v>
      </c>
    </row>
    <row r="357" spans="1:37" ht="16.5" thickTop="1" thickBot="1" x14ac:dyDescent="0.25">
      <c r="A357" s="491"/>
      <c r="B357" s="492"/>
      <c r="C357" s="493"/>
      <c r="D357" s="493"/>
      <c r="E357" s="494">
        <v>830350</v>
      </c>
      <c r="F357" s="495" t="s">
        <v>766</v>
      </c>
      <c r="G357" s="668"/>
      <c r="H357" s="669"/>
      <c r="I357" s="670"/>
      <c r="J357" s="671"/>
      <c r="K357" s="669"/>
      <c r="L357" s="669"/>
      <c r="M357" s="672"/>
      <c r="N357" s="673"/>
      <c r="O357" s="668"/>
      <c r="P357" s="669"/>
      <c r="Q357" s="670"/>
      <c r="R357" s="671"/>
      <c r="S357" s="669"/>
      <c r="T357" s="669"/>
      <c r="U357" s="672"/>
      <c r="V357" s="673"/>
      <c r="W357" s="668"/>
      <c r="X357" s="668"/>
      <c r="Y357" s="674"/>
      <c r="Z357" s="675"/>
      <c r="AA357" s="675"/>
      <c r="AB357" s="679"/>
      <c r="AC357" s="676"/>
      <c r="AD357" s="677"/>
      <c r="AE357" s="677"/>
      <c r="AF357" s="662"/>
      <c r="AG357" s="680"/>
      <c r="AH357" s="503"/>
      <c r="AI357" s="503"/>
      <c r="AJ357" s="503">
        <v>450000</v>
      </c>
      <c r="AK357" s="472">
        <v>2610122</v>
      </c>
    </row>
    <row r="358" spans="1:37" ht="16.5" thickTop="1" thickBot="1" x14ac:dyDescent="0.25">
      <c r="A358" s="491"/>
      <c r="B358" s="492"/>
      <c r="C358" s="493"/>
      <c r="D358" s="493"/>
      <c r="E358" s="570">
        <v>830350</v>
      </c>
      <c r="F358" s="495" t="s">
        <v>767</v>
      </c>
      <c r="G358" s="668"/>
      <c r="H358" s="669"/>
      <c r="I358" s="670"/>
      <c r="J358" s="671"/>
      <c r="K358" s="669"/>
      <c r="L358" s="669"/>
      <c r="M358" s="672"/>
      <c r="N358" s="673"/>
      <c r="O358" s="668"/>
      <c r="P358" s="669"/>
      <c r="Q358" s="670"/>
      <c r="R358" s="671"/>
      <c r="S358" s="669"/>
      <c r="T358" s="669"/>
      <c r="U358" s="672"/>
      <c r="V358" s="673"/>
      <c r="W358" s="668"/>
      <c r="X358" s="668"/>
      <c r="Y358" s="674"/>
      <c r="Z358" s="675"/>
      <c r="AA358" s="675"/>
      <c r="AB358" s="679"/>
      <c r="AC358" s="676"/>
      <c r="AD358" s="677"/>
      <c r="AE358" s="677"/>
      <c r="AF358" s="662">
        <v>2000000</v>
      </c>
      <c r="AG358" s="680">
        <f>AF358-AD358</f>
        <v>2000000</v>
      </c>
      <c r="AH358" s="503">
        <v>0</v>
      </c>
      <c r="AI358" s="503">
        <v>1350000</v>
      </c>
      <c r="AJ358" s="503">
        <v>0</v>
      </c>
      <c r="AK358" s="472">
        <v>1100122</v>
      </c>
    </row>
    <row r="359" spans="1:37" ht="16.5" thickTop="1" thickBot="1" x14ac:dyDescent="0.25">
      <c r="A359" s="491"/>
      <c r="B359" s="492"/>
      <c r="C359" s="518">
        <v>5</v>
      </c>
      <c r="D359" s="518"/>
      <c r="E359" s="518"/>
      <c r="F359" s="520" t="s">
        <v>768</v>
      </c>
      <c r="G359" s="668"/>
      <c r="H359" s="669"/>
      <c r="I359" s="670"/>
      <c r="J359" s="671"/>
      <c r="K359" s="669"/>
      <c r="L359" s="669"/>
      <c r="M359" s="672"/>
      <c r="N359" s="673"/>
      <c r="O359" s="668"/>
      <c r="P359" s="669"/>
      <c r="Q359" s="670"/>
      <c r="R359" s="671"/>
      <c r="S359" s="669"/>
      <c r="T359" s="669"/>
      <c r="U359" s="672"/>
      <c r="V359" s="673"/>
      <c r="W359" s="668"/>
      <c r="X359" s="668"/>
      <c r="Y359" s="674"/>
      <c r="Z359" s="675"/>
      <c r="AA359" s="675"/>
      <c r="AB359" s="679"/>
      <c r="AC359" s="676"/>
      <c r="AD359" s="677"/>
      <c r="AE359" s="677"/>
      <c r="AF359" s="662"/>
      <c r="AG359" s="680"/>
      <c r="AH359" s="523">
        <f>+AH360</f>
        <v>768864.88</v>
      </c>
      <c r="AI359" s="523">
        <f>+AI360</f>
        <v>0</v>
      </c>
      <c r="AJ359" s="523">
        <f>+AJ360</f>
        <v>0</v>
      </c>
      <c r="AK359" s="472"/>
    </row>
    <row r="360" spans="1:37" ht="16.5" thickTop="1" thickBot="1" x14ac:dyDescent="0.25">
      <c r="A360" s="491"/>
      <c r="B360" s="492"/>
      <c r="C360" s="493"/>
      <c r="D360" s="493">
        <v>1</v>
      </c>
      <c r="E360" s="570">
        <v>830502</v>
      </c>
      <c r="F360" s="495" t="s">
        <v>769</v>
      </c>
      <c r="G360" s="508"/>
      <c r="H360" s="657"/>
      <c r="I360" s="658"/>
      <c r="J360" s="659"/>
      <c r="K360" s="657"/>
      <c r="L360" s="657"/>
      <c r="M360" s="664"/>
      <c r="N360" s="661"/>
      <c r="O360" s="508"/>
      <c r="P360" s="657"/>
      <c r="Q360" s="658"/>
      <c r="R360" s="659"/>
      <c r="S360" s="657"/>
      <c r="T360" s="657"/>
      <c r="U360" s="664"/>
      <c r="V360" s="661"/>
      <c r="W360" s="508"/>
      <c r="X360" s="508"/>
      <c r="Y360" s="594">
        <v>768864.88</v>
      </c>
      <c r="Z360" s="681">
        <v>1500000</v>
      </c>
      <c r="AA360" s="681">
        <v>85984.6</v>
      </c>
      <c r="AB360" s="512">
        <v>16933.490000000002</v>
      </c>
      <c r="AC360" s="478"/>
      <c r="AD360" s="682">
        <v>0</v>
      </c>
      <c r="AE360" s="510">
        <v>217707.69</v>
      </c>
      <c r="AF360" s="682">
        <v>100000</v>
      </c>
      <c r="AG360" s="683">
        <f>AF360-AD360</f>
        <v>100000</v>
      </c>
      <c r="AH360" s="503">
        <v>768864.88</v>
      </c>
      <c r="AI360" s="503">
        <v>0</v>
      </c>
      <c r="AJ360" s="503">
        <v>0</v>
      </c>
      <c r="AK360" s="472">
        <v>1100121</v>
      </c>
    </row>
    <row r="361" spans="1:37" ht="16.5" thickTop="1" thickBot="1" x14ac:dyDescent="0.25">
      <c r="A361" s="491"/>
      <c r="B361" s="492"/>
      <c r="C361" s="518">
        <v>9</v>
      </c>
      <c r="D361" s="518"/>
      <c r="E361" s="519"/>
      <c r="F361" s="520" t="s">
        <v>770</v>
      </c>
      <c r="G361" s="508"/>
      <c r="H361" s="657"/>
      <c r="I361" s="658"/>
      <c r="J361" s="659"/>
      <c r="K361" s="657"/>
      <c r="L361" s="657"/>
      <c r="M361" s="664"/>
      <c r="N361" s="661"/>
      <c r="O361" s="508"/>
      <c r="P361" s="657"/>
      <c r="Q361" s="658"/>
      <c r="R361" s="659"/>
      <c r="S361" s="657"/>
      <c r="T361" s="657"/>
      <c r="U361" s="664"/>
      <c r="V361" s="661"/>
      <c r="W361" s="508"/>
      <c r="X361" s="508"/>
      <c r="Y361" s="594"/>
      <c r="Z361" s="684"/>
      <c r="AA361" s="684"/>
      <c r="AB361" s="575"/>
      <c r="AC361" s="478"/>
      <c r="AD361" s="682"/>
      <c r="AE361" s="510"/>
      <c r="AF361" s="682"/>
      <c r="AG361" s="683"/>
      <c r="AH361" s="523">
        <f>+AH362</f>
        <v>0</v>
      </c>
      <c r="AI361" s="523">
        <f>+AI362</f>
        <v>1087900</v>
      </c>
      <c r="AJ361" s="523">
        <f>+AJ362</f>
        <v>1087900</v>
      </c>
      <c r="AK361" s="472"/>
    </row>
    <row r="362" spans="1:37" ht="16.5" thickTop="1" thickBot="1" x14ac:dyDescent="0.25">
      <c r="A362" s="491"/>
      <c r="B362" s="492"/>
      <c r="C362" s="493"/>
      <c r="D362" s="493">
        <v>1</v>
      </c>
      <c r="E362" s="494">
        <v>830901</v>
      </c>
      <c r="F362" s="495" t="s">
        <v>771</v>
      </c>
      <c r="G362" s="508"/>
      <c r="H362" s="657"/>
      <c r="I362" s="658"/>
      <c r="J362" s="659"/>
      <c r="K362" s="657"/>
      <c r="L362" s="657"/>
      <c r="M362" s="664"/>
      <c r="N362" s="661"/>
      <c r="O362" s="508"/>
      <c r="P362" s="657"/>
      <c r="Q362" s="658"/>
      <c r="R362" s="659"/>
      <c r="S362" s="657"/>
      <c r="T362" s="657"/>
      <c r="U362" s="664"/>
      <c r="V362" s="661"/>
      <c r="W362" s="508"/>
      <c r="X362" s="508"/>
      <c r="Y362" s="594"/>
      <c r="Z362" s="684"/>
      <c r="AA362" s="684"/>
      <c r="AB362" s="575"/>
      <c r="AC362" s="478"/>
      <c r="AD362" s="682"/>
      <c r="AE362" s="510"/>
      <c r="AF362" s="682"/>
      <c r="AG362" s="683"/>
      <c r="AH362" s="503"/>
      <c r="AI362" s="503">
        <v>1087900</v>
      </c>
      <c r="AJ362" s="503">
        <v>1087900</v>
      </c>
      <c r="AK362" s="472">
        <v>1100122</v>
      </c>
    </row>
    <row r="363" spans="1:37" ht="27" thickTop="1" thickBot="1" x14ac:dyDescent="0.25">
      <c r="A363" s="491"/>
      <c r="B363" s="492" t="s">
        <v>466</v>
      </c>
      <c r="C363" s="493"/>
      <c r="D363" s="493"/>
      <c r="E363" s="494"/>
      <c r="F363" s="685" t="s">
        <v>772</v>
      </c>
      <c r="G363" s="599">
        <f t="shared" ref="G363:AB363" si="123">SUM(G364:G369)</f>
        <v>8449565.8599999994</v>
      </c>
      <c r="H363" s="657">
        <f t="shared" si="123"/>
        <v>9735686.2599999998</v>
      </c>
      <c r="I363" s="658">
        <f t="shared" si="123"/>
        <v>9735686.2599999998</v>
      </c>
      <c r="J363" s="659">
        <f t="shared" si="123"/>
        <v>9735686.2599999998</v>
      </c>
      <c r="K363" s="657">
        <f t="shared" si="123"/>
        <v>750720.21</v>
      </c>
      <c r="L363" s="657">
        <f t="shared" si="123"/>
        <v>822545.18</v>
      </c>
      <c r="M363" s="660">
        <f t="shared" si="123"/>
        <v>685027.14000000013</v>
      </c>
      <c r="N363" s="661">
        <f t="shared" si="123"/>
        <v>653282.14999999991</v>
      </c>
      <c r="O363" s="508">
        <f t="shared" si="123"/>
        <v>583674.05000000005</v>
      </c>
      <c r="P363" s="657">
        <f t="shared" si="123"/>
        <v>385621.80000000005</v>
      </c>
      <c r="Q363" s="658">
        <f t="shared" si="123"/>
        <v>645013.94750000013</v>
      </c>
      <c r="R363" s="659">
        <f t="shared" si="123"/>
        <v>646013.94750000013</v>
      </c>
      <c r="S363" s="657">
        <f t="shared" si="123"/>
        <v>647013.94750000013</v>
      </c>
      <c r="T363" s="657">
        <f t="shared" si="123"/>
        <v>647013.94750000013</v>
      </c>
      <c r="U363" s="660">
        <f t="shared" si="123"/>
        <v>622328.35750000004</v>
      </c>
      <c r="V363" s="661">
        <f t="shared" si="123"/>
        <v>1114241.2675000001</v>
      </c>
      <c r="W363" s="508">
        <f t="shared" si="123"/>
        <v>8202495.9300000006</v>
      </c>
      <c r="X363" s="508">
        <f t="shared" si="123"/>
        <v>8202495.9300000006</v>
      </c>
      <c r="Y363" s="686">
        <f t="shared" si="123"/>
        <v>11301625.189999999</v>
      </c>
      <c r="Z363" s="599">
        <f t="shared" si="123"/>
        <v>12644362.120000001</v>
      </c>
      <c r="AA363" s="599">
        <f t="shared" si="123"/>
        <v>1157183.31</v>
      </c>
      <c r="AB363" s="599">
        <f t="shared" si="123"/>
        <v>1009135.77</v>
      </c>
      <c r="AC363" s="478">
        <f>W363-X363</f>
        <v>0</v>
      </c>
      <c r="AD363" s="599">
        <f>SUM(AD364:AD372)</f>
        <v>7626923.1800000006</v>
      </c>
      <c r="AE363" s="599">
        <f>SUM(AE364:AE372)</f>
        <v>4065407.1</v>
      </c>
      <c r="AF363" s="599">
        <f>SUM(AF364:AF372)</f>
        <v>7626923.1800000006</v>
      </c>
      <c r="AG363" s="599">
        <f t="shared" ref="AG363:AG372" si="124">AF363-AD363</f>
        <v>0</v>
      </c>
      <c r="AH363" s="686">
        <f>SUM(AH364:AH373)</f>
        <v>11301625.189999999</v>
      </c>
      <c r="AI363" s="686">
        <f>SUM(AI364:AI373)</f>
        <v>11396990.499999998</v>
      </c>
      <c r="AJ363" s="686">
        <f>SUM(AJ364:AJ373)</f>
        <v>11841473.129499996</v>
      </c>
      <c r="AK363" s="472"/>
    </row>
    <row r="364" spans="1:37" ht="16.5" thickTop="1" thickBot="1" x14ac:dyDescent="0.25">
      <c r="A364" s="491"/>
      <c r="B364" s="492"/>
      <c r="C364" s="493">
        <v>1</v>
      </c>
      <c r="D364" s="493"/>
      <c r="E364" s="494">
        <v>840101</v>
      </c>
      <c r="F364" s="495" t="s">
        <v>773</v>
      </c>
      <c r="G364" s="498">
        <v>64285.24</v>
      </c>
      <c r="H364" s="497">
        <v>92904.26</v>
      </c>
      <c r="I364" s="497">
        <v>92904.26</v>
      </c>
      <c r="J364" s="498">
        <v>92904.26</v>
      </c>
      <c r="K364" s="595">
        <v>12262.63</v>
      </c>
      <c r="L364" s="595">
        <v>9770.19</v>
      </c>
      <c r="M364" s="595">
        <v>7523.3</v>
      </c>
      <c r="N364" s="595">
        <v>6989.37</v>
      </c>
      <c r="O364" s="581">
        <v>4139.1000000000004</v>
      </c>
      <c r="P364" s="506">
        <v>1221</v>
      </c>
      <c r="Q364" s="687">
        <v>6044.8462499999996</v>
      </c>
      <c r="R364" s="687">
        <v>7044.8462499999996</v>
      </c>
      <c r="S364" s="687">
        <v>6044.8462499999996</v>
      </c>
      <c r="T364" s="687">
        <v>6044.8462499999996</v>
      </c>
      <c r="U364" s="687">
        <v>6044.8462499999996</v>
      </c>
      <c r="V364" s="687">
        <f>6044.84625-384.68+3645.21+5823.85</f>
        <v>15129.22625</v>
      </c>
      <c r="W364" s="508">
        <v>88259.04</v>
      </c>
      <c r="X364" s="498">
        <f>W364</f>
        <v>88259.04</v>
      </c>
      <c r="Y364" s="500">
        <v>105845.68</v>
      </c>
      <c r="Z364" s="501">
        <v>89127.31</v>
      </c>
      <c r="AA364" s="501">
        <v>36399.24</v>
      </c>
      <c r="AB364" s="512">
        <v>6432.96</v>
      </c>
      <c r="AC364" s="478">
        <f>W364-X364</f>
        <v>0</v>
      </c>
      <c r="AD364" s="502">
        <v>89127.31</v>
      </c>
      <c r="AE364" s="510">
        <v>58853.82</v>
      </c>
      <c r="AF364" s="502">
        <v>89127.31</v>
      </c>
      <c r="AG364" s="502">
        <f t="shared" si="124"/>
        <v>0</v>
      </c>
      <c r="AH364" s="503">
        <v>105845.68</v>
      </c>
      <c r="AI364" s="503">
        <v>101444.22</v>
      </c>
      <c r="AJ364" s="503">
        <v>105400.54457999999</v>
      </c>
      <c r="AK364" s="472">
        <v>1500722</v>
      </c>
    </row>
    <row r="365" spans="1:37" ht="16.5" thickTop="1" thickBot="1" x14ac:dyDescent="0.25">
      <c r="A365" s="491"/>
      <c r="B365" s="492"/>
      <c r="C365" s="493">
        <v>2</v>
      </c>
      <c r="D365" s="493"/>
      <c r="E365" s="494">
        <v>840201</v>
      </c>
      <c r="F365" s="495" t="s">
        <v>774</v>
      </c>
      <c r="G365" s="498">
        <v>1322869.92</v>
      </c>
      <c r="H365" s="497">
        <v>1303321</v>
      </c>
      <c r="I365" s="497">
        <v>1303321</v>
      </c>
      <c r="J365" s="688">
        <f>H365</f>
        <v>1303321</v>
      </c>
      <c r="K365" s="595">
        <v>114593.61</v>
      </c>
      <c r="L365" s="595">
        <v>114593.61</v>
      </c>
      <c r="M365" s="595">
        <v>114593.61</v>
      </c>
      <c r="N365" s="595">
        <v>114593.61</v>
      </c>
      <c r="O365" s="581">
        <v>114593.61</v>
      </c>
      <c r="P365" s="506">
        <v>114593.61</v>
      </c>
      <c r="Q365" s="687">
        <v>100618.32</v>
      </c>
      <c r="R365" s="687">
        <v>100618.32</v>
      </c>
      <c r="S365" s="687">
        <v>100618.32</v>
      </c>
      <c r="T365" s="687">
        <v>100618.32</v>
      </c>
      <c r="U365" s="687">
        <f>100618.32-24685.59</f>
        <v>75932.73000000001</v>
      </c>
      <c r="V365" s="687">
        <f>100618.32-15000+68756.15-13975.29</f>
        <v>140399.18</v>
      </c>
      <c r="W365" s="508">
        <f>SUM(K365:V365)</f>
        <v>1306366.8500000001</v>
      </c>
      <c r="X365" s="498">
        <f>W365</f>
        <v>1306366.8500000001</v>
      </c>
      <c r="Y365" s="500">
        <v>5173022.66</v>
      </c>
      <c r="Z365" s="501">
        <v>4883362.7</v>
      </c>
      <c r="AA365" s="501">
        <v>121635.12</v>
      </c>
      <c r="AB365" s="512">
        <v>121714.6</v>
      </c>
      <c r="AC365" s="478">
        <f>W365-X365</f>
        <v>0</v>
      </c>
      <c r="AD365" s="502">
        <v>1458590</v>
      </c>
      <c r="AE365" s="510">
        <v>486699.44</v>
      </c>
      <c r="AF365" s="502">
        <v>1458590</v>
      </c>
      <c r="AG365" s="502">
        <f t="shared" si="124"/>
        <v>0</v>
      </c>
      <c r="AH365" s="503">
        <v>5173022.66</v>
      </c>
      <c r="AI365" s="503">
        <v>1441228.9</v>
      </c>
      <c r="AJ365" s="503">
        <v>1497436.8270999999</v>
      </c>
      <c r="AK365" s="472">
        <v>1500722</v>
      </c>
    </row>
    <row r="366" spans="1:37" ht="16.5" thickTop="1" thickBot="1" x14ac:dyDescent="0.25">
      <c r="A366" s="491"/>
      <c r="B366" s="492"/>
      <c r="C366" s="493">
        <v>3</v>
      </c>
      <c r="D366" s="493"/>
      <c r="E366" s="494">
        <v>840301</v>
      </c>
      <c r="F366" s="495" t="s">
        <v>775</v>
      </c>
      <c r="G366" s="498">
        <v>6295248.5800000001</v>
      </c>
      <c r="H366" s="497">
        <v>7556674</v>
      </c>
      <c r="I366" s="497">
        <v>7556674</v>
      </c>
      <c r="J366" s="688">
        <f>H366</f>
        <v>7556674</v>
      </c>
      <c r="K366" s="595">
        <v>578126.89</v>
      </c>
      <c r="L366" s="595">
        <v>688643.61</v>
      </c>
      <c r="M366" s="595">
        <v>539681.80000000005</v>
      </c>
      <c r="N366" s="595">
        <v>506362.23</v>
      </c>
      <c r="O366" s="581">
        <v>423011.31</v>
      </c>
      <c r="P366" s="506">
        <v>242018.73</v>
      </c>
      <c r="Q366" s="687">
        <v>455482.43375000003</v>
      </c>
      <c r="R366" s="687">
        <v>455482.43375000003</v>
      </c>
      <c r="S366" s="687">
        <v>455482.43375000003</v>
      </c>
      <c r="T366" s="687">
        <v>455482.43375000003</v>
      </c>
      <c r="U366" s="687">
        <v>455482.43375000003</v>
      </c>
      <c r="V366" s="687">
        <f>455482.43375-179150.08+319169.6+213463.71</f>
        <v>808965.66374999995</v>
      </c>
      <c r="W366" s="508">
        <v>6064222.4000000004</v>
      </c>
      <c r="X366" s="498">
        <f>W366</f>
        <v>6064222.4000000004</v>
      </c>
      <c r="Y366" s="500">
        <v>5611417.6100000003</v>
      </c>
      <c r="Z366" s="501">
        <v>5280256.25</v>
      </c>
      <c r="AA366" s="501">
        <v>613254.29</v>
      </c>
      <c r="AB366" s="512">
        <v>681735.34</v>
      </c>
      <c r="AC366" s="478">
        <f>W366-X366</f>
        <v>0</v>
      </c>
      <c r="AD366" s="502">
        <v>4599845</v>
      </c>
      <c r="AE366" s="510">
        <v>2432465.77</v>
      </c>
      <c r="AF366" s="502">
        <v>4599845</v>
      </c>
      <c r="AG366" s="502">
        <f t="shared" si="124"/>
        <v>0</v>
      </c>
      <c r="AH366" s="503">
        <v>5611417.6100000003</v>
      </c>
      <c r="AI366" s="503">
        <v>7181712.6199999992</v>
      </c>
      <c r="AJ366" s="503">
        <v>7461799.4121799991</v>
      </c>
      <c r="AK366" s="472">
        <v>1500722</v>
      </c>
    </row>
    <row r="367" spans="1:37" ht="16.5" thickTop="1" thickBot="1" x14ac:dyDescent="0.25">
      <c r="A367" s="491"/>
      <c r="B367" s="492"/>
      <c r="C367" s="493"/>
      <c r="D367" s="493"/>
      <c r="E367" s="494">
        <v>840401</v>
      </c>
      <c r="F367" s="495" t="s">
        <v>669</v>
      </c>
      <c r="G367" s="498"/>
      <c r="H367" s="497"/>
      <c r="I367" s="497"/>
      <c r="J367" s="689"/>
      <c r="K367" s="595"/>
      <c r="L367" s="690"/>
      <c r="M367" s="595"/>
      <c r="N367" s="595"/>
      <c r="O367" s="581"/>
      <c r="P367" s="506"/>
      <c r="Q367" s="687"/>
      <c r="R367" s="687"/>
      <c r="S367" s="687"/>
      <c r="T367" s="687"/>
      <c r="U367" s="687"/>
      <c r="V367" s="687"/>
      <c r="W367" s="508"/>
      <c r="X367" s="498"/>
      <c r="Y367" s="500"/>
      <c r="Z367" s="533">
        <v>2009318.8</v>
      </c>
      <c r="AA367" s="533">
        <v>320193.38</v>
      </c>
      <c r="AB367" s="512">
        <v>113989.85</v>
      </c>
      <c r="AC367" s="478"/>
      <c r="AD367" s="502">
        <v>1001452</v>
      </c>
      <c r="AE367" s="510">
        <v>830234.01</v>
      </c>
      <c r="AF367" s="502">
        <v>1001452</v>
      </c>
      <c r="AG367" s="502">
        <f t="shared" si="124"/>
        <v>0</v>
      </c>
      <c r="AH367" s="503">
        <v>0</v>
      </c>
      <c r="AI367" s="503">
        <v>1772397.11</v>
      </c>
      <c r="AJ367" s="503">
        <v>1841520.5972899999</v>
      </c>
      <c r="AK367" s="472">
        <v>1500722</v>
      </c>
    </row>
    <row r="368" spans="1:37" ht="16.5" thickTop="1" thickBot="1" x14ac:dyDescent="0.25">
      <c r="A368" s="491"/>
      <c r="B368" s="492"/>
      <c r="C368" s="551"/>
      <c r="D368" s="551"/>
      <c r="E368" s="494">
        <v>840501</v>
      </c>
      <c r="F368" s="589" t="s">
        <v>776</v>
      </c>
      <c r="G368" s="498"/>
      <c r="H368" s="497"/>
      <c r="I368" s="497"/>
      <c r="J368" s="689"/>
      <c r="K368" s="595"/>
      <c r="L368" s="690"/>
      <c r="M368" s="595"/>
      <c r="N368" s="595"/>
      <c r="O368" s="581"/>
      <c r="P368" s="506"/>
      <c r="Q368" s="687"/>
      <c r="R368" s="687"/>
      <c r="S368" s="687"/>
      <c r="T368" s="687"/>
      <c r="U368" s="687"/>
      <c r="V368" s="687"/>
      <c r="W368" s="508"/>
      <c r="X368" s="498"/>
      <c r="Y368" s="500"/>
      <c r="Z368" s="691"/>
      <c r="AA368" s="578"/>
      <c r="AB368" s="575"/>
      <c r="AC368" s="478"/>
      <c r="AD368" s="509"/>
      <c r="AE368" s="509"/>
      <c r="AF368" s="509"/>
      <c r="AG368" s="509">
        <f t="shared" si="124"/>
        <v>0</v>
      </c>
      <c r="AH368" s="503">
        <v>0</v>
      </c>
      <c r="AI368" s="503">
        <v>35918.199999999997</v>
      </c>
      <c r="AJ368" s="503">
        <v>37319.009799999993</v>
      </c>
      <c r="AK368" s="472">
        <v>1600722</v>
      </c>
    </row>
    <row r="369" spans="1:37" ht="16.5" thickTop="1" thickBot="1" x14ac:dyDescent="0.25">
      <c r="A369" s="491"/>
      <c r="B369" s="492"/>
      <c r="C369" s="493">
        <v>6</v>
      </c>
      <c r="D369" s="493"/>
      <c r="E369" s="494">
        <v>840601</v>
      </c>
      <c r="F369" s="495" t="s">
        <v>777</v>
      </c>
      <c r="G369" s="498">
        <v>767162.12</v>
      </c>
      <c r="H369" s="497">
        <v>782787</v>
      </c>
      <c r="I369" s="497">
        <v>782787</v>
      </c>
      <c r="J369" s="498">
        <v>782787</v>
      </c>
      <c r="K369" s="595">
        <v>45737.08</v>
      </c>
      <c r="L369" s="692">
        <v>9537.77</v>
      </c>
      <c r="M369" s="595">
        <v>23228.43</v>
      </c>
      <c r="N369" s="595">
        <v>25336.94</v>
      </c>
      <c r="O369" s="581">
        <v>41930.03</v>
      </c>
      <c r="P369" s="506">
        <v>27788.46</v>
      </c>
      <c r="Q369" s="687">
        <v>82868.347500000003</v>
      </c>
      <c r="R369" s="687">
        <v>82868.347500000003</v>
      </c>
      <c r="S369" s="687">
        <v>84868.347500000003</v>
      </c>
      <c r="T369" s="687">
        <v>84868.347500000003</v>
      </c>
      <c r="U369" s="687">
        <v>84868.347500000003</v>
      </c>
      <c r="V369" s="687">
        <f>84868.3475-1340.38+39139.35+27079.88</f>
        <v>149747.19750000001</v>
      </c>
      <c r="W369" s="508">
        <v>743647.64</v>
      </c>
      <c r="X369" s="498">
        <f>W369</f>
        <v>743647.64</v>
      </c>
      <c r="Y369" s="500">
        <v>411339.24</v>
      </c>
      <c r="Z369" s="693">
        <v>382297.06</v>
      </c>
      <c r="AA369" s="533">
        <v>65701.279999999999</v>
      </c>
      <c r="AB369" s="512">
        <v>85263.02</v>
      </c>
      <c r="AC369" s="478">
        <f>W369-X369</f>
        <v>0</v>
      </c>
      <c r="AD369" s="502">
        <v>364698</v>
      </c>
      <c r="AE369" s="510">
        <v>252621.17</v>
      </c>
      <c r="AF369" s="502">
        <v>364698</v>
      </c>
      <c r="AG369" s="502">
        <f t="shared" si="124"/>
        <v>0</v>
      </c>
      <c r="AH369" s="503">
        <v>411339.24</v>
      </c>
      <c r="AI369" s="503">
        <v>654114.95000000007</v>
      </c>
      <c r="AJ369" s="503">
        <v>679625.43304999999</v>
      </c>
      <c r="AK369" s="472">
        <v>1600722</v>
      </c>
    </row>
    <row r="370" spans="1:37" ht="16.5" thickTop="1" thickBot="1" x14ac:dyDescent="0.25">
      <c r="A370" s="491"/>
      <c r="B370" s="492"/>
      <c r="C370" s="493"/>
      <c r="D370" s="493"/>
      <c r="E370" s="580">
        <v>840801</v>
      </c>
      <c r="F370" s="495" t="s">
        <v>640</v>
      </c>
      <c r="G370" s="498"/>
      <c r="H370" s="497"/>
      <c r="I370" s="497"/>
      <c r="J370" s="498"/>
      <c r="K370" s="595"/>
      <c r="L370" s="692"/>
      <c r="M370" s="595"/>
      <c r="N370" s="595"/>
      <c r="O370" s="581"/>
      <c r="P370" s="506"/>
      <c r="Q370" s="687"/>
      <c r="R370" s="687"/>
      <c r="S370" s="687"/>
      <c r="T370" s="687"/>
      <c r="U370" s="687"/>
      <c r="V370" s="687"/>
      <c r="W370" s="508"/>
      <c r="X370" s="498"/>
      <c r="Y370" s="500"/>
      <c r="Z370" s="694"/>
      <c r="AA370" s="630"/>
      <c r="AB370" s="575"/>
      <c r="AC370" s="478"/>
      <c r="AD370" s="502">
        <v>69570.67</v>
      </c>
      <c r="AE370" s="502"/>
      <c r="AF370" s="502">
        <v>69570.67</v>
      </c>
      <c r="AG370" s="502">
        <f t="shared" si="124"/>
        <v>0</v>
      </c>
      <c r="AH370" s="503">
        <v>0</v>
      </c>
      <c r="AI370" s="503">
        <v>32482.21</v>
      </c>
      <c r="AJ370" s="503">
        <v>33749.016189999995</v>
      </c>
      <c r="AK370" s="472">
        <v>1600722</v>
      </c>
    </row>
    <row r="371" spans="1:37" ht="16.5" thickTop="1" thickBot="1" x14ac:dyDescent="0.25">
      <c r="A371" s="491"/>
      <c r="B371" s="492"/>
      <c r="C371" s="493"/>
      <c r="D371" s="493"/>
      <c r="E371" s="580">
        <v>840802</v>
      </c>
      <c r="F371" s="495" t="s">
        <v>641</v>
      </c>
      <c r="G371" s="498"/>
      <c r="H371" s="497"/>
      <c r="I371" s="497"/>
      <c r="J371" s="498"/>
      <c r="K371" s="595"/>
      <c r="L371" s="692"/>
      <c r="M371" s="595"/>
      <c r="N371" s="595"/>
      <c r="O371" s="581"/>
      <c r="P371" s="506"/>
      <c r="Q371" s="687"/>
      <c r="R371" s="687"/>
      <c r="S371" s="687"/>
      <c r="T371" s="687"/>
      <c r="U371" s="687"/>
      <c r="V371" s="687"/>
      <c r="W371" s="508"/>
      <c r="X371" s="498"/>
      <c r="Y371" s="500"/>
      <c r="Z371" s="630"/>
      <c r="AA371" s="630"/>
      <c r="AB371" s="575"/>
      <c r="AC371" s="478"/>
      <c r="AD371" s="502">
        <v>23640.2</v>
      </c>
      <c r="AE371" s="502"/>
      <c r="AF371" s="502">
        <v>23640.2</v>
      </c>
      <c r="AG371" s="502">
        <f t="shared" si="124"/>
        <v>0</v>
      </c>
      <c r="AH371" s="503">
        <v>0</v>
      </c>
      <c r="AI371" s="503">
        <v>27351.05</v>
      </c>
      <c r="AJ371" s="503">
        <v>28417.740949999996</v>
      </c>
      <c r="AK371" s="472">
        <v>1600722</v>
      </c>
    </row>
    <row r="372" spans="1:37" ht="16.5" thickTop="1" thickBot="1" x14ac:dyDescent="0.25">
      <c r="A372" s="491"/>
      <c r="B372" s="492"/>
      <c r="C372" s="493"/>
      <c r="D372" s="493"/>
      <c r="E372" s="580">
        <v>840901</v>
      </c>
      <c r="F372" s="495" t="s">
        <v>778</v>
      </c>
      <c r="G372" s="498"/>
      <c r="H372" s="497"/>
      <c r="I372" s="497"/>
      <c r="J372" s="498"/>
      <c r="K372" s="595"/>
      <c r="L372" s="692"/>
      <c r="M372" s="595"/>
      <c r="N372" s="595"/>
      <c r="O372" s="581"/>
      <c r="P372" s="506"/>
      <c r="Q372" s="687"/>
      <c r="R372" s="687"/>
      <c r="S372" s="687"/>
      <c r="T372" s="687"/>
      <c r="U372" s="687"/>
      <c r="V372" s="687"/>
      <c r="W372" s="508"/>
      <c r="X372" s="498"/>
      <c r="Y372" s="500"/>
      <c r="Z372" s="630"/>
      <c r="AA372" s="630"/>
      <c r="AB372" s="575"/>
      <c r="AC372" s="478"/>
      <c r="AD372" s="502">
        <v>20000</v>
      </c>
      <c r="AE372" s="510">
        <v>4532.8900000000003</v>
      </c>
      <c r="AF372" s="502">
        <v>20000</v>
      </c>
      <c r="AG372" s="502">
        <f t="shared" si="124"/>
        <v>0</v>
      </c>
      <c r="AH372" s="503">
        <v>0</v>
      </c>
      <c r="AI372" s="503">
        <v>32172.97</v>
      </c>
      <c r="AJ372" s="503">
        <v>33427.715830000001</v>
      </c>
      <c r="AK372" s="472">
        <v>1600722</v>
      </c>
    </row>
    <row r="373" spans="1:37" ht="16.5" thickTop="1" thickBot="1" x14ac:dyDescent="0.25">
      <c r="A373" s="491"/>
      <c r="B373" s="492"/>
      <c r="C373" s="493">
        <v>10</v>
      </c>
      <c r="D373" s="493"/>
      <c r="E373" s="580">
        <v>841001</v>
      </c>
      <c r="F373" s="495" t="s">
        <v>779</v>
      </c>
      <c r="G373" s="498"/>
      <c r="H373" s="497"/>
      <c r="I373" s="497"/>
      <c r="J373" s="498"/>
      <c r="K373" s="595"/>
      <c r="L373" s="692"/>
      <c r="M373" s="595"/>
      <c r="N373" s="595"/>
      <c r="O373" s="581"/>
      <c r="P373" s="506"/>
      <c r="Q373" s="687"/>
      <c r="R373" s="687"/>
      <c r="S373" s="687"/>
      <c r="T373" s="687"/>
      <c r="U373" s="687"/>
      <c r="V373" s="687"/>
      <c r="W373" s="508"/>
      <c r="X373" s="498"/>
      <c r="Y373" s="500"/>
      <c r="Z373" s="630"/>
      <c r="AA373" s="630"/>
      <c r="AB373" s="575"/>
      <c r="AC373" s="478"/>
      <c r="AD373" s="502"/>
      <c r="AE373" s="510"/>
      <c r="AF373" s="502"/>
      <c r="AG373" s="502"/>
      <c r="AH373" s="503"/>
      <c r="AI373" s="503">
        <v>118168.27</v>
      </c>
      <c r="AJ373" s="503">
        <v>122776.83253</v>
      </c>
      <c r="AK373" s="472">
        <v>1600722</v>
      </c>
    </row>
    <row r="374" spans="1:37" ht="15.75" thickTop="1" thickBot="1" x14ac:dyDescent="0.25">
      <c r="A374" s="562"/>
      <c r="B374" s="562"/>
      <c r="C374" s="563"/>
      <c r="D374" s="563"/>
      <c r="E374" s="464"/>
      <c r="F374" s="465" t="s">
        <v>1656</v>
      </c>
      <c r="G374" s="466">
        <f t="shared" ref="G374:AF374" si="125">SUM(G375:G422)</f>
        <v>123303508.44000001</v>
      </c>
      <c r="H374" s="466">
        <f t="shared" si="125"/>
        <v>154840408.43000001</v>
      </c>
      <c r="I374" s="466">
        <f t="shared" si="125"/>
        <v>285936691.00999999</v>
      </c>
      <c r="J374" s="466">
        <f t="shared" si="125"/>
        <v>354015037.07000005</v>
      </c>
      <c r="K374" s="466">
        <f t="shared" si="125"/>
        <v>0</v>
      </c>
      <c r="L374" s="466">
        <f t="shared" si="125"/>
        <v>12643847</v>
      </c>
      <c r="M374" s="466">
        <f t="shared" si="125"/>
        <v>47111629.640000001</v>
      </c>
      <c r="N374" s="466">
        <f t="shared" si="125"/>
        <v>8322869.4199999999</v>
      </c>
      <c r="O374" s="466">
        <f t="shared" si="125"/>
        <v>12245450.91</v>
      </c>
      <c r="P374" s="466">
        <f t="shared" si="125"/>
        <v>0</v>
      </c>
      <c r="Q374" s="466">
        <f t="shared" si="125"/>
        <v>0</v>
      </c>
      <c r="R374" s="466">
        <f t="shared" si="125"/>
        <v>0</v>
      </c>
      <c r="S374" s="466">
        <f t="shared" si="125"/>
        <v>0</v>
      </c>
      <c r="T374" s="466">
        <f t="shared" si="125"/>
        <v>0</v>
      </c>
      <c r="U374" s="466">
        <f t="shared" si="125"/>
        <v>0</v>
      </c>
      <c r="V374" s="466">
        <f t="shared" si="125"/>
        <v>0</v>
      </c>
      <c r="W374" s="466">
        <f t="shared" si="125"/>
        <v>285936691.11000001</v>
      </c>
      <c r="X374" s="466">
        <f t="shared" si="125"/>
        <v>335936691.11000001</v>
      </c>
      <c r="Y374" s="466">
        <f t="shared" si="125"/>
        <v>183471765.99999997</v>
      </c>
      <c r="Z374" s="466">
        <f t="shared" si="125"/>
        <v>250837549.97</v>
      </c>
      <c r="AA374" s="466">
        <f t="shared" si="125"/>
        <v>0</v>
      </c>
      <c r="AB374" s="466">
        <f t="shared" si="125"/>
        <v>0</v>
      </c>
      <c r="AC374" s="613">
        <f t="shared" si="125"/>
        <v>0</v>
      </c>
      <c r="AD374" s="466">
        <f t="shared" si="125"/>
        <v>684928811.10000026</v>
      </c>
      <c r="AE374" s="466">
        <f t="shared" si="125"/>
        <v>75243234.920000002</v>
      </c>
      <c r="AF374" s="466">
        <f t="shared" si="125"/>
        <v>684928811.35000026</v>
      </c>
      <c r="AG374" s="466">
        <f>AF374-AD374</f>
        <v>0.25</v>
      </c>
      <c r="AH374" s="466">
        <v>183471766</v>
      </c>
      <c r="AI374" s="466">
        <f>SUM(AI375:AI422)</f>
        <v>299876245.17000002</v>
      </c>
      <c r="AJ374" s="466">
        <f>SUM(AJ375:AJ422)</f>
        <v>143557477.80999997</v>
      </c>
      <c r="AK374" s="470"/>
    </row>
    <row r="375" spans="1:37" ht="15.75" thickTop="1" thickBot="1" x14ac:dyDescent="0.25">
      <c r="A375" s="491"/>
      <c r="B375" s="492"/>
      <c r="C375" s="493"/>
      <c r="D375" s="493"/>
      <c r="E375" s="570" t="s">
        <v>781</v>
      </c>
      <c r="F375" s="495" t="s">
        <v>782</v>
      </c>
      <c r="G375" s="695">
        <v>0</v>
      </c>
      <c r="H375" s="696"/>
      <c r="I375" s="696"/>
      <c r="J375" s="695"/>
      <c r="K375" s="695"/>
      <c r="L375" s="695"/>
      <c r="M375" s="695"/>
      <c r="N375" s="695"/>
      <c r="O375" s="695"/>
      <c r="P375" s="695"/>
      <c r="Q375" s="697"/>
      <c r="R375" s="697"/>
      <c r="S375" s="697"/>
      <c r="T375" s="697"/>
      <c r="U375" s="697"/>
      <c r="V375" s="697"/>
      <c r="W375" s="637"/>
      <c r="X375" s="637">
        <v>50000000</v>
      </c>
      <c r="Y375" s="637"/>
      <c r="Z375" s="498"/>
      <c r="AA375" s="498"/>
      <c r="AB375" s="498"/>
      <c r="AC375" s="478"/>
      <c r="AD375" s="498"/>
      <c r="AE375" s="498"/>
      <c r="AF375" s="498"/>
      <c r="AG375" s="498"/>
      <c r="AH375" s="500"/>
      <c r="AI375" s="500"/>
      <c r="AJ375" s="500"/>
      <c r="AK375" s="472">
        <v>1201020</v>
      </c>
    </row>
    <row r="376" spans="1:37" ht="15.75" thickTop="1" thickBot="1" x14ac:dyDescent="0.25">
      <c r="A376" s="491"/>
      <c r="B376" s="492"/>
      <c r="C376" s="493"/>
      <c r="D376" s="493"/>
      <c r="E376" s="698"/>
      <c r="F376" s="495" t="s">
        <v>783</v>
      </c>
      <c r="G376" s="695"/>
      <c r="H376" s="696"/>
      <c r="I376" s="696"/>
      <c r="J376" s="695"/>
      <c r="K376" s="695"/>
      <c r="L376" s="695"/>
      <c r="M376" s="695"/>
      <c r="N376" s="695"/>
      <c r="O376" s="695"/>
      <c r="P376" s="695"/>
      <c r="Q376" s="697"/>
      <c r="R376" s="697"/>
      <c r="S376" s="697"/>
      <c r="T376" s="697"/>
      <c r="U376" s="697"/>
      <c r="V376" s="697"/>
      <c r="W376" s="637"/>
      <c r="X376" s="637"/>
      <c r="Y376" s="637"/>
      <c r="Z376" s="498">
        <v>250837549.97</v>
      </c>
      <c r="AA376" s="498"/>
      <c r="AB376" s="498"/>
      <c r="AC376" s="478"/>
      <c r="AD376" s="498"/>
      <c r="AE376" s="498"/>
      <c r="AF376" s="498"/>
      <c r="AG376" s="498"/>
      <c r="AH376" s="500"/>
      <c r="AI376" s="500"/>
      <c r="AJ376" s="500"/>
      <c r="AK376" s="472">
        <v>1201020</v>
      </c>
    </row>
    <row r="377" spans="1:37" ht="15.75" thickTop="1" thickBot="1" x14ac:dyDescent="0.25">
      <c r="A377" s="491"/>
      <c r="B377" s="492"/>
      <c r="C377" s="493"/>
      <c r="D377" s="493"/>
      <c r="E377" s="493"/>
      <c r="F377" s="495" t="s">
        <v>784</v>
      </c>
      <c r="G377" s="637">
        <v>2145768.6800000002</v>
      </c>
      <c r="H377" s="696"/>
      <c r="I377" s="696"/>
      <c r="J377" s="695"/>
      <c r="K377" s="695"/>
      <c r="L377" s="695"/>
      <c r="M377" s="695"/>
      <c r="N377" s="695"/>
      <c r="O377" s="695"/>
      <c r="P377" s="695"/>
      <c r="Q377" s="697"/>
      <c r="R377" s="697"/>
      <c r="S377" s="697"/>
      <c r="T377" s="697"/>
      <c r="U377" s="697"/>
      <c r="V377" s="697"/>
      <c r="W377" s="637"/>
      <c r="X377" s="637"/>
      <c r="Y377" s="637"/>
      <c r="Z377" s="498"/>
      <c r="AA377" s="498"/>
      <c r="AB377" s="498"/>
      <c r="AC377" s="478">
        <f t="shared" ref="AC377:AC382" si="126">W377-X377</f>
        <v>0</v>
      </c>
      <c r="AD377" s="498"/>
      <c r="AE377" s="498"/>
      <c r="AF377" s="498"/>
      <c r="AG377" s="498"/>
      <c r="AH377" s="500"/>
      <c r="AI377" s="500"/>
      <c r="AJ377" s="500"/>
      <c r="AK377" s="472"/>
    </row>
    <row r="378" spans="1:37" ht="15.75" thickTop="1" thickBot="1" x14ac:dyDescent="0.25">
      <c r="A378" s="491"/>
      <c r="B378" s="492"/>
      <c r="C378" s="493"/>
      <c r="D378" s="493"/>
      <c r="E378" s="493"/>
      <c r="F378" s="495" t="s">
        <v>785</v>
      </c>
      <c r="G378" s="637">
        <v>629020</v>
      </c>
      <c r="H378" s="696"/>
      <c r="I378" s="696"/>
      <c r="J378" s="695"/>
      <c r="K378" s="695"/>
      <c r="L378" s="695"/>
      <c r="M378" s="695"/>
      <c r="N378" s="695"/>
      <c r="O378" s="695"/>
      <c r="P378" s="695"/>
      <c r="Q378" s="697"/>
      <c r="R378" s="697"/>
      <c r="S378" s="697"/>
      <c r="T378" s="697"/>
      <c r="U378" s="697"/>
      <c r="V378" s="697"/>
      <c r="W378" s="637"/>
      <c r="X378" s="637"/>
      <c r="Y378" s="637"/>
      <c r="Z378" s="498"/>
      <c r="AA378" s="498"/>
      <c r="AB378" s="498"/>
      <c r="AC378" s="478">
        <f t="shared" si="126"/>
        <v>0</v>
      </c>
      <c r="AD378" s="498"/>
      <c r="AE378" s="498"/>
      <c r="AF378" s="498"/>
      <c r="AG378" s="498"/>
      <c r="AH378" s="500"/>
      <c r="AI378" s="500"/>
      <c r="AJ378" s="500"/>
      <c r="AK378" s="472"/>
    </row>
    <row r="379" spans="1:37" ht="15.75" thickTop="1" thickBot="1" x14ac:dyDescent="0.25">
      <c r="A379" s="491"/>
      <c r="B379" s="492"/>
      <c r="C379" s="493"/>
      <c r="D379" s="493"/>
      <c r="E379" s="493"/>
      <c r="F379" s="495" t="s">
        <v>785</v>
      </c>
      <c r="G379" s="696">
        <v>29729160</v>
      </c>
      <c r="H379" s="696">
        <v>1025217.4000000001</v>
      </c>
      <c r="I379" s="696"/>
      <c r="J379" s="637">
        <v>10266506.859999999</v>
      </c>
      <c r="K379" s="695"/>
      <c r="L379" s="637">
        <v>3156822.26</v>
      </c>
      <c r="M379" s="699">
        <v>7109684.5999999996</v>
      </c>
      <c r="N379" s="695"/>
      <c r="O379" s="696">
        <v>1810160</v>
      </c>
      <c r="P379" s="696"/>
      <c r="Q379" s="697"/>
      <c r="R379" s="697"/>
      <c r="S379" s="697"/>
      <c r="T379" s="697"/>
      <c r="U379" s="697"/>
      <c r="V379" s="697"/>
      <c r="W379" s="637"/>
      <c r="X379" s="637"/>
      <c r="Y379" s="637"/>
      <c r="Z379" s="498"/>
      <c r="AA379" s="498"/>
      <c r="AB379" s="498"/>
      <c r="AC379" s="478">
        <f t="shared" si="126"/>
        <v>0</v>
      </c>
      <c r="AD379" s="498"/>
      <c r="AE379" s="498"/>
      <c r="AF379" s="498"/>
      <c r="AG379" s="498"/>
      <c r="AH379" s="500"/>
      <c r="AI379" s="500"/>
      <c r="AJ379" s="500"/>
      <c r="AK379" s="472">
        <v>2610718</v>
      </c>
    </row>
    <row r="380" spans="1:37" ht="15.75" thickTop="1" thickBot="1" x14ac:dyDescent="0.25">
      <c r="A380" s="491"/>
      <c r="B380" s="492"/>
      <c r="C380" s="493"/>
      <c r="D380" s="493"/>
      <c r="E380" s="493"/>
      <c r="F380" s="495" t="s">
        <v>785</v>
      </c>
      <c r="G380" s="695"/>
      <c r="H380" s="696">
        <v>4840111</v>
      </c>
      <c r="I380" s="696"/>
      <c r="J380" s="637"/>
      <c r="K380" s="695"/>
      <c r="L380" s="637"/>
      <c r="M380" s="700"/>
      <c r="N380" s="695"/>
      <c r="O380" s="695"/>
      <c r="P380" s="695"/>
      <c r="Q380" s="697"/>
      <c r="R380" s="697"/>
      <c r="S380" s="697"/>
      <c r="T380" s="697"/>
      <c r="U380" s="697"/>
      <c r="V380" s="697"/>
      <c r="W380" s="637"/>
      <c r="X380" s="637"/>
      <c r="Y380" s="637"/>
      <c r="Z380" s="498"/>
      <c r="AA380" s="498"/>
      <c r="AB380" s="498"/>
      <c r="AC380" s="478">
        <f t="shared" si="126"/>
        <v>0</v>
      </c>
      <c r="AD380" s="498"/>
      <c r="AE380" s="498"/>
      <c r="AF380" s="498"/>
      <c r="AG380" s="498"/>
      <c r="AH380" s="500"/>
      <c r="AI380" s="500"/>
      <c r="AJ380" s="500"/>
      <c r="AK380" s="472">
        <v>2610717</v>
      </c>
    </row>
    <row r="381" spans="1:37" ht="15.75" thickTop="1" thickBot="1" x14ac:dyDescent="0.25">
      <c r="A381" s="491"/>
      <c r="B381" s="492"/>
      <c r="C381" s="493"/>
      <c r="D381" s="493"/>
      <c r="E381" s="570" t="s">
        <v>786</v>
      </c>
      <c r="F381" s="495" t="s">
        <v>785</v>
      </c>
      <c r="G381" s="695"/>
      <c r="H381" s="696"/>
      <c r="I381" s="696">
        <v>7000000</v>
      </c>
      <c r="J381" s="637">
        <v>7000000</v>
      </c>
      <c r="K381" s="695"/>
      <c r="L381" s="637"/>
      <c r="M381" s="700"/>
      <c r="N381" s="695"/>
      <c r="O381" s="695"/>
      <c r="P381" s="695"/>
      <c r="Q381" s="697"/>
      <c r="R381" s="697"/>
      <c r="S381" s="697"/>
      <c r="T381" s="697"/>
      <c r="U381" s="697"/>
      <c r="V381" s="697"/>
      <c r="W381" s="637">
        <v>7000000</v>
      </c>
      <c r="X381" s="637">
        <f>W381</f>
        <v>7000000</v>
      </c>
      <c r="Y381" s="637">
        <v>6999999.8499999996</v>
      </c>
      <c r="Z381" s="498"/>
      <c r="AA381" s="498"/>
      <c r="AB381" s="498"/>
      <c r="AC381" s="478">
        <f t="shared" si="126"/>
        <v>0</v>
      </c>
      <c r="AD381" s="498"/>
      <c r="AE381" s="498"/>
      <c r="AF381" s="498"/>
      <c r="AG381" s="498"/>
      <c r="AH381" s="500"/>
      <c r="AI381" s="500"/>
      <c r="AJ381" s="500"/>
      <c r="AK381" s="472">
        <v>2610118</v>
      </c>
    </row>
    <row r="382" spans="1:37" ht="15.75" thickTop="1" thickBot="1" x14ac:dyDescent="0.25">
      <c r="A382" s="491"/>
      <c r="B382" s="492"/>
      <c r="C382" s="493"/>
      <c r="D382" s="493"/>
      <c r="E382" s="570" t="s">
        <v>786</v>
      </c>
      <c r="F382" s="495" t="s">
        <v>785</v>
      </c>
      <c r="G382" s="695"/>
      <c r="H382" s="696"/>
      <c r="I382" s="696">
        <v>12114805.550000001</v>
      </c>
      <c r="J382" s="637">
        <v>12114805.550000001</v>
      </c>
      <c r="K382" s="695"/>
      <c r="L382" s="637"/>
      <c r="M382" s="700"/>
      <c r="N382" s="695"/>
      <c r="O382" s="695"/>
      <c r="P382" s="695"/>
      <c r="Q382" s="697"/>
      <c r="R382" s="697"/>
      <c r="S382" s="697"/>
      <c r="T382" s="697"/>
      <c r="U382" s="697"/>
      <c r="V382" s="697"/>
      <c r="W382" s="637">
        <v>12114805.550000001</v>
      </c>
      <c r="X382" s="637">
        <f>W382</f>
        <v>12114805.550000001</v>
      </c>
      <c r="Y382" s="637">
        <v>12112828.140000001</v>
      </c>
      <c r="Z382" s="498"/>
      <c r="AA382" s="498"/>
      <c r="AB382" s="498"/>
      <c r="AC382" s="478">
        <f t="shared" si="126"/>
        <v>0</v>
      </c>
      <c r="AD382" s="498">
        <v>765129.9</v>
      </c>
      <c r="AE382" s="498"/>
      <c r="AF382" s="498">
        <v>765129.9</v>
      </c>
      <c r="AG382" s="498">
        <f>AF382-AD382</f>
        <v>0</v>
      </c>
      <c r="AH382" s="503">
        <v>0</v>
      </c>
      <c r="AI382" s="503">
        <v>5081806.04</v>
      </c>
      <c r="AJ382" s="503"/>
      <c r="AK382" s="472">
        <v>2610120</v>
      </c>
    </row>
    <row r="383" spans="1:37" ht="15.75" thickTop="1" thickBot="1" x14ac:dyDescent="0.25">
      <c r="A383" s="491"/>
      <c r="B383" s="492"/>
      <c r="C383" s="493"/>
      <c r="D383" s="493"/>
      <c r="E383" s="570"/>
      <c r="F383" s="495" t="s">
        <v>787</v>
      </c>
      <c r="G383" s="695"/>
      <c r="H383" s="696"/>
      <c r="I383" s="696"/>
      <c r="J383" s="637"/>
      <c r="K383" s="695"/>
      <c r="L383" s="637"/>
      <c r="M383" s="700"/>
      <c r="N383" s="695"/>
      <c r="O383" s="695"/>
      <c r="P383" s="695"/>
      <c r="Q383" s="697"/>
      <c r="R383" s="697"/>
      <c r="S383" s="697"/>
      <c r="T383" s="697"/>
      <c r="U383" s="697"/>
      <c r="V383" s="697"/>
      <c r="W383" s="637"/>
      <c r="X383" s="637"/>
      <c r="Y383" s="637"/>
      <c r="Z383" s="498"/>
      <c r="AA383" s="498"/>
      <c r="AB383" s="498"/>
      <c r="AC383" s="478"/>
      <c r="AD383" s="498">
        <v>4316676.9600000009</v>
      </c>
      <c r="AE383" s="510">
        <v>5081806.3899999997</v>
      </c>
      <c r="AF383" s="498">
        <v>4316676.9600000009</v>
      </c>
      <c r="AG383" s="510">
        <f>AF383-AD383</f>
        <v>0</v>
      </c>
      <c r="AH383" s="503">
        <v>0</v>
      </c>
      <c r="AI383" s="503">
        <v>0</v>
      </c>
      <c r="AJ383" s="503">
        <v>0</v>
      </c>
      <c r="AK383" s="472">
        <v>2610220</v>
      </c>
    </row>
    <row r="384" spans="1:37" ht="16.5" thickTop="1" thickBot="1" x14ac:dyDescent="0.25">
      <c r="A384" s="491"/>
      <c r="B384" s="492"/>
      <c r="C384" s="493"/>
      <c r="D384" s="493"/>
      <c r="E384" s="493"/>
      <c r="F384" s="495" t="s">
        <v>788</v>
      </c>
      <c r="G384" s="701"/>
      <c r="H384" s="696">
        <v>1750000</v>
      </c>
      <c r="I384" s="696"/>
      <c r="J384" s="637">
        <v>56858698.729999997</v>
      </c>
      <c r="K384" s="695"/>
      <c r="L384" s="637">
        <v>9487024.7400000002</v>
      </c>
      <c r="M384" s="702">
        <v>39034197.119999997</v>
      </c>
      <c r="N384" s="700">
        <v>8337476.8700000001</v>
      </c>
      <c r="O384" s="700">
        <v>10435290.91</v>
      </c>
      <c r="P384" s="703"/>
      <c r="Q384" s="704"/>
      <c r="R384" s="704"/>
      <c r="S384" s="704"/>
      <c r="T384" s="704"/>
      <c r="U384" s="704"/>
      <c r="V384" s="704"/>
      <c r="W384" s="705"/>
      <c r="X384" s="705"/>
      <c r="Y384" s="705"/>
      <c r="Z384" s="508"/>
      <c r="AA384" s="508"/>
      <c r="AB384" s="508"/>
      <c r="AC384" s="478">
        <f t="shared" ref="AC384:AC389" si="127">W384-X384</f>
        <v>0</v>
      </c>
      <c r="AD384" s="508"/>
      <c r="AE384" s="508"/>
      <c r="AF384" s="508"/>
      <c r="AG384" s="508"/>
      <c r="AH384" s="500"/>
      <c r="AI384" s="500"/>
      <c r="AJ384" s="500"/>
      <c r="AK384" s="472">
        <v>1100119</v>
      </c>
    </row>
    <row r="385" spans="1:37" ht="15.75" thickTop="1" thickBot="1" x14ac:dyDescent="0.25">
      <c r="A385" s="491"/>
      <c r="B385" s="492"/>
      <c r="C385" s="493"/>
      <c r="D385" s="493"/>
      <c r="E385" s="570" t="s">
        <v>789</v>
      </c>
      <c r="F385" s="495" t="s">
        <v>788</v>
      </c>
      <c r="G385" s="696">
        <v>14921139</v>
      </c>
      <c r="H385" s="696">
        <v>1105768</v>
      </c>
      <c r="I385" s="696">
        <v>10712360.810000001</v>
      </c>
      <c r="J385" s="637">
        <v>10712360.810000001</v>
      </c>
      <c r="K385" s="695"/>
      <c r="L385" s="695"/>
      <c r="M385" s="695"/>
      <c r="N385" s="695"/>
      <c r="O385" s="695"/>
      <c r="P385" s="695"/>
      <c r="Q385" s="697"/>
      <c r="R385" s="697"/>
      <c r="S385" s="697"/>
      <c r="T385" s="697"/>
      <c r="U385" s="697"/>
      <c r="V385" s="697"/>
      <c r="W385" s="637">
        <v>10712360.91</v>
      </c>
      <c r="X385" s="637">
        <f>W385</f>
        <v>10712360.91</v>
      </c>
      <c r="Y385" s="637">
        <v>2612751.64</v>
      </c>
      <c r="Z385" s="498"/>
      <c r="AA385" s="498"/>
      <c r="AB385" s="498"/>
      <c r="AC385" s="478">
        <f t="shared" si="127"/>
        <v>0</v>
      </c>
      <c r="AD385" s="498">
        <v>8099609.8599999994</v>
      </c>
      <c r="AE385" s="510">
        <v>70161428.530000001</v>
      </c>
      <c r="AF385" s="498">
        <f>8099609.86+0.44</f>
        <v>8099610.3000000007</v>
      </c>
      <c r="AG385" s="510">
        <f>AF385-AD385</f>
        <v>0.44000000134110451</v>
      </c>
      <c r="AH385" s="503">
        <v>0</v>
      </c>
      <c r="AI385" s="503">
        <v>294794439.13</v>
      </c>
      <c r="AJ385" s="503"/>
      <c r="AK385" s="472">
        <v>1100117</v>
      </c>
    </row>
    <row r="386" spans="1:37" ht="15.75" thickTop="1" thickBot="1" x14ac:dyDescent="0.25">
      <c r="A386" s="491"/>
      <c r="B386" s="492"/>
      <c r="C386" s="493"/>
      <c r="D386" s="493"/>
      <c r="E386" s="570"/>
      <c r="F386" s="495" t="s">
        <v>788</v>
      </c>
      <c r="G386" s="696">
        <v>46800221</v>
      </c>
      <c r="H386" s="696">
        <v>317707.53999999998</v>
      </c>
      <c r="I386" s="696">
        <v>62963181.399999999</v>
      </c>
      <c r="J386" s="637">
        <v>62963181.399999999</v>
      </c>
      <c r="K386" s="695"/>
      <c r="L386" s="695"/>
      <c r="M386" s="695"/>
      <c r="N386" s="695"/>
      <c r="O386" s="695"/>
      <c r="P386" s="695"/>
      <c r="Q386" s="697"/>
      <c r="R386" s="697"/>
      <c r="S386" s="697"/>
      <c r="T386" s="697"/>
      <c r="U386" s="697"/>
      <c r="V386" s="697"/>
      <c r="W386" s="637">
        <v>62963181.399999999</v>
      </c>
      <c r="X386" s="637">
        <f>W386</f>
        <v>62963181.399999999</v>
      </c>
      <c r="Y386" s="637">
        <v>45395857.859999999</v>
      </c>
      <c r="Z386" s="498"/>
      <c r="AA386" s="498"/>
      <c r="AB386" s="498"/>
      <c r="AC386" s="478">
        <f t="shared" si="127"/>
        <v>0</v>
      </c>
      <c r="AD386" s="498">
        <v>17567322.59</v>
      </c>
      <c r="AE386" s="498"/>
      <c r="AF386" s="498">
        <v>17567322.59</v>
      </c>
      <c r="AG386" s="498">
        <f>AF386-AD386</f>
        <v>0</v>
      </c>
      <c r="AH386" s="503">
        <v>0</v>
      </c>
      <c r="AI386" s="503">
        <v>0</v>
      </c>
      <c r="AJ386" s="503">
        <v>0</v>
      </c>
      <c r="AK386" s="472">
        <v>1100118</v>
      </c>
    </row>
    <row r="387" spans="1:37" ht="15.75" thickTop="1" thickBot="1" x14ac:dyDescent="0.25">
      <c r="A387" s="491"/>
      <c r="B387" s="492"/>
      <c r="C387" s="493"/>
      <c r="D387" s="493"/>
      <c r="E387" s="570"/>
      <c r="F387" s="495" t="s">
        <v>788</v>
      </c>
      <c r="G387" s="696">
        <v>18535177</v>
      </c>
      <c r="H387" s="696"/>
      <c r="I387" s="696">
        <v>9031075.2699999996</v>
      </c>
      <c r="J387" s="637">
        <v>9031075.2699999996</v>
      </c>
      <c r="K387" s="695"/>
      <c r="L387" s="695"/>
      <c r="M387" s="695"/>
      <c r="N387" s="695"/>
      <c r="O387" s="695"/>
      <c r="P387" s="695"/>
      <c r="Q387" s="697"/>
      <c r="R387" s="697"/>
      <c r="S387" s="697"/>
      <c r="T387" s="697"/>
      <c r="U387" s="697"/>
      <c r="V387" s="697"/>
      <c r="W387" s="637">
        <v>9031075.2699999996</v>
      </c>
      <c r="X387" s="637">
        <f>W387</f>
        <v>9031075.2699999996</v>
      </c>
      <c r="Y387" s="637">
        <v>3937604.88</v>
      </c>
      <c r="Z387" s="498"/>
      <c r="AA387" s="498"/>
      <c r="AB387" s="498"/>
      <c r="AC387" s="478">
        <f t="shared" si="127"/>
        <v>0</v>
      </c>
      <c r="AD387" s="498">
        <v>5093469.83</v>
      </c>
      <c r="AE387" s="498"/>
      <c r="AF387" s="498">
        <v>5093469.83</v>
      </c>
      <c r="AG387" s="498">
        <f>AF387-AD387</f>
        <v>0</v>
      </c>
      <c r="AH387" s="503">
        <v>0</v>
      </c>
      <c r="AI387" s="503">
        <v>0</v>
      </c>
      <c r="AJ387" s="503">
        <v>0</v>
      </c>
      <c r="AK387" s="472">
        <v>1100116</v>
      </c>
    </row>
    <row r="388" spans="1:37" ht="15.75" thickTop="1" thickBot="1" x14ac:dyDescent="0.25">
      <c r="A388" s="491"/>
      <c r="B388" s="492"/>
      <c r="C388" s="493"/>
      <c r="D388" s="493"/>
      <c r="E388" s="493"/>
      <c r="F388" s="495" t="s">
        <v>790</v>
      </c>
      <c r="G388" s="637">
        <v>10543022.76</v>
      </c>
      <c r="H388" s="696"/>
      <c r="I388" s="696"/>
      <c r="J388" s="637"/>
      <c r="K388" s="695"/>
      <c r="L388" s="695"/>
      <c r="M388" s="695"/>
      <c r="N388" s="695"/>
      <c r="O388" s="695"/>
      <c r="P388" s="695"/>
      <c r="Q388" s="697"/>
      <c r="R388" s="697"/>
      <c r="S388" s="697"/>
      <c r="T388" s="697"/>
      <c r="U388" s="697"/>
      <c r="V388" s="697"/>
      <c r="W388" s="637"/>
      <c r="X388" s="637"/>
      <c r="Y388" s="637"/>
      <c r="Z388" s="498"/>
      <c r="AA388" s="498"/>
      <c r="AB388" s="498"/>
      <c r="AC388" s="478">
        <f t="shared" si="127"/>
        <v>0</v>
      </c>
      <c r="AD388" s="498"/>
      <c r="AE388" s="498"/>
      <c r="AF388" s="498"/>
      <c r="AG388" s="498"/>
      <c r="AH388" s="500"/>
      <c r="AI388" s="500"/>
      <c r="AJ388" s="500"/>
      <c r="AK388" s="472"/>
    </row>
    <row r="389" spans="1:37" ht="15.75" thickTop="1" thickBot="1" x14ac:dyDescent="0.25">
      <c r="A389" s="491"/>
      <c r="B389" s="492"/>
      <c r="C389" s="493"/>
      <c r="D389" s="493"/>
      <c r="E389" s="706" t="s">
        <v>791</v>
      </c>
      <c r="F389" s="495" t="s">
        <v>784</v>
      </c>
      <c r="G389" s="637"/>
      <c r="H389" s="696"/>
      <c r="I389" s="696">
        <v>194696.35</v>
      </c>
      <c r="J389" s="637">
        <v>194696.35</v>
      </c>
      <c r="K389" s="695"/>
      <c r="L389" s="695"/>
      <c r="M389" s="695"/>
      <c r="N389" s="695"/>
      <c r="O389" s="695"/>
      <c r="P389" s="695"/>
      <c r="Q389" s="697"/>
      <c r="R389" s="697"/>
      <c r="S389" s="697"/>
      <c r="T389" s="697"/>
      <c r="U389" s="697"/>
      <c r="V389" s="697"/>
      <c r="W389" s="637">
        <v>194696.35</v>
      </c>
      <c r="X389" s="637">
        <f>W389</f>
        <v>194696.35</v>
      </c>
      <c r="Y389" s="637"/>
      <c r="Z389" s="498"/>
      <c r="AA389" s="498"/>
      <c r="AB389" s="498"/>
      <c r="AC389" s="478">
        <f t="shared" si="127"/>
        <v>0</v>
      </c>
      <c r="AD389" s="498"/>
      <c r="AE389" s="498"/>
      <c r="AF389" s="498"/>
      <c r="AG389" s="498"/>
      <c r="AH389" s="500"/>
      <c r="AI389" s="500"/>
      <c r="AJ389" s="500"/>
      <c r="AK389" s="472">
        <v>2510119</v>
      </c>
    </row>
    <row r="390" spans="1:37" ht="15.75" thickTop="1" thickBot="1" x14ac:dyDescent="0.25">
      <c r="A390" s="491"/>
      <c r="B390" s="492"/>
      <c r="C390" s="493"/>
      <c r="D390" s="493"/>
      <c r="E390" s="494" t="s">
        <v>789</v>
      </c>
      <c r="F390" s="495" t="s">
        <v>788</v>
      </c>
      <c r="G390" s="695"/>
      <c r="H390" s="696"/>
      <c r="I390" s="696"/>
      <c r="J390" s="637"/>
      <c r="K390" s="695"/>
      <c r="L390" s="695"/>
      <c r="M390" s="695"/>
      <c r="N390" s="695"/>
      <c r="O390" s="695"/>
      <c r="P390" s="695"/>
      <c r="Q390" s="697"/>
      <c r="R390" s="697"/>
      <c r="S390" s="697"/>
      <c r="T390" s="697"/>
      <c r="U390" s="697"/>
      <c r="V390" s="697"/>
      <c r="W390" s="637"/>
      <c r="X390" s="637"/>
      <c r="Y390" s="637"/>
      <c r="Z390" s="498"/>
      <c r="AA390" s="498"/>
      <c r="AB390" s="498"/>
      <c r="AC390" s="478"/>
      <c r="AD390" s="498">
        <v>192526282.6800001</v>
      </c>
      <c r="AE390" s="498"/>
      <c r="AF390" s="498">
        <v>192526282.6800001</v>
      </c>
      <c r="AG390" s="498">
        <f>AF390-AD390</f>
        <v>0</v>
      </c>
      <c r="AH390" s="503">
        <v>0</v>
      </c>
      <c r="AI390" s="503">
        <v>0</v>
      </c>
      <c r="AJ390" s="503">
        <v>52000000</v>
      </c>
      <c r="AK390" s="472">
        <v>1100121</v>
      </c>
    </row>
    <row r="391" spans="1:37" ht="15.75" thickTop="1" thickBot="1" x14ac:dyDescent="0.25">
      <c r="A391" s="491"/>
      <c r="B391" s="492"/>
      <c r="C391" s="493"/>
      <c r="D391" s="493"/>
      <c r="E391" s="494" t="s">
        <v>789</v>
      </c>
      <c r="F391" s="495" t="s">
        <v>788</v>
      </c>
      <c r="G391" s="695"/>
      <c r="H391" s="696"/>
      <c r="I391" s="696"/>
      <c r="J391" s="637"/>
      <c r="K391" s="695"/>
      <c r="L391" s="695"/>
      <c r="M391" s="695"/>
      <c r="N391" s="695"/>
      <c r="O391" s="695"/>
      <c r="P391" s="695"/>
      <c r="Q391" s="697"/>
      <c r="R391" s="697"/>
      <c r="S391" s="697"/>
      <c r="T391" s="697"/>
      <c r="U391" s="697"/>
      <c r="V391" s="697"/>
      <c r="W391" s="637"/>
      <c r="X391" s="637"/>
      <c r="Y391" s="637"/>
      <c r="Z391" s="498"/>
      <c r="AA391" s="498"/>
      <c r="AB391" s="498"/>
      <c r="AC391" s="478"/>
      <c r="AD391" s="498"/>
      <c r="AE391" s="498"/>
      <c r="AF391" s="498"/>
      <c r="AG391" s="498"/>
      <c r="AH391" s="503"/>
      <c r="AI391" s="503"/>
      <c r="AJ391" s="503">
        <f>2490000+138000+144000</f>
        <v>2772000</v>
      </c>
      <c r="AK391" s="472">
        <v>1100121</v>
      </c>
    </row>
    <row r="392" spans="1:37" ht="15.75" thickTop="1" thickBot="1" x14ac:dyDescent="0.25">
      <c r="A392" s="491"/>
      <c r="B392" s="492"/>
      <c r="C392" s="493"/>
      <c r="D392" s="493"/>
      <c r="E392" s="494" t="s">
        <v>789</v>
      </c>
      <c r="F392" s="495" t="s">
        <v>788</v>
      </c>
      <c r="G392" s="695"/>
      <c r="H392" s="696"/>
      <c r="I392" s="696"/>
      <c r="J392" s="637"/>
      <c r="K392" s="695"/>
      <c r="L392" s="695"/>
      <c r="M392" s="695"/>
      <c r="N392" s="695"/>
      <c r="O392" s="695"/>
      <c r="P392" s="695"/>
      <c r="Q392" s="697"/>
      <c r="R392" s="697"/>
      <c r="S392" s="697"/>
      <c r="T392" s="697"/>
      <c r="U392" s="697"/>
      <c r="V392" s="697"/>
      <c r="W392" s="637"/>
      <c r="X392" s="637"/>
      <c r="Y392" s="637"/>
      <c r="Z392" s="498"/>
      <c r="AA392" s="498"/>
      <c r="AB392" s="498"/>
      <c r="AC392" s="478"/>
      <c r="AD392" s="498">
        <v>192526282.6800001</v>
      </c>
      <c r="AE392" s="498"/>
      <c r="AF392" s="498">
        <v>192526282.6800001</v>
      </c>
      <c r="AG392" s="498">
        <f>AF392-AD392</f>
        <v>0</v>
      </c>
      <c r="AH392" s="503">
        <v>0</v>
      </c>
      <c r="AI392" s="503">
        <v>0</v>
      </c>
      <c r="AJ392" s="503">
        <v>1500000</v>
      </c>
      <c r="AK392" s="472">
        <v>1100121</v>
      </c>
    </row>
    <row r="393" spans="1:37" ht="15.75" thickTop="1" thickBot="1" x14ac:dyDescent="0.25">
      <c r="A393" s="491"/>
      <c r="B393" s="492"/>
      <c r="C393" s="493"/>
      <c r="D393" s="493"/>
      <c r="E393" s="494" t="s">
        <v>789</v>
      </c>
      <c r="F393" s="495" t="s">
        <v>788</v>
      </c>
      <c r="G393" s="695"/>
      <c r="H393" s="696"/>
      <c r="I393" s="696"/>
      <c r="J393" s="637"/>
      <c r="K393" s="695"/>
      <c r="L393" s="695"/>
      <c r="M393" s="695"/>
      <c r="N393" s="695"/>
      <c r="O393" s="695"/>
      <c r="P393" s="695"/>
      <c r="Q393" s="697"/>
      <c r="R393" s="697"/>
      <c r="S393" s="697"/>
      <c r="T393" s="697"/>
      <c r="U393" s="697"/>
      <c r="V393" s="697"/>
      <c r="W393" s="637"/>
      <c r="X393" s="637"/>
      <c r="Y393" s="637"/>
      <c r="Z393" s="498"/>
      <c r="AA393" s="498"/>
      <c r="AB393" s="498"/>
      <c r="AC393" s="478"/>
      <c r="AD393" s="498">
        <v>192526282.6800001</v>
      </c>
      <c r="AE393" s="498"/>
      <c r="AF393" s="498">
        <v>192526282.6800001</v>
      </c>
      <c r="AG393" s="498">
        <f>AF393-AD393</f>
        <v>0</v>
      </c>
      <c r="AH393" s="503"/>
      <c r="AI393" s="503"/>
      <c r="AJ393" s="503">
        <v>510000</v>
      </c>
      <c r="AK393" s="472">
        <v>1100121</v>
      </c>
    </row>
    <row r="394" spans="1:37" ht="15.75" thickTop="1" thickBot="1" x14ac:dyDescent="0.25">
      <c r="A394" s="491"/>
      <c r="B394" s="492"/>
      <c r="C394" s="493"/>
      <c r="D394" s="493"/>
      <c r="E394" s="494" t="s">
        <v>789</v>
      </c>
      <c r="F394" s="495" t="s">
        <v>788</v>
      </c>
      <c r="G394" s="695"/>
      <c r="H394" s="696"/>
      <c r="I394" s="696"/>
      <c r="J394" s="637"/>
      <c r="K394" s="695"/>
      <c r="L394" s="695"/>
      <c r="M394" s="695"/>
      <c r="N394" s="695"/>
      <c r="O394" s="695"/>
      <c r="P394" s="695"/>
      <c r="Q394" s="697"/>
      <c r="R394" s="697"/>
      <c r="S394" s="697"/>
      <c r="T394" s="697"/>
      <c r="U394" s="697"/>
      <c r="V394" s="697"/>
      <c r="W394" s="637"/>
      <c r="X394" s="637"/>
      <c r="Y394" s="637"/>
      <c r="Z394" s="498"/>
      <c r="AA394" s="498"/>
      <c r="AB394" s="498"/>
      <c r="AC394" s="478"/>
      <c r="AD394" s="498"/>
      <c r="AE394" s="498"/>
      <c r="AF394" s="498"/>
      <c r="AG394" s="498"/>
      <c r="AH394" s="503" t="s">
        <v>695</v>
      </c>
      <c r="AI394" s="503"/>
      <c r="AJ394" s="503">
        <v>378291.79</v>
      </c>
      <c r="AK394" s="472">
        <v>1100121</v>
      </c>
    </row>
    <row r="395" spans="1:37" ht="15.75" thickTop="1" thickBot="1" x14ac:dyDescent="0.25">
      <c r="A395" s="491"/>
      <c r="B395" s="492"/>
      <c r="C395" s="493"/>
      <c r="D395" s="493"/>
      <c r="E395" s="494" t="s">
        <v>789</v>
      </c>
      <c r="F395" s="495" t="s">
        <v>788</v>
      </c>
      <c r="G395" s="695"/>
      <c r="H395" s="696"/>
      <c r="I395" s="696"/>
      <c r="J395" s="637"/>
      <c r="K395" s="695"/>
      <c r="L395" s="695"/>
      <c r="M395" s="695"/>
      <c r="N395" s="695"/>
      <c r="O395" s="695"/>
      <c r="P395" s="695"/>
      <c r="Q395" s="697"/>
      <c r="R395" s="697"/>
      <c r="S395" s="697"/>
      <c r="T395" s="697"/>
      <c r="U395" s="697"/>
      <c r="V395" s="697"/>
      <c r="W395" s="637"/>
      <c r="X395" s="637"/>
      <c r="Y395" s="637"/>
      <c r="Z395" s="498"/>
      <c r="AA395" s="498"/>
      <c r="AB395" s="498"/>
      <c r="AC395" s="478"/>
      <c r="AD395" s="498"/>
      <c r="AE395" s="498"/>
      <c r="AF395" s="498"/>
      <c r="AG395" s="498"/>
      <c r="AH395" s="503"/>
      <c r="AI395" s="503"/>
      <c r="AJ395" s="503">
        <v>280000</v>
      </c>
      <c r="AK395" s="472">
        <v>1100121</v>
      </c>
    </row>
    <row r="396" spans="1:37" ht="15.75" thickTop="1" thickBot="1" x14ac:dyDescent="0.25">
      <c r="A396" s="491"/>
      <c r="B396" s="492"/>
      <c r="C396" s="493"/>
      <c r="D396" s="493"/>
      <c r="E396" s="494" t="s">
        <v>789</v>
      </c>
      <c r="F396" s="495" t="s">
        <v>788</v>
      </c>
      <c r="G396" s="695"/>
      <c r="H396" s="696"/>
      <c r="I396" s="696"/>
      <c r="J396" s="637"/>
      <c r="K396" s="695"/>
      <c r="L396" s="695"/>
      <c r="M396" s="695"/>
      <c r="N396" s="695"/>
      <c r="O396" s="695"/>
      <c r="P396" s="695"/>
      <c r="Q396" s="697"/>
      <c r="R396" s="697"/>
      <c r="S396" s="697"/>
      <c r="T396" s="697"/>
      <c r="U396" s="697"/>
      <c r="V396" s="697"/>
      <c r="W396" s="637"/>
      <c r="X396" s="637"/>
      <c r="Y396" s="637"/>
      <c r="Z396" s="498"/>
      <c r="AA396" s="498"/>
      <c r="AB396" s="498"/>
      <c r="AC396" s="478"/>
      <c r="AD396" s="498"/>
      <c r="AE396" s="498"/>
      <c r="AF396" s="498"/>
      <c r="AG396" s="498"/>
      <c r="AH396" s="503" t="s">
        <v>695</v>
      </c>
      <c r="AI396" s="503"/>
      <c r="AJ396" s="503">
        <f>112070.8+276000-0.36</f>
        <v>388070.44</v>
      </c>
      <c r="AK396" s="472">
        <v>1100121</v>
      </c>
    </row>
    <row r="397" spans="1:37" ht="15.75" thickTop="1" thickBot="1" x14ac:dyDescent="0.25">
      <c r="A397" s="491"/>
      <c r="B397" s="492"/>
      <c r="C397" s="493"/>
      <c r="D397" s="493"/>
      <c r="E397" s="494" t="s">
        <v>789</v>
      </c>
      <c r="F397" s="495" t="s">
        <v>788</v>
      </c>
      <c r="G397" s="695"/>
      <c r="H397" s="696"/>
      <c r="I397" s="696"/>
      <c r="J397" s="637"/>
      <c r="K397" s="695"/>
      <c r="L397" s="695"/>
      <c r="M397" s="695"/>
      <c r="N397" s="695"/>
      <c r="O397" s="695"/>
      <c r="P397" s="695"/>
      <c r="Q397" s="697"/>
      <c r="R397" s="697"/>
      <c r="S397" s="697"/>
      <c r="T397" s="697"/>
      <c r="U397" s="697"/>
      <c r="V397" s="697"/>
      <c r="W397" s="637"/>
      <c r="X397" s="637"/>
      <c r="Y397" s="637"/>
      <c r="Z397" s="498"/>
      <c r="AA397" s="498"/>
      <c r="AB397" s="498"/>
      <c r="AC397" s="478"/>
      <c r="AD397" s="498"/>
      <c r="AE397" s="498"/>
      <c r="AF397" s="498"/>
      <c r="AG397" s="498"/>
      <c r="AH397" s="503"/>
      <c r="AI397" s="503"/>
      <c r="AJ397" s="503">
        <v>4500000</v>
      </c>
      <c r="AK397" s="472">
        <v>1100121</v>
      </c>
    </row>
    <row r="398" spans="1:37" ht="15.75" thickTop="1" thickBot="1" x14ac:dyDescent="0.25">
      <c r="A398" s="491"/>
      <c r="B398" s="492"/>
      <c r="C398" s="493"/>
      <c r="D398" s="493"/>
      <c r="E398" s="494" t="s">
        <v>789</v>
      </c>
      <c r="F398" s="495" t="s">
        <v>788</v>
      </c>
      <c r="G398" s="695"/>
      <c r="H398" s="696"/>
      <c r="I398" s="696"/>
      <c r="J398" s="637"/>
      <c r="K398" s="695"/>
      <c r="L398" s="695"/>
      <c r="M398" s="695"/>
      <c r="N398" s="695"/>
      <c r="O398" s="695"/>
      <c r="P398" s="695"/>
      <c r="Q398" s="697"/>
      <c r="R398" s="697"/>
      <c r="S398" s="697"/>
      <c r="T398" s="697"/>
      <c r="U398" s="697"/>
      <c r="V398" s="697"/>
      <c r="W398" s="637"/>
      <c r="X398" s="637"/>
      <c r="Y398" s="637"/>
      <c r="Z398" s="498"/>
      <c r="AA398" s="498"/>
      <c r="AB398" s="498"/>
      <c r="AC398" s="478"/>
      <c r="AD398" s="498"/>
      <c r="AE398" s="498"/>
      <c r="AF398" s="498"/>
      <c r="AG398" s="498"/>
      <c r="AH398" s="503" t="s">
        <v>695</v>
      </c>
      <c r="AI398" s="503"/>
      <c r="AJ398" s="503">
        <f>241650+2084000</f>
        <v>2325650</v>
      </c>
      <c r="AK398" s="472">
        <v>1100120</v>
      </c>
    </row>
    <row r="399" spans="1:37" ht="15.75" thickTop="1" thickBot="1" x14ac:dyDescent="0.25">
      <c r="A399" s="491"/>
      <c r="B399" s="492"/>
      <c r="C399" s="493"/>
      <c r="D399" s="493"/>
      <c r="E399" s="494" t="s">
        <v>789</v>
      </c>
      <c r="F399" s="495" t="s">
        <v>788</v>
      </c>
      <c r="G399" s="695"/>
      <c r="H399" s="696"/>
      <c r="I399" s="696"/>
      <c r="J399" s="637"/>
      <c r="K399" s="695"/>
      <c r="L399" s="695"/>
      <c r="M399" s="695"/>
      <c r="N399" s="695"/>
      <c r="O399" s="695"/>
      <c r="P399" s="695"/>
      <c r="Q399" s="697"/>
      <c r="R399" s="697"/>
      <c r="S399" s="697"/>
      <c r="T399" s="697"/>
      <c r="U399" s="697"/>
      <c r="V399" s="697"/>
      <c r="W399" s="637"/>
      <c r="X399" s="637"/>
      <c r="Y399" s="637"/>
      <c r="Z399" s="498"/>
      <c r="AA399" s="498"/>
      <c r="AB399" s="498"/>
      <c r="AC399" s="478"/>
      <c r="AD399" s="498"/>
      <c r="AE399" s="498"/>
      <c r="AF399" s="498"/>
      <c r="AG399" s="498"/>
      <c r="AH399" s="503"/>
      <c r="AI399" s="503"/>
      <c r="AJ399" s="503">
        <f>683040+4657740</f>
        <v>5340780</v>
      </c>
      <c r="AK399" s="472">
        <v>1100121</v>
      </c>
    </row>
    <row r="400" spans="1:37" ht="15.75" thickTop="1" thickBot="1" x14ac:dyDescent="0.25">
      <c r="A400" s="491"/>
      <c r="B400" s="492"/>
      <c r="C400" s="493"/>
      <c r="D400" s="493"/>
      <c r="E400" s="494" t="s">
        <v>789</v>
      </c>
      <c r="F400" s="495" t="s">
        <v>788</v>
      </c>
      <c r="G400" s="695"/>
      <c r="H400" s="696"/>
      <c r="I400" s="696"/>
      <c r="J400" s="637"/>
      <c r="K400" s="695"/>
      <c r="L400" s="695"/>
      <c r="M400" s="695"/>
      <c r="N400" s="695"/>
      <c r="O400" s="695"/>
      <c r="P400" s="695"/>
      <c r="Q400" s="697"/>
      <c r="R400" s="697"/>
      <c r="S400" s="697"/>
      <c r="T400" s="697"/>
      <c r="U400" s="697"/>
      <c r="V400" s="697"/>
      <c r="W400" s="637"/>
      <c r="X400" s="637"/>
      <c r="Y400" s="637"/>
      <c r="Z400" s="498"/>
      <c r="AA400" s="498"/>
      <c r="AB400" s="498"/>
      <c r="AC400" s="478"/>
      <c r="AD400" s="498"/>
      <c r="AE400" s="498"/>
      <c r="AF400" s="498"/>
      <c r="AG400" s="498"/>
      <c r="AH400" s="503"/>
      <c r="AI400" s="503"/>
      <c r="AJ400" s="503">
        <v>2000000</v>
      </c>
      <c r="AK400" s="472">
        <v>1100121</v>
      </c>
    </row>
    <row r="401" spans="1:37" ht="15.75" thickTop="1" thickBot="1" x14ac:dyDescent="0.25">
      <c r="A401" s="491"/>
      <c r="B401" s="492"/>
      <c r="C401" s="493"/>
      <c r="D401" s="493"/>
      <c r="E401" s="494" t="s">
        <v>789</v>
      </c>
      <c r="F401" s="495" t="s">
        <v>788</v>
      </c>
      <c r="G401" s="695"/>
      <c r="H401" s="696"/>
      <c r="I401" s="696"/>
      <c r="J401" s="637"/>
      <c r="K401" s="695"/>
      <c r="L401" s="695"/>
      <c r="M401" s="695"/>
      <c r="N401" s="695"/>
      <c r="O401" s="695"/>
      <c r="P401" s="695"/>
      <c r="Q401" s="697"/>
      <c r="R401" s="697"/>
      <c r="S401" s="697"/>
      <c r="T401" s="697"/>
      <c r="U401" s="697"/>
      <c r="V401" s="697"/>
      <c r="W401" s="637"/>
      <c r="X401" s="637"/>
      <c r="Y401" s="637"/>
      <c r="Z401" s="498"/>
      <c r="AA401" s="498"/>
      <c r="AB401" s="498"/>
      <c r="AC401" s="478"/>
      <c r="AD401" s="498"/>
      <c r="AE401" s="498"/>
      <c r="AF401" s="498"/>
      <c r="AG401" s="498"/>
      <c r="AH401" s="503"/>
      <c r="AI401" s="503"/>
      <c r="AJ401" s="503">
        <v>2017406.05</v>
      </c>
      <c r="AK401" s="472">
        <v>1100121</v>
      </c>
    </row>
    <row r="402" spans="1:37" ht="15.75" thickTop="1" thickBot="1" x14ac:dyDescent="0.25">
      <c r="A402" s="491"/>
      <c r="B402" s="492"/>
      <c r="C402" s="493"/>
      <c r="D402" s="493"/>
      <c r="E402" s="494" t="s">
        <v>789</v>
      </c>
      <c r="F402" s="495" t="s">
        <v>788</v>
      </c>
      <c r="G402" s="695"/>
      <c r="H402" s="696">
        <f>121220+233160</f>
        <v>354380</v>
      </c>
      <c r="I402" s="696">
        <v>182778728.71000001</v>
      </c>
      <c r="J402" s="637">
        <v>182778728.71000001</v>
      </c>
      <c r="K402" s="695"/>
      <c r="L402" s="695"/>
      <c r="M402" s="695"/>
      <c r="N402" s="695"/>
      <c r="O402" s="695"/>
      <c r="P402" s="695"/>
      <c r="Q402" s="697"/>
      <c r="R402" s="697"/>
      <c r="S402" s="697"/>
      <c r="T402" s="697"/>
      <c r="U402" s="697"/>
      <c r="V402" s="697"/>
      <c r="W402" s="637">
        <v>182778728.71000001</v>
      </c>
      <c r="X402" s="637">
        <f>W402</f>
        <v>182778728.71000001</v>
      </c>
      <c r="Y402" s="637">
        <v>111270975.70999999</v>
      </c>
      <c r="Z402" s="498"/>
      <c r="AA402" s="498"/>
      <c r="AB402" s="498"/>
      <c r="AC402" s="478">
        <f>W402-X402</f>
        <v>0</v>
      </c>
      <c r="AD402" s="498">
        <v>71507753.920000002</v>
      </c>
      <c r="AE402" s="498"/>
      <c r="AF402" s="498">
        <f>71507753.92-0.19</f>
        <v>71507753.730000004</v>
      </c>
      <c r="AG402" s="498">
        <f>AF402-AD402</f>
        <v>-0.18999999761581421</v>
      </c>
      <c r="AH402" s="503">
        <v>0</v>
      </c>
      <c r="AI402" s="503">
        <v>0</v>
      </c>
      <c r="AJ402" s="503">
        <v>2016397.94</v>
      </c>
      <c r="AK402" s="472">
        <v>1100120</v>
      </c>
    </row>
    <row r="403" spans="1:37" ht="15.75" thickTop="1" thickBot="1" x14ac:dyDescent="0.25">
      <c r="A403" s="491"/>
      <c r="B403" s="492"/>
      <c r="C403" s="493"/>
      <c r="D403" s="493"/>
      <c r="E403" s="494" t="s">
        <v>789</v>
      </c>
      <c r="F403" s="495" t="s">
        <v>788</v>
      </c>
      <c r="G403" s="695"/>
      <c r="H403" s="696"/>
      <c r="I403" s="696"/>
      <c r="J403" s="637"/>
      <c r="K403" s="695"/>
      <c r="L403" s="695"/>
      <c r="M403" s="707"/>
      <c r="N403" s="695"/>
      <c r="O403" s="695"/>
      <c r="P403" s="695"/>
      <c r="Q403" s="697"/>
      <c r="R403" s="697"/>
      <c r="S403" s="697"/>
      <c r="T403" s="697"/>
      <c r="U403" s="697"/>
      <c r="V403" s="697"/>
      <c r="W403" s="637"/>
      <c r="X403" s="637"/>
      <c r="Y403" s="637"/>
      <c r="Z403" s="498"/>
      <c r="AA403" s="498"/>
      <c r="AB403" s="498"/>
      <c r="AC403" s="478"/>
      <c r="AD403" s="498"/>
      <c r="AE403" s="498"/>
      <c r="AF403" s="498"/>
      <c r="AG403" s="498"/>
      <c r="AH403" s="503"/>
      <c r="AI403" s="503"/>
      <c r="AJ403" s="503">
        <v>19443256.690000001</v>
      </c>
      <c r="AK403" s="472">
        <v>1100120</v>
      </c>
    </row>
    <row r="404" spans="1:37" ht="15.75" thickTop="1" thickBot="1" x14ac:dyDescent="0.25">
      <c r="A404" s="491"/>
      <c r="B404" s="492"/>
      <c r="C404" s="493"/>
      <c r="D404" s="493"/>
      <c r="E404" s="494" t="s">
        <v>789</v>
      </c>
      <c r="F404" s="495" t="s">
        <v>788</v>
      </c>
      <c r="G404" s="695"/>
      <c r="H404" s="696"/>
      <c r="I404" s="696"/>
      <c r="J404" s="637"/>
      <c r="K404" s="695"/>
      <c r="L404" s="695"/>
      <c r="M404" s="707"/>
      <c r="N404" s="695"/>
      <c r="O404" s="695"/>
      <c r="P404" s="695"/>
      <c r="Q404" s="697"/>
      <c r="R404" s="697"/>
      <c r="S404" s="697"/>
      <c r="T404" s="697"/>
      <c r="U404" s="697"/>
      <c r="V404" s="697"/>
      <c r="W404" s="637"/>
      <c r="X404" s="637"/>
      <c r="Y404" s="637"/>
      <c r="Z404" s="498"/>
      <c r="AA404" s="498"/>
      <c r="AB404" s="498"/>
      <c r="AC404" s="478"/>
      <c r="AD404" s="498"/>
      <c r="AE404" s="498"/>
      <c r="AF404" s="498"/>
      <c r="AG404" s="498"/>
      <c r="AH404" s="503"/>
      <c r="AI404" s="503"/>
      <c r="AJ404" s="503">
        <v>9788555.9800000004</v>
      </c>
      <c r="AK404" s="472">
        <v>1100120</v>
      </c>
    </row>
    <row r="405" spans="1:37" ht="15.75" thickTop="1" thickBot="1" x14ac:dyDescent="0.25">
      <c r="A405" s="491"/>
      <c r="B405" s="492"/>
      <c r="C405" s="493"/>
      <c r="D405" s="493"/>
      <c r="E405" s="494" t="s">
        <v>789</v>
      </c>
      <c r="F405" s="495" t="s">
        <v>788</v>
      </c>
      <c r="G405" s="695"/>
      <c r="H405" s="696"/>
      <c r="I405" s="696"/>
      <c r="J405" s="637"/>
      <c r="K405" s="695"/>
      <c r="L405" s="695"/>
      <c r="M405" s="707"/>
      <c r="N405" s="695"/>
      <c r="O405" s="695"/>
      <c r="P405" s="695"/>
      <c r="Q405" s="697"/>
      <c r="R405" s="697"/>
      <c r="S405" s="697"/>
      <c r="T405" s="697"/>
      <c r="U405" s="697"/>
      <c r="V405" s="697"/>
      <c r="W405" s="637"/>
      <c r="X405" s="637"/>
      <c r="Y405" s="637"/>
      <c r="Z405" s="498"/>
      <c r="AA405" s="498"/>
      <c r="AB405" s="498"/>
      <c r="AC405" s="478"/>
      <c r="AD405" s="498"/>
      <c r="AE405" s="498"/>
      <c r="AF405" s="498"/>
      <c r="AG405" s="498"/>
      <c r="AH405" s="503"/>
      <c r="AI405" s="503" t="s">
        <v>695</v>
      </c>
      <c r="AJ405" s="503">
        <v>11329468.07</v>
      </c>
      <c r="AK405" s="472">
        <v>1100119</v>
      </c>
    </row>
    <row r="406" spans="1:37" ht="15.75" thickTop="1" thickBot="1" x14ac:dyDescent="0.25">
      <c r="A406" s="491"/>
      <c r="B406" s="492"/>
      <c r="C406" s="493"/>
      <c r="D406" s="493"/>
      <c r="E406" s="494" t="s">
        <v>789</v>
      </c>
      <c r="F406" s="495" t="s">
        <v>788</v>
      </c>
      <c r="G406" s="695"/>
      <c r="H406" s="696"/>
      <c r="I406" s="696"/>
      <c r="J406" s="637"/>
      <c r="K406" s="695"/>
      <c r="L406" s="695"/>
      <c r="M406" s="707"/>
      <c r="N406" s="695"/>
      <c r="O406" s="695"/>
      <c r="P406" s="695"/>
      <c r="Q406" s="697"/>
      <c r="R406" s="697"/>
      <c r="S406" s="697"/>
      <c r="T406" s="697"/>
      <c r="U406" s="697"/>
      <c r="V406" s="697"/>
      <c r="W406" s="637"/>
      <c r="X406" s="637"/>
      <c r="Y406" s="637"/>
      <c r="Z406" s="498"/>
      <c r="AA406" s="498"/>
      <c r="AB406" s="498"/>
      <c r="AC406" s="478"/>
      <c r="AD406" s="498"/>
      <c r="AE406" s="498"/>
      <c r="AF406" s="498"/>
      <c r="AG406" s="498"/>
      <c r="AH406" s="503"/>
      <c r="AI406" s="503" t="s">
        <v>695</v>
      </c>
      <c r="AJ406" s="503">
        <v>6332813.2699999996</v>
      </c>
      <c r="AK406" s="472">
        <v>1100118</v>
      </c>
    </row>
    <row r="407" spans="1:37" ht="15.75" thickTop="1" thickBot="1" x14ac:dyDescent="0.25">
      <c r="A407" s="491"/>
      <c r="B407" s="492"/>
      <c r="C407" s="493"/>
      <c r="D407" s="493"/>
      <c r="E407" s="494" t="s">
        <v>789</v>
      </c>
      <c r="F407" s="495" t="s">
        <v>788</v>
      </c>
      <c r="G407" s="695"/>
      <c r="H407" s="696"/>
      <c r="I407" s="696"/>
      <c r="J407" s="637"/>
      <c r="K407" s="695"/>
      <c r="L407" s="695"/>
      <c r="M407" s="707"/>
      <c r="N407" s="695"/>
      <c r="O407" s="695"/>
      <c r="P407" s="695"/>
      <c r="Q407" s="697"/>
      <c r="R407" s="697"/>
      <c r="S407" s="697"/>
      <c r="T407" s="697"/>
      <c r="U407" s="697"/>
      <c r="V407" s="697"/>
      <c r="W407" s="637"/>
      <c r="X407" s="637"/>
      <c r="Y407" s="637"/>
      <c r="Z407" s="498"/>
      <c r="AA407" s="498"/>
      <c r="AB407" s="498"/>
      <c r="AC407" s="478"/>
      <c r="AD407" s="498"/>
      <c r="AE407" s="498"/>
      <c r="AF407" s="498"/>
      <c r="AG407" s="498"/>
      <c r="AH407" s="503"/>
      <c r="AI407" s="503"/>
      <c r="AJ407" s="503">
        <v>3736710.85</v>
      </c>
      <c r="AK407" s="472">
        <v>1100117</v>
      </c>
    </row>
    <row r="408" spans="1:37" ht="15.75" thickTop="1" thickBot="1" x14ac:dyDescent="0.25">
      <c r="A408" s="491"/>
      <c r="B408" s="492"/>
      <c r="C408" s="493"/>
      <c r="D408" s="493"/>
      <c r="E408" s="494" t="s">
        <v>789</v>
      </c>
      <c r="F408" s="495" t="s">
        <v>788</v>
      </c>
      <c r="G408" s="695"/>
      <c r="H408" s="696"/>
      <c r="I408" s="696"/>
      <c r="J408" s="637"/>
      <c r="K408" s="695"/>
      <c r="L408" s="695"/>
      <c r="M408" s="707"/>
      <c r="N408" s="695"/>
      <c r="O408" s="695"/>
      <c r="P408" s="695"/>
      <c r="Q408" s="697"/>
      <c r="R408" s="697"/>
      <c r="S408" s="697"/>
      <c r="T408" s="697"/>
      <c r="U408" s="697"/>
      <c r="V408" s="697"/>
      <c r="W408" s="637"/>
      <c r="X408" s="637"/>
      <c r="Y408" s="637"/>
      <c r="Z408" s="498"/>
      <c r="AA408" s="498"/>
      <c r="AB408" s="498"/>
      <c r="AC408" s="478"/>
      <c r="AD408" s="498"/>
      <c r="AE408" s="498"/>
      <c r="AF408" s="498"/>
      <c r="AG408" s="498"/>
      <c r="AH408" s="503"/>
      <c r="AI408" s="503"/>
      <c r="AJ408" s="503">
        <v>65686.86</v>
      </c>
      <c r="AK408" s="472">
        <v>1100116</v>
      </c>
    </row>
    <row r="409" spans="1:37" ht="15.75" thickTop="1" thickBot="1" x14ac:dyDescent="0.25">
      <c r="A409" s="491"/>
      <c r="B409" s="492"/>
      <c r="C409" s="493"/>
      <c r="D409" s="493"/>
      <c r="E409" s="494" t="s">
        <v>789</v>
      </c>
      <c r="F409" s="495" t="s">
        <v>788</v>
      </c>
      <c r="G409" s="695"/>
      <c r="H409" s="696"/>
      <c r="I409" s="696"/>
      <c r="J409" s="637"/>
      <c r="K409" s="695"/>
      <c r="L409" s="695"/>
      <c r="M409" s="707"/>
      <c r="N409" s="695"/>
      <c r="O409" s="695"/>
      <c r="P409" s="695"/>
      <c r="Q409" s="697"/>
      <c r="R409" s="697"/>
      <c r="S409" s="697"/>
      <c r="T409" s="697"/>
      <c r="U409" s="697"/>
      <c r="V409" s="697"/>
      <c r="W409" s="637"/>
      <c r="X409" s="637"/>
      <c r="Y409" s="637"/>
      <c r="Z409" s="498"/>
      <c r="AA409" s="498"/>
      <c r="AB409" s="498"/>
      <c r="AC409" s="478"/>
      <c r="AD409" s="498"/>
      <c r="AE409" s="498"/>
      <c r="AF409" s="498"/>
      <c r="AG409" s="498"/>
      <c r="AH409" s="503"/>
      <c r="AI409" s="503" t="s">
        <v>695</v>
      </c>
      <c r="AJ409" s="708">
        <v>1795259.87</v>
      </c>
      <c r="AK409" s="472">
        <v>1100116</v>
      </c>
    </row>
    <row r="410" spans="1:37" ht="16.5" thickTop="1" thickBot="1" x14ac:dyDescent="0.25">
      <c r="A410" s="491"/>
      <c r="B410" s="492"/>
      <c r="C410" s="493"/>
      <c r="D410" s="493"/>
      <c r="E410" s="493"/>
      <c r="F410" s="495" t="s">
        <v>784</v>
      </c>
      <c r="G410" s="695"/>
      <c r="H410" s="696">
        <f>121220+174000</f>
        <v>295220</v>
      </c>
      <c r="I410" s="696"/>
      <c r="J410" s="637">
        <v>953140.47</v>
      </c>
      <c r="K410" s="695"/>
      <c r="L410" s="695"/>
      <c r="M410" s="709">
        <v>967747.92</v>
      </c>
      <c r="N410" s="700">
        <v>-14607.45</v>
      </c>
      <c r="O410" s="700"/>
      <c r="P410" s="703"/>
      <c r="Q410" s="704"/>
      <c r="R410" s="704"/>
      <c r="S410" s="704"/>
      <c r="T410" s="704"/>
      <c r="U410" s="704"/>
      <c r="V410" s="704"/>
      <c r="W410" s="705"/>
      <c r="X410" s="705"/>
      <c r="Y410" s="705">
        <v>1141747.92</v>
      </c>
      <c r="Z410" s="508"/>
      <c r="AA410" s="508"/>
      <c r="AB410" s="508"/>
      <c r="AC410" s="478">
        <f>W410-X410</f>
        <v>0</v>
      </c>
      <c r="AD410" s="508"/>
      <c r="AE410" s="508"/>
      <c r="AF410" s="508"/>
      <c r="AG410" s="508"/>
      <c r="AH410" s="472"/>
      <c r="AI410" s="472"/>
      <c r="AJ410" s="472" t="s">
        <v>695</v>
      </c>
      <c r="AK410" s="472">
        <v>2520319</v>
      </c>
    </row>
    <row r="411" spans="1:37" ht="15.75" thickTop="1" thickBot="1" x14ac:dyDescent="0.25">
      <c r="A411" s="491"/>
      <c r="B411" s="492"/>
      <c r="C411" s="493"/>
      <c r="D411" s="493"/>
      <c r="E411" s="493"/>
      <c r="F411" s="495" t="s">
        <v>788</v>
      </c>
      <c r="G411" s="695"/>
      <c r="H411" s="696">
        <v>63906426.490000002</v>
      </c>
      <c r="I411" s="696"/>
      <c r="J411" s="637"/>
      <c r="K411" s="695"/>
      <c r="L411" s="695"/>
      <c r="M411" s="695"/>
      <c r="N411" s="695"/>
      <c r="O411" s="695"/>
      <c r="P411" s="695"/>
      <c r="Q411" s="697"/>
      <c r="R411" s="697"/>
      <c r="S411" s="697"/>
      <c r="T411" s="697"/>
      <c r="U411" s="697"/>
      <c r="V411" s="697"/>
      <c r="W411" s="637"/>
      <c r="X411" s="637"/>
      <c r="Y411" s="637"/>
      <c r="Z411" s="498"/>
      <c r="AA411" s="498"/>
      <c r="AB411" s="498"/>
      <c r="AC411" s="478">
        <f>W411-X411</f>
        <v>0</v>
      </c>
      <c r="AD411" s="498"/>
      <c r="AE411" s="498"/>
      <c r="AF411" s="498"/>
      <c r="AG411" s="498"/>
      <c r="AH411" s="472"/>
      <c r="AI411" s="472"/>
      <c r="AJ411" s="472" t="s">
        <v>695</v>
      </c>
      <c r="AK411" s="472">
        <v>1100118</v>
      </c>
    </row>
    <row r="412" spans="1:37" ht="15.75" thickTop="1" thickBot="1" x14ac:dyDescent="0.25">
      <c r="A412" s="491"/>
      <c r="B412" s="492"/>
      <c r="C412" s="493"/>
      <c r="D412" s="493"/>
      <c r="E412" s="493"/>
      <c r="F412" s="495" t="s">
        <v>788</v>
      </c>
      <c r="G412" s="695"/>
      <c r="H412" s="696">
        <v>11628321.01</v>
      </c>
      <c r="I412" s="696"/>
      <c r="J412" s="637"/>
      <c r="K412" s="695"/>
      <c r="L412" s="695"/>
      <c r="M412" s="695"/>
      <c r="N412" s="695"/>
      <c r="O412" s="695"/>
      <c r="P412" s="695"/>
      <c r="Q412" s="697"/>
      <c r="R412" s="697"/>
      <c r="S412" s="697"/>
      <c r="T412" s="697"/>
      <c r="U412" s="697"/>
      <c r="V412" s="697"/>
      <c r="W412" s="637"/>
      <c r="X412" s="637"/>
      <c r="Y412" s="637"/>
      <c r="Z412" s="498"/>
      <c r="AA412" s="498"/>
      <c r="AB412" s="498"/>
      <c r="AC412" s="478">
        <f>W412-X412</f>
        <v>0</v>
      </c>
      <c r="AD412" s="498"/>
      <c r="AE412" s="498"/>
      <c r="AF412" s="498"/>
      <c r="AG412" s="498"/>
      <c r="AH412" s="472"/>
      <c r="AI412" s="472"/>
      <c r="AJ412" s="472"/>
      <c r="AK412" s="472">
        <v>1100119</v>
      </c>
    </row>
    <row r="413" spans="1:37" ht="15.75" thickTop="1" thickBot="1" x14ac:dyDescent="0.25">
      <c r="A413" s="491"/>
      <c r="B413" s="492"/>
      <c r="C413" s="493"/>
      <c r="D413" s="493"/>
      <c r="E413" s="493"/>
      <c r="F413" s="495" t="s">
        <v>808</v>
      </c>
      <c r="G413" s="695"/>
      <c r="H413" s="696">
        <v>18000000</v>
      </c>
      <c r="I413" s="696"/>
      <c r="J413" s="637"/>
      <c r="K413" s="695"/>
      <c r="L413" s="695"/>
      <c r="M413" s="695"/>
      <c r="N413" s="695"/>
      <c r="O413" s="695"/>
      <c r="P413" s="695"/>
      <c r="Q413" s="697"/>
      <c r="R413" s="697"/>
      <c r="S413" s="697"/>
      <c r="T413" s="697"/>
      <c r="U413" s="697"/>
      <c r="V413" s="697"/>
      <c r="W413" s="637"/>
      <c r="X413" s="637"/>
      <c r="Y413" s="637"/>
      <c r="Z413" s="498"/>
      <c r="AA413" s="498"/>
      <c r="AB413" s="498"/>
      <c r="AC413" s="478">
        <f>W413-X413</f>
        <v>0</v>
      </c>
      <c r="AD413" s="498"/>
      <c r="AE413" s="498"/>
      <c r="AF413" s="498"/>
      <c r="AG413" s="498"/>
      <c r="AH413" s="472"/>
      <c r="AI413" s="472"/>
      <c r="AJ413" s="472"/>
      <c r="AK413" s="472">
        <v>1201019</v>
      </c>
    </row>
    <row r="414" spans="1:37" ht="15.75" thickTop="1" thickBot="1" x14ac:dyDescent="0.25">
      <c r="A414" s="491"/>
      <c r="B414" s="492"/>
      <c r="C414" s="493"/>
      <c r="D414" s="493"/>
      <c r="E414" s="494" t="s">
        <v>786</v>
      </c>
      <c r="F414" s="495" t="s">
        <v>809</v>
      </c>
      <c r="G414" s="695"/>
      <c r="H414" s="696">
        <v>25559557.07</v>
      </c>
      <c r="I414" s="696"/>
      <c r="J414" s="637"/>
      <c r="K414" s="695"/>
      <c r="L414" s="695"/>
      <c r="M414" s="695"/>
      <c r="N414" s="695"/>
      <c r="O414" s="695"/>
      <c r="P414" s="695"/>
      <c r="Q414" s="697"/>
      <c r="R414" s="697"/>
      <c r="S414" s="697"/>
      <c r="T414" s="697"/>
      <c r="U414" s="697"/>
      <c r="V414" s="697"/>
      <c r="W414" s="637"/>
      <c r="X414" s="637"/>
      <c r="Y414" s="637"/>
      <c r="Z414" s="498"/>
      <c r="AA414" s="498"/>
      <c r="AB414" s="498"/>
      <c r="AC414" s="478">
        <f>W414-X414</f>
        <v>0</v>
      </c>
      <c r="AD414" s="498"/>
      <c r="AE414" s="498"/>
      <c r="AF414" s="498"/>
      <c r="AG414" s="498"/>
      <c r="AH414" s="472"/>
      <c r="AI414" s="472"/>
      <c r="AJ414" s="503">
        <v>2320351</v>
      </c>
      <c r="AK414" s="472">
        <v>2610121</v>
      </c>
    </row>
    <row r="415" spans="1:37" ht="15.75" thickTop="1" thickBot="1" x14ac:dyDescent="0.25">
      <c r="A415" s="491"/>
      <c r="B415" s="492"/>
      <c r="C415" s="493"/>
      <c r="D415" s="493"/>
      <c r="E415" s="494" t="s">
        <v>786</v>
      </c>
      <c r="F415" s="495" t="s">
        <v>809</v>
      </c>
      <c r="G415" s="695"/>
      <c r="H415" s="696"/>
      <c r="I415" s="696"/>
      <c r="J415" s="637"/>
      <c r="K415" s="695"/>
      <c r="L415" s="695"/>
      <c r="M415" s="695"/>
      <c r="N415" s="695"/>
      <c r="O415" s="695"/>
      <c r="P415" s="695"/>
      <c r="Q415" s="697"/>
      <c r="R415" s="697"/>
      <c r="S415" s="697"/>
      <c r="T415" s="697"/>
      <c r="U415" s="697"/>
      <c r="V415" s="697"/>
      <c r="W415" s="637"/>
      <c r="X415" s="637"/>
      <c r="Y415" s="637"/>
      <c r="Z415" s="498"/>
      <c r="AA415" s="498"/>
      <c r="AB415" s="498"/>
      <c r="AC415" s="478"/>
      <c r="AD415" s="498"/>
      <c r="AE415" s="498"/>
      <c r="AF415" s="498"/>
      <c r="AG415" s="498"/>
      <c r="AH415" s="472"/>
      <c r="AI415" s="472"/>
      <c r="AJ415" s="708">
        <v>1971380.78</v>
      </c>
      <c r="AK415" s="472">
        <v>2610121</v>
      </c>
    </row>
    <row r="416" spans="1:37" ht="15.75" thickTop="1" thickBot="1" x14ac:dyDescent="0.25">
      <c r="A416" s="491"/>
      <c r="B416" s="492"/>
      <c r="C416" s="493"/>
      <c r="D416" s="493"/>
      <c r="E416" s="494" t="s">
        <v>786</v>
      </c>
      <c r="F416" s="495" t="s">
        <v>809</v>
      </c>
      <c r="G416" s="695"/>
      <c r="H416" s="696"/>
      <c r="I416" s="696"/>
      <c r="J416" s="637"/>
      <c r="K416" s="695"/>
      <c r="L416" s="695"/>
      <c r="M416" s="695"/>
      <c r="N416" s="695"/>
      <c r="O416" s="695"/>
      <c r="P416" s="695"/>
      <c r="Q416" s="697"/>
      <c r="R416" s="697"/>
      <c r="S416" s="697"/>
      <c r="T416" s="697"/>
      <c r="U416" s="697"/>
      <c r="V416" s="697"/>
      <c r="W416" s="637"/>
      <c r="X416" s="637"/>
      <c r="Y416" s="637"/>
      <c r="Z416" s="498"/>
      <c r="AA416" s="498"/>
      <c r="AB416" s="498"/>
      <c r="AC416" s="478"/>
      <c r="AD416" s="498"/>
      <c r="AE416" s="498"/>
      <c r="AF416" s="498"/>
      <c r="AG416" s="498"/>
      <c r="AH416" s="472"/>
      <c r="AI416" s="472"/>
      <c r="AJ416" s="708">
        <v>9713438.3800000008</v>
      </c>
      <c r="AK416" s="472">
        <v>2610221</v>
      </c>
    </row>
    <row r="417" spans="1:37" ht="15.75" thickTop="1" thickBot="1" x14ac:dyDescent="0.25">
      <c r="A417" s="491"/>
      <c r="B417" s="492"/>
      <c r="C417" s="493"/>
      <c r="D417" s="493"/>
      <c r="E417" s="494" t="s">
        <v>786</v>
      </c>
      <c r="F417" s="495" t="s">
        <v>809</v>
      </c>
      <c r="G417" s="695"/>
      <c r="H417" s="696"/>
      <c r="I417" s="696"/>
      <c r="J417" s="637"/>
      <c r="K417" s="695"/>
      <c r="L417" s="695"/>
      <c r="M417" s="695"/>
      <c r="N417" s="695"/>
      <c r="O417" s="695"/>
      <c r="P417" s="695"/>
      <c r="Q417" s="697"/>
      <c r="R417" s="697"/>
      <c r="S417" s="697"/>
      <c r="T417" s="697"/>
      <c r="U417" s="697"/>
      <c r="V417" s="697"/>
      <c r="W417" s="637"/>
      <c r="X417" s="637"/>
      <c r="Y417" s="637"/>
      <c r="Z417" s="498"/>
      <c r="AA417" s="498"/>
      <c r="AB417" s="498"/>
      <c r="AC417" s="478"/>
      <c r="AD417" s="498"/>
      <c r="AE417" s="498"/>
      <c r="AF417" s="498"/>
      <c r="AG417" s="498"/>
      <c r="AH417" s="472"/>
      <c r="AI417" s="472"/>
      <c r="AJ417" s="708">
        <v>1031959.84</v>
      </c>
      <c r="AK417" s="472">
        <v>2610221</v>
      </c>
    </row>
    <row r="418" spans="1:37" ht="15.75" thickTop="1" thickBot="1" x14ac:dyDescent="0.25">
      <c r="A418" s="491"/>
      <c r="B418" s="492"/>
      <c r="C418" s="493"/>
      <c r="D418" s="493"/>
      <c r="E418" s="570" t="s">
        <v>813</v>
      </c>
      <c r="F418" s="495" t="s">
        <v>814</v>
      </c>
      <c r="G418" s="695"/>
      <c r="H418" s="696">
        <v>846622.92</v>
      </c>
      <c r="I418" s="696">
        <v>1141842.92</v>
      </c>
      <c r="J418" s="637">
        <v>1141842.92</v>
      </c>
      <c r="K418" s="695"/>
      <c r="L418" s="695"/>
      <c r="M418" s="695"/>
      <c r="N418" s="695"/>
      <c r="O418" s="695"/>
      <c r="P418" s="695"/>
      <c r="Q418" s="697"/>
      <c r="R418" s="697"/>
      <c r="S418" s="697"/>
      <c r="T418" s="697"/>
      <c r="U418" s="697"/>
      <c r="V418" s="697"/>
      <c r="W418" s="637">
        <v>1141842.92</v>
      </c>
      <c r="X418" s="637">
        <f>W418</f>
        <v>1141842.92</v>
      </c>
      <c r="Y418" s="637"/>
      <c r="Z418" s="498"/>
      <c r="AA418" s="498"/>
      <c r="AB418" s="498"/>
      <c r="AC418" s="478">
        <f>W418-X418</f>
        <v>0</v>
      </c>
      <c r="AD418" s="498">
        <v>0</v>
      </c>
      <c r="AE418" s="498"/>
      <c r="AF418" s="498"/>
      <c r="AG418" s="498"/>
      <c r="AH418" s="472"/>
      <c r="AI418" s="472"/>
      <c r="AJ418" s="472" t="s">
        <v>695</v>
      </c>
      <c r="AK418" s="472">
        <v>2520320</v>
      </c>
    </row>
    <row r="419" spans="1:37" ht="15.75" thickTop="1" thickBot="1" x14ac:dyDescent="0.25">
      <c r="A419" s="491"/>
      <c r="B419" s="492"/>
      <c r="C419" s="493"/>
      <c r="D419" s="493"/>
      <c r="E419" s="493"/>
      <c r="F419" s="495" t="s">
        <v>788</v>
      </c>
      <c r="G419" s="695"/>
      <c r="H419" s="696">
        <v>211077</v>
      </c>
      <c r="I419" s="696"/>
      <c r="J419" s="637"/>
      <c r="K419" s="695"/>
      <c r="L419" s="695"/>
      <c r="M419" s="695"/>
      <c r="N419" s="695"/>
      <c r="O419" s="695"/>
      <c r="P419" s="695"/>
      <c r="Q419" s="697"/>
      <c r="R419" s="697"/>
      <c r="S419" s="697"/>
      <c r="T419" s="697"/>
      <c r="U419" s="697"/>
      <c r="V419" s="697"/>
      <c r="W419" s="637"/>
      <c r="X419" s="637"/>
      <c r="Y419" s="637"/>
      <c r="Z419" s="498"/>
      <c r="AA419" s="498"/>
      <c r="AB419" s="498"/>
      <c r="AC419" s="478">
        <f>W419-X419</f>
        <v>0</v>
      </c>
      <c r="AD419" s="498"/>
      <c r="AE419" s="498"/>
      <c r="AF419" s="498"/>
      <c r="AG419" s="498"/>
      <c r="AH419" s="472"/>
      <c r="AI419" s="472"/>
      <c r="AJ419" s="472"/>
      <c r="AK419" s="472">
        <v>1100119</v>
      </c>
    </row>
    <row r="420" spans="1:37" ht="15.75" thickTop="1" thickBot="1" x14ac:dyDescent="0.25">
      <c r="A420" s="491"/>
      <c r="B420" s="492"/>
      <c r="C420" s="493"/>
      <c r="D420" s="493"/>
      <c r="E420" s="493"/>
      <c r="F420" s="495" t="s">
        <v>815</v>
      </c>
      <c r="G420" s="695"/>
      <c r="H420" s="696"/>
      <c r="I420" s="696"/>
      <c r="J420" s="695"/>
      <c r="K420" s="695"/>
      <c r="L420" s="695"/>
      <c r="M420" s="695"/>
      <c r="N420" s="695"/>
      <c r="O420" s="695"/>
      <c r="P420" s="695"/>
      <c r="Q420" s="697"/>
      <c r="R420" s="697"/>
      <c r="S420" s="697"/>
      <c r="T420" s="697"/>
      <c r="U420" s="697"/>
      <c r="V420" s="697"/>
      <c r="W420" s="637"/>
      <c r="X420" s="637"/>
      <c r="Y420" s="637"/>
      <c r="Z420" s="498"/>
      <c r="AA420" s="498"/>
      <c r="AB420" s="498"/>
      <c r="AC420" s="478">
        <f>W420-X420</f>
        <v>0</v>
      </c>
      <c r="AD420" s="498"/>
      <c r="AE420" s="498"/>
      <c r="AF420" s="498"/>
      <c r="AG420" s="498"/>
      <c r="AH420" s="472"/>
      <c r="AI420" s="472"/>
      <c r="AJ420" s="472"/>
      <c r="AK420" s="472"/>
    </row>
    <row r="421" spans="1:37" ht="15.75" thickTop="1" thickBot="1" x14ac:dyDescent="0.25">
      <c r="A421" s="491"/>
      <c r="B421" s="492"/>
      <c r="C421" s="493"/>
      <c r="D421" s="493"/>
      <c r="E421" s="493"/>
      <c r="F421" s="495" t="s">
        <v>816</v>
      </c>
      <c r="G421" s="695"/>
      <c r="H421" s="696"/>
      <c r="I421" s="696"/>
      <c r="J421" s="695"/>
      <c r="K421" s="695"/>
      <c r="L421" s="695"/>
      <c r="M421" s="695"/>
      <c r="N421" s="695"/>
      <c r="O421" s="695"/>
      <c r="P421" s="695"/>
      <c r="Q421" s="697"/>
      <c r="R421" s="697"/>
      <c r="S421" s="697"/>
      <c r="T421" s="697"/>
      <c r="U421" s="697"/>
      <c r="V421" s="697"/>
      <c r="W421" s="637"/>
      <c r="X421" s="637"/>
      <c r="Y421" s="637"/>
      <c r="Z421" s="498"/>
      <c r="AA421" s="498"/>
      <c r="AB421" s="498"/>
      <c r="AC421" s="478">
        <f>W421-X421</f>
        <v>0</v>
      </c>
      <c r="AD421" s="498"/>
      <c r="AE421" s="498"/>
      <c r="AF421" s="498"/>
      <c r="AG421" s="498"/>
      <c r="AH421" s="472"/>
      <c r="AI421" s="472"/>
      <c r="AJ421" s="472"/>
      <c r="AK421" s="472"/>
    </row>
    <row r="422" spans="1:37" ht="15.75" thickTop="1" thickBot="1" x14ac:dyDescent="0.25">
      <c r="A422" s="491"/>
      <c r="B422" s="492"/>
      <c r="C422" s="493"/>
      <c r="D422" s="493"/>
      <c r="E422" s="493"/>
      <c r="F422" s="495" t="s">
        <v>817</v>
      </c>
      <c r="G422" s="695"/>
      <c r="H422" s="696">
        <v>25000000</v>
      </c>
      <c r="I422" s="696"/>
      <c r="J422" s="637"/>
      <c r="K422" s="695"/>
      <c r="L422" s="695"/>
      <c r="M422" s="695"/>
      <c r="N422" s="695"/>
      <c r="O422" s="695"/>
      <c r="P422" s="695"/>
      <c r="Q422" s="697"/>
      <c r="R422" s="697"/>
      <c r="S422" s="697"/>
      <c r="T422" s="697"/>
      <c r="U422" s="697"/>
      <c r="V422" s="697"/>
      <c r="W422" s="637"/>
      <c r="X422" s="637"/>
      <c r="Y422" s="637"/>
      <c r="Z422" s="498"/>
      <c r="AA422" s="498"/>
      <c r="AB422" s="498"/>
      <c r="AC422" s="478">
        <f>W422-X422</f>
        <v>0</v>
      </c>
      <c r="AD422" s="498"/>
      <c r="AE422" s="498"/>
      <c r="AF422" s="498"/>
      <c r="AG422" s="498"/>
      <c r="AH422" s="472"/>
      <c r="AI422" s="472"/>
      <c r="AJ422" s="472"/>
      <c r="AK422" s="472">
        <v>1100119</v>
      </c>
    </row>
    <row r="423" spans="1:37" ht="15" thickTop="1" x14ac:dyDescent="0.2"/>
  </sheetData>
  <mergeCells count="3">
    <mergeCell ref="A1:AK1"/>
    <mergeCell ref="A2:AK2"/>
    <mergeCell ref="A3:AK3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COG</vt:lpstr>
      <vt:lpstr>CA</vt:lpstr>
      <vt:lpstr>FUNCIONAL</vt:lpstr>
      <vt:lpstr>CTG</vt:lpstr>
      <vt:lpstr>PRIORIDADES</vt:lpstr>
      <vt:lpstr>PROGS. Y PROY.</vt:lpstr>
      <vt:lpstr>ANALÍTICO DE PLAZAS</vt:lpstr>
      <vt:lpstr>Resumen</vt:lpstr>
      <vt:lpstr>Analitico ingresos</vt:lpstr>
      <vt:lpstr>Analitico de Egresos</vt:lpstr>
      <vt:lpstr>Prográmatico</vt:lpstr>
      <vt:lpstr>FORTAMUN</vt:lpstr>
      <vt:lpstr>FAISM</vt:lpstr>
      <vt:lpstr>Analítico II</vt:lpstr>
      <vt:lpstr>Analítico de Ingresos I</vt:lpstr>
      <vt:lpstr>'Analítico II'!Títulos_a_imprimir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Ramirez</dc:creator>
  <cp:keywords/>
  <dc:description/>
  <cp:lastModifiedBy>Fany</cp:lastModifiedBy>
  <cp:revision/>
  <cp:lastPrinted>2021-12-29T16:06:37Z</cp:lastPrinted>
  <dcterms:created xsi:type="dcterms:W3CDTF">2021-09-08T16:35:31Z</dcterms:created>
  <dcterms:modified xsi:type="dcterms:W3CDTF">2022-02-10T15:38:40Z</dcterms:modified>
  <cp:category/>
  <cp:contentStatus/>
</cp:coreProperties>
</file>